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9.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pw_working\acrespo\d0215548\"/>
    </mc:Choice>
  </mc:AlternateContent>
  <bookViews>
    <workbookView xWindow="0" yWindow="0" windowWidth="24000" windowHeight="9940" tabRatio="840" firstSheet="7" activeTab="15"/>
  </bookViews>
  <sheets>
    <sheet name="Contents Navigator" sheetId="62" r:id="rId1"/>
    <sheet name="Input Output Flow Chart" sheetId="63" state="hidden" r:id="rId2"/>
    <sheet name="1.  LRAMVA Summary" sheetId="43" r:id="rId3"/>
    <sheet name="2.  CDM Allocation" sheetId="44" state="hidden" r:id="rId4"/>
    <sheet name="1.1. LRAMVA Calculations" sheetId="67" r:id="rId5"/>
    <sheet name="3.  Distribution Rates" sheetId="45" state="hidden" r:id="rId6"/>
    <sheet name="4.  2011-14 LRAM" sheetId="46" r:id="rId7"/>
    <sheet name="4.1. 2011-14 LRAM Monthly" sheetId="64" r:id="rId8"/>
    <sheet name="6.  Persistence Rates" sheetId="3" r:id="rId9"/>
    <sheet name="5.  2015 LRAM" sheetId="54" state="hidden" r:id="rId10"/>
    <sheet name="5-b. 2016 LRAM" sheetId="57" state="hidden" r:id="rId11"/>
    <sheet name="5-c.  2017 LRAM" sheetId="58" state="hidden" r:id="rId12"/>
    <sheet name="5-d.  2018 LRAM" sheetId="59" state="hidden" r:id="rId13"/>
    <sheet name="5-e.  2019 LRAM" sheetId="60" state="hidden" r:id="rId14"/>
    <sheet name="5-f.  2020 LRAM" sheetId="61" state="hidden" r:id="rId15"/>
    <sheet name="7.  Carrying Charges" sheetId="47" r:id="rId16"/>
  </sheets>
  <externalReferences>
    <externalReference r:id="rId17"/>
  </externalReferences>
  <definedNames>
    <definedName name="_xlnm.Print_Area" localSheetId="2">'1.  LRAMVA Summary'!$A$1:$I$25</definedName>
    <definedName name="_xlnm.Print_Area" localSheetId="4">'1.1. LRAMVA Calculations'!$A$1:$X$87</definedName>
    <definedName name="_xlnm.Print_Area" localSheetId="3">'2.  CDM Allocation'!$A$1:$L$141</definedName>
    <definedName name="_xlnm.Print_Area" localSheetId="5">'3.  Distribution Rates'!$A$1:$M$40</definedName>
    <definedName name="_xlnm.Print_Area" localSheetId="6">'4.  2011-14 LRAM'!$A$1:$N$316</definedName>
    <definedName name="_xlnm.Print_Area" localSheetId="7">'4.1. 2011-14 LRAM Monthly'!$B$1:$Y$75</definedName>
    <definedName name="_xlnm.Print_Area" localSheetId="9">'5.  2015 LRAM'!$A$1:$P$132</definedName>
    <definedName name="_xlnm.Print_Area" localSheetId="8">'6.  Persistence Rates'!$A$1:$Y$30</definedName>
    <definedName name="_xlnm.Print_Area" localSheetId="15">'7.  Carrying Charges'!$A$1:$R$59</definedName>
    <definedName name="_xlnm.Print_Area" localSheetId="0">'Contents Navigator'!$B$3:$C$33</definedName>
    <definedName name="_xlnm.Print_Area" localSheetId="1">'Input Output Flow Chart'!$A$1:$M$28</definedName>
    <definedName name="_xlnm.Print_Titles" localSheetId="6">'4.  2011-14 LRAM'!$C:$D</definedName>
    <definedName name="Targets">'[1]LDC Targets'!$A$3:$D$83</definedName>
  </definedNames>
  <calcPr calcId="152511"/>
</workbook>
</file>

<file path=xl/calcChain.xml><?xml version="1.0" encoding="utf-8"?>
<calcChain xmlns="http://schemas.openxmlformats.org/spreadsheetml/2006/main">
  <c r="G145" i="46" l="1"/>
  <c r="F145" i="46"/>
  <c r="N119" i="46"/>
  <c r="H74" i="46"/>
  <c r="G27" i="3"/>
  <c r="F26" i="3"/>
  <c r="F67" i="46"/>
  <c r="K69" i="46"/>
  <c r="I68" i="46"/>
  <c r="G67" i="46"/>
  <c r="C85" i="67" l="1"/>
  <c r="B85" i="67"/>
  <c r="I85" i="67"/>
  <c r="I84" i="67"/>
  <c r="F73" i="67"/>
  <c r="D73" i="67"/>
  <c r="D85" i="67"/>
  <c r="B77" i="67"/>
  <c r="B73" i="67"/>
  <c r="O57" i="67"/>
  <c r="O46" i="67"/>
  <c r="B46" i="67" l="1"/>
  <c r="C58" i="67" l="1"/>
  <c r="B58" i="67"/>
  <c r="B38" i="67"/>
  <c r="G38" i="67"/>
  <c r="H54" i="47" l="1"/>
  <c r="H57" i="47"/>
  <c r="H56" i="47"/>
  <c r="H55" i="47"/>
  <c r="H53" i="47"/>
  <c r="H52" i="47"/>
  <c r="H51" i="47"/>
  <c r="H50" i="47"/>
  <c r="H49" i="47"/>
  <c r="H48" i="47"/>
  <c r="H47" i="47"/>
  <c r="H46" i="47"/>
  <c r="H42" i="47"/>
  <c r="H41" i="47"/>
  <c r="H40" i="47"/>
  <c r="H39" i="47"/>
  <c r="H38" i="47"/>
  <c r="H37" i="47"/>
  <c r="H36" i="47"/>
  <c r="H35" i="47"/>
  <c r="H34" i="47"/>
  <c r="H33" i="47"/>
  <c r="H32" i="47"/>
  <c r="H31" i="47"/>
  <c r="H27" i="47"/>
  <c r="H26" i="47"/>
  <c r="H25" i="47"/>
  <c r="H24" i="47"/>
  <c r="H23" i="47"/>
  <c r="H22" i="47"/>
  <c r="H21" i="47"/>
  <c r="H20" i="47"/>
  <c r="H19" i="47"/>
  <c r="H18" i="47"/>
  <c r="H17" i="47"/>
  <c r="H16" i="47"/>
  <c r="C24" i="44" l="1"/>
  <c r="D24" i="44"/>
  <c r="E24" i="44"/>
  <c r="F24" i="44"/>
  <c r="G24" i="44"/>
  <c r="H24" i="44"/>
  <c r="I24" i="44"/>
  <c r="G19" i="67" l="1"/>
  <c r="C19" i="67"/>
  <c r="E19" i="67"/>
  <c r="B19" i="67"/>
  <c r="F19" i="67"/>
  <c r="D19" i="67"/>
  <c r="E43" i="44"/>
  <c r="C13" i="64" l="1"/>
  <c r="C11" i="64"/>
  <c r="C10" i="64"/>
  <c r="C8" i="64"/>
  <c r="C7" i="64"/>
  <c r="C6" i="64"/>
  <c r="N278" i="46" l="1"/>
  <c r="N304" i="46" l="1"/>
  <c r="G44" i="3" l="1"/>
  <c r="J67" i="46" l="1"/>
  <c r="K70" i="46"/>
  <c r="H145" i="46"/>
  <c r="H146" i="46" s="1"/>
  <c r="M308" i="46"/>
  <c r="M309" i="46" s="1"/>
  <c r="I14" i="64" s="1"/>
  <c r="G72" i="64" s="1"/>
  <c r="L308" i="46"/>
  <c r="H14" i="64" s="1"/>
  <c r="G63" i="64" s="1"/>
  <c r="K308" i="46"/>
  <c r="I306" i="46"/>
  <c r="I307" i="46" s="1"/>
  <c r="E14" i="64" s="1"/>
  <c r="G34" i="64" s="1"/>
  <c r="J306" i="46"/>
  <c r="F306" i="46"/>
  <c r="I225" i="46"/>
  <c r="I226" i="46" s="1"/>
  <c r="I145" i="46"/>
  <c r="I146" i="46" s="1"/>
  <c r="E9" i="64" s="1"/>
  <c r="E32" i="64" s="1"/>
  <c r="I67" i="46"/>
  <c r="E5" i="64" s="1"/>
  <c r="D31" i="64" s="1"/>
  <c r="M227" i="46"/>
  <c r="M228" i="46" s="1"/>
  <c r="L227" i="46"/>
  <c r="K227" i="46"/>
  <c r="F225" i="46"/>
  <c r="J145" i="46"/>
  <c r="H225" i="46"/>
  <c r="J225" i="46"/>
  <c r="G225" i="46"/>
  <c r="H306" i="46"/>
  <c r="G306" i="46"/>
  <c r="M69" i="46"/>
  <c r="M70" i="46" s="1"/>
  <c r="I5" i="64" s="1"/>
  <c r="D69" i="64" s="1"/>
  <c r="L69" i="46"/>
  <c r="L70" i="46" s="1"/>
  <c r="H5" i="64" s="1"/>
  <c r="D60" i="64" s="1"/>
  <c r="L147" i="46"/>
  <c r="K147" i="46"/>
  <c r="M147" i="46"/>
  <c r="M148" i="46" s="1"/>
  <c r="I9" i="64" s="1"/>
  <c r="E70" i="64" s="1"/>
  <c r="H67" i="46"/>
  <c r="J114" i="54"/>
  <c r="J115" i="54" s="1"/>
  <c r="I113" i="54"/>
  <c r="H113" i="54"/>
  <c r="H68" i="46" l="1"/>
  <c r="D5" i="64" s="1"/>
  <c r="D20" i="64" s="1"/>
  <c r="H73" i="46"/>
  <c r="J146" i="46"/>
  <c r="F9" i="64" s="1"/>
  <c r="E41" i="64" s="1"/>
  <c r="J68" i="46"/>
  <c r="F5" i="64" s="1"/>
  <c r="D40" i="64" s="1"/>
  <c r="H226" i="46"/>
  <c r="Q226" i="46" s="1"/>
  <c r="J307" i="46"/>
  <c r="J226" i="46"/>
  <c r="F12" i="64" s="1"/>
  <c r="F42" i="64" s="1"/>
  <c r="H307" i="46"/>
  <c r="G5" i="64"/>
  <c r="D51" i="64" s="1"/>
  <c r="E12" i="64"/>
  <c r="F33" i="64" s="1"/>
  <c r="I12" i="64"/>
  <c r="F71" i="64" s="1"/>
  <c r="M78" i="46"/>
  <c r="I81" i="46"/>
  <c r="N70" i="46"/>
  <c r="G26" i="3"/>
  <c r="G25" i="3"/>
  <c r="I236" i="46"/>
  <c r="I237" i="46"/>
  <c r="I238" i="46"/>
  <c r="I239" i="46"/>
  <c r="S27" i="3"/>
  <c r="M82" i="46"/>
  <c r="M77" i="46"/>
  <c r="J161" i="46" l="1"/>
  <c r="J158" i="46"/>
  <c r="I78" i="46"/>
  <c r="I82" i="46"/>
  <c r="I77" i="46"/>
  <c r="I79" i="46"/>
  <c r="I80" i="46"/>
  <c r="J79" i="46"/>
  <c r="Q307" i="46"/>
  <c r="D14" i="64" s="1"/>
  <c r="D12" i="64"/>
  <c r="F22" i="64" s="1"/>
  <c r="H235" i="46"/>
  <c r="D13" i="64" s="1"/>
  <c r="G22" i="64" s="1"/>
  <c r="R226" i="46"/>
  <c r="J157" i="46"/>
  <c r="J239" i="46"/>
  <c r="J160" i="46"/>
  <c r="R307" i="46"/>
  <c r="F14" i="64" s="1"/>
  <c r="G43" i="64" s="1"/>
  <c r="H237" i="46"/>
  <c r="H236" i="46"/>
  <c r="N68" i="46"/>
  <c r="J81" i="46"/>
  <c r="J77" i="46"/>
  <c r="J238" i="46"/>
  <c r="M235" i="46"/>
  <c r="I13" i="64" s="1"/>
  <c r="G71" i="64" s="1"/>
  <c r="I156" i="46"/>
  <c r="M156" i="46"/>
  <c r="I159" i="46"/>
  <c r="M159" i="46"/>
  <c r="M81" i="46"/>
  <c r="J155" i="46"/>
  <c r="F11" i="64" s="1"/>
  <c r="G41" i="64" s="1"/>
  <c r="M160" i="46"/>
  <c r="M80" i="46"/>
  <c r="I76" i="46"/>
  <c r="E8" i="64" s="1"/>
  <c r="G31" i="64" s="1"/>
  <c r="I155" i="46"/>
  <c r="E11" i="64" s="1"/>
  <c r="G32" i="64" s="1"/>
  <c r="I161" i="46"/>
  <c r="M161" i="46"/>
  <c r="I158" i="46"/>
  <c r="M158" i="46"/>
  <c r="M157" i="46"/>
  <c r="M79" i="46"/>
  <c r="J76" i="46"/>
  <c r="F8" i="64" s="1"/>
  <c r="G40" i="64" s="1"/>
  <c r="I235" i="46"/>
  <c r="E13" i="64" s="1"/>
  <c r="G33" i="64" s="1"/>
  <c r="H76" i="46"/>
  <c r="D8" i="64" s="1"/>
  <c r="G20" i="64" s="1"/>
  <c r="J159" i="46"/>
  <c r="I160" i="46"/>
  <c r="J241" i="46"/>
  <c r="J78" i="46"/>
  <c r="J82" i="46"/>
  <c r="J236" i="46"/>
  <c r="I241" i="46"/>
  <c r="I157" i="46"/>
  <c r="H238" i="46"/>
  <c r="J156" i="46"/>
  <c r="H241" i="46"/>
  <c r="I240" i="46"/>
  <c r="H239" i="46"/>
  <c r="J240" i="46"/>
  <c r="H240" i="46"/>
  <c r="J235" i="46"/>
  <c r="J237" i="46"/>
  <c r="J80" i="46"/>
  <c r="V48" i="3"/>
  <c r="V44" i="3"/>
  <c r="U44" i="3"/>
  <c r="T44" i="3"/>
  <c r="S44" i="3"/>
  <c r="F13" i="64" l="1"/>
  <c r="G42" i="64" s="1"/>
  <c r="M128" i="54"/>
  <c r="L128" i="54"/>
  <c r="M129" i="54"/>
  <c r="L129" i="54"/>
  <c r="M130" i="54"/>
  <c r="L130" i="54"/>
  <c r="M127" i="54"/>
  <c r="L127" i="54"/>
  <c r="K309" i="46"/>
  <c r="G14" i="64" s="1"/>
  <c r="G54" i="64" s="1"/>
  <c r="F25" i="3"/>
  <c r="E25" i="3"/>
  <c r="K51" i="44"/>
  <c r="J74" i="46" l="1"/>
  <c r="F6" i="64" s="1"/>
  <c r="E40" i="64" s="1"/>
  <c r="I74" i="46"/>
  <c r="E6" i="64" s="1"/>
  <c r="E31" i="64" s="1"/>
  <c r="J75" i="46"/>
  <c r="F7" i="64" s="1"/>
  <c r="F40" i="64" s="1"/>
  <c r="I75" i="46"/>
  <c r="E7" i="64" s="1"/>
  <c r="F31" i="64" s="1"/>
  <c r="K321" i="46"/>
  <c r="K320" i="46"/>
  <c r="K319" i="46"/>
  <c r="K318" i="46"/>
  <c r="K317" i="46"/>
  <c r="K322" i="46"/>
  <c r="L78" i="46"/>
  <c r="L77" i="46"/>
  <c r="L82" i="46"/>
  <c r="L81" i="46"/>
  <c r="L80" i="46"/>
  <c r="L79" i="46"/>
  <c r="K114" i="54"/>
  <c r="V47" i="3"/>
  <c r="V46" i="3"/>
  <c r="V45" i="3"/>
  <c r="I44" i="3"/>
  <c r="F44" i="3"/>
  <c r="S26" i="3"/>
  <c r="M155" i="46" s="1"/>
  <c r="I11" i="64" s="1"/>
  <c r="G70" i="64" s="1"/>
  <c r="R26" i="3"/>
  <c r="M154" i="46" s="1"/>
  <c r="I10" i="64" s="1"/>
  <c r="F70" i="64" s="1"/>
  <c r="S25" i="3"/>
  <c r="R25" i="3"/>
  <c r="L309" i="46"/>
  <c r="G23" i="64"/>
  <c r="L228" i="46"/>
  <c r="H12" i="64" s="1"/>
  <c r="F62" i="64" s="1"/>
  <c r="K228" i="46"/>
  <c r="G12" i="64" s="1"/>
  <c r="F53" i="64" s="1"/>
  <c r="L148" i="46"/>
  <c r="H9" i="64" s="1"/>
  <c r="E61" i="64" s="1"/>
  <c r="K148" i="46"/>
  <c r="V46" i="64" l="1"/>
  <c r="Y8" i="64" s="1"/>
  <c r="V35" i="64"/>
  <c r="Y7" i="64" s="1"/>
  <c r="H155" i="46"/>
  <c r="D11" i="64" s="1"/>
  <c r="G21" i="64" s="1"/>
  <c r="D9" i="64"/>
  <c r="E21" i="64" s="1"/>
  <c r="K155" i="46"/>
  <c r="G11" i="64" s="1"/>
  <c r="G52" i="64" s="1"/>
  <c r="G9" i="64"/>
  <c r="E52" i="64" s="1"/>
  <c r="I154" i="46"/>
  <c r="E10" i="64" s="1"/>
  <c r="F32" i="64" s="1"/>
  <c r="J154" i="46"/>
  <c r="F10" i="64" s="1"/>
  <c r="F41" i="64" s="1"/>
  <c r="K75" i="46"/>
  <c r="G7" i="64" s="1"/>
  <c r="F51" i="64" s="1"/>
  <c r="L75" i="46"/>
  <c r="H7" i="64" s="1"/>
  <c r="F60" i="64" s="1"/>
  <c r="M75" i="46"/>
  <c r="I7" i="64" s="1"/>
  <c r="F69" i="64" s="1"/>
  <c r="L76" i="46"/>
  <c r="H8" i="64" s="1"/>
  <c r="G60" i="64" s="1"/>
  <c r="M76" i="46"/>
  <c r="I8" i="64" s="1"/>
  <c r="G69" i="64" s="1"/>
  <c r="K76" i="46"/>
  <c r="G8" i="64" s="1"/>
  <c r="G51" i="64" s="1"/>
  <c r="L155" i="46"/>
  <c r="H11" i="64" s="1"/>
  <c r="G61" i="64" s="1"/>
  <c r="L154" i="46"/>
  <c r="H10" i="64" s="1"/>
  <c r="F61" i="64" s="1"/>
  <c r="I130" i="54"/>
  <c r="N130" i="54"/>
  <c r="N127" i="54"/>
  <c r="I127" i="54"/>
  <c r="J319" i="46"/>
  <c r="J318" i="46"/>
  <c r="J317" i="46"/>
  <c r="J322" i="46"/>
  <c r="J321" i="46"/>
  <c r="J320" i="46"/>
  <c r="L322" i="46"/>
  <c r="L320" i="46"/>
  <c r="L317" i="46"/>
  <c r="L321" i="46"/>
  <c r="L319" i="46"/>
  <c r="L318" i="46"/>
  <c r="H322" i="46"/>
  <c r="H321" i="46"/>
  <c r="H320" i="46"/>
  <c r="H319" i="46"/>
  <c r="H318" i="46"/>
  <c r="H317" i="46"/>
  <c r="L160" i="46"/>
  <c r="L161" i="46"/>
  <c r="L159" i="46"/>
  <c r="L158" i="46"/>
  <c r="L157" i="46"/>
  <c r="L156" i="46"/>
  <c r="K159" i="46"/>
  <c r="K158" i="46"/>
  <c r="K157" i="46"/>
  <c r="K161" i="46"/>
  <c r="K156" i="46"/>
  <c r="K160" i="46"/>
  <c r="H156" i="46"/>
  <c r="H157" i="46"/>
  <c r="H161" i="46"/>
  <c r="H160" i="46"/>
  <c r="H159" i="46"/>
  <c r="H158" i="46"/>
  <c r="K77" i="46"/>
  <c r="K82" i="46"/>
  <c r="K81" i="46"/>
  <c r="K80" i="46"/>
  <c r="K79" i="46"/>
  <c r="K78" i="46"/>
  <c r="H82" i="46"/>
  <c r="H81" i="46"/>
  <c r="H80" i="46"/>
  <c r="H79" i="46"/>
  <c r="H78" i="46"/>
  <c r="H77" i="46"/>
  <c r="H130" i="54"/>
  <c r="K115" i="54"/>
  <c r="K241" i="46"/>
  <c r="K237" i="46"/>
  <c r="K239" i="46"/>
  <c r="K240" i="46"/>
  <c r="K236" i="46"/>
  <c r="K235" i="46"/>
  <c r="G13" i="64" s="1"/>
  <c r="G53" i="64" s="1"/>
  <c r="K238" i="46"/>
  <c r="L238" i="46"/>
  <c r="L240" i="46"/>
  <c r="L239" i="46"/>
  <c r="L241" i="46"/>
  <c r="L237" i="46"/>
  <c r="L236" i="46"/>
  <c r="L235" i="46"/>
  <c r="H13" i="64" s="1"/>
  <c r="G62" i="64" s="1"/>
  <c r="P114" i="54"/>
  <c r="H127" i="54"/>
  <c r="P113" i="54"/>
  <c r="K154" i="46"/>
  <c r="G10" i="64" s="1"/>
  <c r="F52" i="64" s="1"/>
  <c r="H75" i="46"/>
  <c r="D7" i="64" s="1"/>
  <c r="F20" i="64" s="1"/>
  <c r="D6" i="64"/>
  <c r="E20" i="64" s="1"/>
  <c r="C52" i="44"/>
  <c r="C53" i="44" s="1"/>
  <c r="K103" i="44"/>
  <c r="U35" i="64" l="1"/>
  <c r="X7" i="64" s="1"/>
  <c r="K127" i="54"/>
  <c r="K130" i="54"/>
  <c r="K129" i="54"/>
  <c r="K128" i="54"/>
  <c r="J130" i="54"/>
  <c r="J128" i="54"/>
  <c r="J127" i="54"/>
  <c r="J129" i="54"/>
  <c r="F104" i="44"/>
  <c r="F105" i="44" s="1"/>
  <c r="C104" i="44"/>
  <c r="C105" i="44" s="1"/>
  <c r="E104" i="44"/>
  <c r="E105" i="44" s="1"/>
  <c r="D104" i="44"/>
  <c r="D105" i="44" s="1"/>
  <c r="I104" i="44"/>
  <c r="I105" i="44" s="1"/>
  <c r="H104" i="44"/>
  <c r="H105" i="44" s="1"/>
  <c r="G104" i="44"/>
  <c r="G105" i="44" s="1"/>
  <c r="K90" i="44"/>
  <c r="K38" i="44"/>
  <c r="C39" i="44" s="1"/>
  <c r="U46" i="64" l="1"/>
  <c r="X8" i="64" s="1"/>
  <c r="O35" i="64"/>
  <c r="R7" i="64" s="1"/>
  <c r="R73" i="64"/>
  <c r="U11" i="64" s="1"/>
  <c r="L73" i="64"/>
  <c r="O11" i="64" s="1"/>
  <c r="M35" i="64"/>
  <c r="P7" i="64" s="1"/>
  <c r="T35" i="64"/>
  <c r="W7" i="64" s="1"/>
  <c r="K73" i="64"/>
  <c r="N11" i="64" s="1"/>
  <c r="R46" i="64"/>
  <c r="U8" i="64" s="1"/>
  <c r="Q35" i="64"/>
  <c r="T7" i="64" s="1"/>
  <c r="L35" i="64"/>
  <c r="O7" i="64" s="1"/>
  <c r="K35" i="64"/>
  <c r="N7" i="64" s="1"/>
  <c r="S46" i="64"/>
  <c r="M73" i="64"/>
  <c r="P11" i="64" s="1"/>
  <c r="P73" i="64"/>
  <c r="S11" i="64" s="1"/>
  <c r="N35" i="64"/>
  <c r="Q7" i="64" s="1"/>
  <c r="R35" i="64"/>
  <c r="U7" i="64" s="1"/>
  <c r="P35" i="64"/>
  <c r="S7" i="64" s="1"/>
  <c r="L46" i="64"/>
  <c r="U73" i="64"/>
  <c r="X11" i="64" s="1"/>
  <c r="V26" i="64"/>
  <c r="Y6" i="64" s="1"/>
  <c r="T46" i="64"/>
  <c r="N73" i="64"/>
  <c r="Q11" i="64" s="1"/>
  <c r="O73" i="64"/>
  <c r="R11" i="64" s="1"/>
  <c r="S35" i="64"/>
  <c r="V7" i="64" s="1"/>
  <c r="K46" i="64"/>
  <c r="V73" i="64"/>
  <c r="Y11" i="64" s="1"/>
  <c r="Q73" i="64"/>
  <c r="T11" i="64" s="1"/>
  <c r="T73" i="64"/>
  <c r="W11" i="64" s="1"/>
  <c r="S73" i="64"/>
  <c r="V11" i="64" s="1"/>
  <c r="K104" i="44"/>
  <c r="E91" i="44"/>
  <c r="E92" i="44" s="1"/>
  <c r="D91" i="44"/>
  <c r="D92" i="44" s="1"/>
  <c r="C91" i="44"/>
  <c r="F91" i="44"/>
  <c r="F92" i="44" s="1"/>
  <c r="G91" i="44"/>
  <c r="G92" i="44" s="1"/>
  <c r="H91" i="44"/>
  <c r="H92" i="44" s="1"/>
  <c r="I91" i="44"/>
  <c r="I92" i="44" s="1"/>
  <c r="C40" i="44"/>
  <c r="C26" i="44" s="1"/>
  <c r="H39" i="44"/>
  <c r="H40" i="44" s="1"/>
  <c r="H26" i="44" s="1"/>
  <c r="G39" i="44"/>
  <c r="G40" i="44" s="1"/>
  <c r="G26" i="44" s="1"/>
  <c r="D39" i="44"/>
  <c r="D40" i="44" s="1"/>
  <c r="D26" i="44" s="1"/>
  <c r="F39" i="44"/>
  <c r="F40" i="44" s="1"/>
  <c r="F26" i="44" s="1"/>
  <c r="E39" i="44"/>
  <c r="E40" i="44" s="1"/>
  <c r="I39" i="44"/>
  <c r="I40" i="44" s="1"/>
  <c r="I26" i="44" s="1"/>
  <c r="E69" i="44"/>
  <c r="M46" i="64" l="1"/>
  <c r="P8" i="64" s="1"/>
  <c r="N8" i="64"/>
  <c r="N46" i="64"/>
  <c r="Q8" i="64" s="1"/>
  <c r="Q46" i="64"/>
  <c r="T8" i="64" s="1"/>
  <c r="W8" i="64"/>
  <c r="O8" i="64"/>
  <c r="V8" i="64"/>
  <c r="O46" i="64"/>
  <c r="R8" i="64" s="1"/>
  <c r="P46" i="64"/>
  <c r="S8" i="64" s="1"/>
  <c r="G34" i="67"/>
  <c r="G54" i="67" s="1"/>
  <c r="K54" i="67" s="1"/>
  <c r="G35" i="67"/>
  <c r="G55" i="67" s="1"/>
  <c r="K55" i="67" s="1"/>
  <c r="G27" i="67"/>
  <c r="G47" i="67" s="1"/>
  <c r="K47" i="67" s="1"/>
  <c r="G32" i="67"/>
  <c r="G52" i="67" s="1"/>
  <c r="K52" i="67" s="1"/>
  <c r="G29" i="67"/>
  <c r="G49" i="67" s="1"/>
  <c r="K49" i="67" s="1"/>
  <c r="G31" i="67"/>
  <c r="G51" i="67" s="1"/>
  <c r="K51" i="67" s="1"/>
  <c r="G26" i="67"/>
  <c r="G33" i="67"/>
  <c r="G53" i="67" s="1"/>
  <c r="K53" i="67" s="1"/>
  <c r="G30" i="67"/>
  <c r="G50" i="67" s="1"/>
  <c r="K50" i="67" s="1"/>
  <c r="G36" i="67"/>
  <c r="G56" i="67" s="1"/>
  <c r="K56" i="67" s="1"/>
  <c r="G37" i="67"/>
  <c r="G57" i="67" s="1"/>
  <c r="K57" i="67" s="1"/>
  <c r="G28" i="67"/>
  <c r="G48" i="67" s="1"/>
  <c r="K48" i="67" s="1"/>
  <c r="C26" i="67" a="1"/>
  <c r="P64" i="64"/>
  <c r="S10" i="64" s="1"/>
  <c r="T64" i="64"/>
  <c r="W10" i="64" s="1"/>
  <c r="K64" i="64"/>
  <c r="N10" i="64" s="1"/>
  <c r="O64" i="64"/>
  <c r="R10" i="64" s="1"/>
  <c r="U64" i="64"/>
  <c r="X10" i="64" s="1"/>
  <c r="N64" i="64"/>
  <c r="Q10" i="64" s="1"/>
  <c r="Q64" i="64"/>
  <c r="T10" i="64" s="1"/>
  <c r="L64" i="64"/>
  <c r="O10" i="64" s="1"/>
  <c r="M64" i="64"/>
  <c r="P10" i="64" s="1"/>
  <c r="S64" i="64"/>
  <c r="V10" i="64" s="1"/>
  <c r="R64" i="64"/>
  <c r="U10" i="64" s="1"/>
  <c r="V64" i="64"/>
  <c r="Y10" i="64" s="1"/>
  <c r="E26" i="44"/>
  <c r="E44" i="44"/>
  <c r="C41" i="44"/>
  <c r="C92" i="44"/>
  <c r="K91" i="44"/>
  <c r="D19" i="45"/>
  <c r="K55" i="64" l="1"/>
  <c r="N9" i="64" s="1"/>
  <c r="E26" i="67" s="1"/>
  <c r="D26" i="67" a="1"/>
  <c r="D35" i="67" s="1"/>
  <c r="D55" i="67" s="1"/>
  <c r="D82" i="67" s="1"/>
  <c r="F28" i="67"/>
  <c r="F48" i="67" s="1"/>
  <c r="J48" i="67" s="1"/>
  <c r="P53" i="67"/>
  <c r="G80" i="67" s="1"/>
  <c r="P55" i="67"/>
  <c r="G82" i="67" s="1"/>
  <c r="F33" i="67"/>
  <c r="F53" i="67" s="1"/>
  <c r="J53" i="67" s="1"/>
  <c r="F34" i="67"/>
  <c r="F54" i="67" s="1"/>
  <c r="J54" i="67" s="1"/>
  <c r="F36" i="67"/>
  <c r="F56" i="67" s="1"/>
  <c r="J56" i="67" s="1"/>
  <c r="F26" i="67"/>
  <c r="P48" i="67"/>
  <c r="G75" i="67" s="1"/>
  <c r="P56" i="67"/>
  <c r="G83" i="67" s="1"/>
  <c r="P49" i="67"/>
  <c r="G76" i="67" s="1"/>
  <c r="F35" i="67"/>
  <c r="F55" i="67" s="1"/>
  <c r="J55" i="67" s="1"/>
  <c r="F27" i="67"/>
  <c r="F47" i="67" s="1"/>
  <c r="J47" i="67" s="1"/>
  <c r="P57" i="67"/>
  <c r="G84" i="67" s="1"/>
  <c r="P51" i="67"/>
  <c r="G78" i="67" s="1"/>
  <c r="P52" i="67"/>
  <c r="G79" i="67" s="1"/>
  <c r="F37" i="67"/>
  <c r="F57" i="67" s="1"/>
  <c r="J57" i="67" s="1"/>
  <c r="F32" i="67"/>
  <c r="F52" i="67" s="1"/>
  <c r="J52" i="67" s="1"/>
  <c r="F29" i="67"/>
  <c r="F49" i="67" s="1"/>
  <c r="J49" i="67" s="1"/>
  <c r="F30" i="67"/>
  <c r="F50" i="67" s="1"/>
  <c r="J50" i="67" s="1"/>
  <c r="F31" i="67"/>
  <c r="F51" i="67" s="1"/>
  <c r="J51" i="67" s="1"/>
  <c r="C27" i="67"/>
  <c r="C47" i="67" s="1"/>
  <c r="C74" i="67" s="1"/>
  <c r="C30" i="67"/>
  <c r="C50" i="67" s="1"/>
  <c r="C77" i="67" s="1"/>
  <c r="C37" i="67"/>
  <c r="C57" i="67" s="1"/>
  <c r="C84" i="67" s="1"/>
  <c r="C32" i="67"/>
  <c r="C52" i="67" s="1"/>
  <c r="C79" i="67" s="1"/>
  <c r="C26" i="67"/>
  <c r="C33" i="67"/>
  <c r="C53" i="67" s="1"/>
  <c r="C80" i="67" s="1"/>
  <c r="C28" i="67"/>
  <c r="C48" i="67" s="1"/>
  <c r="C75" i="67" s="1"/>
  <c r="C29" i="67"/>
  <c r="C49" i="67" s="1"/>
  <c r="C76" i="67" s="1"/>
  <c r="C35" i="67"/>
  <c r="C55" i="67" s="1"/>
  <c r="C82" i="67" s="1"/>
  <c r="C34" i="67"/>
  <c r="C54" i="67" s="1"/>
  <c r="C81" i="67" s="1"/>
  <c r="C36" i="67"/>
  <c r="C56" i="67" s="1"/>
  <c r="C83" i="67" s="1"/>
  <c r="C31" i="67"/>
  <c r="C51" i="67" s="1"/>
  <c r="C78" i="67" s="1"/>
  <c r="P50" i="67"/>
  <c r="G77" i="67" s="1"/>
  <c r="G46" i="67"/>
  <c r="K46" i="67" s="1"/>
  <c r="G58" i="67"/>
  <c r="P47" i="67"/>
  <c r="G74" i="67" s="1"/>
  <c r="P54" i="67"/>
  <c r="G81" i="67" s="1"/>
  <c r="N55" i="64"/>
  <c r="Q9" i="64" s="1"/>
  <c r="V55" i="64"/>
  <c r="Y9" i="64" s="1"/>
  <c r="L55" i="64"/>
  <c r="O9" i="64" s="1"/>
  <c r="R55" i="64"/>
  <c r="U9" i="64" s="1"/>
  <c r="U55" i="64"/>
  <c r="X9" i="64" s="1"/>
  <c r="M55" i="64"/>
  <c r="P9" i="64" s="1"/>
  <c r="S55" i="64"/>
  <c r="V9" i="64" s="1"/>
  <c r="P55" i="64"/>
  <c r="S9" i="64" s="1"/>
  <c r="O55" i="64"/>
  <c r="R9" i="64" s="1"/>
  <c r="T55" i="64"/>
  <c r="W9" i="64" s="1"/>
  <c r="Q55" i="64"/>
  <c r="T9" i="64" s="1"/>
  <c r="P85" i="61"/>
  <c r="P86" i="61"/>
  <c r="P87" i="61"/>
  <c r="P91" i="61"/>
  <c r="P63" i="61"/>
  <c r="P64" i="61"/>
  <c r="P65" i="61"/>
  <c r="P66" i="61"/>
  <c r="P70" i="61"/>
  <c r="P46" i="60"/>
  <c r="P47" i="60"/>
  <c r="P48" i="60"/>
  <c r="P50" i="60"/>
  <c r="H111" i="57"/>
  <c r="D37" i="67" l="1"/>
  <c r="D57" i="67" s="1"/>
  <c r="D84" i="67" s="1"/>
  <c r="D36" i="67"/>
  <c r="D56" i="67" s="1"/>
  <c r="D83" i="67" s="1"/>
  <c r="D33" i="67"/>
  <c r="D53" i="67" s="1"/>
  <c r="D80" i="67" s="1"/>
  <c r="D26" i="67"/>
  <c r="D46" i="67" s="1"/>
  <c r="D34" i="67"/>
  <c r="D54" i="67" s="1"/>
  <c r="D81" i="67" s="1"/>
  <c r="D28" i="67"/>
  <c r="D48" i="67" s="1"/>
  <c r="D75" i="67" s="1"/>
  <c r="D27" i="67"/>
  <c r="D47" i="67" s="1"/>
  <c r="D74" i="67" s="1"/>
  <c r="D30" i="67"/>
  <c r="D50" i="67" s="1"/>
  <c r="D77" i="67" s="1"/>
  <c r="D29" i="67"/>
  <c r="D49" i="67" s="1"/>
  <c r="D76" i="67" s="1"/>
  <c r="D31" i="67"/>
  <c r="D51" i="67" s="1"/>
  <c r="D78" i="67" s="1"/>
  <c r="D32" i="67"/>
  <c r="D52" i="67" s="1"/>
  <c r="D79" i="67" s="1"/>
  <c r="E28" i="67"/>
  <c r="E48" i="67" s="1"/>
  <c r="I48" i="67" s="1"/>
  <c r="E30" i="67"/>
  <c r="E50" i="67" s="1"/>
  <c r="I50" i="67" s="1"/>
  <c r="E36" i="67"/>
  <c r="E56" i="67" s="1"/>
  <c r="I56" i="67" s="1"/>
  <c r="E29" i="67"/>
  <c r="E49" i="67" s="1"/>
  <c r="I49" i="67" s="1"/>
  <c r="N49" i="67" s="1"/>
  <c r="E76" i="67" s="1"/>
  <c r="O51" i="67"/>
  <c r="F78" i="67" s="1"/>
  <c r="O49" i="67"/>
  <c r="F76" i="67" s="1"/>
  <c r="F84" i="67"/>
  <c r="O47" i="67"/>
  <c r="F74" i="67" s="1"/>
  <c r="F38" i="67"/>
  <c r="F58" i="67" s="1"/>
  <c r="F46" i="67"/>
  <c r="J46" i="67" s="1"/>
  <c r="O54" i="67"/>
  <c r="F81" i="67" s="1"/>
  <c r="E46" i="67"/>
  <c r="I46" i="67" s="1"/>
  <c r="E37" i="67"/>
  <c r="E57" i="67" s="1"/>
  <c r="I57" i="67" s="1"/>
  <c r="E31" i="67"/>
  <c r="E51" i="67" s="1"/>
  <c r="I51" i="67" s="1"/>
  <c r="E35" i="67"/>
  <c r="E55" i="67" s="1"/>
  <c r="I55" i="67" s="1"/>
  <c r="E33" i="67"/>
  <c r="E53" i="67" s="1"/>
  <c r="I53" i="67" s="1"/>
  <c r="E32" i="67"/>
  <c r="E52" i="67" s="1"/>
  <c r="I52" i="67" s="1"/>
  <c r="E34" i="67"/>
  <c r="E54" i="67" s="1"/>
  <c r="I54" i="67" s="1"/>
  <c r="E27" i="67"/>
  <c r="E47" i="67" s="1"/>
  <c r="I47" i="67" s="1"/>
  <c r="P46" i="67"/>
  <c r="P58" i="67" s="1"/>
  <c r="K58" i="67"/>
  <c r="C38" i="67"/>
  <c r="C46" i="67"/>
  <c r="C73" i="67" s="1"/>
  <c r="O50" i="67"/>
  <c r="F77" i="67" s="1"/>
  <c r="O52" i="67"/>
  <c r="F79" i="67" s="1"/>
  <c r="O55" i="67"/>
  <c r="F82" i="67" s="1"/>
  <c r="O56" i="67"/>
  <c r="F83" i="67" s="1"/>
  <c r="O53" i="67"/>
  <c r="F80" i="67" s="1"/>
  <c r="O48" i="67"/>
  <c r="F75" i="67" s="1"/>
  <c r="H121" i="44"/>
  <c r="G121" i="44"/>
  <c r="F121" i="44"/>
  <c r="E121" i="44"/>
  <c r="K116" i="44"/>
  <c r="H108" i="44"/>
  <c r="G108" i="44"/>
  <c r="F108" i="44"/>
  <c r="E108" i="44"/>
  <c r="H95" i="44"/>
  <c r="G95" i="44"/>
  <c r="F95" i="44"/>
  <c r="E95" i="44"/>
  <c r="F43" i="44"/>
  <c r="G43" i="44"/>
  <c r="H43" i="44"/>
  <c r="E56" i="44"/>
  <c r="D38" i="67" l="1"/>
  <c r="D58" i="67" s="1"/>
  <c r="J25" i="47"/>
  <c r="J54" i="47"/>
  <c r="J32" i="47"/>
  <c r="J21" i="47"/>
  <c r="J24" i="47"/>
  <c r="J27" i="47"/>
  <c r="J40" i="47"/>
  <c r="J20" i="47"/>
  <c r="J37" i="47"/>
  <c r="J38" i="47"/>
  <c r="J19" i="47"/>
  <c r="J17" i="47"/>
  <c r="J18" i="47"/>
  <c r="J52" i="47"/>
  <c r="J46" i="47"/>
  <c r="J36" i="47"/>
  <c r="J41" i="47"/>
  <c r="J22" i="47"/>
  <c r="J55" i="47"/>
  <c r="J31" i="47"/>
  <c r="J33" i="47"/>
  <c r="J34" i="47"/>
  <c r="J26" i="47"/>
  <c r="J50" i="47"/>
  <c r="J51" i="47"/>
  <c r="J35" i="47"/>
  <c r="J48" i="47"/>
  <c r="J49" i="47"/>
  <c r="J56" i="47"/>
  <c r="J23" i="47"/>
  <c r="J39" i="47"/>
  <c r="J47" i="47"/>
  <c r="J57" i="47"/>
  <c r="J42" i="47"/>
  <c r="J53" i="47"/>
  <c r="K34" i="47"/>
  <c r="K38" i="47"/>
  <c r="K19" i="47"/>
  <c r="K21" i="47"/>
  <c r="K40" i="47"/>
  <c r="K20" i="47"/>
  <c r="K24" i="47"/>
  <c r="K31" i="47"/>
  <c r="K22" i="47"/>
  <c r="K54" i="47"/>
  <c r="K46" i="47"/>
  <c r="K48" i="47"/>
  <c r="K52" i="47"/>
  <c r="K49" i="47"/>
  <c r="K42" i="47"/>
  <c r="K55" i="47"/>
  <c r="K35" i="47"/>
  <c r="K39" i="47"/>
  <c r="K50" i="47"/>
  <c r="K37" i="47"/>
  <c r="K25" i="47"/>
  <c r="K27" i="47"/>
  <c r="K23" i="47"/>
  <c r="K33" i="47"/>
  <c r="K47" i="47"/>
  <c r="K56" i="47"/>
  <c r="K41" i="47"/>
  <c r="K57" i="47"/>
  <c r="K53" i="47"/>
  <c r="K32" i="47"/>
  <c r="K51" i="47"/>
  <c r="K17" i="47"/>
  <c r="K18" i="47"/>
  <c r="K36" i="47"/>
  <c r="K26" i="47"/>
  <c r="I58" i="67"/>
  <c r="N46" i="67"/>
  <c r="E73" i="67" s="1"/>
  <c r="N56" i="67"/>
  <c r="E83" i="67" s="1"/>
  <c r="N47" i="67"/>
  <c r="E74" i="67" s="1"/>
  <c r="N52" i="67"/>
  <c r="E79" i="67" s="1"/>
  <c r="N53" i="67"/>
  <c r="E80" i="67" s="1"/>
  <c r="E38" i="67"/>
  <c r="E58" i="67" s="1"/>
  <c r="J58" i="67"/>
  <c r="G73" i="67"/>
  <c r="N54" i="67"/>
  <c r="E81" i="67" s="1"/>
  <c r="N55" i="67"/>
  <c r="E82" i="67" s="1"/>
  <c r="N51" i="67"/>
  <c r="E78" i="67" s="1"/>
  <c r="N57" i="67"/>
  <c r="E84" i="67" s="1"/>
  <c r="N50" i="67"/>
  <c r="E77" i="67" s="1"/>
  <c r="N48" i="67"/>
  <c r="E75" i="67" s="1"/>
  <c r="D117" i="44"/>
  <c r="D118" i="44" s="1"/>
  <c r="E117" i="44"/>
  <c r="E118" i="44" s="1"/>
  <c r="F117" i="44"/>
  <c r="F118" i="44" s="1"/>
  <c r="G117" i="44"/>
  <c r="G118" i="44" s="1"/>
  <c r="H117" i="44"/>
  <c r="H118" i="44" s="1"/>
  <c r="I117" i="44"/>
  <c r="I118" i="44" s="1"/>
  <c r="C117" i="44"/>
  <c r="K95" i="44"/>
  <c r="K108" i="44"/>
  <c r="K121" i="44"/>
  <c r="F56" i="44"/>
  <c r="E22" i="43" l="1"/>
  <c r="D22" i="43"/>
  <c r="G85" i="67"/>
  <c r="N21" i="47"/>
  <c r="N36" i="47"/>
  <c r="N18" i="47"/>
  <c r="N54" i="47"/>
  <c r="N35" i="47"/>
  <c r="N31" i="47"/>
  <c r="N39" i="47"/>
  <c r="N51" i="47"/>
  <c r="N41" i="47"/>
  <c r="N57" i="47"/>
  <c r="N42" i="47"/>
  <c r="N53" i="47"/>
  <c r="N22" i="47"/>
  <c r="N26" i="47"/>
  <c r="N33" i="47"/>
  <c r="N40" i="47"/>
  <c r="N52" i="47"/>
  <c r="N49" i="47"/>
  <c r="N25" i="47"/>
  <c r="N50" i="47"/>
  <c r="N20" i="47"/>
  <c r="N37" i="47"/>
  <c r="N24" i="47"/>
  <c r="N38" i="47"/>
  <c r="N55" i="47"/>
  <c r="N47" i="47"/>
  <c r="N34" i="47"/>
  <c r="N32" i="47"/>
  <c r="N46" i="47"/>
  <c r="N48" i="47"/>
  <c r="N56" i="47"/>
  <c r="N19" i="47"/>
  <c r="N27" i="47"/>
  <c r="N17" i="47"/>
  <c r="N23" i="47"/>
  <c r="L51" i="47"/>
  <c r="L56" i="47"/>
  <c r="L40" i="47"/>
  <c r="L53" i="47"/>
  <c r="L41" i="47"/>
  <c r="L19" i="47"/>
  <c r="L22" i="47"/>
  <c r="L47" i="47"/>
  <c r="L38" i="47"/>
  <c r="L46" i="47"/>
  <c r="L37" i="47"/>
  <c r="L32" i="47"/>
  <c r="L57" i="47"/>
  <c r="L27" i="47"/>
  <c r="L23" i="47"/>
  <c r="L18" i="47"/>
  <c r="L26" i="47"/>
  <c r="L42" i="47"/>
  <c r="L33" i="47"/>
  <c r="L24" i="47"/>
  <c r="L31" i="47"/>
  <c r="L50" i="47"/>
  <c r="L34" i="47"/>
  <c r="L20" i="47"/>
  <c r="L36" i="47"/>
  <c r="L48" i="47"/>
  <c r="L52" i="47"/>
  <c r="L21" i="47"/>
  <c r="L35" i="47"/>
  <c r="L54" i="47"/>
  <c r="L17" i="47"/>
  <c r="L49" i="47"/>
  <c r="L39" i="47"/>
  <c r="L25" i="47"/>
  <c r="L55" i="47"/>
  <c r="N58" i="67"/>
  <c r="O58" i="67"/>
  <c r="E85" i="67"/>
  <c r="K117" i="44"/>
  <c r="C118" i="44"/>
  <c r="F22" i="43" l="1"/>
  <c r="H22" i="43"/>
  <c r="F85" i="67"/>
  <c r="M25" i="47"/>
  <c r="M23" i="47"/>
  <c r="M41" i="47"/>
  <c r="M22" i="47"/>
  <c r="M27" i="47"/>
  <c r="M48" i="47"/>
  <c r="M24" i="47"/>
  <c r="M33" i="47"/>
  <c r="M34" i="47"/>
  <c r="M31" i="47"/>
  <c r="M50" i="47"/>
  <c r="M21" i="47"/>
  <c r="M42" i="47"/>
  <c r="M53" i="47"/>
  <c r="M54" i="47"/>
  <c r="M47" i="47"/>
  <c r="M38" i="47"/>
  <c r="M36" i="47"/>
  <c r="M40" i="47"/>
  <c r="M51" i="47"/>
  <c r="M17" i="47"/>
  <c r="M49" i="47"/>
  <c r="M37" i="47"/>
  <c r="M52" i="47"/>
  <c r="M46" i="47"/>
  <c r="M19" i="47"/>
  <c r="M56" i="47"/>
  <c r="M57" i="47"/>
  <c r="M39" i="47"/>
  <c r="M32" i="47"/>
  <c r="M55" i="47"/>
  <c r="M20" i="47"/>
  <c r="M35" i="47"/>
  <c r="M18" i="47"/>
  <c r="M26" i="47"/>
  <c r="C119" i="44"/>
  <c r="K118" i="44"/>
  <c r="P43" i="47"/>
  <c r="P45" i="47" s="1"/>
  <c r="P58" i="47" s="1"/>
  <c r="P28" i="47"/>
  <c r="G22" i="43" l="1"/>
  <c r="K19" i="45"/>
  <c r="K33" i="45" s="1"/>
  <c r="J19" i="45"/>
  <c r="I19" i="45"/>
  <c r="H19" i="45"/>
  <c r="G19" i="45"/>
  <c r="F19" i="45"/>
  <c r="E19" i="45"/>
  <c r="G34" i="45" l="1"/>
  <c r="G33" i="45"/>
  <c r="J116" i="59"/>
  <c r="T45" i="3"/>
  <c r="T46" i="3"/>
  <c r="H33" i="45"/>
  <c r="H311" i="46" s="1"/>
  <c r="D119" i="44"/>
  <c r="E33" i="45"/>
  <c r="C133" i="44" s="1"/>
  <c r="E34" i="45"/>
  <c r="D133" i="44" s="1"/>
  <c r="E35" i="45"/>
  <c r="E36" i="45"/>
  <c r="F133" i="44" s="1"/>
  <c r="E37" i="45"/>
  <c r="G133" i="44" s="1"/>
  <c r="E38" i="45"/>
  <c r="E39" i="45"/>
  <c r="I133" i="44" s="1"/>
  <c r="F33" i="45"/>
  <c r="H150" i="46" s="1"/>
  <c r="H152" i="46" s="1"/>
  <c r="F34" i="45"/>
  <c r="F35" i="45"/>
  <c r="K150" i="46" s="1"/>
  <c r="K152" i="46" s="1"/>
  <c r="F36" i="45"/>
  <c r="F37" i="45"/>
  <c r="I150" i="46" s="1"/>
  <c r="I152" i="46" s="1"/>
  <c r="F38" i="45"/>
  <c r="F39" i="45"/>
  <c r="Q25" i="3"/>
  <c r="J230" i="46"/>
  <c r="J233" i="46" s="1"/>
  <c r="G35" i="45"/>
  <c r="K230" i="46" s="1"/>
  <c r="G36" i="45"/>
  <c r="L230" i="46" s="1"/>
  <c r="G37" i="45"/>
  <c r="I230" i="46" s="1"/>
  <c r="G38" i="45"/>
  <c r="G39" i="45"/>
  <c r="H34" i="45"/>
  <c r="J311" i="46" s="1"/>
  <c r="H35" i="45"/>
  <c r="H36" i="45"/>
  <c r="H37" i="45"/>
  <c r="H38" i="45"/>
  <c r="H39" i="45"/>
  <c r="I33" i="45"/>
  <c r="H118" i="54" s="1"/>
  <c r="I34" i="45"/>
  <c r="I118" i="54" s="1"/>
  <c r="I37" i="45"/>
  <c r="L118" i="54" s="1"/>
  <c r="I38" i="45"/>
  <c r="M118" i="54" s="1"/>
  <c r="I39" i="45"/>
  <c r="N118" i="54" s="1"/>
  <c r="J33" i="45"/>
  <c r="H116" i="57" s="1"/>
  <c r="E44" i="3"/>
  <c r="J34" i="45"/>
  <c r="I116" i="57" s="1"/>
  <c r="I111" i="57"/>
  <c r="P111" i="57" s="1"/>
  <c r="J35" i="45"/>
  <c r="J116" i="57" s="1"/>
  <c r="R44" i="3"/>
  <c r="J112" i="57"/>
  <c r="J36" i="45"/>
  <c r="K116" i="57" s="1"/>
  <c r="K112" i="57"/>
  <c r="K113" i="57" s="1"/>
  <c r="J37" i="45"/>
  <c r="L116" i="57" s="1"/>
  <c r="L122" i="57" s="1"/>
  <c r="J38" i="45"/>
  <c r="M116" i="57" s="1"/>
  <c r="J39" i="45"/>
  <c r="N116" i="57" s="1"/>
  <c r="N122" i="57" s="1"/>
  <c r="H117" i="58"/>
  <c r="F45" i="3"/>
  <c r="N125" i="57" s="1"/>
  <c r="H112" i="58"/>
  <c r="K34" i="45"/>
  <c r="I117" i="58" s="1"/>
  <c r="I112" i="58"/>
  <c r="K35" i="45"/>
  <c r="J117" i="58" s="1"/>
  <c r="S45" i="3"/>
  <c r="J113" i="58"/>
  <c r="K36" i="45"/>
  <c r="K117" i="58" s="1"/>
  <c r="K113" i="58"/>
  <c r="K37" i="45"/>
  <c r="L117" i="58" s="1"/>
  <c r="K38" i="45"/>
  <c r="M117" i="58" s="1"/>
  <c r="K39" i="45"/>
  <c r="N117" i="58" s="1"/>
  <c r="N124" i="58" s="1"/>
  <c r="H116" i="59"/>
  <c r="G45" i="3"/>
  <c r="G46" i="3"/>
  <c r="N127" i="58" s="1"/>
  <c r="H111" i="59"/>
  <c r="I116" i="59"/>
  <c r="I111" i="59"/>
  <c r="J112" i="59"/>
  <c r="J113" i="59" s="1"/>
  <c r="K116" i="59"/>
  <c r="K112" i="59"/>
  <c r="L116" i="59"/>
  <c r="M116" i="59"/>
  <c r="N116" i="59"/>
  <c r="N124" i="59" s="1"/>
  <c r="H116" i="60"/>
  <c r="H44" i="3"/>
  <c r="H45" i="3"/>
  <c r="H46" i="3"/>
  <c r="H47" i="3"/>
  <c r="H111" i="60"/>
  <c r="I116" i="60"/>
  <c r="I111" i="60"/>
  <c r="J116" i="60"/>
  <c r="U45" i="3"/>
  <c r="U46" i="3"/>
  <c r="J114" i="58"/>
  <c r="U47" i="3"/>
  <c r="J112" i="60"/>
  <c r="J113" i="60" s="1"/>
  <c r="K116" i="60"/>
  <c r="K114" i="58"/>
  <c r="K112" i="60"/>
  <c r="L116" i="60"/>
  <c r="M116" i="60"/>
  <c r="M121" i="60" s="1"/>
  <c r="N116" i="60"/>
  <c r="N125" i="60" s="1"/>
  <c r="H116" i="61"/>
  <c r="I45" i="3"/>
  <c r="H128" i="57" s="1"/>
  <c r="I46" i="3"/>
  <c r="N129" i="58" s="1"/>
  <c r="I47" i="3"/>
  <c r="N128" i="59" s="1"/>
  <c r="I48" i="3"/>
  <c r="H111" i="61"/>
  <c r="I116" i="61"/>
  <c r="I111" i="61"/>
  <c r="J116" i="61"/>
  <c r="L128" i="60"/>
  <c r="J112" i="61"/>
  <c r="J113" i="61" s="1"/>
  <c r="K116" i="61"/>
  <c r="K112" i="61"/>
  <c r="K113" i="61" s="1"/>
  <c r="L116" i="61"/>
  <c r="M116" i="61"/>
  <c r="M122" i="61" s="1"/>
  <c r="M128" i="60"/>
  <c r="N116" i="61"/>
  <c r="P117" i="60"/>
  <c r="P118" i="60"/>
  <c r="P119" i="60"/>
  <c r="P120" i="60"/>
  <c r="P117" i="61"/>
  <c r="P118" i="61"/>
  <c r="P119" i="61"/>
  <c r="P120" i="61"/>
  <c r="P106" i="61"/>
  <c r="P105" i="61"/>
  <c r="P104" i="61"/>
  <c r="P103" i="61"/>
  <c r="P102" i="61"/>
  <c r="P101" i="61"/>
  <c r="P100" i="61"/>
  <c r="P99" i="61"/>
  <c r="P98" i="61"/>
  <c r="P97" i="61"/>
  <c r="P96" i="61"/>
  <c r="P95" i="61"/>
  <c r="P94" i="61"/>
  <c r="P93" i="61"/>
  <c r="P83" i="61"/>
  <c r="P79" i="61"/>
  <c r="P78" i="61"/>
  <c r="P77" i="61"/>
  <c r="P76" i="61"/>
  <c r="P75" i="61"/>
  <c r="P74" i="61"/>
  <c r="P73" i="61"/>
  <c r="P72" i="61"/>
  <c r="P56" i="61"/>
  <c r="P55" i="61"/>
  <c r="P54" i="61"/>
  <c r="P53" i="61"/>
  <c r="P52" i="61"/>
  <c r="P50" i="61"/>
  <c r="P48" i="61"/>
  <c r="P47" i="61"/>
  <c r="P46" i="61"/>
  <c r="P44" i="61"/>
  <c r="P43" i="61"/>
  <c r="P42" i="61"/>
  <c r="P41" i="61"/>
  <c r="P40" i="61"/>
  <c r="P39" i="61"/>
  <c r="P38" i="61"/>
  <c r="P36" i="61"/>
  <c r="P35" i="61"/>
  <c r="P34" i="61"/>
  <c r="P33" i="61"/>
  <c r="P32" i="61"/>
  <c r="P31" i="61"/>
  <c r="P30" i="61"/>
  <c r="P29" i="61"/>
  <c r="P28" i="61"/>
  <c r="P26" i="61"/>
  <c r="P25" i="61"/>
  <c r="P24" i="61"/>
  <c r="P23" i="61"/>
  <c r="P22" i="61"/>
  <c r="P21" i="61"/>
  <c r="P20" i="61"/>
  <c r="P19" i="61"/>
  <c r="P18" i="61"/>
  <c r="P17" i="61"/>
  <c r="P106" i="60"/>
  <c r="P105" i="60"/>
  <c r="P104" i="60"/>
  <c r="P103" i="60"/>
  <c r="P102" i="60"/>
  <c r="P101" i="60"/>
  <c r="P100" i="60"/>
  <c r="P99" i="60"/>
  <c r="P98" i="60"/>
  <c r="P97" i="60"/>
  <c r="P96" i="60"/>
  <c r="P95" i="60"/>
  <c r="P94" i="60"/>
  <c r="P93" i="60"/>
  <c r="P91" i="60"/>
  <c r="P87" i="60"/>
  <c r="P86" i="60"/>
  <c r="P85" i="60"/>
  <c r="P83" i="60"/>
  <c r="P79" i="60"/>
  <c r="P78" i="60"/>
  <c r="P77" i="60"/>
  <c r="P76" i="60"/>
  <c r="P75" i="60"/>
  <c r="P74" i="60"/>
  <c r="P73" i="60"/>
  <c r="P72" i="60"/>
  <c r="P70" i="60"/>
  <c r="P66" i="60"/>
  <c r="P65" i="60"/>
  <c r="P64" i="60"/>
  <c r="P63" i="60"/>
  <c r="P56" i="60"/>
  <c r="P55" i="60"/>
  <c r="P54" i="60"/>
  <c r="P53" i="60"/>
  <c r="P52" i="60"/>
  <c r="P44" i="60"/>
  <c r="P43" i="60"/>
  <c r="P42" i="60"/>
  <c r="P41" i="60"/>
  <c r="P40" i="60"/>
  <c r="P39" i="60"/>
  <c r="P38" i="60"/>
  <c r="P36" i="60"/>
  <c r="P35" i="60"/>
  <c r="P34" i="60"/>
  <c r="P33" i="60"/>
  <c r="P32" i="60"/>
  <c r="P31" i="60"/>
  <c r="P30" i="60"/>
  <c r="P29" i="60"/>
  <c r="P28" i="60"/>
  <c r="P26" i="60"/>
  <c r="P25" i="60"/>
  <c r="P24" i="60"/>
  <c r="P23" i="60"/>
  <c r="P22" i="60"/>
  <c r="P21" i="60"/>
  <c r="P20" i="60"/>
  <c r="P19" i="60"/>
  <c r="P18" i="60"/>
  <c r="P17" i="60"/>
  <c r="P117" i="59"/>
  <c r="P118" i="59"/>
  <c r="P119" i="59"/>
  <c r="P120" i="59"/>
  <c r="P118" i="58"/>
  <c r="P119" i="58"/>
  <c r="P120" i="58"/>
  <c r="P121" i="58"/>
  <c r="P106" i="59"/>
  <c r="P105" i="59"/>
  <c r="P104" i="59"/>
  <c r="P103" i="59"/>
  <c r="P102" i="59"/>
  <c r="P101" i="59"/>
  <c r="P100" i="59"/>
  <c r="P99" i="59"/>
  <c r="P98" i="59"/>
  <c r="P97" i="59"/>
  <c r="P96" i="59"/>
  <c r="P95" i="59"/>
  <c r="P94" i="59"/>
  <c r="P93" i="59"/>
  <c r="P91" i="59"/>
  <c r="P87" i="59"/>
  <c r="P86" i="59"/>
  <c r="P85" i="59"/>
  <c r="P83" i="59"/>
  <c r="P79" i="59"/>
  <c r="P78" i="59"/>
  <c r="P77" i="59"/>
  <c r="P76" i="59"/>
  <c r="P75" i="59"/>
  <c r="P74" i="59"/>
  <c r="P73" i="59"/>
  <c r="P72" i="59"/>
  <c r="P70" i="59"/>
  <c r="P66" i="59"/>
  <c r="P65" i="59"/>
  <c r="P64" i="59"/>
  <c r="P63" i="59"/>
  <c r="P56" i="59"/>
  <c r="P55" i="59"/>
  <c r="P54" i="59"/>
  <c r="P53" i="59"/>
  <c r="P52" i="59"/>
  <c r="P50" i="59"/>
  <c r="P48" i="59"/>
  <c r="P47" i="59"/>
  <c r="P46" i="59"/>
  <c r="P44" i="59"/>
  <c r="P43" i="59"/>
  <c r="P42" i="59"/>
  <c r="P41" i="59"/>
  <c r="P40" i="59"/>
  <c r="P39" i="59"/>
  <c r="P38" i="59"/>
  <c r="P36" i="59"/>
  <c r="P35" i="59"/>
  <c r="P34" i="59"/>
  <c r="P33" i="59"/>
  <c r="P32" i="59"/>
  <c r="P31" i="59"/>
  <c r="P30" i="59"/>
  <c r="P29" i="59"/>
  <c r="P28" i="59"/>
  <c r="P26" i="59"/>
  <c r="P25" i="59"/>
  <c r="P24" i="59"/>
  <c r="P23" i="59"/>
  <c r="P22" i="59"/>
  <c r="P21" i="59"/>
  <c r="P20" i="59"/>
  <c r="P19" i="59"/>
  <c r="P18" i="59"/>
  <c r="P17" i="59"/>
  <c r="P119" i="57"/>
  <c r="P117" i="57"/>
  <c r="P118" i="57"/>
  <c r="P120" i="57"/>
  <c r="P107" i="58"/>
  <c r="P106" i="58"/>
  <c r="P105" i="58"/>
  <c r="P104" i="58"/>
  <c r="P103" i="58"/>
  <c r="P102" i="58"/>
  <c r="P101" i="58"/>
  <c r="P100" i="58"/>
  <c r="P99" i="58"/>
  <c r="P98" i="58"/>
  <c r="P97" i="58"/>
  <c r="P96" i="58"/>
  <c r="P95" i="58"/>
  <c r="P94" i="58"/>
  <c r="P92" i="58"/>
  <c r="P88" i="58"/>
  <c r="P87" i="58"/>
  <c r="P86" i="58"/>
  <c r="P84" i="58"/>
  <c r="P80" i="58"/>
  <c r="P79" i="58"/>
  <c r="P78" i="58"/>
  <c r="P77" i="58"/>
  <c r="P76" i="58"/>
  <c r="P75" i="58"/>
  <c r="P74" i="58"/>
  <c r="P73" i="58"/>
  <c r="P71" i="58"/>
  <c r="P67" i="58"/>
  <c r="P66" i="58"/>
  <c r="P65" i="58"/>
  <c r="P64" i="58"/>
  <c r="P57" i="58"/>
  <c r="P56" i="58"/>
  <c r="P55" i="58"/>
  <c r="P54" i="58"/>
  <c r="P53" i="58"/>
  <c r="P51" i="58"/>
  <c r="P49" i="58"/>
  <c r="P48" i="58"/>
  <c r="P47" i="58"/>
  <c r="P45" i="58"/>
  <c r="P44" i="58"/>
  <c r="P43" i="58"/>
  <c r="P42" i="58"/>
  <c r="P41" i="58"/>
  <c r="P40" i="58"/>
  <c r="P39" i="58"/>
  <c r="P38" i="58"/>
  <c r="P36" i="58"/>
  <c r="P35" i="58"/>
  <c r="P34" i="58"/>
  <c r="P33" i="58"/>
  <c r="P32" i="58"/>
  <c r="P31" i="58"/>
  <c r="P30" i="58"/>
  <c r="P29" i="58"/>
  <c r="P28" i="58"/>
  <c r="P26" i="58"/>
  <c r="P25" i="58"/>
  <c r="P24" i="58"/>
  <c r="P23" i="58"/>
  <c r="P22" i="58"/>
  <c r="P21" i="58"/>
  <c r="P20" i="58"/>
  <c r="P19" i="58"/>
  <c r="P18" i="58"/>
  <c r="P17" i="58"/>
  <c r="I36" i="45"/>
  <c r="K118" i="54" s="1"/>
  <c r="P106" i="57"/>
  <c r="P105" i="57"/>
  <c r="P104" i="57"/>
  <c r="P103" i="57"/>
  <c r="P102" i="57"/>
  <c r="P101" i="57"/>
  <c r="P100" i="57"/>
  <c r="P99" i="57"/>
  <c r="P98" i="57"/>
  <c r="P97" i="57"/>
  <c r="P96" i="57"/>
  <c r="P95" i="57"/>
  <c r="P94" i="57"/>
  <c r="P93" i="57"/>
  <c r="P91" i="57"/>
  <c r="P87" i="57"/>
  <c r="P86" i="57"/>
  <c r="P85" i="57"/>
  <c r="P83" i="57"/>
  <c r="P79" i="57"/>
  <c r="P78" i="57"/>
  <c r="P77" i="57"/>
  <c r="P76" i="57"/>
  <c r="P75" i="57"/>
  <c r="P74" i="57"/>
  <c r="P73" i="57"/>
  <c r="P72" i="57"/>
  <c r="P70" i="57"/>
  <c r="P66" i="57"/>
  <c r="P65" i="57"/>
  <c r="P64" i="57"/>
  <c r="P63" i="57"/>
  <c r="P56" i="57"/>
  <c r="P55" i="57"/>
  <c r="P54" i="57"/>
  <c r="P53" i="57"/>
  <c r="P52" i="57"/>
  <c r="P50" i="57"/>
  <c r="P48" i="57"/>
  <c r="P47" i="57"/>
  <c r="P46" i="57"/>
  <c r="P44" i="57"/>
  <c r="P43" i="57"/>
  <c r="P42" i="57"/>
  <c r="P41" i="57"/>
  <c r="P40" i="57"/>
  <c r="P39" i="57"/>
  <c r="P38" i="57"/>
  <c r="P36" i="57"/>
  <c r="P35" i="57"/>
  <c r="P34" i="57"/>
  <c r="P33" i="57"/>
  <c r="P32" i="57"/>
  <c r="P31" i="57"/>
  <c r="P30" i="57"/>
  <c r="P29" i="57"/>
  <c r="P28" i="57"/>
  <c r="P26" i="57"/>
  <c r="P25" i="57"/>
  <c r="P24" i="57"/>
  <c r="P23" i="57"/>
  <c r="P22" i="57"/>
  <c r="P21" i="57"/>
  <c r="P20" i="57"/>
  <c r="P19" i="57"/>
  <c r="P18" i="57"/>
  <c r="P17" i="57"/>
  <c r="P30" i="54"/>
  <c r="P31" i="54"/>
  <c r="P32" i="54"/>
  <c r="P33" i="54"/>
  <c r="P34" i="54"/>
  <c r="P40" i="54"/>
  <c r="P41" i="54"/>
  <c r="P42" i="54"/>
  <c r="P48" i="54"/>
  <c r="P49" i="54"/>
  <c r="P50" i="54"/>
  <c r="P52" i="54"/>
  <c r="P54" i="54"/>
  <c r="P55" i="54"/>
  <c r="P56" i="54"/>
  <c r="P57" i="54"/>
  <c r="P58" i="54"/>
  <c r="P65" i="54"/>
  <c r="P66" i="54"/>
  <c r="P67" i="54"/>
  <c r="P68" i="54"/>
  <c r="P74" i="54"/>
  <c r="P75" i="54"/>
  <c r="P76" i="54"/>
  <c r="P77" i="54"/>
  <c r="P78" i="54"/>
  <c r="P79" i="54"/>
  <c r="P80" i="54"/>
  <c r="P81" i="54"/>
  <c r="P87" i="54"/>
  <c r="P88" i="54"/>
  <c r="P89" i="54"/>
  <c r="P95" i="54"/>
  <c r="P96" i="54"/>
  <c r="P97" i="54"/>
  <c r="P98" i="54"/>
  <c r="P99" i="54"/>
  <c r="P100" i="54"/>
  <c r="P101" i="54"/>
  <c r="P102" i="54"/>
  <c r="P103" i="54"/>
  <c r="P104" i="54"/>
  <c r="P105" i="54"/>
  <c r="P106" i="54"/>
  <c r="P107" i="54"/>
  <c r="P108" i="54"/>
  <c r="P20" i="54"/>
  <c r="P21" i="54"/>
  <c r="P22" i="54"/>
  <c r="P23" i="54"/>
  <c r="P24" i="54"/>
  <c r="P19" i="54"/>
  <c r="N104" i="46"/>
  <c r="N103" i="46"/>
  <c r="N302" i="46"/>
  <c r="N301" i="46"/>
  <c r="N293" i="46"/>
  <c r="N286" i="46"/>
  <c r="N280" i="46"/>
  <c r="N270" i="46"/>
  <c r="N268" i="46"/>
  <c r="N267" i="46"/>
  <c r="N266" i="46"/>
  <c r="N265" i="46"/>
  <c r="N264" i="46"/>
  <c r="N263" i="46"/>
  <c r="N257" i="46"/>
  <c r="N256" i="46"/>
  <c r="N255" i="46"/>
  <c r="N254" i="46"/>
  <c r="N253" i="46"/>
  <c r="N252" i="46"/>
  <c r="N251" i="46"/>
  <c r="N250" i="46"/>
  <c r="N249" i="46"/>
  <c r="N221" i="46"/>
  <c r="N220" i="46"/>
  <c r="N215" i="46"/>
  <c r="N214" i="46"/>
  <c r="N213" i="46"/>
  <c r="N212" i="46"/>
  <c r="N211" i="46"/>
  <c r="N206" i="46"/>
  <c r="N200" i="46"/>
  <c r="N199" i="46"/>
  <c r="N198" i="46"/>
  <c r="N197" i="46"/>
  <c r="N196" i="46"/>
  <c r="N190" i="46"/>
  <c r="N189" i="46"/>
  <c r="N188" i="46"/>
  <c r="N187" i="46"/>
  <c r="N186" i="46"/>
  <c r="N185" i="46"/>
  <c r="N184" i="46"/>
  <c r="N183" i="46"/>
  <c r="N177" i="46"/>
  <c r="N176" i="46"/>
  <c r="N175" i="46"/>
  <c r="N174" i="46"/>
  <c r="N173" i="46"/>
  <c r="N172" i="46"/>
  <c r="N171" i="46"/>
  <c r="N170" i="46"/>
  <c r="N169" i="46"/>
  <c r="G56" i="44"/>
  <c r="H56" i="44"/>
  <c r="N141" i="46"/>
  <c r="N140" i="46"/>
  <c r="N134" i="46"/>
  <c r="N133" i="46"/>
  <c r="N132" i="46"/>
  <c r="N131" i="46"/>
  <c r="N130" i="46"/>
  <c r="N125" i="46"/>
  <c r="N118" i="46"/>
  <c r="N117" i="46"/>
  <c r="N116" i="46"/>
  <c r="N115" i="46"/>
  <c r="N110" i="46"/>
  <c r="N109" i="46"/>
  <c r="N108" i="46"/>
  <c r="N107" i="46"/>
  <c r="N106" i="46"/>
  <c r="N105" i="46"/>
  <c r="N98" i="46"/>
  <c r="N97" i="46"/>
  <c r="N96" i="46"/>
  <c r="N95" i="46"/>
  <c r="N94" i="46"/>
  <c r="N93" i="46"/>
  <c r="N92" i="46"/>
  <c r="N91" i="46"/>
  <c r="N90" i="46"/>
  <c r="I35" i="45"/>
  <c r="J118" i="54" s="1"/>
  <c r="H82" i="44"/>
  <c r="G82" i="44"/>
  <c r="F82" i="44"/>
  <c r="E82" i="44"/>
  <c r="K77" i="44"/>
  <c r="H69" i="44"/>
  <c r="G69" i="44"/>
  <c r="F69" i="44"/>
  <c r="K64" i="44"/>
  <c r="N62" i="46"/>
  <c r="Q15" i="47"/>
  <c r="J15" i="47"/>
  <c r="K15" i="47"/>
  <c r="L15" i="47"/>
  <c r="M15" i="47"/>
  <c r="N15" i="47"/>
  <c r="I15" i="47"/>
  <c r="N61" i="46"/>
  <c r="N60" i="46"/>
  <c r="N59" i="46"/>
  <c r="N54" i="46"/>
  <c r="N49" i="46"/>
  <c r="N48" i="46"/>
  <c r="N47" i="46"/>
  <c r="N46" i="46"/>
  <c r="N45" i="46"/>
  <c r="N40" i="46"/>
  <c r="N39" i="46"/>
  <c r="N38" i="46"/>
  <c r="N37" i="46"/>
  <c r="N36" i="46"/>
  <c r="N35" i="46"/>
  <c r="N34" i="46"/>
  <c r="N23" i="46"/>
  <c r="N24" i="46"/>
  <c r="N25" i="46"/>
  <c r="N26" i="46"/>
  <c r="N27" i="46"/>
  <c r="N28" i="46"/>
  <c r="N29" i="46"/>
  <c r="N22" i="46"/>
  <c r="C26" i="45"/>
  <c r="C25" i="45"/>
  <c r="C24" i="45"/>
  <c r="C23" i="45"/>
  <c r="C21" i="45"/>
  <c r="C22" i="45"/>
  <c r="C20" i="45"/>
  <c r="B21" i="45"/>
  <c r="B22" i="45"/>
  <c r="F131" i="44"/>
  <c r="B24" i="45"/>
  <c r="B25" i="45"/>
  <c r="I131" i="44"/>
  <c r="C131" i="44"/>
  <c r="J131" i="44"/>
  <c r="M74" i="46" l="1"/>
  <c r="I6" i="64" s="1"/>
  <c r="E69" i="64" s="1"/>
  <c r="K74" i="46"/>
  <c r="G6" i="64" s="1"/>
  <c r="E51" i="64" s="1"/>
  <c r="L74" i="46"/>
  <c r="H6" i="64" s="1"/>
  <c r="E60" i="64" s="1"/>
  <c r="H124" i="59"/>
  <c r="P113" i="58"/>
  <c r="J127" i="58"/>
  <c r="J123" i="59" s="1"/>
  <c r="L125" i="57"/>
  <c r="L123" i="58" s="1"/>
  <c r="L126" i="54"/>
  <c r="L121" i="57" s="1"/>
  <c r="L123" i="57" s="1"/>
  <c r="M126" i="54"/>
  <c r="M121" i="57" s="1"/>
  <c r="J126" i="54"/>
  <c r="J122" i="58" s="1"/>
  <c r="K126" i="54"/>
  <c r="K122" i="58" s="1"/>
  <c r="I129" i="58"/>
  <c r="I123" i="61" s="1"/>
  <c r="I128" i="54"/>
  <c r="N128" i="54"/>
  <c r="N121" i="59" s="1"/>
  <c r="H128" i="54"/>
  <c r="H121" i="59" s="1"/>
  <c r="N127" i="59"/>
  <c r="N126" i="54"/>
  <c r="I126" i="54"/>
  <c r="H126" i="54"/>
  <c r="H121" i="57" s="1"/>
  <c r="N129" i="54"/>
  <c r="N121" i="60" s="1"/>
  <c r="I129" i="54"/>
  <c r="I121" i="60" s="1"/>
  <c r="H129" i="54"/>
  <c r="H121" i="60" s="1"/>
  <c r="H313" i="46"/>
  <c r="H312" i="46"/>
  <c r="L120" i="54"/>
  <c r="L121" i="54"/>
  <c r="L119" i="54"/>
  <c r="L122" i="54"/>
  <c r="I121" i="54"/>
  <c r="I119" i="54"/>
  <c r="I122" i="54"/>
  <c r="I120" i="54"/>
  <c r="I123" i="54"/>
  <c r="N120" i="54"/>
  <c r="N122" i="54"/>
  <c r="N121" i="54"/>
  <c r="N119" i="54"/>
  <c r="N123" i="54"/>
  <c r="K122" i="54"/>
  <c r="K120" i="54"/>
  <c r="K119" i="54"/>
  <c r="K123" i="54"/>
  <c r="K121" i="54"/>
  <c r="M122" i="54"/>
  <c r="M121" i="54"/>
  <c r="M119" i="54"/>
  <c r="M120" i="54"/>
  <c r="M123" i="54"/>
  <c r="H121" i="54"/>
  <c r="H120" i="54"/>
  <c r="H119" i="54"/>
  <c r="H122" i="54"/>
  <c r="H123" i="54"/>
  <c r="J120" i="54"/>
  <c r="J122" i="54"/>
  <c r="J119" i="54"/>
  <c r="J123" i="54"/>
  <c r="J121" i="54"/>
  <c r="L123" i="54"/>
  <c r="H315" i="46"/>
  <c r="H314" i="46"/>
  <c r="H230" i="46"/>
  <c r="H233" i="46" s="1"/>
  <c r="H72" i="46"/>
  <c r="C78" i="44"/>
  <c r="C79" i="44" s="1"/>
  <c r="C29" i="44" s="1"/>
  <c r="C136" i="44" s="1"/>
  <c r="I78" i="44"/>
  <c r="I79" i="44" s="1"/>
  <c r="I80" i="44" s="1"/>
  <c r="F78" i="44"/>
  <c r="F79" i="44" s="1"/>
  <c r="D78" i="44"/>
  <c r="D79" i="44" s="1"/>
  <c r="D29" i="44" s="1"/>
  <c r="E78" i="44"/>
  <c r="E79" i="44" s="1"/>
  <c r="G78" i="44"/>
  <c r="G79" i="44" s="1"/>
  <c r="H78" i="44"/>
  <c r="H79" i="44" s="1"/>
  <c r="H83" i="44" s="1"/>
  <c r="H84" i="44" s="1"/>
  <c r="C65" i="44"/>
  <c r="C66" i="44" s="1"/>
  <c r="G65" i="44"/>
  <c r="G66" i="44" s="1"/>
  <c r="H65" i="44"/>
  <c r="H66" i="44" s="1"/>
  <c r="I65" i="44"/>
  <c r="I66" i="44" s="1"/>
  <c r="E65" i="44"/>
  <c r="E66" i="44" s="1"/>
  <c r="D65" i="44"/>
  <c r="D66" i="44" s="1"/>
  <c r="F65" i="44"/>
  <c r="F66" i="44" s="1"/>
  <c r="K69" i="44"/>
  <c r="I231" i="46"/>
  <c r="K231" i="46"/>
  <c r="J232" i="46"/>
  <c r="H154" i="46"/>
  <c r="D10" i="64" s="1"/>
  <c r="F21" i="64" s="1"/>
  <c r="J313" i="46"/>
  <c r="J312" i="46"/>
  <c r="H151" i="46"/>
  <c r="H153" i="46" s="1"/>
  <c r="J231" i="46"/>
  <c r="K233" i="46"/>
  <c r="I128" i="60"/>
  <c r="I125" i="61" s="1"/>
  <c r="H129" i="58"/>
  <c r="H123" i="61" s="1"/>
  <c r="N122" i="58"/>
  <c r="I127" i="59"/>
  <c r="I124" i="60" s="1"/>
  <c r="N308" i="46"/>
  <c r="P112" i="60"/>
  <c r="P111" i="60"/>
  <c r="H127" i="59"/>
  <c r="H124" i="60" s="1"/>
  <c r="P111" i="59"/>
  <c r="P112" i="61"/>
  <c r="P111" i="61"/>
  <c r="K113" i="60"/>
  <c r="H128" i="60"/>
  <c r="H125" i="61" s="1"/>
  <c r="I125" i="60"/>
  <c r="K124" i="58"/>
  <c r="I127" i="58"/>
  <c r="I123" i="59" s="1"/>
  <c r="H128" i="58"/>
  <c r="H123" i="60" s="1"/>
  <c r="J129" i="58"/>
  <c r="J123" i="61" s="1"/>
  <c r="P112" i="58"/>
  <c r="P112" i="59"/>
  <c r="J127" i="59"/>
  <c r="J124" i="60" s="1"/>
  <c r="J122" i="57"/>
  <c r="H127" i="57"/>
  <c r="H122" i="60" s="1"/>
  <c r="I128" i="57"/>
  <c r="I122" i="61" s="1"/>
  <c r="I126" i="57"/>
  <c r="I122" i="59" s="1"/>
  <c r="I122" i="57"/>
  <c r="K311" i="46"/>
  <c r="K315" i="46" s="1"/>
  <c r="L232" i="46"/>
  <c r="K105" i="44"/>
  <c r="E19" i="44" s="1"/>
  <c r="E122" i="44"/>
  <c r="E20" i="44"/>
  <c r="F52" i="44"/>
  <c r="I52" i="44"/>
  <c r="D52" i="44"/>
  <c r="H133" i="44"/>
  <c r="I41" i="44"/>
  <c r="K82" i="44"/>
  <c r="G52" i="44"/>
  <c r="J72" i="46"/>
  <c r="J73" i="46" s="1"/>
  <c r="I72" i="46"/>
  <c r="D41" i="44"/>
  <c r="H52" i="44"/>
  <c r="H53" i="44" s="1"/>
  <c r="E52" i="44"/>
  <c r="K121" i="59"/>
  <c r="N123" i="58"/>
  <c r="K127" i="58"/>
  <c r="K123" i="59" s="1"/>
  <c r="I128" i="59"/>
  <c r="I124" i="61" s="1"/>
  <c r="H128" i="59"/>
  <c r="H124" i="61" s="1"/>
  <c r="I127" i="57"/>
  <c r="I122" i="60" s="1"/>
  <c r="I232" i="46"/>
  <c r="M127" i="59"/>
  <c r="M124" i="60" s="1"/>
  <c r="N128" i="60"/>
  <c r="N125" i="61" s="1"/>
  <c r="K128" i="60"/>
  <c r="K125" i="61" s="1"/>
  <c r="M125" i="57"/>
  <c r="M123" i="58" s="1"/>
  <c r="H125" i="57"/>
  <c r="H123" i="58" s="1"/>
  <c r="N128" i="58"/>
  <c r="N123" i="60" s="1"/>
  <c r="K129" i="58"/>
  <c r="K123" i="61" s="1"/>
  <c r="K127" i="59"/>
  <c r="K124" i="60" s="1"/>
  <c r="J128" i="59"/>
  <c r="J124" i="61" s="1"/>
  <c r="I121" i="61"/>
  <c r="J314" i="46"/>
  <c r="L127" i="59"/>
  <c r="L124" i="60" s="1"/>
  <c r="J128" i="58"/>
  <c r="J123" i="60" s="1"/>
  <c r="I128" i="58"/>
  <c r="I123" i="60" s="1"/>
  <c r="J125" i="57"/>
  <c r="J123" i="58" s="1"/>
  <c r="I125" i="57"/>
  <c r="I123" i="58" s="1"/>
  <c r="L122" i="60"/>
  <c r="L121" i="60"/>
  <c r="L123" i="60"/>
  <c r="I126" i="61"/>
  <c r="L124" i="58"/>
  <c r="N306" i="46"/>
  <c r="N147" i="46"/>
  <c r="H126" i="61"/>
  <c r="J128" i="60"/>
  <c r="J125" i="61" s="1"/>
  <c r="K113" i="59"/>
  <c r="K128" i="59" s="1"/>
  <c r="K124" i="61" s="1"/>
  <c r="N124" i="60"/>
  <c r="H127" i="58"/>
  <c r="H123" i="59" s="1"/>
  <c r="K128" i="58"/>
  <c r="K123" i="60" s="1"/>
  <c r="K121" i="60"/>
  <c r="K121" i="61"/>
  <c r="H122" i="58"/>
  <c r="I121" i="59"/>
  <c r="J121" i="60"/>
  <c r="J121" i="61"/>
  <c r="J121" i="59"/>
  <c r="I122" i="58"/>
  <c r="I121" i="57"/>
  <c r="H121" i="61"/>
  <c r="K127" i="57"/>
  <c r="K122" i="60" s="1"/>
  <c r="K128" i="57"/>
  <c r="K122" i="61" s="1"/>
  <c r="K126" i="57"/>
  <c r="K122" i="59" s="1"/>
  <c r="K125" i="57"/>
  <c r="K123" i="58" s="1"/>
  <c r="P112" i="57"/>
  <c r="J113" i="57"/>
  <c r="H126" i="57"/>
  <c r="H122" i="59" s="1"/>
  <c r="K122" i="57"/>
  <c r="J315" i="46"/>
  <c r="N145" i="46"/>
  <c r="N227" i="46"/>
  <c r="N67" i="46"/>
  <c r="N225" i="46"/>
  <c r="N69" i="46"/>
  <c r="I233" i="46"/>
  <c r="B20" i="45"/>
  <c r="G131" i="44"/>
  <c r="B26" i="45"/>
  <c r="E131" i="44"/>
  <c r="H131" i="44"/>
  <c r="B23" i="45"/>
  <c r="D131" i="44"/>
  <c r="I124" i="58"/>
  <c r="K126" i="61"/>
  <c r="N122" i="61"/>
  <c r="N124" i="61"/>
  <c r="N123" i="61"/>
  <c r="N121" i="61"/>
  <c r="N126" i="61"/>
  <c r="L121" i="61"/>
  <c r="L124" i="61"/>
  <c r="L122" i="61"/>
  <c r="L123" i="61"/>
  <c r="K125" i="60"/>
  <c r="L121" i="59"/>
  <c r="L122" i="59"/>
  <c r="L124" i="59"/>
  <c r="L123" i="59"/>
  <c r="L311" i="46"/>
  <c r="M123" i="61"/>
  <c r="L231" i="46"/>
  <c r="L233" i="46"/>
  <c r="L150" i="46"/>
  <c r="M124" i="61"/>
  <c r="M122" i="60"/>
  <c r="M123" i="60"/>
  <c r="M125" i="60"/>
  <c r="N123" i="59"/>
  <c r="N122" i="59"/>
  <c r="K124" i="59"/>
  <c r="H122" i="57"/>
  <c r="J125" i="60"/>
  <c r="M125" i="61"/>
  <c r="M126" i="61"/>
  <c r="M121" i="61"/>
  <c r="J124" i="58"/>
  <c r="L126" i="61"/>
  <c r="I124" i="59"/>
  <c r="M122" i="57"/>
  <c r="J150" i="46"/>
  <c r="N122" i="60"/>
  <c r="L125" i="61"/>
  <c r="H125" i="60"/>
  <c r="M121" i="59"/>
  <c r="M122" i="59"/>
  <c r="M123" i="59"/>
  <c r="M124" i="59"/>
  <c r="M124" i="58"/>
  <c r="H124" i="58"/>
  <c r="I151" i="46"/>
  <c r="I153" i="46" s="1"/>
  <c r="J126" i="61"/>
  <c r="H122" i="61"/>
  <c r="L125" i="60"/>
  <c r="J124" i="59"/>
  <c r="E133" i="44"/>
  <c r="K72" i="46"/>
  <c r="K73" i="46" s="1"/>
  <c r="L72" i="46"/>
  <c r="C80" i="44" l="1"/>
  <c r="K151" i="46"/>
  <c r="K153" i="46" s="1"/>
  <c r="U26" i="64"/>
  <c r="X6" i="64" s="1"/>
  <c r="N124" i="54"/>
  <c r="J124" i="54"/>
  <c r="H232" i="46"/>
  <c r="P121" i="54"/>
  <c r="K124" i="54"/>
  <c r="M124" i="54"/>
  <c r="I124" i="54"/>
  <c r="P122" i="54"/>
  <c r="L124" i="54"/>
  <c r="H124" i="54"/>
  <c r="P119" i="54"/>
  <c r="P120" i="54"/>
  <c r="L234" i="46"/>
  <c r="J234" i="46"/>
  <c r="H231" i="46"/>
  <c r="H316" i="46"/>
  <c r="I234" i="46"/>
  <c r="J152" i="46"/>
  <c r="J151" i="46"/>
  <c r="I73" i="46"/>
  <c r="L73" i="46"/>
  <c r="K66" i="44"/>
  <c r="E53" i="44"/>
  <c r="E57" i="44" s="1"/>
  <c r="I53" i="44"/>
  <c r="I54" i="44" s="1"/>
  <c r="F53" i="44"/>
  <c r="F54" i="44" s="1"/>
  <c r="D53" i="44"/>
  <c r="K52" i="44"/>
  <c r="G53" i="44"/>
  <c r="G57" i="44" s="1"/>
  <c r="K133" i="44"/>
  <c r="J316" i="46"/>
  <c r="K313" i="46"/>
  <c r="K232" i="46"/>
  <c r="K234" i="46" s="1"/>
  <c r="K314" i="46"/>
  <c r="C54" i="44"/>
  <c r="C27" i="44"/>
  <c r="C134" i="44" s="1"/>
  <c r="E123" i="44"/>
  <c r="C30" i="44"/>
  <c r="C137" i="44" s="1"/>
  <c r="K92" i="44"/>
  <c r="E18" i="44" s="1"/>
  <c r="N121" i="57"/>
  <c r="N123" i="57" s="1"/>
  <c r="I123" i="57"/>
  <c r="K312" i="46"/>
  <c r="D136" i="44"/>
  <c r="N125" i="58"/>
  <c r="D106" i="44"/>
  <c r="D31" i="44"/>
  <c r="D138" i="44" s="1"/>
  <c r="E109" i="44"/>
  <c r="E106" i="44"/>
  <c r="F109" i="44"/>
  <c r="F106" i="44"/>
  <c r="E119" i="44"/>
  <c r="E32" i="44"/>
  <c r="E139" i="44" s="1"/>
  <c r="C32" i="44"/>
  <c r="C139" i="44" s="1"/>
  <c r="I119" i="44"/>
  <c r="I32" i="44"/>
  <c r="I139" i="44" s="1"/>
  <c r="F122" i="44"/>
  <c r="F119" i="44"/>
  <c r="K65" i="44"/>
  <c r="I93" i="44"/>
  <c r="I30" i="44"/>
  <c r="I137" i="44" s="1"/>
  <c r="H106" i="44"/>
  <c r="H109" i="44"/>
  <c r="G109" i="44"/>
  <c r="G106" i="44"/>
  <c r="C31" i="44"/>
  <c r="C138" i="44" s="1"/>
  <c r="C106" i="44"/>
  <c r="H122" i="44"/>
  <c r="H119" i="44"/>
  <c r="D80" i="44"/>
  <c r="K78" i="44"/>
  <c r="I106" i="44"/>
  <c r="I31" i="44"/>
  <c r="I138" i="44" s="1"/>
  <c r="G122" i="44"/>
  <c r="G119" i="44"/>
  <c r="I29" i="44"/>
  <c r="I136" i="44" s="1"/>
  <c r="G70" i="44"/>
  <c r="H28" i="44" s="1"/>
  <c r="H135" i="44" s="1"/>
  <c r="G67" i="44"/>
  <c r="F93" i="44"/>
  <c r="F96" i="44"/>
  <c r="E93" i="44"/>
  <c r="E96" i="44"/>
  <c r="C93" i="44"/>
  <c r="G96" i="44"/>
  <c r="G93" i="44"/>
  <c r="H96" i="44"/>
  <c r="H93" i="44"/>
  <c r="G41" i="44"/>
  <c r="G44" i="44"/>
  <c r="G45" i="44" s="1"/>
  <c r="H41" i="44"/>
  <c r="H44" i="44"/>
  <c r="H45" i="44" s="1"/>
  <c r="F41" i="44"/>
  <c r="F44" i="44"/>
  <c r="F45" i="44" s="1"/>
  <c r="E41" i="44"/>
  <c r="G29" i="44"/>
  <c r="G136" i="44" s="1"/>
  <c r="K39" i="44"/>
  <c r="E83" i="44"/>
  <c r="E80" i="44"/>
  <c r="G80" i="44"/>
  <c r="G83" i="44"/>
  <c r="H80" i="44"/>
  <c r="E67" i="44"/>
  <c r="E70" i="44"/>
  <c r="K40" i="44"/>
  <c r="E14" i="44" s="1"/>
  <c r="I67" i="44"/>
  <c r="I28" i="44"/>
  <c r="I135" i="44" s="1"/>
  <c r="C67" i="44"/>
  <c r="C28" i="44"/>
  <c r="C135" i="44" s="1"/>
  <c r="H57" i="44"/>
  <c r="H54" i="44"/>
  <c r="H67" i="44"/>
  <c r="H70" i="44"/>
  <c r="F67" i="44"/>
  <c r="F70" i="44"/>
  <c r="F83" i="44"/>
  <c r="F80" i="44"/>
  <c r="K121" i="57"/>
  <c r="K123" i="57" s="1"/>
  <c r="M122" i="58"/>
  <c r="M125" i="58" s="1"/>
  <c r="L122" i="58"/>
  <c r="L125" i="58" s="1"/>
  <c r="L126" i="60"/>
  <c r="H125" i="59"/>
  <c r="K125" i="58"/>
  <c r="M123" i="57"/>
  <c r="P126" i="61"/>
  <c r="P123" i="61"/>
  <c r="P124" i="61"/>
  <c r="H126" i="60"/>
  <c r="I127" i="61"/>
  <c r="P124" i="59"/>
  <c r="N125" i="59"/>
  <c r="N127" i="61"/>
  <c r="M126" i="60"/>
  <c r="K126" i="60"/>
  <c r="I126" i="60"/>
  <c r="K127" i="61"/>
  <c r="J121" i="57"/>
  <c r="J123" i="57" s="1"/>
  <c r="I125" i="59"/>
  <c r="K125" i="59"/>
  <c r="N126" i="60"/>
  <c r="J127" i="57"/>
  <c r="J122" i="60" s="1"/>
  <c r="J126" i="60" s="1"/>
  <c r="J126" i="57"/>
  <c r="J122" i="59" s="1"/>
  <c r="P122" i="59" s="1"/>
  <c r="J128" i="57"/>
  <c r="J122" i="61" s="1"/>
  <c r="J127" i="61" s="1"/>
  <c r="P122" i="57"/>
  <c r="P124" i="58"/>
  <c r="H123" i="57"/>
  <c r="P123" i="58"/>
  <c r="P125" i="60"/>
  <c r="M127" i="61"/>
  <c r="L151" i="46"/>
  <c r="L152" i="46"/>
  <c r="J125" i="58"/>
  <c r="P121" i="61"/>
  <c r="I125" i="58"/>
  <c r="P125" i="61"/>
  <c r="P123" i="60"/>
  <c r="P124" i="60"/>
  <c r="N233" i="46"/>
  <c r="P121" i="60"/>
  <c r="P123" i="54"/>
  <c r="L314" i="46"/>
  <c r="L312" i="46"/>
  <c r="L315" i="46"/>
  <c r="L313" i="46"/>
  <c r="P123" i="59"/>
  <c r="M125" i="59"/>
  <c r="L127" i="61"/>
  <c r="P121" i="59"/>
  <c r="L125" i="59"/>
  <c r="H125" i="58"/>
  <c r="H127" i="61"/>
  <c r="S26" i="64" l="1"/>
  <c r="V6" i="64" s="1"/>
  <c r="P26" i="64"/>
  <c r="S6" i="64" s="1"/>
  <c r="K26" i="64"/>
  <c r="N6" i="64" s="1"/>
  <c r="L26" i="64"/>
  <c r="O6" i="64" s="1"/>
  <c r="N26" i="64"/>
  <c r="Q6" i="64" s="1"/>
  <c r="M26" i="64"/>
  <c r="P6" i="64" s="1"/>
  <c r="T26" i="64"/>
  <c r="W6" i="64" s="1"/>
  <c r="G54" i="44"/>
  <c r="E54" i="44"/>
  <c r="H234" i="46"/>
  <c r="P124" i="54"/>
  <c r="I27" i="44"/>
  <c r="I134" i="44" s="1"/>
  <c r="J153" i="46"/>
  <c r="K119" i="44"/>
  <c r="K122" i="44"/>
  <c r="D20" i="44" s="1"/>
  <c r="K106" i="44"/>
  <c r="K53" i="44"/>
  <c r="E15" i="44" s="1"/>
  <c r="K70" i="44"/>
  <c r="D16" i="44" s="1"/>
  <c r="G58" i="44"/>
  <c r="H27" i="44"/>
  <c r="H134" i="44" s="1"/>
  <c r="D54" i="44"/>
  <c r="K54" i="44" s="1"/>
  <c r="F57" i="44"/>
  <c r="D27" i="44"/>
  <c r="D134" i="44" s="1"/>
  <c r="K41" i="44"/>
  <c r="K44" i="44"/>
  <c r="D14" i="44" s="1"/>
  <c r="N232" i="46"/>
  <c r="N234" i="46" s="1"/>
  <c r="K316" i="46"/>
  <c r="N73" i="46"/>
  <c r="E31" i="44"/>
  <c r="E138" i="44" s="1"/>
  <c r="K109" i="44"/>
  <c r="D19" i="44" s="1"/>
  <c r="E30" i="44"/>
  <c r="E137" i="44" s="1"/>
  <c r="K96" i="44"/>
  <c r="D18" i="44" s="1"/>
  <c r="F97" i="44"/>
  <c r="F30" i="44"/>
  <c r="F137" i="44" s="1"/>
  <c r="G123" i="44"/>
  <c r="G32" i="44"/>
  <c r="G139" i="44" s="1"/>
  <c r="G97" i="44"/>
  <c r="G30" i="44"/>
  <c r="G137" i="44" s="1"/>
  <c r="H110" i="44"/>
  <c r="H31" i="44"/>
  <c r="H138" i="44" s="1"/>
  <c r="F110" i="44"/>
  <c r="F31" i="44"/>
  <c r="F138" i="44" s="1"/>
  <c r="G110" i="44"/>
  <c r="G31" i="44"/>
  <c r="G138" i="44" s="1"/>
  <c r="H97" i="44"/>
  <c r="H30" i="44"/>
  <c r="H137" i="44" s="1"/>
  <c r="F123" i="44"/>
  <c r="F32" i="44"/>
  <c r="F139" i="44" s="1"/>
  <c r="H123" i="44"/>
  <c r="H32" i="44"/>
  <c r="H139" i="44" s="1"/>
  <c r="K79" i="44"/>
  <c r="E17" i="44" s="1"/>
  <c r="N28" i="47"/>
  <c r="D93" i="44"/>
  <c r="K93" i="44" s="1"/>
  <c r="D30" i="44"/>
  <c r="D137" i="44" s="1"/>
  <c r="D32" i="44"/>
  <c r="D139" i="44" s="1"/>
  <c r="K80" i="44"/>
  <c r="E110" i="44"/>
  <c r="G71" i="44"/>
  <c r="E97" i="44"/>
  <c r="E45" i="44"/>
  <c r="K45" i="44" s="1"/>
  <c r="H29" i="44"/>
  <c r="H136" i="44" s="1"/>
  <c r="G84" i="44"/>
  <c r="E84" i="44"/>
  <c r="E29" i="44"/>
  <c r="E136" i="44" s="1"/>
  <c r="G27" i="44"/>
  <c r="G134" i="44" s="1"/>
  <c r="H58" i="44"/>
  <c r="D28" i="44"/>
  <c r="D135" i="44" s="1"/>
  <c r="D67" i="44"/>
  <c r="K67" i="44" s="1"/>
  <c r="G28" i="44"/>
  <c r="G135" i="44" s="1"/>
  <c r="H71" i="44"/>
  <c r="F29" i="44"/>
  <c r="F136" i="44" s="1"/>
  <c r="F84" i="44"/>
  <c r="K83" i="44"/>
  <c r="D17" i="44" s="1"/>
  <c r="E16" i="44"/>
  <c r="E28" i="44"/>
  <c r="E135" i="44" s="1"/>
  <c r="E71" i="44"/>
  <c r="F28" i="44"/>
  <c r="F135" i="44" s="1"/>
  <c r="F71" i="44"/>
  <c r="P122" i="58"/>
  <c r="P125" i="58" s="1"/>
  <c r="P121" i="57"/>
  <c r="P123" i="57" s="1"/>
  <c r="J125" i="59"/>
  <c r="P122" i="61"/>
  <c r="P127" i="61" s="1"/>
  <c r="P122" i="60"/>
  <c r="P126" i="60" s="1"/>
  <c r="P125" i="59"/>
  <c r="N152" i="46"/>
  <c r="N314" i="46"/>
  <c r="N312" i="46"/>
  <c r="N231" i="46"/>
  <c r="N313" i="46"/>
  <c r="L316" i="46"/>
  <c r="N151" i="46"/>
  <c r="L153" i="46"/>
  <c r="N315" i="46"/>
  <c r="O26" i="64" l="1"/>
  <c r="R6" i="64" s="1"/>
  <c r="R26" i="64"/>
  <c r="U6" i="64" s="1"/>
  <c r="Q26" i="64"/>
  <c r="T6" i="64" s="1"/>
  <c r="O28" i="47"/>
  <c r="N30" i="47"/>
  <c r="L28" i="47"/>
  <c r="M28" i="47"/>
  <c r="K139" i="44"/>
  <c r="K123" i="44"/>
  <c r="K138" i="44"/>
  <c r="K110" i="44"/>
  <c r="K137" i="44"/>
  <c r="K97" i="44"/>
  <c r="K136" i="44"/>
  <c r="K135" i="44"/>
  <c r="K71" i="44"/>
  <c r="F58" i="44"/>
  <c r="F27" i="44"/>
  <c r="F134" i="44" s="1"/>
  <c r="K57" i="44"/>
  <c r="D15" i="44" s="1"/>
  <c r="J28" i="47"/>
  <c r="Q16" i="47"/>
  <c r="K84" i="44"/>
  <c r="N153" i="46"/>
  <c r="K28" i="47"/>
  <c r="N316" i="46"/>
  <c r="B26" i="67" l="1" a="1"/>
  <c r="J30" i="47"/>
  <c r="J43" i="47" s="1"/>
  <c r="O30" i="47"/>
  <c r="O43" i="47" s="1"/>
  <c r="O45" i="47" s="1"/>
  <c r="O58" i="47" s="1"/>
  <c r="K30" i="47"/>
  <c r="L30" i="47"/>
  <c r="M30" i="47"/>
  <c r="M43" i="47" s="1"/>
  <c r="N43" i="47"/>
  <c r="B26" i="67" l="1"/>
  <c r="B36" i="67"/>
  <c r="B56" i="67" s="1"/>
  <c r="B83" i="67" s="1"/>
  <c r="I83" i="67" s="1"/>
  <c r="B31" i="67"/>
  <c r="B51" i="67" s="1"/>
  <c r="B78" i="67" s="1"/>
  <c r="I78" i="67" s="1"/>
  <c r="B29" i="67"/>
  <c r="B49" i="67" s="1"/>
  <c r="B76" i="67" s="1"/>
  <c r="I76" i="67" s="1"/>
  <c r="B32" i="67"/>
  <c r="B52" i="67" s="1"/>
  <c r="B79" i="67" s="1"/>
  <c r="I79" i="67" s="1"/>
  <c r="B27" i="67"/>
  <c r="B47" i="67" s="1"/>
  <c r="B74" i="67" s="1"/>
  <c r="I74" i="67" s="1"/>
  <c r="B28" i="67"/>
  <c r="B48" i="67" s="1"/>
  <c r="B75" i="67" s="1"/>
  <c r="I75" i="67" s="1"/>
  <c r="B34" i="67"/>
  <c r="B54" i="67" s="1"/>
  <c r="B81" i="67" s="1"/>
  <c r="I81" i="67" s="1"/>
  <c r="B33" i="67"/>
  <c r="B53" i="67" s="1"/>
  <c r="B80" i="67" s="1"/>
  <c r="I80" i="67" s="1"/>
  <c r="B35" i="67"/>
  <c r="B55" i="67" s="1"/>
  <c r="B82" i="67" s="1"/>
  <c r="I82" i="67" s="1"/>
  <c r="B30" i="67"/>
  <c r="B50" i="67" s="1"/>
  <c r="I77" i="67" s="1"/>
  <c r="B37" i="67"/>
  <c r="B57" i="67" s="1"/>
  <c r="B84" i="67" s="1"/>
  <c r="N45" i="47"/>
  <c r="N58" i="47" s="1"/>
  <c r="H23" i="43" s="1"/>
  <c r="M45" i="47"/>
  <c r="M58" i="47" s="1"/>
  <c r="G23" i="43" s="1"/>
  <c r="J45" i="47"/>
  <c r="J58" i="47" s="1"/>
  <c r="D23" i="43" s="1"/>
  <c r="L43" i="47"/>
  <c r="L45" i="47" l="1"/>
  <c r="L58" i="47" s="1"/>
  <c r="F23" i="43" s="1"/>
  <c r="I34" i="47" l="1"/>
  <c r="I24" i="47"/>
  <c r="Q24" i="47" s="1"/>
  <c r="I54" i="47"/>
  <c r="I19" i="47"/>
  <c r="Q19" i="47" s="1"/>
  <c r="I52" i="47"/>
  <c r="I42" i="47"/>
  <c r="I25" i="47"/>
  <c r="Q25" i="47" s="1"/>
  <c r="I35" i="47"/>
  <c r="I47" i="47"/>
  <c r="I20" i="47"/>
  <c r="Q20" i="47" s="1"/>
  <c r="I57" i="47"/>
  <c r="I50" i="47"/>
  <c r="I36" i="47"/>
  <c r="I18" i="47"/>
  <c r="Q18" i="47" s="1"/>
  <c r="I33" i="47"/>
  <c r="I37" i="47"/>
  <c r="I38" i="47"/>
  <c r="I31" i="47"/>
  <c r="I41" i="47"/>
  <c r="I56" i="47"/>
  <c r="I49" i="47"/>
  <c r="I39" i="47"/>
  <c r="I46" i="47"/>
  <c r="I32" i="47"/>
  <c r="I51" i="47"/>
  <c r="I27" i="47"/>
  <c r="Q27" i="47" s="1"/>
  <c r="I23" i="47"/>
  <c r="Q23" i="47" s="1"/>
  <c r="I17" i="47"/>
  <c r="I53" i="47"/>
  <c r="I22" i="47"/>
  <c r="Q22" i="47" s="1"/>
  <c r="I55" i="47"/>
  <c r="I26" i="47"/>
  <c r="Q26" i="47" s="1"/>
  <c r="I21" i="47"/>
  <c r="Q21" i="47" s="1"/>
  <c r="I48" i="47"/>
  <c r="I40" i="47"/>
  <c r="I73" i="67"/>
  <c r="E58" i="44"/>
  <c r="K58" i="44" s="1"/>
  <c r="E27" i="44"/>
  <c r="E134" i="44" s="1"/>
  <c r="K134" i="44" s="1"/>
  <c r="C22" i="43" l="1"/>
  <c r="I22" i="43" s="1"/>
  <c r="I28" i="47"/>
  <c r="I30" i="47" s="1"/>
  <c r="I43" i="47" s="1"/>
  <c r="I45" i="47" s="1"/>
  <c r="I58" i="47" s="1"/>
  <c r="C23" i="43" s="1"/>
  <c r="Q17" i="47"/>
  <c r="Q28" i="47" s="1"/>
  <c r="Q30" i="47" s="1"/>
  <c r="K56" i="44"/>
  <c r="Q53" i="47" l="1"/>
  <c r="Q33" i="47"/>
  <c r="Q40" i="47"/>
  <c r="Q38" i="47"/>
  <c r="Q54" i="47"/>
  <c r="Q34" i="47"/>
  <c r="Q55" i="47"/>
  <c r="Q51" i="47"/>
  <c r="Q37" i="47"/>
  <c r="Q36" i="47"/>
  <c r="Q50" i="47"/>
  <c r="Q49" i="47"/>
  <c r="Q35" i="47"/>
  <c r="Q39" i="47"/>
  <c r="Q48" i="47"/>
  <c r="Q57" i="47"/>
  <c r="Q46" i="47"/>
  <c r="Q47" i="47"/>
  <c r="Q52" i="47"/>
  <c r="Q42" i="47"/>
  <c r="Q32" i="47"/>
  <c r="Q41" i="47"/>
  <c r="Q56" i="47"/>
  <c r="Q31" i="47" l="1"/>
  <c r="Q43" i="47" s="1"/>
  <c r="K43" i="47"/>
  <c r="K45" i="47" l="1"/>
  <c r="K58" i="47" s="1"/>
  <c r="E23" i="43" s="1"/>
  <c r="I23" i="43" s="1"/>
  <c r="Q45" i="47"/>
  <c r="Q58" i="47" s="1"/>
  <c r="C24" i="43" l="1"/>
  <c r="F24" i="43"/>
  <c r="E24" i="43"/>
  <c r="G24" i="43"/>
  <c r="H24" i="43"/>
  <c r="D24" i="43"/>
  <c r="I24" i="43" l="1"/>
  <c r="H14" i="43" s="1"/>
</calcChain>
</file>

<file path=xl/comments1.xml><?xml version="1.0" encoding="utf-8"?>
<comments xmlns="http://schemas.openxmlformats.org/spreadsheetml/2006/main">
  <authors>
    <author>Keith Ritchie</author>
  </authors>
  <commentList>
    <comment ref="E23" authorId="0" shapeId="0">
      <text>
        <r>
          <rPr>
            <b/>
            <sz val="9"/>
            <color indexed="81"/>
            <rFont val="Tahoma"/>
            <family val="2"/>
          </rPr>
          <t>Keith Ritchie:</t>
        </r>
        <r>
          <rPr>
            <sz val="9"/>
            <color indexed="81"/>
            <rFont val="Tahoma"/>
            <family val="2"/>
          </rPr>
          <t xml:space="preserve">
As a suggestion, we could use this as a means of communication what we want - and that utilities should not be filling out certain pages for these applications. The parenthesis can be altered to align with the applicable sheets.</t>
        </r>
      </text>
    </comment>
  </commentList>
</comments>
</file>

<file path=xl/comments10.xml><?xml version="1.0" encoding="utf-8"?>
<comments xmlns="http://schemas.openxmlformats.org/spreadsheetml/2006/main">
  <authors>
    <author>Josh Wasylyk</author>
    <author>Judy But</author>
    <author>Keith Ritchie</author>
  </authors>
  <commentList>
    <comment ref="E4" authorId="0" shape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shapeId="0">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2" authorId="1" shapeId="0">
      <text>
        <r>
          <rPr>
            <sz val="9"/>
            <color indexed="81"/>
            <rFont val="Tahoma"/>
            <family val="2"/>
          </rPr>
          <t>Adjust formulas as needed.</t>
        </r>
      </text>
    </comment>
    <comment ref="I112" authorId="1" shapeId="0">
      <text>
        <r>
          <rPr>
            <sz val="9"/>
            <color indexed="81"/>
            <rFont val="Tahoma"/>
            <family val="2"/>
          </rPr>
          <t>Adjust formulas as needed.</t>
        </r>
      </text>
    </comment>
    <comment ref="N112" authorId="2" shapeId="0">
      <text>
        <r>
          <rPr>
            <b/>
            <sz val="9"/>
            <color indexed="81"/>
            <rFont val="Tahoma"/>
            <family val="2"/>
          </rPr>
          <t>Keith Ritchie:</t>
        </r>
        <r>
          <rPr>
            <sz val="9"/>
            <color indexed="81"/>
            <rFont val="Tahoma"/>
            <family val="2"/>
          </rPr>
          <t xml:space="preserve">
Ibid, regarding colours.</t>
        </r>
      </text>
    </comment>
    <comment ref="J113" authorId="1" shapeId="0">
      <text>
        <r>
          <rPr>
            <sz val="9"/>
            <color indexed="81"/>
            <rFont val="Tahoma"/>
            <family val="2"/>
          </rPr>
          <t>Adjust formulas as needed.</t>
        </r>
      </text>
    </comment>
    <comment ref="C114" authorId="1" shapeId="0">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8" authorId="1" shapeId="0">
      <text>
        <r>
          <rPr>
            <sz val="9"/>
            <color indexed="81"/>
            <rFont val="Tahoma"/>
            <family val="2"/>
          </rPr>
          <t>Please use the applicable information for legacy program persistence into the 2015-2020 term, as provided by IESO.</t>
        </r>
      </text>
    </comment>
  </commentList>
</comments>
</file>

<file path=xl/comments11.xml><?xml version="1.0" encoding="utf-8"?>
<comments xmlns="http://schemas.openxmlformats.org/spreadsheetml/2006/main">
  <authors>
    <author>Josh Wasylyk</author>
    <author>Judy But</author>
    <author>Keith Ritchie</author>
  </authors>
  <commentList>
    <comment ref="E4" authorId="0" shape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shapeId="0">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shapeId="0">
      <text>
        <r>
          <rPr>
            <sz val="9"/>
            <color indexed="81"/>
            <rFont val="Tahoma"/>
            <family val="2"/>
          </rPr>
          <t>Adjust formulas as needed.</t>
        </r>
      </text>
    </comment>
    <comment ref="I111" authorId="1" shapeId="0">
      <text>
        <r>
          <rPr>
            <sz val="9"/>
            <color indexed="81"/>
            <rFont val="Tahoma"/>
            <family val="2"/>
          </rPr>
          <t>Adjust formulas as needed.</t>
        </r>
      </text>
    </comment>
    <comment ref="N111" authorId="2" shapeId="0">
      <text>
        <r>
          <rPr>
            <b/>
            <sz val="9"/>
            <color indexed="81"/>
            <rFont val="Tahoma"/>
            <family val="2"/>
          </rPr>
          <t>Keith Ritchie:</t>
        </r>
        <r>
          <rPr>
            <sz val="9"/>
            <color indexed="81"/>
            <rFont val="Tahoma"/>
            <family val="2"/>
          </rPr>
          <t xml:space="preserve">
Ibid,</t>
        </r>
      </text>
    </comment>
    <comment ref="J112" authorId="1" shapeId="0">
      <text>
        <r>
          <rPr>
            <sz val="9"/>
            <color indexed="81"/>
            <rFont val="Tahoma"/>
            <family val="2"/>
          </rPr>
          <t>Adjust formulas as needed.</t>
        </r>
      </text>
    </comment>
    <comment ref="C113" authorId="1" shapeId="0">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shapeId="0">
      <text>
        <r>
          <rPr>
            <sz val="9"/>
            <color indexed="81"/>
            <rFont val="Tahoma"/>
            <family val="2"/>
          </rPr>
          <t>Please use the applicable information for legacy program persistence into the 2015-2020 term, as provided by IESO.</t>
        </r>
      </text>
    </comment>
  </commentList>
</comments>
</file>

<file path=xl/comments12.xml><?xml version="1.0" encoding="utf-8"?>
<comments xmlns="http://schemas.openxmlformats.org/spreadsheetml/2006/main">
  <authors>
    <author>Josh Wasylyk</author>
    <author>Judy But</author>
    <author>Keith Ritchie</author>
  </authors>
  <commentList>
    <comment ref="E4" authorId="0" shape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shapeId="0">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shapeId="0">
      <text>
        <r>
          <rPr>
            <sz val="9"/>
            <color indexed="81"/>
            <rFont val="Tahoma"/>
            <family val="2"/>
          </rPr>
          <t>Adjust formulas as needed.</t>
        </r>
      </text>
    </comment>
    <comment ref="I111" authorId="1" shapeId="0">
      <text>
        <r>
          <rPr>
            <sz val="9"/>
            <color indexed="81"/>
            <rFont val="Tahoma"/>
            <family val="2"/>
          </rPr>
          <t>Adjust formulas as needed.</t>
        </r>
      </text>
    </comment>
    <comment ref="N111" authorId="2" shapeId="0">
      <text>
        <r>
          <rPr>
            <b/>
            <sz val="9"/>
            <color indexed="81"/>
            <rFont val="Tahoma"/>
            <family val="2"/>
          </rPr>
          <t>Keith Ritchie:</t>
        </r>
        <r>
          <rPr>
            <sz val="9"/>
            <color indexed="81"/>
            <rFont val="Tahoma"/>
            <family val="2"/>
          </rPr>
          <t xml:space="preserve">
Ibid.</t>
        </r>
      </text>
    </comment>
    <comment ref="J112" authorId="1" shapeId="0">
      <text>
        <r>
          <rPr>
            <sz val="9"/>
            <color indexed="81"/>
            <rFont val="Tahoma"/>
            <family val="2"/>
          </rPr>
          <t>Adjust formulas as needed.</t>
        </r>
      </text>
    </comment>
    <comment ref="C113" authorId="1" shapeId="0">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shapeId="0">
      <text>
        <r>
          <rPr>
            <sz val="9"/>
            <color indexed="81"/>
            <rFont val="Tahoma"/>
            <family val="2"/>
          </rPr>
          <t>Please use the applicable information for legacy program persistence into the 2015-2020 term, as provided by IESO.</t>
        </r>
      </text>
    </comment>
  </commentList>
</comments>
</file>

<file path=xl/comments13.xml><?xml version="1.0" encoding="utf-8"?>
<comments xmlns="http://schemas.openxmlformats.org/spreadsheetml/2006/main">
  <authors>
    <author>Josh Wasylyk</author>
    <author>Judy But</author>
    <author>Keith Ritchie</author>
  </authors>
  <commentList>
    <comment ref="E4" authorId="0" shape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shapeId="0">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shapeId="0">
      <text>
        <r>
          <rPr>
            <sz val="9"/>
            <color indexed="81"/>
            <rFont val="Tahoma"/>
            <family val="2"/>
          </rPr>
          <t>Adjust formulas as needed.</t>
        </r>
      </text>
    </comment>
    <comment ref="I111" authorId="1" shapeId="0">
      <text>
        <r>
          <rPr>
            <sz val="9"/>
            <color indexed="81"/>
            <rFont val="Tahoma"/>
            <family val="2"/>
          </rPr>
          <t>Adjust formulas as needed.</t>
        </r>
      </text>
    </comment>
    <comment ref="N111" authorId="2" shapeId="0">
      <text>
        <r>
          <rPr>
            <b/>
            <sz val="9"/>
            <color indexed="81"/>
            <rFont val="Tahoma"/>
            <family val="2"/>
          </rPr>
          <t>Keith Ritchie:</t>
        </r>
        <r>
          <rPr>
            <sz val="9"/>
            <color indexed="81"/>
            <rFont val="Tahoma"/>
            <family val="2"/>
          </rPr>
          <t xml:space="preserve">
Ibid.</t>
        </r>
      </text>
    </comment>
    <comment ref="J112" authorId="1" shapeId="0">
      <text>
        <r>
          <rPr>
            <sz val="9"/>
            <color indexed="81"/>
            <rFont val="Tahoma"/>
            <family val="2"/>
          </rPr>
          <t>Adjust formulas as needed.</t>
        </r>
      </text>
    </comment>
    <comment ref="C113" authorId="1" shapeId="0">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shapeId="0">
      <text>
        <r>
          <rPr>
            <sz val="9"/>
            <color indexed="81"/>
            <rFont val="Tahoma"/>
            <family val="2"/>
          </rPr>
          <t>Please use the applicable information for legacy program persistence into the 2015-2020 term, as provided by IESO.</t>
        </r>
      </text>
    </comment>
  </commentList>
</comments>
</file>

<file path=xl/comments14.xml><?xml version="1.0" encoding="utf-8"?>
<comments xmlns="http://schemas.openxmlformats.org/spreadsheetml/2006/main">
  <authors>
    <author>Judy But</author>
  </authors>
  <commentList>
    <comment ref="P15" authorId="0" shapeId="0">
      <text>
        <r>
          <rPr>
            <b/>
            <sz val="9"/>
            <color indexed="81"/>
            <rFont val="Tahoma"/>
            <family val="2"/>
          </rPr>
          <t>OEB Staff:</t>
        </r>
        <r>
          <rPr>
            <sz val="9"/>
            <color indexed="81"/>
            <rFont val="Tahoma"/>
            <family val="2"/>
          </rPr>
          <t xml:space="preserve">
LDCs are to update the billing classifications as needed.
</t>
        </r>
      </text>
    </comment>
  </commentList>
</comments>
</file>

<file path=xl/comments2.xml><?xml version="1.0" encoding="utf-8"?>
<comments xmlns="http://schemas.openxmlformats.org/spreadsheetml/2006/main">
  <authors>
    <author>Judy But</author>
  </authors>
  <commentList>
    <comment ref="D8" authorId="0" shapeId="0">
      <text>
        <r>
          <rPr>
            <b/>
            <sz val="9"/>
            <color indexed="81"/>
            <rFont val="Tahoma"/>
            <family val="2"/>
          </rPr>
          <t>OEB Staff:</t>
        </r>
        <r>
          <rPr>
            <sz val="9"/>
            <color indexed="81"/>
            <rFont val="Tahoma"/>
            <family val="2"/>
          </rPr>
          <t xml:space="preserve">
Please enter the EB-number of the Cost of Service or 
IRM application in which LRAMVA disposition is being sought.</t>
        </r>
      </text>
    </comment>
    <comment ref="H9" authorId="0" shapeId="0">
      <text>
        <r>
          <rPr>
            <b/>
            <sz val="9"/>
            <color indexed="81"/>
            <rFont val="Tahoma"/>
            <family val="2"/>
          </rPr>
          <t>OEB Staff:</t>
        </r>
        <r>
          <rPr>
            <sz val="9"/>
            <color indexed="81"/>
            <rFont val="Tahoma"/>
            <family val="2"/>
          </rPr>
          <t xml:space="preserve">
LDCs should indicate the amount of LRAM claimed in the past may update outstanding LRAM claims, as appropriate, on the template forms.  </t>
        </r>
      </text>
    </comment>
    <comment ref="H14" authorId="0" shapeId="0">
      <text>
        <r>
          <rPr>
            <b/>
            <sz val="9"/>
            <color indexed="81"/>
            <rFont val="Tahoma"/>
            <family val="2"/>
          </rPr>
          <t>OEB Staff:</t>
        </r>
        <r>
          <rPr>
            <sz val="9"/>
            <color indexed="81"/>
            <rFont val="Tahoma"/>
            <family val="2"/>
          </rPr>
          <t xml:space="preserve">
LDC to link to appropriate periods of the claim from the table below.  For example, link to the years in which LRAM is claimed.</t>
        </r>
      </text>
    </comment>
    <comment ref="H15" authorId="0" shapeId="0">
      <text>
        <r>
          <rPr>
            <b/>
            <sz val="9"/>
            <color indexed="81"/>
            <rFont val="Tahoma"/>
            <family val="2"/>
          </rPr>
          <t>OEB Staff:</t>
        </r>
        <r>
          <rPr>
            <sz val="9"/>
            <color indexed="81"/>
            <rFont val="Tahoma"/>
            <family val="2"/>
          </rPr>
          <t xml:space="preserve">
Please insert the number of years the LRAM claim is proposed to be recovered over.</t>
        </r>
      </text>
    </comment>
    <comment ref="B23" authorId="0" shapeId="0">
      <text>
        <r>
          <rPr>
            <b/>
            <sz val="9"/>
            <color indexed="81"/>
            <rFont val="Tahoma"/>
            <family val="2"/>
          </rPr>
          <t>OEB Staff:</t>
        </r>
        <r>
          <rPr>
            <sz val="9"/>
            <color indexed="81"/>
            <rFont val="Tahoma"/>
            <family val="2"/>
          </rPr>
          <t xml:space="preserve">
Please link to the appropriate year in</t>
        </r>
        <r>
          <rPr>
            <b/>
            <sz val="9"/>
            <color indexed="81"/>
            <rFont val="Tahoma"/>
            <family val="2"/>
          </rPr>
          <t xml:space="preserve"> Tab 7</t>
        </r>
        <r>
          <rPr>
            <sz val="9"/>
            <color indexed="81"/>
            <rFont val="Tahoma"/>
            <family val="2"/>
          </rPr>
          <t xml:space="preserve"> (Carrying Charges) in which the disposition of carrying charges on LRAM is made.
Clearing of the carrying charges will take place in </t>
        </r>
        <r>
          <rPr>
            <b/>
            <sz val="9"/>
            <color indexed="81"/>
            <rFont val="Tahoma"/>
            <family val="2"/>
          </rPr>
          <t>Tab 7, Table 15</t>
        </r>
        <r>
          <rPr>
            <sz val="9"/>
            <color indexed="81"/>
            <rFont val="Tahoma"/>
            <family val="2"/>
          </rPr>
          <t xml:space="preserve"> in the "Amount Cleared" row.</t>
        </r>
      </text>
    </comment>
  </commentList>
</comments>
</file>

<file path=xl/comments3.xml><?xml version="1.0" encoding="utf-8"?>
<comments xmlns="http://schemas.openxmlformats.org/spreadsheetml/2006/main">
  <authors>
    <author>Josh Wasylyk</author>
    <author>Judy But</author>
  </authors>
  <commentList>
    <comment ref="B11" authorId="0" shapeId="0">
      <text>
        <r>
          <rPr>
            <b/>
            <sz val="9"/>
            <color indexed="81"/>
            <rFont val="Tahoma"/>
            <family val="2"/>
          </rPr>
          <t>OEB Staff:</t>
        </r>
        <r>
          <rPr>
            <sz val="9"/>
            <color indexed="81"/>
            <rFont val="Tahoma"/>
            <family val="2"/>
          </rPr>
          <t xml:space="preserve">
LDCs to input values included in the Table: Amounts used for CDM Threshold for LRAMVA from Appendix 2-I_LF_CDM</t>
        </r>
      </text>
    </comment>
    <comment ref="B13" authorId="1" shapeId="0">
      <text>
        <r>
          <rPr>
            <b/>
            <sz val="9"/>
            <color indexed="81"/>
            <rFont val="Tahoma"/>
            <family val="2"/>
          </rPr>
          <t xml:space="preserve">OEB Staff:
</t>
        </r>
        <r>
          <rPr>
            <sz val="9"/>
            <color indexed="81"/>
            <rFont val="Tahoma"/>
            <family val="2"/>
          </rPr>
          <t>LDCs to input CDM savings values beginning the most recent year the LDC rebased.</t>
        </r>
        <r>
          <rPr>
            <sz val="9"/>
            <color indexed="81"/>
            <rFont val="Tahoma"/>
            <family val="2"/>
          </rPr>
          <t xml:space="preserve">
</t>
        </r>
      </text>
    </comment>
    <comment ref="B24" authorId="1" shapeId="0">
      <text>
        <r>
          <rPr>
            <b/>
            <sz val="9"/>
            <color indexed="81"/>
            <rFont val="Tahoma"/>
            <family val="2"/>
          </rPr>
          <t>OEB Staff:</t>
        </r>
        <r>
          <rPr>
            <sz val="9"/>
            <color indexed="81"/>
            <rFont val="Tahoma"/>
            <family val="2"/>
          </rPr>
          <t xml:space="preserve">
LDCs should begin to include CDM savings by rate class in the most recent year it rebased to match </t>
        </r>
        <r>
          <rPr>
            <b/>
            <sz val="9"/>
            <color indexed="81"/>
            <rFont val="Tahoma"/>
            <family val="2"/>
          </rPr>
          <t>Table 2</t>
        </r>
        <r>
          <rPr>
            <sz val="9"/>
            <color indexed="81"/>
            <rFont val="Tahoma"/>
            <family val="2"/>
          </rPr>
          <t xml:space="preserve"> above.</t>
        </r>
      </text>
    </comment>
  </commentList>
</comments>
</file>

<file path=xl/comments4.xml><?xml version="1.0" encoding="utf-8"?>
<comments xmlns="http://schemas.openxmlformats.org/spreadsheetml/2006/main">
  <authors>
    <author>Edolzhen</author>
  </authors>
  <commentList>
    <comment ref="E5" authorId="0" shapeId="0">
      <text>
        <r>
          <rPr>
            <b/>
            <sz val="9"/>
            <color indexed="81"/>
            <rFont val="Tahoma"/>
            <family val="2"/>
          </rPr>
          <t>Edolzhen:</t>
        </r>
        <r>
          <rPr>
            <sz val="9"/>
            <color indexed="81"/>
            <rFont val="Tahoma"/>
            <family val="2"/>
          </rPr>
          <t xml:space="preserve">
No CDM Forecast embedded in 2011 OEB-approved Load Forecast</t>
        </r>
      </text>
    </comment>
  </commentList>
</comments>
</file>

<file path=xl/comments5.xml><?xml version="1.0" encoding="utf-8"?>
<comments xmlns="http://schemas.openxmlformats.org/spreadsheetml/2006/main">
  <authors>
    <author>Judy But</author>
  </authors>
  <commentList>
    <comment ref="D16" authorId="0" shapeId="0">
      <text>
        <r>
          <rPr>
            <b/>
            <sz val="9"/>
            <color indexed="81"/>
            <rFont val="Tahoma"/>
            <family val="2"/>
          </rPr>
          <t>OEB Staff:</t>
        </r>
        <r>
          <rPr>
            <sz val="9"/>
            <color indexed="81"/>
            <rFont val="Tahoma"/>
            <family val="2"/>
          </rPr>
          <t xml:space="preserve">
These are example rate years.  The utility should update as appropriate.</t>
        </r>
      </text>
    </comment>
  </commentList>
</comments>
</file>

<file path=xl/comments6.xml><?xml version="1.0" encoding="utf-8"?>
<comments xmlns="http://schemas.openxmlformats.org/spreadsheetml/2006/main">
  <authors>
    <author>Judy But</author>
    <author>Josh Wasylyk</author>
    <author>nmodhi</author>
  </authors>
  <commentList>
    <comment ref="F19" authorId="0" shapeId="0">
      <text>
        <r>
          <rPr>
            <b/>
            <sz val="9"/>
            <color indexed="81"/>
            <rFont val="Tahoma"/>
            <family val="2"/>
          </rPr>
          <t>OEB Staff:</t>
        </r>
        <r>
          <rPr>
            <sz val="9"/>
            <color indexed="81"/>
            <rFont val="Tahoma"/>
            <family val="2"/>
          </rPr>
          <t xml:space="preserve">
LDCs to update the IESO approved savings by program as appropriate.</t>
        </r>
      </text>
    </comment>
    <comment ref="C30" authorId="0" shapeId="0">
      <text>
        <r>
          <rPr>
            <b/>
            <sz val="9"/>
            <color indexed="81"/>
            <rFont val="Tahoma"/>
            <family val="2"/>
          </rPr>
          <t>OEB Staff:</t>
        </r>
        <r>
          <rPr>
            <sz val="9"/>
            <color indexed="81"/>
            <rFont val="Tahoma"/>
            <family val="2"/>
          </rPr>
          <t xml:space="preserve">
Adjustments should be applied to the year that LRAM is claimed was related to.  For example, adjustments to 2011 results should be shown as part of the calculation of 2011 lost revenues.  In the event that the utility uses initiative level adjustments, these calculations can be done in a separate worksheet and included here.</t>
        </r>
      </text>
    </comment>
    <comment ref="C67" authorId="1" shapeId="0">
      <text>
        <r>
          <rPr>
            <b/>
            <sz val="9"/>
            <color indexed="81"/>
            <rFont val="Tahoma"/>
            <family val="2"/>
          </rPr>
          <t xml:space="preserve">OEB Staff:
</t>
        </r>
        <r>
          <rPr>
            <sz val="9"/>
            <color indexed="81"/>
            <rFont val="Tahoma"/>
            <family val="2"/>
          </rPr>
          <t>All total rows should be adjusted to match the rate allocations for each LDC.  The formulas included here act as an example.</t>
        </r>
      </text>
    </comment>
    <comment ref="K69" authorId="0" shapeId="0">
      <text>
        <r>
          <rPr>
            <b/>
            <sz val="9"/>
            <color indexed="81"/>
            <rFont val="Tahoma"/>
            <family val="2"/>
          </rPr>
          <t>OEB Staff:</t>
        </r>
        <r>
          <rPr>
            <sz val="9"/>
            <color indexed="81"/>
            <rFont val="Tahoma"/>
            <family val="2"/>
          </rPr>
          <t xml:space="preserve">
Excludes demand response</t>
        </r>
      </text>
    </comment>
    <comment ref="C74" authorId="0" shapeId="0">
      <text>
        <r>
          <rPr>
            <b/>
            <sz val="9"/>
            <color indexed="81"/>
            <rFont val="Tahoma"/>
            <family val="2"/>
          </rPr>
          <t>OEB Staff:</t>
        </r>
        <r>
          <rPr>
            <sz val="9"/>
            <color indexed="81"/>
            <rFont val="Tahoma"/>
            <family val="2"/>
          </rPr>
          <t xml:space="preserve">
Persisting savings will be applied for subsequent years when determining total LRAM claims.</t>
        </r>
      </text>
    </comment>
    <comment ref="C75" authorId="1" shapeId="0">
      <text>
        <r>
          <rPr>
            <b/>
            <sz val="9"/>
            <color indexed="81"/>
            <rFont val="Tahoma"/>
            <family val="2"/>
          </rPr>
          <t xml:space="preserve">OEB Staff:
</t>
        </r>
        <r>
          <rPr>
            <sz val="9"/>
            <color indexed="81"/>
            <rFont val="Tahoma"/>
            <family val="2"/>
          </rPr>
          <t xml:space="preserve">The work form has been built to show persisting savings into all future years.  This will not be applicable for all LDCs.  Persisting savings are only eligible until the LDC rebases.  </t>
        </r>
        <r>
          <rPr>
            <b/>
            <sz val="9"/>
            <color indexed="81"/>
            <rFont val="Tahoma"/>
            <family val="2"/>
          </rPr>
          <t>Following the approval of a new load forecast, all future year persisting savings must be removed from this work form.</t>
        </r>
        <r>
          <rPr>
            <sz val="9"/>
            <color indexed="81"/>
            <rFont val="Tahoma"/>
            <family val="2"/>
          </rPr>
          <t xml:space="preserve">  These savings will be incorporated into the load forecast. For example, if an LDC rebases in 2014, all persisting savings beyond 2014 are not eligible to be recovered. </t>
        </r>
      </text>
    </comment>
    <comment ref="C145" authorId="0" shapeId="0">
      <text>
        <r>
          <rPr>
            <b/>
            <sz val="9"/>
            <color indexed="81"/>
            <rFont val="Tahoma"/>
            <family val="2"/>
          </rPr>
          <t xml:space="preserve">OEB Staff:
</t>
        </r>
        <r>
          <rPr>
            <sz val="9"/>
            <color indexed="81"/>
            <rFont val="Tahoma"/>
            <family val="2"/>
          </rPr>
          <t xml:space="preserve">All total rows should be adjusted to match the rate allocations for each LDC.  The formulas included here act as an example.
</t>
        </r>
      </text>
    </comment>
    <comment ref="K147" authorId="0" shapeId="0">
      <text>
        <r>
          <rPr>
            <b/>
            <sz val="9"/>
            <color indexed="81"/>
            <rFont val="Tahoma"/>
            <family val="2"/>
          </rPr>
          <t>OEB Staff:</t>
        </r>
        <r>
          <rPr>
            <sz val="9"/>
            <color indexed="81"/>
            <rFont val="Tahoma"/>
            <family val="2"/>
          </rPr>
          <t xml:space="preserve">
Excludes demand response savings</t>
        </r>
      </text>
    </comment>
    <comment ref="C225" authorId="0" shape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 ref="E265" authorId="2" shapeId="0">
      <text>
        <r>
          <rPr>
            <b/>
            <sz val="9"/>
            <color indexed="81"/>
            <rFont val="Tahoma"/>
            <family val="2"/>
          </rPr>
          <t>nmodhi:</t>
        </r>
        <r>
          <rPr>
            <sz val="9"/>
            <color indexed="81"/>
            <rFont val="Tahoma"/>
            <family val="2"/>
          </rPr>
          <t xml:space="preserve">
To align with rates submission</t>
        </r>
      </text>
    </comment>
    <comment ref="C306" authorId="0" shape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List>
</comments>
</file>

<file path=xl/comments7.xml><?xml version="1.0" encoding="utf-8"?>
<comments xmlns="http://schemas.openxmlformats.org/spreadsheetml/2006/main">
  <authors>
    <author>Josh Wasylyk</author>
  </authors>
  <commentList>
    <comment ref="D23" authorId="0" shapeId="0">
      <text>
        <r>
          <rPr>
            <sz val="9"/>
            <color indexed="81"/>
            <rFont val="Tahoma"/>
            <family val="2"/>
          </rPr>
          <t xml:space="preserve">The persistence factor tables shows the level of savings from one year that will carry forward (or persist) into subsequent years.
</t>
        </r>
      </text>
    </comment>
  </commentList>
</comments>
</file>

<file path=xl/comments8.xml><?xml version="1.0" encoding="utf-8"?>
<comments xmlns="http://schemas.openxmlformats.org/spreadsheetml/2006/main">
  <authors>
    <author>Judy But</author>
    <author>Josh Wasylyk</author>
  </authors>
  <commentList>
    <comment ref="I16" authorId="0" shapeId="0">
      <text>
        <r>
          <rPr>
            <b/>
            <sz val="9"/>
            <color indexed="81"/>
            <rFont val="Tahoma"/>
            <family val="2"/>
          </rPr>
          <t>OEB Staff:</t>
        </r>
        <r>
          <rPr>
            <sz val="9"/>
            <color indexed="81"/>
            <rFont val="Tahoma"/>
            <family val="2"/>
          </rPr>
          <t xml:space="preserve">
LDC to adjust the rate allocations by class (columns h to n).  Please insert IESO verified savings for applicable programs (columns f to g). </t>
        </r>
      </text>
    </comment>
    <comment ref="C25" authorId="0" shapeId="0">
      <text>
        <r>
          <rPr>
            <b/>
            <sz val="9"/>
            <color indexed="81"/>
            <rFont val="Tahoma"/>
            <family val="2"/>
          </rPr>
          <t xml:space="preserve">OEB Staff:
</t>
        </r>
        <r>
          <rPr>
            <sz val="9"/>
            <color indexed="81"/>
            <rFont val="Tahoma"/>
            <family val="2"/>
          </rPr>
          <t xml:space="preserve">Adjustments should be applied to the year that LRAM is claimed was related to.  For example, adjustments to 2015 results should be shown as part of the calculation of 2015 lost revenues.  In the event that the utility uses initiative level adjustments, these calculations can be done in a separate worksheet and included here.
</t>
        </r>
      </text>
    </comment>
    <comment ref="C109" authorId="1" shapeId="0">
      <text>
        <r>
          <rPr>
            <b/>
            <sz val="9"/>
            <color indexed="81"/>
            <rFont val="Tahoma"/>
            <family val="2"/>
          </rPr>
          <t xml:space="preserve">OEB Staff:
</t>
        </r>
        <r>
          <rPr>
            <sz val="9"/>
            <color indexed="81"/>
            <rFont val="Tahoma"/>
            <family val="2"/>
          </rPr>
          <t>For LDCs that receive adjustments from the IESO to 2015 results after the 2015 claims are made, the LDC will need to make a claim for the 2015 adjustments as part of its application for 2015 (or later) LRAM amounts.  To prevent this situation,  LDCs may want to wait until the results for any given year, including adjustments, have been provided to avoid filing for recovery of lost revenues from the same period in two seperate applications.  However, there is no requirement to delay filing an LRAMVA application due to adjustments not being available.</t>
        </r>
      </text>
    </comment>
    <comment ref="C113" authorId="0" shape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 ref="J114" authorId="0" shapeId="0">
      <text>
        <r>
          <rPr>
            <b/>
            <sz val="9"/>
            <color indexed="81"/>
            <rFont val="Tahoma"/>
            <family val="2"/>
          </rPr>
          <t>OEB Staff:</t>
        </r>
        <r>
          <rPr>
            <sz val="9"/>
            <color indexed="81"/>
            <rFont val="Tahoma"/>
            <family val="2"/>
          </rPr>
          <t xml:space="preserve">
Adjust formulas as needed.</t>
        </r>
      </text>
    </comment>
    <comment ref="C115" authorId="0" shapeId="0">
      <text>
        <r>
          <rPr>
            <b/>
            <sz val="9"/>
            <color indexed="81"/>
            <rFont val="Tahoma"/>
            <family val="2"/>
          </rPr>
          <t>OEB Staff:</t>
        </r>
        <r>
          <rPr>
            <sz val="9"/>
            <color indexed="81"/>
            <rFont val="Tahoma"/>
            <family val="2"/>
          </rPr>
          <t xml:space="preserve">
This total excludes demand savings from the Building Commissioning initiative.  This total is used for future year savings amounts as demand savings from the Building Commissioning initiative do not persist past the first year. </t>
        </r>
      </text>
    </comment>
    <comment ref="C119" authorId="0" shapeId="0">
      <text>
        <r>
          <rPr>
            <b/>
            <sz val="9"/>
            <color indexed="81"/>
            <rFont val="Tahoma"/>
            <family val="2"/>
          </rPr>
          <t>OEB Staff:</t>
        </r>
        <r>
          <rPr>
            <sz val="9"/>
            <color indexed="81"/>
            <rFont val="Tahoma"/>
            <family val="2"/>
          </rPr>
          <t xml:space="preserve">
Please use the applicable information for legacy program persistence into the 2015-2020 term, as provided by IESO.</t>
        </r>
      </text>
    </comment>
  </commentList>
</comments>
</file>

<file path=xl/comments9.xml><?xml version="1.0" encoding="utf-8"?>
<comments xmlns="http://schemas.openxmlformats.org/spreadsheetml/2006/main">
  <authors>
    <author>Josh Wasylyk</author>
    <author>Judy But</author>
    <author>Keith Ritchie</author>
  </authors>
  <commentList>
    <comment ref="E4" authorId="0" shape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shapeId="0">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shapeId="0">
      <text>
        <r>
          <rPr>
            <sz val="9"/>
            <color indexed="81"/>
            <rFont val="Tahoma"/>
            <family val="2"/>
          </rPr>
          <t>Adjust formulas as needed.</t>
        </r>
      </text>
    </comment>
    <comment ref="I111" authorId="1" shapeId="0">
      <text>
        <r>
          <rPr>
            <sz val="9"/>
            <color indexed="81"/>
            <rFont val="Tahoma"/>
            <family val="2"/>
          </rPr>
          <t>Adjust formulas as needed.</t>
        </r>
      </text>
    </comment>
    <comment ref="N111" authorId="2" shapeId="0">
      <text>
        <r>
          <rPr>
            <b/>
            <sz val="9"/>
            <color indexed="81"/>
            <rFont val="Tahoma"/>
            <family val="2"/>
          </rPr>
          <t>Keith Ritchie:</t>
        </r>
        <r>
          <rPr>
            <sz val="9"/>
            <color indexed="81"/>
            <rFont val="Tahoma"/>
            <family val="2"/>
          </rPr>
          <t xml:space="preserve">
Same comments about colours and which cells are fixed formulas as on previosu sheet.</t>
        </r>
      </text>
    </comment>
    <comment ref="J112" authorId="1" shapeId="0">
      <text>
        <r>
          <rPr>
            <sz val="9"/>
            <color indexed="81"/>
            <rFont val="Tahoma"/>
            <family val="2"/>
          </rPr>
          <t>Adjust formulas as needed.</t>
        </r>
      </text>
    </comment>
    <comment ref="C113" authorId="1" shapeId="0">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shapeId="0">
      <text>
        <r>
          <rPr>
            <sz val="9"/>
            <color indexed="81"/>
            <rFont val="Tahoma"/>
            <family val="2"/>
          </rPr>
          <t>Please use the applicable information for legacy program persistence into the 2015-2020 term, as provided by IESO.</t>
        </r>
      </text>
    </comment>
  </commentList>
</comments>
</file>

<file path=xl/sharedStrings.xml><?xml version="1.0" encoding="utf-8"?>
<sst xmlns="http://schemas.openxmlformats.org/spreadsheetml/2006/main" count="2204" uniqueCount="568">
  <si>
    <t>Initiative</t>
  </si>
  <si>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</si>
  <si>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</si>
  <si>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</si>
  <si>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</si>
  <si>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</si>
  <si>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</si>
  <si>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</si>
  <si>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</si>
  <si>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</si>
  <si>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</si>
  <si>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</si>
  <si>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</si>
  <si>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</si>
  <si>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</si>
  <si>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</si>
  <si>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</si>
  <si>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</si>
  <si>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</si>
  <si>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</si>
  <si>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</si>
  <si>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Implementation Period</t>
  </si>
  <si>
    <t>2011 - Verified</t>
  </si>
  <si>
    <t>Energy Audit</t>
  </si>
  <si>
    <t>  </t>
  </si>
  <si>
    <t>Direct Install Lighting</t>
  </si>
  <si>
    <t>Residential Demand Response (IHD)</t>
  </si>
  <si>
    <t>Retrofit</t>
  </si>
  <si>
    <t>Building Commissioning</t>
  </si>
  <si>
    <t>New Construction</t>
  </si>
  <si>
    <t>Small Commercial Demand Response (switch/pstat)*</t>
  </si>
  <si>
    <t>Small Commercial Demand Response (IHD)</t>
  </si>
  <si>
    <t>2012 - Verified</t>
  </si>
  <si>
    <t>Residential Demand Response (switch/pstat)</t>
  </si>
  <si>
    <t>Verified</t>
  </si>
  <si>
    <t>Total</t>
  </si>
  <si>
    <t>kWh</t>
  </si>
  <si>
    <t>kW</t>
  </si>
  <si>
    <t>Residential</t>
  </si>
  <si>
    <t>$</t>
  </si>
  <si>
    <t>General Service &lt;50 kW</t>
  </si>
  <si>
    <t>Sentinel Lighting</t>
  </si>
  <si>
    <t>Street Lighting</t>
  </si>
  <si>
    <t>Unmetered Scattered Load</t>
  </si>
  <si>
    <t>Persistence Factor (GWh)</t>
  </si>
  <si>
    <t>Results Status</t>
  </si>
  <si>
    <t xml:space="preserve">Net Incremental Peak Demand Savings (kW) </t>
  </si>
  <si>
    <t>2011 kW Saved</t>
  </si>
  <si>
    <t>2011 kWh Saved</t>
  </si>
  <si>
    <t>Description</t>
  </si>
  <si>
    <t>2014 Actuals</t>
  </si>
  <si>
    <t>Forecast Year</t>
  </si>
  <si>
    <t>Rate Class</t>
  </si>
  <si>
    <t>Billing Unit</t>
  </si>
  <si>
    <t>#</t>
  </si>
  <si>
    <t>Rate Allocation for LRAMVA</t>
  </si>
  <si>
    <t>Residential Demand Response</t>
  </si>
  <si>
    <t>Commercial Demand Response (part of residential program)</t>
  </si>
  <si>
    <t>Lost Revenue in 2011</t>
  </si>
  <si>
    <t>2011 Savings Persisting in 2012</t>
  </si>
  <si>
    <t>2011 Savings Persisting in 2013</t>
  </si>
  <si>
    <t>2011 Savings Persisting in 2014</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</si>
  <si>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</si>
  <si>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</si>
  <si>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</si>
  <si>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</si>
  <si>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</si>
  <si>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</si>
  <si>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</si>
  <si>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</si>
  <si>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</si>
  <si>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</si>
  <si>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</si>
  <si>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</si>
  <si>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</si>
  <si>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</si>
  <si>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</si>
  <si>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</si>
  <si>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</si>
  <si>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</si>
  <si>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</si>
  <si>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</si>
  <si>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</si>
  <si>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</si>
  <si>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</si>
  <si>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</si>
  <si>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</si>
  <si>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</si>
  <si>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</si>
  <si>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kW Saved</t>
  </si>
  <si>
    <t>2012 kWh Saved</t>
  </si>
  <si>
    <t>2012 Savings Persisting in 2013</t>
  </si>
  <si>
    <t>2012 Savings Persisting in 2014</t>
  </si>
  <si>
    <t>Total Lost Revenue in 2012</t>
  </si>
  <si>
    <t>Total Lost Revenue in 2013</t>
  </si>
  <si>
    <t>2013 kW Saved</t>
  </si>
  <si>
    <t>2013 kWh Saved</t>
  </si>
  <si>
    <t>2013 Savings Persisting in 2014</t>
  </si>
  <si>
    <t>2014 kW Saved</t>
  </si>
  <si>
    <t>2014 kWh Saved</t>
  </si>
  <si>
    <t>LDC Custom Programs</t>
  </si>
  <si>
    <t>Other</t>
  </si>
  <si>
    <t>Time-of-Use Savings</t>
  </si>
  <si>
    <t>Program Enabled Savings</t>
  </si>
  <si>
    <t>General Service 50 - 999 kW</t>
  </si>
  <si>
    <t>General Service 1,000 - 4,999 kW</t>
  </si>
  <si>
    <t>May 1, 2010
to
Apr 30, 2011</t>
  </si>
  <si>
    <t>May 1, 2011
to
Sept 30, 2012</t>
  </si>
  <si>
    <t>Oct 1, 2012
to
Apr 30, 2013</t>
  </si>
  <si>
    <t>Pro-ratio of Rates (months) - Period 1</t>
  </si>
  <si>
    <t>Pro-ratio of Rates (months) - Period 2</t>
  </si>
  <si>
    <t>May 1, 2013
to
Apr 30, 2014</t>
  </si>
  <si>
    <t>May 1, 2014
to
Apr 30, 2015</t>
  </si>
  <si>
    <t>% of Billed</t>
  </si>
  <si>
    <t>Adjusted Billed kWh with CDM Applied</t>
  </si>
  <si>
    <t xml:space="preserve">Street Lights </t>
  </si>
  <si>
    <t>Sentinel Lights</t>
  </si>
  <si>
    <t xml:space="preserve">Unmetered Loads </t>
  </si>
  <si>
    <t>CDM kW Reduction</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</si>
  <si>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</si>
  <si>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</si>
  <si>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</si>
  <si>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</si>
  <si>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</si>
  <si>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</si>
  <si>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</si>
  <si>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</si>
  <si>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</si>
  <si>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</si>
  <si>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</si>
  <si>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</si>
  <si>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</si>
  <si>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</si>
  <si>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</si>
  <si>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</si>
  <si>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</si>
  <si>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</si>
  <si>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</si>
  <si>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</si>
  <si>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2011-2014+2015 Extension Legacy Framework Programs</t>
  </si>
  <si>
    <t>Residential Program</t>
  </si>
  <si>
    <t>Coupon Initiative</t>
  </si>
  <si>
    <t>Bi-Annual Retailer Event Initiative</t>
  </si>
  <si>
    <t>Appliance Retirement Initiative</t>
  </si>
  <si>
    <t>Appliance Exchange Initiative</t>
  </si>
  <si>
    <t>HVAC Incentives Initaitive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</si>
  <si>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</si>
  <si>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</si>
  <si>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</si>
  <si>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</si>
  <si>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</si>
  <si>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</si>
  <si>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</si>
  <si>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</si>
  <si>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</si>
  <si>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</si>
  <si>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</si>
  <si>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</si>
  <si>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Pilots</t>
  </si>
  <si>
    <t>Loblaws Pilot</t>
  </si>
  <si>
    <t>Social Benchmarking Pliot</t>
  </si>
  <si>
    <t>Conservation Fund Pilot - SEG</t>
  </si>
  <si>
    <t>Conservation Fund Pilot - EnerNOC</t>
  </si>
  <si>
    <t>2015-2020 Conservation First Framework Programs</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</si>
  <si>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</si>
  <si>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</si>
  <si>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</si>
  <si>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</si>
  <si>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</si>
  <si>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</si>
  <si>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</si>
  <si>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</si>
  <si>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</si>
  <si>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</si>
  <si>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</si>
  <si>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</si>
  <si>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</si>
  <si>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</si>
  <si>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</si>
  <si>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</si>
  <si>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</si>
  <si>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</si>
  <si>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</si>
  <si>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</si>
  <si>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</si>
  <si>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</si>
  <si>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</si>
  <si>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</si>
  <si>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</si>
  <si>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</si>
  <si>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</si>
  <si>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</si>
  <si>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</si>
  <si>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</si>
  <si>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</si>
  <si>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</si>
  <si>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</si>
  <si>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Distribution Rates</t>
  </si>
  <si>
    <t>Net Incremental Energy Savings (kWh)</t>
  </si>
  <si>
    <t>2013 - Verified</t>
  </si>
  <si>
    <t>2014 - Verified</t>
  </si>
  <si>
    <t>Months of Demand Savings</t>
  </si>
  <si>
    <t>Total Lost Revenue in 2014</t>
  </si>
  <si>
    <t>Carrying Charges by Rate Class</t>
  </si>
  <si>
    <t>EB-2009-xxxx</t>
  </si>
  <si>
    <t>EB-2010-xxxx</t>
  </si>
  <si>
    <t>EB-2011-xxxx</t>
  </si>
  <si>
    <t>EB-2012-xxxx</t>
  </si>
  <si>
    <t>EB-2013-xxxx</t>
  </si>
  <si>
    <t>Exhibit</t>
  </si>
  <si>
    <t>Schedule</t>
  </si>
  <si>
    <t>Tab</t>
  </si>
  <si>
    <t>File Number</t>
  </si>
  <si>
    <t>Page</t>
  </si>
  <si>
    <t>2015 kWh saved</t>
  </si>
  <si>
    <t>2015 kW saved</t>
  </si>
  <si>
    <t>2015 - Verified</t>
  </si>
  <si>
    <t>2016 - Verified</t>
  </si>
  <si>
    <t>2017 - Verified</t>
  </si>
  <si>
    <t>2018 - Verified</t>
  </si>
  <si>
    <t>2019 - Verified</t>
  </si>
  <si>
    <t>2020 - Verified</t>
  </si>
  <si>
    <t>Total kWh</t>
  </si>
  <si>
    <t>Total Lost Revenue in 2015</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</si>
  <si>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</si>
  <si>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</si>
  <si>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</si>
  <si>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</si>
  <si>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</si>
  <si>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</si>
  <si>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</si>
  <si>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</si>
  <si>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</si>
  <si>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</si>
  <si>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</si>
  <si>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</si>
  <si>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</si>
  <si>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</si>
  <si>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</si>
  <si>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</si>
  <si>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</si>
  <si>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</si>
  <si>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</si>
  <si>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Lost Revenue in 2016 from 2011 programs</t>
  </si>
  <si>
    <t>Lost Revenue in 2016 from 2012 programs</t>
  </si>
  <si>
    <t>Lost Revenue in 2016 from 2013 programs</t>
  </si>
  <si>
    <t>Lost Revenue in 2016 from 2014 programs</t>
  </si>
  <si>
    <t>Lost Revenue in 2016 from 2015 programs</t>
  </si>
  <si>
    <t>Total Lost Revenue in 2016</t>
  </si>
  <si>
    <t>2016 Savings Persisting in 2017</t>
  </si>
  <si>
    <t>2016 Savings Persisting in 2018</t>
  </si>
  <si>
    <t>2016 Savings Persisting in 2019</t>
  </si>
  <si>
    <t>2016 Savings Persisting in 2020</t>
  </si>
  <si>
    <t>Lost Revenue in 2016 from 2016 programs</t>
  </si>
  <si>
    <t>True-up</t>
  </si>
  <si>
    <t>Adjustments to 2011 results (if any)</t>
  </si>
  <si>
    <t>Adjustments to 2012 results (if any)</t>
  </si>
  <si>
    <t>Adjustments to 2013 results (if any)</t>
  </si>
  <si>
    <t>Adjustments to 2014 results (if any)</t>
  </si>
  <si>
    <t>Adjustments to 2015 results (if any)</t>
  </si>
  <si>
    <t>This form may need to be updated with IESO data on persistence of 2011-2014 programs into 2015-2020 term.</t>
  </si>
  <si>
    <t xml:space="preserve">Total GS &gt; 50 kW </t>
  </si>
  <si>
    <t>Total GS &gt; 50 kW excluding Building Commissioning</t>
  </si>
  <si>
    <t>Persistence Factor (MW)</t>
  </si>
  <si>
    <t>Adjustments to 2016 results (if any)</t>
  </si>
  <si>
    <t xml:space="preserve">2015 Lost Revenues Work Form </t>
  </si>
  <si>
    <t xml:space="preserve">2016 Lost Revenues Work Form </t>
  </si>
  <si>
    <t xml:space="preserve">2017 Lost Revenues Work Form </t>
  </si>
  <si>
    <t>Adjustments to 2017 results (if any)</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</si>
  <si>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</si>
  <si>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</si>
  <si>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</si>
  <si>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</si>
  <si>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</si>
  <si>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</si>
  <si>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Total Lost Revenue in 2017</t>
  </si>
  <si>
    <t>2017 Savings Persisting in 2018</t>
  </si>
  <si>
    <t>2017 Savings Persisting in 2019</t>
  </si>
  <si>
    <t>2017 Savings Persisting in 2020</t>
  </si>
  <si>
    <t>Lost Revenue in 2017 from 2017 programs</t>
  </si>
  <si>
    <t xml:space="preserve">2018 Lost Revenues Work Form </t>
  </si>
  <si>
    <t>Adjustments to 2018 results (if any)</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</si>
  <si>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</si>
  <si>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</si>
  <si>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</si>
  <si>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</si>
  <si>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</si>
  <si>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</si>
  <si>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</si>
  <si>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</si>
  <si>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 in 2018</t>
  </si>
  <si>
    <t>2018 Savings Persisting in 2019</t>
  </si>
  <si>
    <t>2018 Savings Persisting in 2020</t>
  </si>
  <si>
    <t xml:space="preserve">2019 Lost Revenues Work Form </t>
  </si>
  <si>
    <t>Adjustments to 2019 results (if any)</t>
  </si>
  <si>
    <t>Total Lost Revenue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</si>
  <si>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</si>
  <si>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</si>
  <si>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</si>
  <si>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</si>
  <si>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</si>
  <si>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</si>
  <si>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</si>
  <si>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</si>
  <si>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</si>
  <si>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</si>
  <si>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 xml:space="preserve">2020 Lost Revenues Work Form </t>
  </si>
  <si>
    <t>Total Lost Revenue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</si>
  <si>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</si>
  <si>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</si>
  <si>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</si>
  <si>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</si>
  <si>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</si>
  <si>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</si>
  <si>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</si>
  <si>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</si>
  <si>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</si>
  <si>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</si>
  <si>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GS &gt; 50 kW</t>
  </si>
  <si>
    <t>Adjustments to 2020 results (if any)</t>
  </si>
  <si>
    <t>Distribution Rate in 2011</t>
  </si>
  <si>
    <t>Distribution Rate in 2012</t>
  </si>
  <si>
    <t>Distribution Rate in 2013</t>
  </si>
  <si>
    <t>Distribution Rate in 2014</t>
  </si>
  <si>
    <t>Distribution Rate in 2015</t>
  </si>
  <si>
    <t>Distribution Rate in 2016</t>
  </si>
  <si>
    <t>Distribution Rate in 2017</t>
  </si>
  <si>
    <t>Distribution Rate in 2018</t>
  </si>
  <si>
    <t>Distribution Rate in 2019</t>
  </si>
  <si>
    <t>Distribution Rate in 2020</t>
  </si>
  <si>
    <t>2.  CDM Allocation</t>
  </si>
  <si>
    <t>3.  Distribution Rates</t>
  </si>
  <si>
    <t>4.  2011-14 LRAM</t>
  </si>
  <si>
    <t>7.  Carrying Charges</t>
  </si>
  <si>
    <t>CDM Allocation</t>
  </si>
  <si>
    <t>1.  LRAMVA Summary</t>
  </si>
  <si>
    <t>LRAMVA Summary</t>
  </si>
  <si>
    <t>Legend</t>
  </si>
  <si>
    <t>Auto Populated Cells (White)</t>
  </si>
  <si>
    <t xml:space="preserve">    Description</t>
  </si>
  <si>
    <t>Generic LRAMVA Work Forms</t>
  </si>
  <si>
    <t>Table 5.  Distribution Volumetric Rate by Billing Period</t>
  </si>
  <si>
    <t>EB-2014-xxxx</t>
  </si>
  <si>
    <t>EB-2015-xxxx</t>
  </si>
  <si>
    <t>EB-2016-xxxx</t>
  </si>
  <si>
    <t>CDM Savings Target Allocation by Rate Class</t>
  </si>
  <si>
    <t>kWh (check)</t>
  </si>
  <si>
    <t xml:space="preserve">Please update the template as needed or replace this spreadsheet with an existing templates that estimated savings in CDM forecast. </t>
  </si>
  <si>
    <t>Table 1.  Annual and Total LRAMVA by Rate Class</t>
  </si>
  <si>
    <r>
      <rPr>
        <b/>
        <sz val="11"/>
        <rFont val="Arial"/>
        <family val="2"/>
      </rPr>
      <t>Tables 2, 3 and 4</t>
    </r>
    <r>
      <rPr>
        <sz val="11"/>
        <rFont val="Arial"/>
        <family val="2"/>
      </rPr>
      <t xml:space="preserve"> include the CDM savings and allocation by rate class that were included in the load forecast.</t>
    </r>
  </si>
  <si>
    <t>Decision &amp; Orders for Approved Volumetric Rates:</t>
  </si>
  <si>
    <r>
      <rPr>
        <b/>
        <sz val="11"/>
        <rFont val="Arial"/>
        <family val="2"/>
      </rPr>
      <t>Tables 5 and 6</t>
    </r>
    <r>
      <rPr>
        <sz val="11"/>
        <rFont val="Arial"/>
        <family val="2"/>
      </rPr>
      <t xml:space="preserve"> include a historical account of distribution rates that were used to calculate lost revenues.</t>
    </r>
  </si>
  <si>
    <t>Persistence Rates</t>
  </si>
  <si>
    <t>2011-2014 Lost Revenues Work Form</t>
  </si>
  <si>
    <t xml:space="preserve">Demand Response (DR3) Savings should generally not be included with the LRAMVA calculation, unless suported by empirical evidence </t>
  </si>
  <si>
    <t xml:space="preserve">Table 7.  2011 Lost Revenues Work Form </t>
  </si>
  <si>
    <t xml:space="preserve">Table 8.  2012 Lost Revenues Work Form </t>
  </si>
  <si>
    <t xml:space="preserve">Table 9.  2013 Lost Revenues Work Form </t>
  </si>
  <si>
    <t xml:space="preserve">Table 10.  2014 Lost Revenues Work Form </t>
  </si>
  <si>
    <t xml:space="preserve">LDC to adjust the rate allocations by class (columns h to n).  Please insert IESO verified savings for applicable programs (columns f to g).  </t>
  </si>
  <si>
    <t>Adjustments will apply to the year that LRAM is claimed.</t>
  </si>
  <si>
    <t>Please see revised LRAM policy related to peak demand savings, issued by the OEB in EB-2016-0182.</t>
  </si>
  <si>
    <t>Annual Net Peak Savings (MW)</t>
  </si>
  <si>
    <t>Annual Net Energy Savings (GWh)</t>
  </si>
  <si>
    <r>
      <rPr>
        <b/>
        <sz val="11"/>
        <rFont val="Arial"/>
        <family val="2"/>
      </rPr>
      <t>Tables 19 and 20</t>
    </r>
    <r>
      <rPr>
        <sz val="11"/>
        <rFont val="Arial"/>
        <family val="2"/>
      </rPr>
      <t xml:space="preserve"> includes the carrying charges related to the LRAMVA claim that is being made.</t>
    </r>
  </si>
  <si>
    <t>LDCs are only eligible to apply for lost revenues until they have rebased.  Lost revenues for the period prior to rebasing should be included within the LDCs load forecast on a go forward basis.</t>
  </si>
  <si>
    <t>User Inputs (Green)</t>
  </si>
  <si>
    <t xml:space="preserve">Approved Deferral and Variance Accounts </t>
  </si>
  <si>
    <t>2015 Q3</t>
  </si>
  <si>
    <t>2015 Q4</t>
  </si>
  <si>
    <t>Check OEB website</t>
  </si>
  <si>
    <t>Interest for CDM year</t>
  </si>
  <si>
    <t>Please note that the carrying charges below pertain to the amount credited or debited to ratepayers based on how much was originally collected from the interest on the load forecast.  As the amounts shown are running totals, please clear the yearly amounts once the LRAM claims are approved in order to cancel prior year interest collections.</t>
  </si>
  <si>
    <t>File Name</t>
  </si>
  <si>
    <t>Total for fiscal year 2014</t>
  </si>
  <si>
    <t>Total for fiscal year 2015</t>
  </si>
  <si>
    <t>Total for fiscal year 2016</t>
  </si>
  <si>
    <t>Instruction</t>
  </si>
  <si>
    <t>Last Cost of Service Application (File No.)</t>
  </si>
  <si>
    <t>Amount of LRAM claimed in the past</t>
  </si>
  <si>
    <t>kWh to kW Ratio</t>
  </si>
  <si>
    <t>kWh to kW  Ratio</t>
  </si>
  <si>
    <r>
      <t xml:space="preserve">Weather Normal Billed kWh </t>
    </r>
    <r>
      <rPr>
        <sz val="11"/>
        <color rgb="FFFF0000"/>
        <rFont val="Arial"/>
        <family val="2"/>
      </rPr>
      <t>(Insert Year)</t>
    </r>
  </si>
  <si>
    <r>
      <t xml:space="preserve">Weather Normal Billed kW </t>
    </r>
    <r>
      <rPr>
        <sz val="11"/>
        <color rgb="FFFF0000"/>
        <rFont val="Arial"/>
        <family val="2"/>
      </rPr>
      <t>(Insert Year)</t>
    </r>
  </si>
  <si>
    <t>Table 3.  Allocation of CDM Savings (Energy and Demand Billed) by Rate Class in Approved Load Forecast</t>
  </si>
  <si>
    <t>Rate Year</t>
  </si>
  <si>
    <t xml:space="preserve">Tables 3A:  CDM Adjustment as Approved in Cost of Service Application </t>
  </si>
  <si>
    <t>LDCs to update the rate classes as appropriate below depending on the utility's customer mix.</t>
  </si>
  <si>
    <t>General Service 
&lt; 50 kW</t>
  </si>
  <si>
    <t>General Service 
50 - 999 kW</t>
  </si>
  <si>
    <t>Amount of LRAMVA to claim</t>
  </si>
  <si>
    <t>Table 6.  Summary Table: Average Distribution Volumetric Rates by Year for LRAM Calculation</t>
  </si>
  <si>
    <t xml:space="preserve">Table 4.  Forecast Lost Revenue Amounts by Rate Class </t>
  </si>
  <si>
    <r>
      <t xml:space="preserve">Alternatively, LDCs may want to link this spreadsheet to their CDM savings allocation (e.g. appended as another tab in this workbook) to fill in </t>
    </r>
    <r>
      <rPr>
        <b/>
        <sz val="11"/>
        <rFont val="Arial"/>
        <family val="2"/>
      </rPr>
      <t>Tables 2, 3 and 4</t>
    </r>
    <r>
      <rPr>
        <sz val="11"/>
        <rFont val="Arial"/>
        <family val="2"/>
      </rPr>
      <t xml:space="preserve"> below.</t>
    </r>
  </si>
  <si>
    <t>The following LRAM work forms apply to LDCs that need to recover lost revenues from the 2011-2014 period.</t>
  </si>
  <si>
    <r>
      <t xml:space="preserve">This workbook contains links from </t>
    </r>
    <r>
      <rPr>
        <b/>
        <sz val="11"/>
        <rFont val="Arial"/>
        <family val="2"/>
      </rPr>
      <t>Tab 3</t>
    </r>
    <r>
      <rPr>
        <sz val="11"/>
        <rFont val="Arial"/>
        <family val="2"/>
      </rPr>
      <t xml:space="preserve"> (Distribution Rates) and </t>
    </r>
    <r>
      <rPr>
        <b/>
        <sz val="11"/>
        <rFont val="Arial"/>
        <family val="2"/>
      </rPr>
      <t>Tab 5</t>
    </r>
    <r>
      <rPr>
        <sz val="11"/>
        <rFont val="Arial"/>
        <family val="2"/>
      </rPr>
      <t xml:space="preserve"> (Persistence Rates).</t>
    </r>
  </si>
  <si>
    <t>2011 Savings Persisting in 2015</t>
  </si>
  <si>
    <t>2011 Savings Persisting in 2016</t>
  </si>
  <si>
    <t>2011 Savings Persisting in 2017</t>
  </si>
  <si>
    <t>2011 Savings Persisting in 2018</t>
  </si>
  <si>
    <t>2011 Savings Persisting in 2019</t>
  </si>
  <si>
    <t>2011 Savings Persisting in 2020</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</si>
  <si>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</si>
  <si>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</si>
  <si>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</si>
  <si>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</si>
  <si>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</si>
  <si>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</si>
  <si>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</si>
  <si>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</si>
  <si>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</si>
  <si>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</si>
  <si>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</si>
  <si>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</si>
  <si>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</si>
  <si>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</si>
  <si>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</si>
  <si>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</si>
  <si>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</si>
  <si>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</si>
  <si>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Years of LRAM Claimed</t>
  </si>
  <si>
    <t>update</t>
  </si>
  <si>
    <t>Inputs</t>
  </si>
  <si>
    <t>Outputs</t>
  </si>
  <si>
    <t>Forecast revenues lost</t>
  </si>
  <si>
    <t>Tab 1</t>
  </si>
  <si>
    <t>Actual revenues lost</t>
  </si>
  <si>
    <t>Carrying charges by rate class</t>
  </si>
  <si>
    <t>Carrying charges</t>
  </si>
  <si>
    <t>x</t>
  </si>
  <si>
    <t>Average distribution rates</t>
  </si>
  <si>
    <t>-----------------------&gt;</t>
  </si>
  <si>
    <t>Tab 2</t>
  </si>
  <si>
    <t>Tab 7</t>
  </si>
  <si>
    <t>Program LRAM amounts ($) from current and prior year savings</t>
  </si>
  <si>
    <t>Persistence rates</t>
  </si>
  <si>
    <t>Prior year kwh or kW savings</t>
  </si>
  <si>
    <r>
      <rPr>
        <b/>
        <sz val="11"/>
        <rFont val="Arial"/>
        <family val="2"/>
      </rPr>
      <t>Table 1</t>
    </r>
    <r>
      <rPr>
        <sz val="11"/>
        <rFont val="Arial"/>
        <family val="2"/>
      </rPr>
      <t xml:space="preserve"> provides a summary of the LRAMVA balances and carrying charges associated with the LRAMVA claim. The balances are populated from entries into other tabs throughout this work form.</t>
    </r>
  </si>
  <si>
    <r>
      <rPr>
        <b/>
        <sz val="11"/>
        <rFont val="Arial"/>
        <family val="2"/>
      </rPr>
      <t>Tables 7, 8, 9 and 10</t>
    </r>
    <r>
      <rPr>
        <sz val="11"/>
        <rFont val="Arial"/>
        <family val="2"/>
      </rPr>
      <t xml:space="preserve"> includes 2011-2014 LRAMVA work forms.  These should only be used if the LDC has not applied for approval of these amounts.</t>
    </r>
  </si>
  <si>
    <t>CDM savings allocated  by rate class</t>
  </si>
  <si>
    <t xml:space="preserve">CDM savings and LRAMVA amounts by program  </t>
  </si>
  <si>
    <t>IESO CDM Savings Results (kWh, kW saved)</t>
  </si>
  <si>
    <t xml:space="preserve">CDM Savings allocated (%) by class </t>
  </si>
  <si>
    <t>Included for completeness. However, these sheets do not require filling out for 2017 cost of service applications</t>
  </si>
  <si>
    <t>Recovery Period of LRAMVA Claim</t>
  </si>
  <si>
    <t>6.  Persistence Rates</t>
  </si>
  <si>
    <t>5-b. 2016 LRAM</t>
  </si>
  <si>
    <t>5-c.  2017 LRAM</t>
  </si>
  <si>
    <t>5-d.  2018 LRAM</t>
  </si>
  <si>
    <t>5-e.  2019 LRAM</t>
  </si>
  <si>
    <t>5-f.  2020 LRAM</t>
  </si>
  <si>
    <t>Tab 6</t>
  </si>
  <si>
    <t>Table11-a.  2015 LRAM Work Form</t>
  </si>
  <si>
    <t>Table1-b.  2016 LRAM Work Form</t>
  </si>
  <si>
    <t>Table 11-c.  2017 LRAM Work Form</t>
  </si>
  <si>
    <t>Table 11-d.  2018 LRAM Work Form</t>
  </si>
  <si>
    <t>Table 11-e.  2018 LRAM Work Form</t>
  </si>
  <si>
    <t>Table 11-f.  2018 LRAM Work Form</t>
  </si>
  <si>
    <r>
      <rPr>
        <b/>
        <sz val="11"/>
        <rFont val="Arial"/>
        <family val="2"/>
      </rPr>
      <t>Table 11-a</t>
    </r>
    <r>
      <rPr>
        <sz val="11"/>
        <rFont val="Arial"/>
        <family val="2"/>
      </rPr>
      <t xml:space="preserve"> includes a template workform for calculating 2015 lost revenues based on legacy and new programs.</t>
    </r>
  </si>
  <si>
    <r>
      <rPr>
        <b/>
        <sz val="11"/>
        <rFont val="Arial"/>
        <family val="2"/>
      </rPr>
      <t>Table 11-b</t>
    </r>
    <r>
      <rPr>
        <sz val="11"/>
        <rFont val="Arial"/>
        <family val="2"/>
      </rPr>
      <t xml:space="preserve"> includes a template workform for calculating 2016 lost revenues based on legacy and new programs.</t>
    </r>
  </si>
  <si>
    <r>
      <rPr>
        <b/>
        <sz val="11"/>
        <rFont val="Arial"/>
        <family val="2"/>
      </rPr>
      <t>Table 11-c</t>
    </r>
    <r>
      <rPr>
        <sz val="11"/>
        <rFont val="Arial"/>
        <family val="2"/>
      </rPr>
      <t xml:space="preserve"> includes a template workform for calculating 2017 lost revenues based on legacy and new programs.</t>
    </r>
  </si>
  <si>
    <r>
      <rPr>
        <b/>
        <sz val="11"/>
        <rFont val="Arial"/>
        <family val="2"/>
      </rPr>
      <t>Table 11-d</t>
    </r>
    <r>
      <rPr>
        <sz val="11"/>
        <rFont val="Arial"/>
        <family val="2"/>
      </rPr>
      <t xml:space="preserve"> includes a template workform for calculating 2018 lost revenues based on legacy and new programs.</t>
    </r>
  </si>
  <si>
    <r>
      <rPr>
        <b/>
        <sz val="11"/>
        <rFont val="Arial"/>
        <family val="2"/>
      </rPr>
      <t>Table 11-e</t>
    </r>
    <r>
      <rPr>
        <sz val="11"/>
        <rFont val="Arial"/>
        <family val="2"/>
      </rPr>
      <t xml:space="preserve"> includes a template workform for calculating 2019 lost revenues based on legacy and new programs.</t>
    </r>
  </si>
  <si>
    <r>
      <rPr>
        <b/>
        <sz val="11"/>
        <rFont val="Arial"/>
        <family val="2"/>
      </rPr>
      <t xml:space="preserve">Table 11-f </t>
    </r>
    <r>
      <rPr>
        <sz val="11"/>
        <rFont val="Arial"/>
        <family val="2"/>
      </rPr>
      <t>includes a template workform for calculating 2020 lost revenues based on legacy and new programs.</t>
    </r>
  </si>
  <si>
    <r>
      <t xml:space="preserve">This workbook contains links from </t>
    </r>
    <r>
      <rPr>
        <b/>
        <sz val="11"/>
        <rFont val="Arial"/>
        <family val="2"/>
      </rPr>
      <t>Tab 3</t>
    </r>
    <r>
      <rPr>
        <sz val="11"/>
        <rFont val="Arial"/>
        <family val="2"/>
      </rPr>
      <t xml:space="preserve"> (Distribution Rates) and </t>
    </r>
    <r>
      <rPr>
        <b/>
        <sz val="11"/>
        <rFont val="Arial"/>
        <family val="2"/>
      </rPr>
      <t>Tab 6</t>
    </r>
    <r>
      <rPr>
        <sz val="11"/>
        <rFont val="Arial"/>
        <family val="2"/>
      </rPr>
      <t xml:space="preserve"> (Persistence Rates).</t>
    </r>
  </si>
  <si>
    <t xml:space="preserve">Table 12.  Determination of 2011-2014 Persistence Rates </t>
  </si>
  <si>
    <t xml:space="preserve">Table 13.  Determination of 2015-2020 Persistence Rates </t>
  </si>
  <si>
    <t>Table 14:  Prescribed Interest Rates</t>
  </si>
  <si>
    <t>Table 15:  Calculation of Carrying Costs by Rate Class</t>
  </si>
  <si>
    <r>
      <t>The persistence factors will autopopulate on the LRAM forms</t>
    </r>
    <r>
      <rPr>
        <b/>
        <sz val="11"/>
        <rFont val="Arial"/>
        <family val="2"/>
      </rPr>
      <t>.</t>
    </r>
  </si>
  <si>
    <r>
      <rPr>
        <b/>
        <sz val="11"/>
        <color theme="1"/>
        <rFont val="Arial"/>
        <family val="2"/>
      </rPr>
      <t>General Note on the LRAMVA Model</t>
    </r>
    <r>
      <rPr>
        <sz val="11"/>
        <color theme="1"/>
        <rFont val="Arial"/>
        <family val="2"/>
      </rPr>
      <t xml:space="preserve">
The LRAMVA model consolidates information that LDCs are already required to file with the OEB.  The model has been created to provide LDCs with a consistent format to display CDM impacts, the CDM component of the load forecast and ultimately, any variance between actual CDM savings and the CDM component of the load forecast.  The majority of the information required in the LRAMVA work form will be provided to LDCs from the IESO as part of the Final CDM Results each year.    </t>
    </r>
  </si>
  <si>
    <t>Tab 4, 5</t>
  </si>
  <si>
    <t>Tab 4, 6</t>
  </si>
  <si>
    <t xml:space="preserve">LDCs can apply for disposition of LRAMVA amounts at any time, but at a minimum, must do so as part of a Cost of Service application. </t>
  </si>
  <si>
    <t>Lost revenues for the period prior to rebasing should be included within the LDCs load forecast on a go forward basis, negating the need for perpetual LRAMVA claims related to persisting savings from historic programs.</t>
  </si>
  <si>
    <r>
      <t xml:space="preserve">Please update the carrying charges in </t>
    </r>
    <r>
      <rPr>
        <b/>
        <sz val="11"/>
        <rFont val="Arial"/>
        <family val="2"/>
      </rPr>
      <t>Table 14</t>
    </r>
    <r>
      <rPr>
        <sz val="11"/>
        <rFont val="Arial"/>
        <family val="2"/>
      </rPr>
      <t xml:space="preserve">.  The interest amounts per year will autopopulate in the LRAMVA Summary Table in </t>
    </r>
    <r>
      <rPr>
        <b/>
        <sz val="11"/>
        <rFont val="Arial"/>
        <family val="2"/>
      </rPr>
      <t>Tab 1</t>
    </r>
    <r>
      <rPr>
        <sz val="11"/>
        <rFont val="Arial"/>
        <family val="2"/>
      </rPr>
      <t xml:space="preserve">. </t>
    </r>
  </si>
  <si>
    <t>To apply persistence factors to previous year's savings, this can be determined by taking the ratio of verified savings to the savings that occurred in the first year the program began.   Please update the summary tables (highlighted blue boxes) with the verified results provided by the IESO.  For 2011-2014 programs, these tables refer to Tables 4 and 5 (Summary Achievement Against CDM Targets).  The verified results include adjustments. In the event that an LDC uses initiative level persistence, the LDC must provide these calculations in a new table below those provided here.</t>
  </si>
  <si>
    <t>Total GS &gt; 50 kW (excludes Building Commissioning)</t>
  </si>
  <si>
    <t>5.  2015 LRAM</t>
  </si>
  <si>
    <r>
      <t xml:space="preserve">An example template is provided below and can be filled in if it is applicable to the LDC.  The LDC may re-populate CDM savings by rate class for historical years based on past year's approved cost of service application, or relevant information from </t>
    </r>
    <r>
      <rPr>
        <b/>
        <sz val="11"/>
        <rFont val="Arial"/>
        <family val="2"/>
      </rPr>
      <t>Appendix 2-I.</t>
    </r>
  </si>
  <si>
    <t>Table 2.   Amount used for CDM Threshold for LRAMVA</t>
  </si>
  <si>
    <t>Total kWh (excludes DR)</t>
  </si>
  <si>
    <r>
      <t xml:space="preserve">This is a summary sheet that contains the final LRAMVA balances with links from </t>
    </r>
    <r>
      <rPr>
        <b/>
        <sz val="11"/>
        <rFont val="Arial"/>
        <family val="2"/>
      </rPr>
      <t>Tabs 2, 4, 5 and 7.</t>
    </r>
  </si>
  <si>
    <r>
      <t xml:space="preserve">Please update </t>
    </r>
    <r>
      <rPr>
        <b/>
        <sz val="11"/>
        <rFont val="Arial"/>
        <family val="2"/>
      </rPr>
      <t>Table 5</t>
    </r>
    <r>
      <rPr>
        <sz val="11"/>
        <rFont val="Arial"/>
        <family val="2"/>
      </rPr>
      <t xml:space="preserve"> with the approved distribution rates for the utility's respective rate classes.  The applicable rates to estimate lost revenues will autopopulate in </t>
    </r>
    <r>
      <rPr>
        <b/>
        <sz val="11"/>
        <rFont val="Arial"/>
        <family val="2"/>
      </rPr>
      <t xml:space="preserve">Table 6 </t>
    </r>
    <r>
      <rPr>
        <sz val="11"/>
        <rFont val="Arial"/>
        <family val="2"/>
      </rPr>
      <t xml:space="preserve">and be used in the LRAM Work Sheets </t>
    </r>
    <r>
      <rPr>
        <b/>
        <sz val="11"/>
        <rFont val="Arial"/>
        <family val="2"/>
      </rPr>
      <t xml:space="preserve">(Tab 4 and Tab 5) </t>
    </r>
    <r>
      <rPr>
        <sz val="11"/>
        <rFont val="Arial"/>
        <family val="2"/>
      </rPr>
      <t xml:space="preserve">for the applicable year in which LRAM is claimed. </t>
    </r>
  </si>
  <si>
    <t>LDC Pilots</t>
  </si>
  <si>
    <t xml:space="preserve">Adjustments </t>
  </si>
  <si>
    <t>Adjustments</t>
  </si>
  <si>
    <t>RES</t>
  </si>
  <si>
    <t>CSMUR</t>
  </si>
  <si>
    <t>GS&lt;50</t>
  </si>
  <si>
    <t>GS1-5</t>
  </si>
  <si>
    <t>GS&lt;1</t>
  </si>
  <si>
    <t>GS&gt;5</t>
  </si>
  <si>
    <t>2014 Savings</t>
  </si>
  <si>
    <t>2011 Savings</t>
  </si>
  <si>
    <t>2012 Savings</t>
  </si>
  <si>
    <t>2013 Savings</t>
  </si>
  <si>
    <t>Jan</t>
  </si>
  <si>
    <t>Feb</t>
  </si>
  <si>
    <t>Mar</t>
  </si>
  <si>
    <t>Apr</t>
  </si>
  <si>
    <t>May</t>
  </si>
  <si>
    <t>Jun</t>
  </si>
  <si>
    <t>Jul</t>
  </si>
  <si>
    <t>Aug</t>
  </si>
  <si>
    <t>Sep</t>
  </si>
  <si>
    <t>Oct</t>
  </si>
  <si>
    <t>Nov</t>
  </si>
  <si>
    <t>Dec</t>
  </si>
  <si>
    <t>Competitive Sector Multi-Unit Residential (CSMUR)</t>
  </si>
  <si>
    <t>kVA</t>
  </si>
  <si>
    <t>Large Use</t>
  </si>
  <si>
    <t>Table 1.  CDM Savings (Energy and Demand Billed) by Rate Class in Approved Load Forecast</t>
  </si>
  <si>
    <t>FORECAST</t>
  </si>
  <si>
    <t>Transformer Allowance kVA</t>
  </si>
  <si>
    <t>kW/kVA</t>
  </si>
  <si>
    <t>Transformer Allowance</t>
  </si>
  <si>
    <t>DIFFERENCE</t>
  </si>
  <si>
    <t>Days</t>
  </si>
  <si>
    <t>TOTAL</t>
  </si>
  <si>
    <t>2014 Distribution Rates (Jan-Apr)*</t>
  </si>
  <si>
    <t>2014 Distribution Rates (May-Dec)*</t>
  </si>
  <si>
    <t>2014 Impact Summary</t>
  </si>
  <si>
    <t>Total 2014 Impact</t>
  </si>
  <si>
    <t>LRAM Calculations</t>
  </si>
  <si>
    <t xml:space="preserve">ACTUAL </t>
  </si>
  <si>
    <t>2014 LRAMVA ($)</t>
  </si>
  <si>
    <t>2014-2015</t>
  </si>
  <si>
    <t>2014-2016</t>
  </si>
  <si>
    <t>Total LRAMVA Balance including Carrying Charges</t>
  </si>
  <si>
    <t>2014 LRAMVA Balance</t>
  </si>
  <si>
    <t>($)</t>
  </si>
  <si>
    <t>1.1  LRAMVA Caculations</t>
  </si>
  <si>
    <t>Table 4.  Distribution Volumetric Rates for LRAMVA Calculation</t>
  </si>
  <si>
    <t xml:space="preserve">Table 5.  Lost Revenue Amounts by Rate Class </t>
  </si>
  <si>
    <t>4.1. 2011-14 LRAM Monthly</t>
  </si>
  <si>
    <t xml:space="preserve"> 'LRAM Monthly' tab includes tables with monthly allocation of CDM Actuals from '2011-2014 LRAM' tab.</t>
  </si>
  <si>
    <r>
      <rPr>
        <b/>
        <sz val="11"/>
        <rFont val="Arial"/>
        <family val="2"/>
      </rPr>
      <t>Tables 12 and 13</t>
    </r>
    <r>
      <rPr>
        <sz val="11"/>
        <rFont val="Arial"/>
        <family val="2"/>
      </rPr>
      <t xml:space="preserve"> includes the 2011-2014 persistence factors and 2015-2020 persistence factors.</t>
    </r>
  </si>
  <si>
    <t>Table 1: 2011-2014 LRAM Summary with Persistence by Rate Class</t>
  </si>
  <si>
    <t>2011 Savings in 2014</t>
  </si>
  <si>
    <t>2012 Savings in 2014</t>
  </si>
  <si>
    <t>2013 Savings in 2014</t>
  </si>
  <si>
    <t>2013 Savings in 2014 DR Only</t>
  </si>
  <si>
    <t>2014 DR Only</t>
  </si>
  <si>
    <t>Table 14:  2014 Monthly Impact Summary by Rate Class</t>
  </si>
  <si>
    <r>
      <rPr>
        <b/>
        <sz val="11"/>
        <rFont val="Arial"/>
        <family val="2"/>
      </rPr>
      <t>Tables 1-5</t>
    </r>
    <r>
      <rPr>
        <sz val="11"/>
        <rFont val="Arial"/>
        <family val="2"/>
      </rPr>
      <t xml:space="preserve"> provides detailed calculations of 2014 LRAMVA balances. The tab was added to reflect detailed monthly LRAMVA calculations. </t>
    </r>
  </si>
  <si>
    <t>Table 13: Monthly CDM Savings with Persistence For Large Use Class*</t>
  </si>
  <si>
    <t>*Tables 8-13  Toronto Hydro has adjusted claimed savings based on typical application rates and monthly savings realization from samples and averages.</t>
  </si>
  <si>
    <t>Table 2: Annual CDM Savings with Persistence For Residential Class (kWh)</t>
  </si>
  <si>
    <t>Table 3:  Annual CDM Savings with Persistence For CSMUR Class (kWh)</t>
  </si>
  <si>
    <t>Table 4: Annual CDM Savings with Persistence For GS&lt;50 kW Class (kWh)</t>
  </si>
  <si>
    <t>Table 5: Annual CDM Savings with Persistence For GS 50-999 kW Class (kW)</t>
  </si>
  <si>
    <t>Table 6: Annual CDM Savings with Persistence For GS 1,000-4,999 kW Class (kW)</t>
  </si>
  <si>
    <t>Table 7: Annual CDM Savings with Persistence For Large Use Class (kW)</t>
  </si>
  <si>
    <t>Table 8: Monthly CDM Savings with Persistence for Residential Class*</t>
  </si>
  <si>
    <t>Table 9:  Monthly CDM Savings with Persistence for CSMUR Class*</t>
  </si>
  <si>
    <t>Table 10: Monthly CDM Savings with Persistence for GS&lt;50 kW Class*</t>
  </si>
  <si>
    <t>Table 11: Monthly CDM Savings with Persistence for GS 50-999 kW Class*</t>
  </si>
  <si>
    <t>Table 12: Monthly CDM Savings with Persistence for GS 1,000-4,999 kW Class*</t>
  </si>
  <si>
    <t>EB 2014-0116</t>
  </si>
  <si>
    <t>2011-2013</t>
  </si>
  <si>
    <t>Table 2.  Actual CDM Savings (Energy and Demand Billed) by Rate Class</t>
  </si>
  <si>
    <t>DIFFERENCE 
(CDM Actual - CDM Forecast)</t>
  </si>
  <si>
    <t>Table 3. Difference  ('CDM Savings Actual' minus'CDM Savings Forecast') by Rate Class</t>
  </si>
  <si>
    <t>*Distribution Rates include Distribution Volumetric Rates, Recovery of Foregone Revenue and Application of Tax Change Rate Riders.</t>
  </si>
  <si>
    <t>EB-2016-0254</t>
  </si>
  <si>
    <t>Opening Balance for fiscal year 2016</t>
  </si>
  <si>
    <t>Opening Balance for fiscal year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</si>
</sst>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8" formatCode="&quot;$&quot;#,##0.00_);[Red]\(&quot;$&quot;#,##0.00\)"/>
    <numFmt numFmtId="44" formatCode="_(&quot;$&quot;* #,##0.00_);_(&quot;$&quot;* \(#,##0.00\);_(&quot;$&quot;* &quot;-&quot;??_);_(@_)"/>
    <numFmt numFmtId="43" formatCode="_(* #,##0.00_);_(* \(#,##0.00\);_(* &quot;-&quot;??_);_(@_)"/>
    <numFmt numFmtId="164" formatCode="&quot;$&quot;#,##0.00;\-&quot;$&quot;#,##0.00"/>
    <numFmt numFmtId="165" formatCode="_-&quot;$&quot;* #,##0.00_-;\-&quot;$&quot;* #,##0.00_-;_-&quot;$&quot;* &quot;-&quot;??_-;_-@_-"/>
    <numFmt numFmtId="166" formatCode="_-* #,##0.00_-;\-* #,##0.00_-;_-* &quot;-&quot;??_-;_-@_-"/>
    <numFmt numFmtId="167" formatCode="0.0"/>
    <numFmt numFmtId="168" formatCode="&quot;$&quot;#,##0.0000"/>
    <numFmt numFmtId="169" formatCode="&quot;$&quot;#,##0.00"/>
    <numFmt numFmtId="170" formatCode="0.0_);[Red]\(0.0\)"/>
    <numFmt numFmtId="171" formatCode="&quot;$&quot;#,##0"/>
    <numFmt numFmtId="172" formatCode="0.0000"/>
    <numFmt numFmtId="173" formatCode="0.0000%"/>
    <numFmt numFmtId="174" formatCode="&quot;$&quot;#,##0.00;[Red]&quot;$&quot;#,##0.00"/>
    <numFmt numFmtId="175" formatCode="_-* #,##0_-;\-* #,##0_-;_-* &quot;-&quot;??_-;_-@_-"/>
    <numFmt numFmtId="176" formatCode="_(* #,##0.0_);_(* \(#,##0.0\);_(* &quot;-&quot;??_);_(@_)"/>
    <numFmt numFmtId="177" formatCode="_-&quot;$&quot;* #,##0.0000_-;\-&quot;$&quot;* #,##0.0000_-;_-&quot;$&quot;* &quot;-&quot;??_-;_-@_-"/>
    <numFmt numFmtId="178" formatCode="_(* #,##0_);_(* \(#,##0\);_(* &quot;-&quot;??_);_(@_)"/>
    <numFmt numFmtId="179" formatCode="#,##0.0"/>
    <numFmt numFmtId="180" formatCode="0.00000"/>
    <numFmt numFmtId="181" formatCode="0.000%"/>
    <numFmt numFmtId="182" formatCode="0.0%"/>
    <numFmt numFmtId="183" formatCode="_(&quot;$&quot;* #,##0.00000_);_(&quot;$&quot;* \(#,##0.00000\);_(&quot;$&quot;* &quot;-&quot;??_);_(@_)"/>
    <numFmt numFmtId="184" formatCode="_(&quot;$&quot;* #,##0.0000_);_(&quot;$&quot;* \(#,##0.0000\);_(&quot;$&quot;* &quot;-&quot;??_);_(@_)"/>
    <numFmt numFmtId="185" formatCode="_-&quot;$&quot;* #,##0.0000000_-;\-&quot;$&quot;* #,##0.0000000_-;_-&quot;$&quot;* &quot;-&quot;??_-;_-@_-"/>
    <numFmt numFmtId="186" formatCode="_-&quot;$&quot;* #,##0_-;\-&quot;$&quot;* #,##0_-;_-&quot;$&quot;* &quot;-&quot;??_-;_-@_-"/>
    <numFmt numFmtId="187" formatCode="_-[$$-1009]* #,##0_-;\-[$$-1009]* #,##0_-;_-[$$-1009]* &quot;-&quot;??_-;_-@_-"/>
  </numFmts>
  <fonts count="95" x14ac:knownFonts="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b/>
      <sz val="12"/>
      <color theme="1"/>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color rgb="FF0033CC"/>
      <name val="Arial"/>
      <family val="2"/>
    </font>
    <font>
      <b/>
      <sz val="10"/>
      <name val="Arial"/>
      <family val="2"/>
    </font>
    <font>
      <sz val="10"/>
      <name val="Arial"/>
      <family val="2"/>
    </font>
    <font>
      <b/>
      <sz val="11"/>
      <color rgb="FF0033CC"/>
      <name val="Calibri"/>
      <family val="2"/>
      <scheme val="minor"/>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sz val="10"/>
      <color rgb="FFFF0000"/>
      <name val="Calibri"/>
      <family val="2"/>
      <scheme val="minor"/>
    </font>
    <font>
      <b/>
      <i/>
      <sz val="14"/>
      <color theme="1"/>
      <name val="Calibri"/>
      <family val="2"/>
      <scheme val="minor"/>
    </font>
    <font>
      <sz val="10"/>
      <color theme="1"/>
      <name val="Arial"/>
      <family val="2"/>
    </font>
    <font>
      <sz val="10"/>
      <color rgb="FFFF0000"/>
      <name val="Arial"/>
      <family val="2"/>
    </font>
    <font>
      <sz val="11"/>
      <color rgb="FF0033CC"/>
      <name val="Calibri"/>
      <family val="2"/>
      <scheme val="minor"/>
    </font>
    <font>
      <sz val="9"/>
      <color rgb="FFFF0000"/>
      <name val="Arial"/>
      <family val="2"/>
    </font>
    <font>
      <sz val="9"/>
      <name val="Arial"/>
      <family val="2"/>
    </font>
    <font>
      <u/>
      <sz val="11"/>
      <color theme="10"/>
      <name val="Calibri"/>
      <family val="2"/>
      <scheme val="minor"/>
    </font>
    <font>
      <sz val="11"/>
      <name val="Calibri"/>
      <family val="2"/>
    </font>
    <font>
      <sz val="10"/>
      <color rgb="FF000000"/>
      <name val="Arial"/>
      <family val="2"/>
    </font>
    <font>
      <b/>
      <i/>
      <sz val="16"/>
      <color theme="1"/>
      <name val="Calibri"/>
      <family val="2"/>
      <scheme val="minor"/>
    </font>
    <font>
      <sz val="10"/>
      <color rgb="FF0033CC"/>
      <name val="Arial"/>
      <family val="2"/>
    </font>
    <font>
      <sz val="5.5"/>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u/>
      <sz val="11"/>
      <color theme="10"/>
      <name val="Arial"/>
      <family val="2"/>
    </font>
    <font>
      <sz val="11"/>
      <name val="Arial"/>
      <family val="2"/>
    </font>
    <font>
      <b/>
      <i/>
      <sz val="16"/>
      <color theme="1"/>
      <name val="Arial"/>
      <family val="2"/>
    </font>
    <font>
      <b/>
      <sz val="12"/>
      <name val="Arial"/>
      <family val="2"/>
    </font>
    <font>
      <sz val="12"/>
      <color theme="1"/>
      <name val="Arial"/>
      <family val="2"/>
    </font>
    <font>
      <b/>
      <sz val="10"/>
      <color theme="0"/>
      <name val="Arial"/>
      <family val="2"/>
    </font>
    <font>
      <b/>
      <sz val="11"/>
      <color rgb="FF0033CC"/>
      <name val="Arial"/>
      <family val="2"/>
    </font>
    <font>
      <b/>
      <i/>
      <sz val="14"/>
      <color theme="1"/>
      <name val="Arial"/>
      <family val="2"/>
    </font>
    <font>
      <b/>
      <i/>
      <sz val="12"/>
      <color theme="1"/>
      <name val="Arial"/>
      <family val="2"/>
    </font>
    <font>
      <sz val="11"/>
      <color rgb="FF000000"/>
      <name val="Arial"/>
      <family val="2"/>
    </font>
    <font>
      <b/>
      <sz val="11"/>
      <color theme="0"/>
      <name val="Arial"/>
      <family val="2"/>
    </font>
    <font>
      <b/>
      <i/>
      <sz val="16"/>
      <name val="Arial"/>
      <family val="2"/>
    </font>
    <font>
      <b/>
      <sz val="14"/>
      <color theme="1"/>
      <name val="Arial"/>
      <family val="2"/>
    </font>
    <font>
      <b/>
      <sz val="12"/>
      <color theme="1"/>
      <name val="Arial Black"/>
      <family val="2"/>
    </font>
    <font>
      <i/>
      <sz val="11"/>
      <name val="Arial"/>
      <family val="2"/>
    </font>
    <font>
      <sz val="11"/>
      <color theme="0"/>
      <name val="Arial"/>
      <family val="2"/>
    </font>
    <font>
      <b/>
      <sz val="11"/>
      <color theme="0" tint="-0.499984740745262"/>
      <name val="Arial"/>
      <family val="2"/>
    </font>
    <font>
      <sz val="11"/>
      <color rgb="FF0033CC"/>
      <name val="Arial"/>
      <family val="2"/>
    </font>
    <font>
      <b/>
      <sz val="11"/>
      <color rgb="FF000000"/>
      <name val="Arial"/>
      <family val="2"/>
    </font>
    <font>
      <sz val="9"/>
      <color theme="1"/>
      <name val="Arial"/>
      <family val="2"/>
    </font>
    <font>
      <b/>
      <sz val="13"/>
      <name val="Arial"/>
      <family val="2"/>
    </font>
    <font>
      <sz val="5.5"/>
      <name val="Arial"/>
      <family val="2"/>
    </font>
    <font>
      <b/>
      <sz val="5.5"/>
      <name val="Arial"/>
      <family val="2"/>
    </font>
    <font>
      <b/>
      <i/>
      <sz val="12"/>
      <name val="Arial"/>
      <family val="2"/>
    </font>
    <font>
      <sz val="11"/>
      <color rgb="FFFF0000"/>
      <name val="Arial"/>
      <family val="2"/>
    </font>
    <font>
      <b/>
      <sz val="10"/>
      <color rgb="FFFF0000"/>
      <name val="Arial"/>
      <family val="2"/>
    </font>
    <font>
      <b/>
      <i/>
      <sz val="11"/>
      <name val="Arial"/>
      <family val="2"/>
    </font>
    <font>
      <b/>
      <i/>
      <sz val="14"/>
      <name val="Arial"/>
      <family val="2"/>
    </font>
    <font>
      <b/>
      <i/>
      <sz val="14"/>
      <name val="Calibri"/>
      <family val="2"/>
      <scheme val="minor"/>
    </font>
    <font>
      <sz val="14"/>
      <color theme="1"/>
      <name val="Calibri"/>
      <family val="2"/>
      <scheme val="minor"/>
    </font>
    <font>
      <sz val="11"/>
      <color rgb="FFFF0000"/>
      <name val="Calibri"/>
      <family val="2"/>
      <scheme val="minor"/>
    </font>
    <font>
      <b/>
      <sz val="11"/>
      <color rgb="FFFF0000"/>
      <name val="Calibri"/>
      <family val="2"/>
      <scheme val="minor"/>
    </font>
    <font>
      <sz val="11"/>
      <color theme="0" tint="-0.249977111117893"/>
      <name val="Calibri"/>
      <family val="2"/>
      <scheme val="minor"/>
    </font>
    <font>
      <sz val="11"/>
      <color theme="0" tint="-0.34998626667073579"/>
      <name val="Calibri"/>
      <family val="2"/>
      <scheme val="minor"/>
    </font>
    <font>
      <b/>
      <sz val="11"/>
      <color theme="0"/>
      <name val="Calibri"/>
      <family val="2"/>
      <scheme val="minor"/>
    </font>
    <font>
      <sz val="11"/>
      <color theme="0" tint="-0.499984740745262"/>
      <name val="Calibri"/>
      <family val="2"/>
      <scheme val="minor"/>
    </font>
    <font>
      <sz val="10"/>
      <color theme="0" tint="-0.499984740745262"/>
      <name val="Arial"/>
      <family val="2"/>
    </font>
    <font>
      <b/>
      <sz val="9"/>
      <color theme="0"/>
      <name val="Arial"/>
      <family val="2"/>
    </font>
    <font>
      <sz val="9"/>
      <color theme="1"/>
      <name val="Calibri"/>
      <family val="2"/>
      <scheme val="minor"/>
    </font>
    <font>
      <b/>
      <i/>
      <sz val="20"/>
      <color theme="1"/>
      <name val="Arial"/>
      <family val="2"/>
    </font>
    <font>
      <b/>
      <sz val="12"/>
      <color theme="0"/>
      <name val="Arial"/>
      <family val="2"/>
    </font>
    <font>
      <b/>
      <sz val="12"/>
      <name val="Arial Black"/>
      <family val="2"/>
    </font>
  </fonts>
  <fills count="3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4.9989318521683403E-2"/>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0.499984740745262"/>
        <bgColor rgb="FF000000"/>
      </patternFill>
    </fill>
  </fills>
  <borders count="105">
    <border>
      <left/>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FFFF"/>
      </right>
      <top style="medium">
        <color rgb="FFFFFFFF"/>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indexed="64"/>
      </bottom>
      <diagonal/>
    </border>
    <border>
      <left/>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theme="0"/>
      </right>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theme="0"/>
      </right>
      <top/>
      <bottom style="thin">
        <color indexed="64"/>
      </bottom>
      <diagonal/>
    </border>
    <border>
      <left style="thin">
        <color theme="0"/>
      </left>
      <right style="thin">
        <color indexed="64"/>
      </right>
      <top style="thin">
        <color theme="0"/>
      </top>
      <bottom style="thin">
        <color theme="0"/>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hair">
        <color indexed="64"/>
      </left>
      <right style="thin">
        <color indexed="64"/>
      </right>
      <top/>
      <bottom style="hair">
        <color indexed="64"/>
      </bottom>
      <diagonal/>
    </border>
    <border>
      <left/>
      <right/>
      <top/>
      <bottom style="thin">
        <color theme="0" tint="-0.24997711111789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right/>
      <top/>
      <bottom style="thin">
        <color theme="0" tint="-0.499984740745262"/>
      </bottom>
      <diagonal/>
    </border>
    <border>
      <left style="thin">
        <color indexed="64"/>
      </left>
      <right style="thin">
        <color theme="0" tint="-0.499984740745262"/>
      </right>
      <top/>
      <bottom/>
      <diagonal/>
    </border>
    <border>
      <left/>
      <right/>
      <top style="thin">
        <color theme="0" tint="-0.499984740745262"/>
      </top>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left>
      <right style="thin">
        <color indexed="64"/>
      </right>
      <top style="thin">
        <color indexed="64"/>
      </top>
      <bottom/>
      <diagonal/>
    </border>
  </borders>
  <cellStyleXfs count="135">
    <xf numFmtId="0" fontId="0" fillId="0" borderId="0"/>
    <xf numFmtId="43" fontId="14"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0" fontId="14" fillId="0" borderId="0"/>
    <xf numFmtId="0" fontId="16" fillId="0" borderId="0"/>
    <xf numFmtId="0" fontId="14" fillId="0" borderId="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16" applyNumberFormat="0" applyAlignment="0" applyProtection="0"/>
    <xf numFmtId="0" fontId="21" fillId="22" borderId="17" applyNumberFormat="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0" fontId="23" fillId="0" borderId="0" applyNumberFormat="0" applyFill="0" applyBorder="0" applyAlignment="0" applyProtection="0"/>
    <xf numFmtId="0" fontId="24" fillId="5" borderId="0" applyNumberFormat="0" applyBorder="0" applyAlignment="0" applyProtection="0"/>
    <xf numFmtId="0" fontId="25" fillId="0" borderId="18" applyNumberFormat="0" applyFill="0" applyAlignment="0" applyProtection="0"/>
    <xf numFmtId="0" fontId="26" fillId="0" borderId="19" applyNumberFormat="0" applyFill="0" applyAlignment="0" applyProtection="0"/>
    <xf numFmtId="0" fontId="27" fillId="0" borderId="20" applyNumberFormat="0" applyFill="0" applyAlignment="0" applyProtection="0"/>
    <xf numFmtId="0" fontId="27" fillId="0" borderId="0" applyNumberFormat="0" applyFill="0" applyBorder="0" applyAlignment="0" applyProtection="0"/>
    <xf numFmtId="0" fontId="28" fillId="8" borderId="16" applyNumberFormat="0" applyAlignment="0" applyProtection="0"/>
    <xf numFmtId="0" fontId="29" fillId="0" borderId="21" applyNumberFormat="0" applyFill="0" applyAlignment="0" applyProtection="0"/>
    <xf numFmtId="0" fontId="30" fillId="23" borderId="0" applyNumberFormat="0" applyBorder="0" applyAlignment="0" applyProtection="0"/>
    <xf numFmtId="0" fontId="22" fillId="0" borderId="0"/>
    <xf numFmtId="0" fontId="22" fillId="0" borderId="0"/>
    <xf numFmtId="0" fontId="7" fillId="0" borderId="0"/>
    <xf numFmtId="0" fontId="14" fillId="0" borderId="0"/>
    <xf numFmtId="0" fontId="7" fillId="0" borderId="0"/>
    <xf numFmtId="0" fontId="14" fillId="24" borderId="22" applyNumberFormat="0" applyFont="0" applyAlignment="0" applyProtection="0"/>
    <xf numFmtId="0" fontId="14" fillId="24" borderId="22" applyNumberFormat="0" applyFont="0" applyAlignment="0" applyProtection="0"/>
    <xf numFmtId="0" fontId="31" fillId="21" borderId="23" applyNumberFormat="0" applyAlignment="0" applyProtection="0"/>
    <xf numFmtId="9" fontId="7" fillId="0" borderId="0" applyFont="0" applyFill="0" applyBorder="0" applyAlignment="0" applyProtection="0"/>
    <xf numFmtId="0" fontId="14" fillId="25" borderId="2" applyNumberFormat="0" applyProtection="0">
      <alignment horizontal="left" vertical="center"/>
    </xf>
    <xf numFmtId="0" fontId="14" fillId="25" borderId="2" applyNumberFormat="0" applyProtection="0">
      <alignment horizontal="left" vertical="center"/>
    </xf>
    <xf numFmtId="0" fontId="32" fillId="0" borderId="0" applyNumberFormat="0" applyFill="0" applyBorder="0" applyAlignment="0" applyProtection="0"/>
    <xf numFmtId="0" fontId="33" fillId="0" borderId="24" applyNumberFormat="0" applyFill="0" applyAlignment="0" applyProtection="0"/>
    <xf numFmtId="0" fontId="34" fillId="0" borderId="0" applyNumberFormat="0" applyFill="0" applyBorder="0" applyAlignment="0" applyProtection="0"/>
    <xf numFmtId="0" fontId="20" fillId="21" borderId="25" applyNumberFormat="0" applyAlignment="0" applyProtection="0"/>
    <xf numFmtId="0" fontId="28" fillId="8" borderId="25" applyNumberFormat="0" applyAlignment="0" applyProtection="0"/>
    <xf numFmtId="0" fontId="14" fillId="24" borderId="26" applyNumberFormat="0" applyFont="0" applyAlignment="0" applyProtection="0"/>
    <xf numFmtId="0" fontId="14" fillId="24" borderId="26" applyNumberFormat="0" applyFont="0" applyAlignment="0" applyProtection="0"/>
    <xf numFmtId="0" fontId="31" fillId="21" borderId="27" applyNumberFormat="0" applyAlignment="0" applyProtection="0"/>
    <xf numFmtId="0" fontId="33" fillId="0" borderId="28" applyNumberFormat="0" applyFill="0" applyAlignment="0" applyProtection="0"/>
    <xf numFmtId="165"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43" fillId="0" borderId="0" applyNumberFormat="0" applyFill="0" applyBorder="0" applyAlignment="0" applyProtection="0"/>
    <xf numFmtId="0" fontId="7" fillId="0" borderId="0"/>
    <xf numFmtId="9" fontId="7" fillId="0" borderId="0" applyFont="0" applyFill="0" applyBorder="0" applyAlignment="0" applyProtection="0"/>
    <xf numFmtId="0" fontId="14" fillId="25" borderId="37" applyNumberFormat="0" applyProtection="0">
      <alignment horizontal="left" vertical="center"/>
    </xf>
    <xf numFmtId="0" fontId="14" fillId="25" borderId="37" applyNumberFormat="0" applyProtection="0">
      <alignment horizontal="left" vertical="center"/>
    </xf>
    <xf numFmtId="0" fontId="20" fillId="21" borderId="30" applyNumberFormat="0" applyAlignment="0" applyProtection="0"/>
    <xf numFmtId="0" fontId="28" fillId="8" borderId="30" applyNumberFormat="0" applyAlignment="0" applyProtection="0"/>
    <xf numFmtId="0" fontId="14" fillId="24" borderId="31" applyNumberFormat="0" applyFont="0" applyAlignment="0" applyProtection="0"/>
    <xf numFmtId="0" fontId="14" fillId="24" borderId="31" applyNumberFormat="0" applyFont="0" applyAlignment="0" applyProtection="0"/>
    <xf numFmtId="0" fontId="31" fillId="21" borderId="32" applyNumberFormat="0" applyAlignment="0" applyProtection="0"/>
    <xf numFmtId="0" fontId="33" fillId="0" borderId="33" applyNumberFormat="0" applyFill="0" applyAlignment="0" applyProtection="0"/>
    <xf numFmtId="0" fontId="20" fillId="21" borderId="30" applyNumberFormat="0" applyAlignment="0" applyProtection="0"/>
    <xf numFmtId="0" fontId="28" fillId="8" borderId="30" applyNumberFormat="0" applyAlignment="0" applyProtection="0"/>
    <xf numFmtId="0" fontId="14" fillId="24" borderId="31" applyNumberFormat="0" applyFont="0" applyAlignment="0" applyProtection="0"/>
    <xf numFmtId="0" fontId="14" fillId="24" borderId="31" applyNumberFormat="0" applyFont="0" applyAlignment="0" applyProtection="0"/>
    <xf numFmtId="0" fontId="31" fillId="21" borderId="32" applyNumberFormat="0" applyAlignment="0" applyProtection="0"/>
    <xf numFmtId="0" fontId="33" fillId="0" borderId="33" applyNumberFormat="0" applyFill="0" applyAlignment="0" applyProtection="0"/>
    <xf numFmtId="43" fontId="7" fillId="0" borderId="0" applyFont="0" applyFill="0" applyBorder="0" applyAlignment="0" applyProtection="0"/>
    <xf numFmtId="166" fontId="16"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16"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16"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16"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cellStyleXfs>
  <cellXfs count="861">
    <xf numFmtId="0" fontId="0" fillId="0" borderId="0" xfId="0"/>
    <xf numFmtId="0" fontId="9" fillId="2" borderId="0" xfId="0" applyFont="1" applyFill="1" applyBorder="1" applyAlignment="1">
      <alignment horizontal="right" vertical="top"/>
    </xf>
    <xf numFmtId="0" fontId="0" fillId="2" borderId="0" xfId="0" applyFill="1"/>
    <xf numFmtId="0" fontId="2" fillId="2" borderId="0" xfId="0" applyFont="1" applyFill="1"/>
    <xf numFmtId="0" fontId="38" fillId="2" borderId="0" xfId="0" applyFont="1" applyFill="1"/>
    <xf numFmtId="0" fontId="5" fillId="2" borderId="0" xfId="0" applyFont="1" applyFill="1"/>
    <xf numFmtId="0" fontId="36" fillId="2" borderId="0" xfId="0" applyFont="1" applyFill="1"/>
    <xf numFmtId="0" fontId="39" fillId="2" borderId="0" xfId="0" applyFont="1" applyFill="1" applyAlignment="1"/>
    <xf numFmtId="0" fontId="8" fillId="2" borderId="0" xfId="0" applyFont="1" applyFill="1"/>
    <xf numFmtId="0" fontId="5" fillId="2" borderId="0" xfId="0" applyFont="1" applyFill="1" applyAlignment="1">
      <alignment wrapText="1"/>
    </xf>
    <xf numFmtId="172" fontId="14" fillId="2" borderId="0" xfId="0" applyNumberFormat="1" applyFont="1" applyFill="1" applyBorder="1" applyProtection="1"/>
    <xf numFmtId="0" fontId="42" fillId="2" borderId="0" xfId="0" applyFont="1" applyFill="1"/>
    <xf numFmtId="172" fontId="42" fillId="2" borderId="0" xfId="0" applyNumberFormat="1" applyFont="1" applyFill="1" applyBorder="1" applyProtection="1"/>
    <xf numFmtId="0" fontId="41" fillId="2" borderId="0" xfId="0" applyFont="1" applyFill="1" applyAlignment="1">
      <alignment vertical="center" wrapText="1"/>
    </xf>
    <xf numFmtId="0" fontId="3" fillId="2" borderId="0" xfId="0" applyFont="1" applyFill="1"/>
    <xf numFmtId="0" fontId="0" fillId="2" borderId="0" xfId="0" applyFill="1" applyAlignment="1">
      <alignment wrapText="1"/>
    </xf>
    <xf numFmtId="0" fontId="35" fillId="2" borderId="0" xfId="0" applyFont="1" applyFill="1" applyAlignment="1">
      <alignment horizontal="center"/>
    </xf>
    <xf numFmtId="0" fontId="35" fillId="2" borderId="0" xfId="0" applyFont="1" applyFill="1" applyAlignment="1">
      <alignment horizontal="center" wrapText="1"/>
    </xf>
    <xf numFmtId="0" fontId="15" fillId="2" borderId="0" xfId="0" applyFont="1" applyFill="1"/>
    <xf numFmtId="0" fontId="14" fillId="2" borderId="2" xfId="53" applyFont="1" applyFill="1" applyBorder="1" applyAlignment="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0" fontId="1" fillId="2" borderId="0" xfId="0" applyFont="1" applyFill="1"/>
    <xf numFmtId="174" fontId="0" fillId="2" borderId="0" xfId="0" applyNumberFormat="1" applyFont="1" applyFill="1"/>
    <xf numFmtId="0" fontId="14" fillId="2" borderId="2" xfId="53" applyFont="1" applyFill="1" applyBorder="1" applyAlignment="1">
      <alignment horizontal="center"/>
    </xf>
    <xf numFmtId="0" fontId="14" fillId="2" borderId="0" xfId="53" applyFont="1" applyFill="1" applyBorder="1" applyAlignment="1">
      <alignment horizontal="center"/>
    </xf>
    <xf numFmtId="0" fontId="48" fillId="2" borderId="0" xfId="0" applyFont="1" applyFill="1" applyAlignment="1">
      <alignment vertical="top"/>
    </xf>
    <xf numFmtId="0" fontId="8" fillId="2" borderId="0" xfId="0" applyFont="1" applyFill="1" applyAlignment="1">
      <alignment vertical="top"/>
    </xf>
    <xf numFmtId="0" fontId="37" fillId="2" borderId="0" xfId="0" applyFont="1" applyFill="1" applyAlignment="1">
      <alignment horizontal="center" wrapText="1"/>
    </xf>
    <xf numFmtId="0" fontId="0" fillId="2" borderId="0" xfId="0" applyFont="1" applyFill="1" applyAlignment="1">
      <alignment wrapText="1"/>
    </xf>
    <xf numFmtId="0" fontId="44" fillId="2" borderId="0" xfId="0" applyFont="1" applyFill="1" applyBorder="1" applyAlignment="1">
      <alignment horizontal="left" vertical="center" wrapText="1"/>
    </xf>
    <xf numFmtId="0" fontId="44" fillId="2" borderId="0" xfId="0" applyFont="1" applyFill="1" applyBorder="1" applyAlignment="1">
      <alignment horizontal="center"/>
    </xf>
    <xf numFmtId="172" fontId="44" fillId="2" borderId="0" xfId="0" applyNumberFormat="1" applyFont="1" applyFill="1" applyBorder="1" applyAlignment="1" applyProtection="1">
      <alignment horizontal="center"/>
      <protection locked="0"/>
    </xf>
    <xf numFmtId="0" fontId="8" fillId="2" borderId="0" xfId="0" applyFont="1" applyFill="1" applyBorder="1"/>
    <xf numFmtId="0" fontId="0" fillId="2" borderId="0" xfId="0" applyFont="1" applyFill="1" applyAlignment="1">
      <alignment horizontal="center" wrapText="1"/>
    </xf>
    <xf numFmtId="0" fontId="40" fillId="2" borderId="0" xfId="0" applyFont="1" applyFill="1"/>
    <xf numFmtId="0" fontId="39" fillId="2" borderId="0" xfId="0" applyFont="1" applyFill="1" applyAlignment="1">
      <alignment vertical="center"/>
    </xf>
    <xf numFmtId="0" fontId="0" fillId="2" borderId="0" xfId="0" applyFill="1" applyBorder="1"/>
    <xf numFmtId="0" fontId="16" fillId="2" borderId="0" xfId="0" applyFont="1" applyFill="1"/>
    <xf numFmtId="0" fontId="37" fillId="2" borderId="0" xfId="0" applyFont="1" applyFill="1" applyAlignment="1">
      <alignment horizontal="center" wrapText="1"/>
    </xf>
    <xf numFmtId="0" fontId="8" fillId="2" borderId="0" xfId="0" applyFont="1" applyFill="1"/>
    <xf numFmtId="0" fontId="48" fillId="2" borderId="0" xfId="0" applyFont="1" applyFill="1" applyAlignment="1">
      <alignment vertical="top"/>
    </xf>
    <xf numFmtId="0" fontId="48" fillId="2" borderId="0" xfId="0" applyFont="1" applyFill="1" applyAlignment="1">
      <alignment vertical="top" wrapText="1"/>
    </xf>
    <xf numFmtId="0" fontId="8" fillId="2" borderId="0" xfId="0" applyFont="1" applyFill="1" applyAlignment="1">
      <alignment vertical="top"/>
    </xf>
    <xf numFmtId="0" fontId="48" fillId="2" borderId="0" xfId="0" applyFont="1" applyFill="1" applyAlignment="1">
      <alignment horizontal="center" vertical="top" wrapText="1"/>
    </xf>
    <xf numFmtId="8" fontId="4" fillId="2" borderId="0" xfId="0" applyNumberFormat="1" applyFont="1" applyFill="1" applyBorder="1" applyAlignment="1">
      <alignment horizontal="center"/>
    </xf>
    <xf numFmtId="0" fontId="0" fillId="2" borderId="0" xfId="0" applyFill="1" applyBorder="1" applyAlignment="1">
      <alignment horizontal="center"/>
    </xf>
    <xf numFmtId="0" fontId="2" fillId="2" borderId="0" xfId="0" applyFont="1" applyFill="1" applyBorder="1"/>
    <xf numFmtId="0" fontId="2" fillId="2" borderId="0" xfId="0" applyFont="1" applyFill="1" applyAlignment="1">
      <alignment horizontal="center"/>
    </xf>
    <xf numFmtId="3" fontId="2" fillId="2" borderId="0" xfId="0" applyNumberFormat="1" applyFont="1" applyFill="1"/>
    <xf numFmtId="3" fontId="3" fillId="2" borderId="0" xfId="0" applyNumberFormat="1" applyFont="1" applyFill="1" applyBorder="1" applyAlignment="1">
      <alignment horizontal="center"/>
    </xf>
    <xf numFmtId="0" fontId="2" fillId="2" borderId="0" xfId="0" applyFont="1" applyFill="1" applyAlignment="1">
      <alignment horizontal="left"/>
    </xf>
    <xf numFmtId="0" fontId="3" fillId="2" borderId="0" xfId="0" applyFont="1" applyFill="1" applyBorder="1" applyAlignment="1">
      <alignment horizontal="center" vertical="center"/>
    </xf>
    <xf numFmtId="0" fontId="37" fillId="2" borderId="0" xfId="0" applyFont="1" applyFill="1" applyAlignment="1">
      <alignment horizontal="center"/>
    </xf>
    <xf numFmtId="0" fontId="37" fillId="2" borderId="0" xfId="0" applyFont="1" applyFill="1" applyAlignment="1">
      <alignment horizontal="center" vertical="center"/>
    </xf>
    <xf numFmtId="0" fontId="37" fillId="2" borderId="0" xfId="0" applyFont="1" applyFill="1" applyAlignment="1">
      <alignment horizontal="center" wrapText="1"/>
    </xf>
    <xf numFmtId="0" fontId="16" fillId="2" borderId="0" xfId="0" applyFont="1" applyFill="1" applyAlignment="1">
      <alignment horizontal="center"/>
    </xf>
    <xf numFmtId="0" fontId="0" fillId="2" borderId="0" xfId="0" applyFont="1" applyFill="1" applyAlignment="1">
      <alignment horizontal="left"/>
    </xf>
    <xf numFmtId="0" fontId="49" fillId="2" borderId="0" xfId="0" applyFont="1" applyFill="1"/>
    <xf numFmtId="0" fontId="38" fillId="2" borderId="0" xfId="0" applyFont="1" applyFill="1" applyBorder="1" applyAlignment="1">
      <alignment horizontal="center"/>
    </xf>
    <xf numFmtId="0" fontId="0" fillId="2" borderId="0" xfId="0" applyFont="1" applyFill="1" applyBorder="1"/>
    <xf numFmtId="0" fontId="49" fillId="2" borderId="0" xfId="0" applyFont="1" applyFill="1" applyAlignment="1">
      <alignment horizontal="center"/>
    </xf>
    <xf numFmtId="0" fontId="54" fillId="2" borderId="0" xfId="0" applyFont="1" applyFill="1"/>
    <xf numFmtId="0" fontId="38" fillId="2" borderId="0" xfId="0" applyFont="1" applyFill="1" applyBorder="1" applyAlignment="1">
      <alignment horizontal="left" vertical="center"/>
    </xf>
    <xf numFmtId="175" fontId="45" fillId="0" borderId="0" xfId="40" applyNumberFormat="1" applyFont="1" applyFill="1" applyBorder="1" applyAlignment="1">
      <alignment horizontal="left" vertical="center" wrapText="1"/>
    </xf>
    <xf numFmtId="0" fontId="51" fillId="2" borderId="0" xfId="0" applyFont="1" applyFill="1" applyAlignment="1">
      <alignment horizontal="left"/>
    </xf>
    <xf numFmtId="171" fontId="49" fillId="2" borderId="2" xfId="0" applyNumberFormat="1" applyFont="1" applyFill="1" applyBorder="1" applyAlignment="1">
      <alignment horizontal="center"/>
    </xf>
    <xf numFmtId="171" fontId="49" fillId="2" borderId="37" xfId="0" applyNumberFormat="1" applyFont="1" applyFill="1" applyBorder="1" applyAlignment="1">
      <alignment horizontal="center"/>
    </xf>
    <xf numFmtId="0" fontId="46" fillId="2" borderId="0" xfId="0" applyFont="1" applyFill="1" applyBorder="1" applyAlignment="1">
      <alignment horizontal="left" vertical="center"/>
    </xf>
    <xf numFmtId="0" fontId="0" fillId="2" borderId="0" xfId="0" applyFont="1" applyFill="1" applyAlignment="1"/>
    <xf numFmtId="0" fontId="37" fillId="2" borderId="0" xfId="0" applyFont="1" applyFill="1" applyBorder="1" applyAlignment="1">
      <alignment vertical="center"/>
    </xf>
    <xf numFmtId="0" fontId="54" fillId="2" borderId="39" xfId="0" applyFont="1" applyFill="1" applyBorder="1" applyAlignment="1">
      <alignment horizontal="center"/>
    </xf>
    <xf numFmtId="0" fontId="38" fillId="2" borderId="0" xfId="0" applyFont="1" applyFill="1" applyAlignment="1">
      <alignment vertical="center"/>
    </xf>
    <xf numFmtId="0" fontId="0" fillId="2" borderId="0" xfId="0" applyFont="1" applyFill="1" applyAlignment="1">
      <alignment vertical="center"/>
    </xf>
    <xf numFmtId="0" fontId="50" fillId="2" borderId="0" xfId="0" applyFont="1" applyFill="1" applyBorder="1" applyAlignment="1"/>
    <xf numFmtId="0" fontId="49" fillId="2" borderId="0" xfId="0" applyFont="1" applyFill="1" applyAlignment="1">
      <alignment horizontal="left"/>
    </xf>
    <xf numFmtId="0" fontId="50" fillId="2" borderId="0" xfId="0" applyFont="1" applyFill="1" applyBorder="1" applyAlignment="1">
      <alignment horizontal="left"/>
    </xf>
    <xf numFmtId="175" fontId="62" fillId="0" borderId="29" xfId="40" applyNumberFormat="1" applyFont="1" applyFill="1" applyBorder="1" applyAlignment="1">
      <alignment vertical="center"/>
    </xf>
    <xf numFmtId="0" fontId="49" fillId="2" borderId="0" xfId="0" applyFont="1" applyFill="1" applyAlignment="1">
      <alignment horizontal="left" wrapText="1"/>
    </xf>
    <xf numFmtId="0" fontId="49" fillId="2" borderId="11" xfId="0" applyFont="1" applyFill="1" applyBorder="1" applyAlignment="1">
      <alignment vertical="center"/>
    </xf>
    <xf numFmtId="0" fontId="49" fillId="2" borderId="10" xfId="0" applyFont="1" applyFill="1" applyBorder="1" applyAlignment="1">
      <alignment vertical="center"/>
    </xf>
    <xf numFmtId="0" fontId="54" fillId="2" borderId="11" xfId="0" applyFont="1" applyFill="1" applyBorder="1" applyAlignment="1">
      <alignment vertical="center"/>
    </xf>
    <xf numFmtId="170" fontId="63" fillId="28" borderId="45" xfId="0" applyNumberFormat="1" applyFont="1" applyFill="1" applyBorder="1" applyAlignment="1">
      <alignment horizontal="center" vertical="center" wrapText="1"/>
    </xf>
    <xf numFmtId="170" fontId="63" fillId="28" borderId="41" xfId="0" applyNumberFormat="1" applyFont="1" applyFill="1" applyBorder="1" applyAlignment="1">
      <alignment horizontal="center" vertical="center" wrapText="1"/>
    </xf>
    <xf numFmtId="0" fontId="52" fillId="2" borderId="0" xfId="0" applyFont="1" applyFill="1" applyBorder="1" applyAlignment="1">
      <alignment horizontal="center" vertical="center"/>
    </xf>
    <xf numFmtId="0" fontId="57" fillId="2" borderId="0" xfId="0" applyFont="1" applyFill="1" applyAlignment="1">
      <alignment horizontal="left"/>
    </xf>
    <xf numFmtId="170" fontId="63" fillId="28" borderId="43" xfId="0" applyNumberFormat="1" applyFont="1" applyFill="1" applyBorder="1" applyAlignment="1">
      <alignment horizontal="center" vertical="center" wrapText="1"/>
    </xf>
    <xf numFmtId="170" fontId="63" fillId="27" borderId="42" xfId="6" applyNumberFormat="1" applyFont="1" applyFill="1" applyBorder="1" applyAlignment="1">
      <alignment horizontal="center" vertical="center" wrapText="1"/>
    </xf>
    <xf numFmtId="170" fontId="63" fillId="28" borderId="42" xfId="0" applyNumberFormat="1" applyFont="1" applyFill="1" applyBorder="1" applyAlignment="1">
      <alignment horizontal="center" vertical="center" wrapText="1"/>
    </xf>
    <xf numFmtId="0" fontId="49" fillId="2" borderId="4" xfId="0" applyFont="1" applyFill="1" applyBorder="1" applyAlignment="1">
      <alignment horizontal="center"/>
    </xf>
    <xf numFmtId="38" fontId="49" fillId="2" borderId="39" xfId="0" applyNumberFormat="1" applyFont="1" applyFill="1" applyBorder="1" applyAlignment="1">
      <alignment horizontal="center"/>
    </xf>
    <xf numFmtId="0" fontId="54" fillId="2" borderId="4" xfId="0" applyFont="1" applyFill="1" applyBorder="1" applyAlignment="1">
      <alignment horizontal="left" vertical="center" wrapText="1"/>
    </xf>
    <xf numFmtId="0" fontId="54" fillId="2" borderId="48" xfId="0" applyFont="1" applyFill="1" applyBorder="1" applyAlignment="1">
      <alignment horizontal="left" vertical="center" wrapText="1"/>
    </xf>
    <xf numFmtId="0" fontId="54" fillId="2" borderId="49" xfId="0" applyFont="1" applyFill="1" applyBorder="1" applyAlignment="1">
      <alignment horizontal="center"/>
    </xf>
    <xf numFmtId="0" fontId="0" fillId="2" borderId="6" xfId="0" applyFill="1" applyBorder="1"/>
    <xf numFmtId="0" fontId="61" fillId="2" borderId="0" xfId="0" applyFont="1" applyFill="1" applyBorder="1" applyAlignment="1">
      <alignment vertical="center"/>
    </xf>
    <xf numFmtId="0" fontId="49" fillId="0" borderId="2" xfId="0" applyNumberFormat="1" applyFont="1" applyBorder="1" applyAlignment="1">
      <alignment horizontal="center"/>
    </xf>
    <xf numFmtId="0" fontId="49" fillId="2" borderId="37" xfId="0" applyFont="1" applyFill="1" applyBorder="1"/>
    <xf numFmtId="3" fontId="49" fillId="2" borderId="2" xfId="0" applyNumberFormat="1" applyFont="1" applyFill="1" applyBorder="1" applyAlignment="1">
      <alignment horizontal="center"/>
    </xf>
    <xf numFmtId="3" fontId="49" fillId="2" borderId="2" xfId="0" applyNumberFormat="1" applyFont="1" applyFill="1" applyBorder="1"/>
    <xf numFmtId="0" fontId="46" fillId="2" borderId="0" xfId="0" applyFont="1" applyFill="1" applyBorder="1" applyAlignment="1">
      <alignment vertical="center"/>
    </xf>
    <xf numFmtId="0" fontId="3" fillId="2" borderId="0" xfId="0" applyFont="1" applyFill="1" applyBorder="1"/>
    <xf numFmtId="174" fontId="0" fillId="2" borderId="0" xfId="0" applyNumberFormat="1" applyFont="1" applyFill="1" applyBorder="1"/>
    <xf numFmtId="0" fontId="57" fillId="2" borderId="0" xfId="0" applyFont="1" applyFill="1" applyBorder="1" applyAlignment="1">
      <alignment horizontal="left"/>
    </xf>
    <xf numFmtId="0" fontId="57" fillId="2" borderId="0" xfId="0" applyFont="1" applyFill="1" applyBorder="1"/>
    <xf numFmtId="0" fontId="5" fillId="2" borderId="0" xfId="0" applyFont="1" applyFill="1" applyBorder="1" applyAlignment="1">
      <alignment wrapText="1"/>
    </xf>
    <xf numFmtId="0" fontId="39" fillId="2" borderId="0" xfId="0" applyFont="1" applyFill="1" applyBorder="1" applyAlignment="1"/>
    <xf numFmtId="0" fontId="54" fillId="2" borderId="34" xfId="0" applyFont="1" applyFill="1" applyBorder="1" applyAlignment="1">
      <alignment horizontal="left" wrapText="1"/>
    </xf>
    <xf numFmtId="0" fontId="54" fillId="2" borderId="35" xfId="0" applyFont="1" applyFill="1" applyBorder="1" applyAlignment="1">
      <alignment horizontal="center" vertical="center"/>
    </xf>
    <xf numFmtId="0" fontId="39" fillId="2" borderId="0" xfId="0" applyFont="1" applyFill="1" applyBorder="1" applyAlignment="1">
      <alignment vertical="center"/>
    </xf>
    <xf numFmtId="0" fontId="57" fillId="2" borderId="0" xfId="0" applyFont="1" applyFill="1" applyAlignment="1">
      <alignment horizontal="center"/>
    </xf>
    <xf numFmtId="0" fontId="55" fillId="2" borderId="0" xfId="0" applyFont="1" applyFill="1" applyAlignment="1">
      <alignment horizontal="center"/>
    </xf>
    <xf numFmtId="0" fontId="67" fillId="2" borderId="4" xfId="0" applyFont="1" applyFill="1" applyBorder="1" applyAlignment="1">
      <alignment horizontal="left" vertical="center" wrapText="1"/>
    </xf>
    <xf numFmtId="0" fontId="67" fillId="2" borderId="39" xfId="0" applyFont="1" applyFill="1" applyBorder="1" applyAlignment="1">
      <alignment horizontal="center" vertical="center" wrapText="1"/>
    </xf>
    <xf numFmtId="0" fontId="67" fillId="2" borderId="3" xfId="0" applyFont="1" applyFill="1" applyBorder="1" applyAlignment="1">
      <alignment horizontal="left" vertical="center" wrapText="1"/>
    </xf>
    <xf numFmtId="0" fontId="54" fillId="2" borderId="40" xfId="0" applyFont="1" applyFill="1" applyBorder="1" applyAlignment="1">
      <alignment horizontal="center" vertical="center" wrapText="1"/>
    </xf>
    <xf numFmtId="0" fontId="67" fillId="2" borderId="40" xfId="0" applyFont="1" applyFill="1" applyBorder="1" applyAlignment="1">
      <alignment horizontal="center" vertical="center" wrapText="1"/>
    </xf>
    <xf numFmtId="0" fontId="9" fillId="2" borderId="51" xfId="0" applyFont="1" applyFill="1" applyBorder="1" applyAlignment="1">
      <alignment horizontal="left" vertical="center" wrapText="1"/>
    </xf>
    <xf numFmtId="0" fontId="9" fillId="2" borderId="52" xfId="0" applyFont="1" applyFill="1" applyBorder="1" applyAlignment="1">
      <alignment horizontal="center" vertical="center" wrapText="1"/>
    </xf>
    <xf numFmtId="175" fontId="62" fillId="0" borderId="0" xfId="40" applyNumberFormat="1" applyFont="1" applyFill="1" applyBorder="1" applyAlignment="1">
      <alignment vertical="center"/>
    </xf>
    <xf numFmtId="0" fontId="63" fillId="27" borderId="53" xfId="0" applyNumberFormat="1" applyFont="1" applyFill="1" applyBorder="1" applyAlignment="1">
      <alignment horizontal="center" vertical="center" wrapText="1"/>
    </xf>
    <xf numFmtId="170" fontId="63" fillId="27" borderId="53" xfId="6" applyNumberFormat="1" applyFont="1" applyFill="1" applyBorder="1" applyAlignment="1">
      <alignment horizontal="center" vertical="center" wrapText="1"/>
    </xf>
    <xf numFmtId="0" fontId="59" fillId="2" borderId="0" xfId="0" applyFont="1" applyFill="1"/>
    <xf numFmtId="0" fontId="39" fillId="2" borderId="0" xfId="0" applyFont="1" applyFill="1"/>
    <xf numFmtId="0" fontId="49" fillId="2" borderId="0" xfId="0" applyFont="1" applyFill="1" applyAlignment="1">
      <alignment wrapText="1"/>
    </xf>
    <xf numFmtId="0" fontId="59" fillId="2" borderId="0" xfId="0" applyFont="1" applyFill="1" applyAlignment="1">
      <alignment horizontal="center"/>
    </xf>
    <xf numFmtId="39" fontId="50" fillId="2" borderId="0" xfId="0" applyNumberFormat="1" applyFont="1" applyFill="1" applyBorder="1" applyAlignment="1">
      <alignment horizontal="center"/>
    </xf>
    <xf numFmtId="0" fontId="69" fillId="2" borderId="0" xfId="0" applyFont="1" applyFill="1" applyBorder="1" applyAlignment="1">
      <alignment horizontal="center" wrapText="1"/>
    </xf>
    <xf numFmtId="0" fontId="65" fillId="2" borderId="0" xfId="0" applyFont="1" applyFill="1" applyAlignment="1">
      <alignment horizontal="center"/>
    </xf>
    <xf numFmtId="0" fontId="65" fillId="2" borderId="0" xfId="0" applyFont="1" applyFill="1" applyAlignment="1">
      <alignment horizontal="center" wrapText="1"/>
    </xf>
    <xf numFmtId="0" fontId="70" fillId="2" borderId="0" xfId="0" applyFont="1" applyFill="1"/>
    <xf numFmtId="0" fontId="54" fillId="2" borderId="12" xfId="0" applyNumberFormat="1" applyFont="1" applyFill="1" applyBorder="1" applyAlignment="1">
      <alignment horizontal="center" vertical="top"/>
    </xf>
    <xf numFmtId="0" fontId="70" fillId="2" borderId="12" xfId="0" applyNumberFormat="1" applyFont="1" applyFill="1" applyBorder="1" applyAlignment="1">
      <alignment horizontal="center" vertical="top"/>
    </xf>
    <xf numFmtId="0" fontId="60" fillId="2" borderId="0" xfId="0" applyFont="1" applyFill="1" applyAlignment="1">
      <alignment vertical="center"/>
    </xf>
    <xf numFmtId="0" fontId="62" fillId="0" borderId="2" xfId="0" applyFont="1" applyBorder="1" applyAlignment="1">
      <alignment horizontal="center" vertical="top"/>
    </xf>
    <xf numFmtId="0" fontId="54" fillId="0" borderId="2" xfId="0" applyFont="1" applyBorder="1" applyAlignment="1">
      <alignment horizontal="center" vertical="top"/>
    </xf>
    <xf numFmtId="0" fontId="62" fillId="2" borderId="2" xfId="0" applyFont="1" applyFill="1" applyBorder="1" applyAlignment="1">
      <alignment horizontal="center" vertical="top"/>
    </xf>
    <xf numFmtId="0" fontId="72" fillId="2" borderId="0" xfId="0" applyFont="1" applyFill="1"/>
    <xf numFmtId="0" fontId="71" fillId="2" borderId="0" xfId="0" applyFont="1" applyFill="1" applyBorder="1" applyAlignment="1">
      <alignment horizontal="center"/>
    </xf>
    <xf numFmtId="0" fontId="49" fillId="2" borderId="0" xfId="0" applyFont="1" applyFill="1" applyAlignment="1">
      <alignment horizontal="center" vertical="center"/>
    </xf>
    <xf numFmtId="0" fontId="49" fillId="2" borderId="0" xfId="0" applyFont="1" applyFill="1" applyBorder="1"/>
    <xf numFmtId="0" fontId="49" fillId="2" borderId="37" xfId="74" applyFont="1" applyFill="1" applyBorder="1" applyAlignment="1" applyProtection="1">
      <alignment horizontal="center"/>
      <protection locked="0"/>
    </xf>
    <xf numFmtId="176" fontId="54" fillId="2" borderId="0" xfId="71" applyNumberFormat="1" applyFont="1" applyFill="1" applyBorder="1" applyAlignment="1" applyProtection="1">
      <alignment horizontal="left" vertical="center"/>
      <protection locked="0"/>
    </xf>
    <xf numFmtId="0" fontId="49" fillId="2" borderId="37" xfId="74" applyFont="1" applyFill="1" applyBorder="1" applyProtection="1">
      <protection locked="0"/>
    </xf>
    <xf numFmtId="176" fontId="54" fillId="2" borderId="0" xfId="71" applyNumberFormat="1" applyFont="1" applyFill="1" applyBorder="1" applyProtection="1">
      <protection locked="0"/>
    </xf>
    <xf numFmtId="176" fontId="54" fillId="2" borderId="37" xfId="71" applyNumberFormat="1" applyFont="1" applyFill="1" applyBorder="1" applyAlignment="1" applyProtection="1">
      <alignment horizontal="left" vertical="center"/>
      <protection locked="0"/>
    </xf>
    <xf numFmtId="176" fontId="54" fillId="2" borderId="37" xfId="71" applyNumberFormat="1" applyFont="1" applyFill="1" applyBorder="1" applyProtection="1">
      <protection locked="0"/>
    </xf>
    <xf numFmtId="0" fontId="49" fillId="2" borderId="0" xfId="0" applyNumberFormat="1" applyFont="1" applyFill="1"/>
    <xf numFmtId="0" fontId="49" fillId="2" borderId="0" xfId="0" applyNumberFormat="1" applyFont="1" applyFill="1" applyBorder="1"/>
    <xf numFmtId="0" fontId="54" fillId="2" borderId="0" xfId="0" applyFont="1" applyFill="1" applyBorder="1"/>
    <xf numFmtId="0" fontId="54" fillId="2" borderId="0" xfId="0" applyFont="1" applyFill="1" applyBorder="1" applyAlignment="1">
      <alignment horizontal="center"/>
    </xf>
    <xf numFmtId="0" fontId="49" fillId="2" borderId="0" xfId="0" applyFont="1" applyFill="1" applyBorder="1" applyAlignment="1">
      <alignment horizontal="left"/>
    </xf>
    <xf numFmtId="0" fontId="61" fillId="2" borderId="0" xfId="0" applyFont="1" applyFill="1" applyAlignment="1">
      <alignment vertical="center"/>
    </xf>
    <xf numFmtId="0" fontId="54" fillId="2" borderId="0" xfId="0" applyFont="1" applyFill="1" applyBorder="1" applyAlignment="1">
      <alignment vertical="center"/>
    </xf>
    <xf numFmtId="0" fontId="63" fillId="27" borderId="37" xfId="0" applyFont="1" applyFill="1" applyBorder="1" applyAlignment="1">
      <alignment horizontal="center" vertical="center" wrapText="1"/>
    </xf>
    <xf numFmtId="0" fontId="68" fillId="27" borderId="37" xfId="0" applyFont="1" applyFill="1" applyBorder="1"/>
    <xf numFmtId="0" fontId="63" fillId="27" borderId="10" xfId="0" applyFont="1" applyFill="1" applyBorder="1" applyAlignment="1">
      <alignment wrapText="1"/>
    </xf>
    <xf numFmtId="0" fontId="63" fillId="27" borderId="1" xfId="0" applyFont="1" applyFill="1" applyBorder="1" applyAlignment="1">
      <alignment vertical="center" wrapText="1"/>
    </xf>
    <xf numFmtId="0" fontId="37" fillId="2" borderId="0" xfId="0" applyFont="1" applyFill="1" applyAlignment="1">
      <alignment horizontal="left" wrapText="1"/>
    </xf>
    <xf numFmtId="0" fontId="63" fillId="27" borderId="53" xfId="0" quotePrefix="1" applyFont="1" applyFill="1" applyBorder="1" applyAlignment="1">
      <alignment horizontal="center" vertical="center"/>
    </xf>
    <xf numFmtId="170" fontId="58" fillId="27" borderId="14" xfId="6" applyNumberFormat="1" applyFont="1" applyFill="1" applyBorder="1" applyAlignment="1">
      <alignment horizontal="center" vertical="center" wrapText="1"/>
    </xf>
    <xf numFmtId="10" fontId="38" fillId="2" borderId="8" xfId="0" applyNumberFormat="1" applyFont="1" applyFill="1" applyBorder="1" applyAlignment="1" applyProtection="1">
      <alignment horizontal="center"/>
      <protection locked="0"/>
    </xf>
    <xf numFmtId="17" fontId="38" fillId="0" borderId="9" xfId="0" applyNumberFormat="1" applyFont="1" applyFill="1" applyBorder="1" applyAlignment="1">
      <alignment horizontal="center"/>
    </xf>
    <xf numFmtId="0" fontId="38" fillId="0" borderId="9" xfId="0" applyFont="1" applyFill="1" applyBorder="1" applyAlignment="1">
      <alignment horizontal="center"/>
    </xf>
    <xf numFmtId="169" fontId="14" fillId="0" borderId="9" xfId="70" applyNumberFormat="1" applyFont="1" applyFill="1" applyBorder="1"/>
    <xf numFmtId="169" fontId="14" fillId="0" borderId="8" xfId="70" applyNumberFormat="1" applyFont="1" applyFill="1" applyBorder="1"/>
    <xf numFmtId="17" fontId="38" fillId="2" borderId="9" xfId="0" applyNumberFormat="1" applyFont="1" applyFill="1" applyBorder="1" applyAlignment="1">
      <alignment horizontal="center"/>
    </xf>
    <xf numFmtId="0" fontId="38" fillId="2" borderId="9" xfId="0" applyFont="1" applyFill="1" applyBorder="1" applyAlignment="1">
      <alignment horizontal="center"/>
    </xf>
    <xf numFmtId="169" fontId="14" fillId="2" borderId="8" xfId="70" applyNumberFormat="1" applyFont="1" applyFill="1" applyBorder="1"/>
    <xf numFmtId="169" fontId="14" fillId="2" borderId="9" xfId="70" applyNumberFormat="1" applyFont="1" applyFill="1" applyBorder="1"/>
    <xf numFmtId="0" fontId="41" fillId="2" borderId="0" xfId="0" applyFont="1" applyFill="1" applyBorder="1" applyAlignment="1">
      <alignment vertical="top"/>
    </xf>
    <xf numFmtId="0" fontId="41" fillId="2" borderId="0" xfId="0" applyFont="1" applyFill="1" applyAlignment="1">
      <alignment vertical="top"/>
    </xf>
    <xf numFmtId="0" fontId="76" fillId="2" borderId="0" xfId="0" applyFont="1" applyFill="1" applyAlignment="1">
      <alignment vertical="top"/>
    </xf>
    <xf numFmtId="170" fontId="58" fillId="2" borderId="0" xfId="6" applyNumberFormat="1" applyFont="1" applyFill="1" applyBorder="1" applyAlignment="1">
      <alignment horizontal="center" vertical="center" wrapText="1"/>
    </xf>
    <xf numFmtId="10" fontId="38" fillId="2" borderId="0" xfId="0" applyNumberFormat="1" applyFont="1" applyFill="1" applyBorder="1" applyAlignment="1">
      <alignment horizontal="center"/>
    </xf>
    <xf numFmtId="17" fontId="12" fillId="2" borderId="8" xfId="0" applyNumberFormat="1" applyFont="1" applyFill="1" applyBorder="1"/>
    <xf numFmtId="0" fontId="12" fillId="2" borderId="8" xfId="0" applyFont="1" applyFill="1" applyBorder="1"/>
    <xf numFmtId="169" fontId="12" fillId="2" borderId="8" xfId="0" applyNumberFormat="1" applyFont="1" applyFill="1" applyBorder="1"/>
    <xf numFmtId="17" fontId="51" fillId="2" borderId="15" xfId="0" applyNumberFormat="1" applyFont="1" applyFill="1" applyBorder="1"/>
    <xf numFmtId="0" fontId="51" fillId="2" borderId="15" xfId="0" applyFont="1" applyFill="1" applyBorder="1"/>
    <xf numFmtId="169" fontId="51" fillId="2" borderId="15" xfId="0" applyNumberFormat="1" applyFont="1" applyFill="1" applyBorder="1"/>
    <xf numFmtId="0" fontId="61" fillId="2" borderId="0" xfId="0" applyFont="1" applyFill="1" applyAlignment="1">
      <alignment horizontal="left"/>
    </xf>
    <xf numFmtId="0" fontId="37" fillId="2" borderId="0" xfId="0" applyFont="1" applyFill="1" applyAlignment="1">
      <alignment horizontal="center" wrapText="1"/>
    </xf>
    <xf numFmtId="175" fontId="62" fillId="29" borderId="29" xfId="40" applyNumberFormat="1" applyFont="1" applyFill="1" applyBorder="1" applyAlignment="1">
      <alignment vertical="center" wrapText="1"/>
    </xf>
    <xf numFmtId="175" fontId="62" fillId="29" borderId="0" xfId="40" applyNumberFormat="1" applyFont="1" applyFill="1" applyBorder="1" applyAlignment="1">
      <alignment vertical="center" wrapText="1"/>
    </xf>
    <xf numFmtId="172" fontId="54" fillId="29" borderId="50" xfId="0" applyNumberFormat="1" applyFont="1" applyFill="1" applyBorder="1" applyAlignment="1" applyProtection="1">
      <alignment horizontal="center" vertical="center"/>
    </xf>
    <xf numFmtId="0" fontId="9" fillId="29" borderId="52" xfId="0" applyFont="1" applyFill="1" applyBorder="1" applyAlignment="1">
      <alignment horizontal="center" vertical="center" wrapText="1"/>
    </xf>
    <xf numFmtId="0" fontId="54" fillId="2" borderId="39" xfId="0" applyFont="1" applyFill="1" applyBorder="1" applyAlignment="1">
      <alignment horizontal="center" vertical="center" wrapText="1"/>
    </xf>
    <xf numFmtId="0" fontId="54" fillId="29" borderId="39" xfId="0" applyFont="1" applyFill="1" applyBorder="1" applyAlignment="1">
      <alignment horizontal="center" vertical="center" wrapText="1"/>
    </xf>
    <xf numFmtId="177" fontId="54" fillId="29" borderId="39" xfId="70" applyNumberFormat="1" applyFont="1" applyFill="1" applyBorder="1" applyAlignment="1" applyProtection="1">
      <alignment horizontal="center"/>
      <protection locked="0"/>
    </xf>
    <xf numFmtId="177" fontId="54" fillId="29" borderId="49" xfId="70" applyNumberFormat="1" applyFont="1" applyFill="1" applyBorder="1" applyAlignment="1" applyProtection="1">
      <alignment horizontal="center"/>
      <protection locked="0"/>
    </xf>
    <xf numFmtId="177" fontId="54" fillId="29" borderId="49" xfId="70" applyNumberFormat="1" applyFont="1" applyFill="1" applyBorder="1"/>
    <xf numFmtId="0" fontId="49" fillId="2" borderId="0" xfId="0" applyFont="1" applyFill="1" applyAlignment="1">
      <alignment vertical="center"/>
    </xf>
    <xf numFmtId="167" fontId="62" fillId="29" borderId="2" xfId="0" applyNumberFormat="1" applyFont="1" applyFill="1" applyBorder="1" applyAlignment="1">
      <alignment horizontal="center" vertical="top"/>
    </xf>
    <xf numFmtId="176" fontId="54" fillId="29" borderId="37" xfId="71" applyNumberFormat="1" applyFont="1" applyFill="1" applyBorder="1" applyAlignment="1" applyProtection="1">
      <alignment horizontal="right" vertical="center"/>
      <protection locked="0"/>
    </xf>
    <xf numFmtId="176" fontId="54" fillId="29" borderId="37" xfId="71" applyNumberFormat="1" applyFont="1" applyFill="1" applyBorder="1" applyAlignment="1" applyProtection="1">
      <alignment horizontal="left" vertical="center"/>
      <protection locked="0"/>
    </xf>
    <xf numFmtId="176" fontId="54" fillId="29" borderId="37" xfId="71" applyNumberFormat="1" applyFont="1" applyFill="1" applyBorder="1" applyProtection="1">
      <protection locked="0"/>
    </xf>
    <xf numFmtId="0" fontId="63" fillId="27" borderId="54" xfId="0" applyNumberFormat="1" applyFont="1" applyFill="1" applyBorder="1" applyAlignment="1">
      <alignment horizontal="center" vertical="center" wrapText="1"/>
    </xf>
    <xf numFmtId="0" fontId="37" fillId="2" borderId="0" xfId="0" applyFont="1" applyFill="1" applyAlignment="1">
      <alignment horizontal="center" wrapText="1"/>
    </xf>
    <xf numFmtId="175" fontId="62" fillId="29" borderId="0" xfId="40" applyNumberFormat="1" applyFont="1" applyFill="1" applyBorder="1" applyAlignment="1">
      <alignment vertical="center"/>
    </xf>
    <xf numFmtId="10" fontId="38" fillId="2" borderId="14" xfId="0" applyNumberFormat="1" applyFont="1" applyFill="1" applyBorder="1" applyAlignment="1" applyProtection="1">
      <alignment horizontal="center"/>
      <protection locked="0"/>
    </xf>
    <xf numFmtId="10" fontId="38" fillId="2" borderId="58" xfId="0" applyNumberFormat="1" applyFont="1" applyFill="1" applyBorder="1" applyAlignment="1" applyProtection="1">
      <alignment horizontal="center"/>
      <protection locked="0"/>
    </xf>
    <xf numFmtId="170" fontId="58" fillId="27" borderId="59" xfId="6" applyNumberFormat="1" applyFont="1" applyFill="1" applyBorder="1" applyAlignment="1">
      <alignment horizontal="center" vertical="center" wrapText="1"/>
    </xf>
    <xf numFmtId="170" fontId="58" fillId="27" borderId="45" xfId="6" applyNumberFormat="1" applyFont="1" applyFill="1" applyBorder="1" applyAlignment="1">
      <alignment horizontal="center" vertical="center" wrapText="1"/>
    </xf>
    <xf numFmtId="10" fontId="38" fillId="29" borderId="8" xfId="0" applyNumberFormat="1" applyFont="1" applyFill="1" applyBorder="1" applyAlignment="1" applyProtection="1">
      <alignment horizontal="center"/>
      <protection locked="0"/>
    </xf>
    <xf numFmtId="10" fontId="38" fillId="29" borderId="58" xfId="0" applyNumberFormat="1" applyFont="1" applyFill="1" applyBorder="1" applyAlignment="1" applyProtection="1">
      <alignment horizontal="center"/>
      <protection locked="0"/>
    </xf>
    <xf numFmtId="1" fontId="38" fillId="0" borderId="9" xfId="0" applyNumberFormat="1" applyFont="1" applyFill="1" applyBorder="1" applyAlignment="1">
      <alignment horizontal="center"/>
    </xf>
    <xf numFmtId="17" fontId="38" fillId="29" borderId="8" xfId="0" applyNumberFormat="1" applyFont="1" applyFill="1" applyBorder="1"/>
    <xf numFmtId="0" fontId="38" fillId="29" borderId="8" xfId="0" applyFont="1" applyFill="1" applyBorder="1"/>
    <xf numFmtId="169" fontId="38" fillId="29" borderId="8" xfId="0" applyNumberFormat="1" applyFont="1" applyFill="1" applyBorder="1" applyProtection="1">
      <protection locked="0"/>
    </xf>
    <xf numFmtId="169" fontId="14" fillId="29" borderId="8" xfId="70" applyNumberFormat="1" applyFont="1" applyFill="1" applyBorder="1" applyProtection="1"/>
    <xf numFmtId="0" fontId="53" fillId="2" borderId="0" xfId="73" applyFont="1" applyFill="1"/>
    <xf numFmtId="0" fontId="55" fillId="2" borderId="0" xfId="0" applyFont="1" applyFill="1" applyAlignment="1">
      <alignment horizontal="center"/>
    </xf>
    <xf numFmtId="0" fontId="64" fillId="2" borderId="0" xfId="0" applyFont="1" applyFill="1" applyAlignment="1">
      <alignment horizontal="center"/>
    </xf>
    <xf numFmtId="0" fontId="50" fillId="2" borderId="0" xfId="0" applyFont="1" applyFill="1" applyBorder="1" applyAlignment="1">
      <alignment horizontal="left"/>
    </xf>
    <xf numFmtId="175" fontId="62" fillId="29" borderId="0" xfId="40" applyNumberFormat="1" applyFont="1" applyFill="1" applyBorder="1" applyAlignment="1">
      <alignment horizontal="left" vertical="center"/>
    </xf>
    <xf numFmtId="0" fontId="54" fillId="2" borderId="0" xfId="0" applyFont="1" applyFill="1" applyBorder="1" applyAlignment="1">
      <alignment horizontal="left" vertical="center" wrapText="1"/>
    </xf>
    <xf numFmtId="0" fontId="63" fillId="27" borderId="46" xfId="0" applyFont="1" applyFill="1" applyBorder="1" applyAlignment="1">
      <alignment horizontal="center" vertical="center" wrapText="1"/>
    </xf>
    <xf numFmtId="0" fontId="63" fillId="27" borderId="37" xfId="0" applyFont="1" applyFill="1" applyBorder="1" applyAlignment="1">
      <alignment horizontal="center" vertical="center" wrapText="1"/>
    </xf>
    <xf numFmtId="0" fontId="37" fillId="2" borderId="0" xfId="0" applyFont="1" applyFill="1" applyAlignment="1">
      <alignment horizontal="center" wrapText="1"/>
    </xf>
    <xf numFmtId="0" fontId="8" fillId="2" borderId="0" xfId="0" applyFont="1" applyFill="1" applyAlignment="1">
      <alignment horizontal="left"/>
    </xf>
    <xf numFmtId="0" fontId="8" fillId="2" borderId="0" xfId="0" applyFont="1" applyFill="1" applyBorder="1" applyAlignment="1">
      <alignment horizontal="left"/>
    </xf>
    <xf numFmtId="0" fontId="5" fillId="2" borderId="0" xfId="0" applyFont="1" applyFill="1" applyAlignment="1">
      <alignment horizontal="left"/>
    </xf>
    <xf numFmtId="0" fontId="66" fillId="2" borderId="0" xfId="0" applyFont="1" applyFill="1" applyBorder="1" applyAlignment="1">
      <alignment horizontal="center" vertical="center" textRotation="90"/>
    </xf>
    <xf numFmtId="3" fontId="59" fillId="26" borderId="34" xfId="0" applyNumberFormat="1" applyFont="1" applyFill="1" applyBorder="1" applyAlignment="1">
      <alignment horizontal="center" vertical="center"/>
    </xf>
    <xf numFmtId="3" fontId="59" fillId="26" borderId="35" xfId="0" applyNumberFormat="1" applyFont="1" applyFill="1" applyBorder="1" applyAlignment="1">
      <alignment horizontal="center" vertical="center"/>
    </xf>
    <xf numFmtId="3" fontId="59" fillId="26" borderId="35" xfId="0" applyNumberFormat="1" applyFont="1" applyFill="1" applyBorder="1" applyAlignment="1">
      <alignment vertical="center"/>
    </xf>
    <xf numFmtId="3" fontId="59" fillId="26" borderId="36" xfId="0" applyNumberFormat="1" applyFont="1" applyFill="1" applyBorder="1" applyAlignment="1">
      <alignment vertical="center"/>
    </xf>
    <xf numFmtId="9" fontId="49" fillId="2" borderId="13" xfId="0" applyNumberFormat="1" applyFont="1" applyFill="1" applyBorder="1"/>
    <xf numFmtId="3" fontId="54" fillId="2" borderId="0" xfId="0" applyNumberFormat="1" applyFont="1" applyFill="1" applyBorder="1" applyAlignment="1">
      <alignment horizontal="center" vertical="center"/>
    </xf>
    <xf numFmtId="175" fontId="62" fillId="0" borderId="0" xfId="40" applyNumberFormat="1" applyFont="1" applyFill="1" applyBorder="1" applyAlignment="1">
      <alignment horizontal="center" vertical="center"/>
    </xf>
    <xf numFmtId="3" fontId="54" fillId="2" borderId="0" xfId="0" applyNumberFormat="1" applyFont="1" applyFill="1" applyBorder="1" applyAlignment="1">
      <alignment vertical="center" wrapText="1"/>
    </xf>
    <xf numFmtId="3" fontId="59" fillId="2" borderId="0" xfId="0" applyNumberFormat="1" applyFont="1" applyFill="1" applyBorder="1" applyAlignment="1">
      <alignment vertical="center" wrapText="1"/>
    </xf>
    <xf numFmtId="0" fontId="54" fillId="2" borderId="0" xfId="0" applyNumberFormat="1" applyFont="1" applyFill="1" applyBorder="1" applyAlignment="1">
      <alignment vertical="top" wrapText="1"/>
    </xf>
    <xf numFmtId="3" fontId="54" fillId="0" borderId="0" xfId="0" applyNumberFormat="1" applyFont="1" applyFill="1" applyBorder="1" applyAlignment="1">
      <alignment horizontal="center" vertical="center"/>
    </xf>
    <xf numFmtId="3" fontId="54" fillId="29" borderId="39" xfId="0" applyNumberFormat="1" applyFont="1" applyFill="1" applyBorder="1" applyAlignment="1">
      <alignment horizontal="center" vertical="center"/>
    </xf>
    <xf numFmtId="3" fontId="50" fillId="2" borderId="0" xfId="0" applyNumberFormat="1" applyFont="1" applyFill="1" applyBorder="1" applyAlignment="1">
      <alignment horizontal="center" vertical="center"/>
    </xf>
    <xf numFmtId="3" fontId="9" fillId="2" borderId="0" xfId="0" applyNumberFormat="1" applyFont="1" applyFill="1" applyBorder="1" applyAlignment="1">
      <alignment horizontal="left" vertical="center"/>
    </xf>
    <xf numFmtId="3" fontId="9" fillId="2" borderId="0" xfId="0" applyNumberFormat="1" applyFont="1" applyFill="1" applyBorder="1" applyAlignment="1">
      <alignment horizontal="center" vertical="center"/>
    </xf>
    <xf numFmtId="3" fontId="54" fillId="2" borderId="0" xfId="0" applyNumberFormat="1" applyFont="1" applyFill="1" applyBorder="1" applyAlignment="1">
      <alignment horizontal="left" vertical="center"/>
    </xf>
    <xf numFmtId="3" fontId="49" fillId="2" borderId="0" xfId="0" applyNumberFormat="1" applyFont="1" applyFill="1" applyBorder="1" applyAlignment="1">
      <alignment horizontal="center" vertical="center"/>
    </xf>
    <xf numFmtId="168" fontId="54" fillId="2" borderId="0" xfId="0" applyNumberFormat="1" applyFont="1" applyFill="1" applyBorder="1" applyAlignment="1">
      <alignment horizontal="center" vertical="center"/>
    </xf>
    <xf numFmtId="171" fontId="9" fillId="2" borderId="0" xfId="0" applyNumberFormat="1" applyFont="1" applyFill="1" applyBorder="1" applyAlignment="1">
      <alignment horizontal="center" vertical="center"/>
    </xf>
    <xf numFmtId="3" fontId="50" fillId="2" borderId="39" xfId="0" applyNumberFormat="1" applyFont="1" applyFill="1" applyBorder="1" applyAlignment="1">
      <alignment horizontal="center" vertical="center"/>
    </xf>
    <xf numFmtId="3" fontId="9" fillId="2" borderId="39" xfId="0" applyNumberFormat="1" applyFont="1" applyFill="1" applyBorder="1" applyAlignment="1">
      <alignment horizontal="left" vertical="center"/>
    </xf>
    <xf numFmtId="3" fontId="9" fillId="2" borderId="39" xfId="0" applyNumberFormat="1" applyFont="1" applyFill="1" applyBorder="1" applyAlignment="1">
      <alignment horizontal="center" vertical="center"/>
    </xf>
    <xf numFmtId="3" fontId="9" fillId="29" borderId="39" xfId="0" applyNumberFormat="1" applyFont="1" applyFill="1" applyBorder="1" applyAlignment="1">
      <alignment horizontal="center" vertical="center"/>
    </xf>
    <xf numFmtId="0" fontId="6" fillId="2" borderId="0" xfId="0" applyFont="1" applyFill="1" applyBorder="1" applyAlignment="1">
      <alignment vertical="center" textRotation="90"/>
    </xf>
    <xf numFmtId="0" fontId="63" fillId="27" borderId="63" xfId="0" applyNumberFormat="1" applyFont="1" applyFill="1" applyBorder="1" applyAlignment="1">
      <alignment horizontal="center" vertical="center" wrapText="1"/>
    </xf>
    <xf numFmtId="3" fontId="54" fillId="2" borderId="12" xfId="0" applyNumberFormat="1" applyFont="1" applyFill="1" applyBorder="1" applyAlignment="1">
      <alignment horizontal="center" vertical="center"/>
    </xf>
    <xf numFmtId="3" fontId="50" fillId="2" borderId="4" xfId="0" applyNumberFormat="1" applyFont="1" applyFill="1" applyBorder="1" applyAlignment="1">
      <alignment horizontal="center" vertical="center"/>
    </xf>
    <xf numFmtId="3" fontId="9" fillId="2" borderId="47" xfId="0" applyNumberFormat="1" applyFont="1" applyFill="1" applyBorder="1" applyAlignment="1">
      <alignment horizontal="center" vertical="center"/>
    </xf>
    <xf numFmtId="3" fontId="50" fillId="2" borderId="12"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171" fontId="54" fillId="2" borderId="13" xfId="0" applyNumberFormat="1" applyFont="1" applyFill="1" applyBorder="1" applyAlignment="1">
      <alignment horizontal="center" vertical="center"/>
    </xf>
    <xf numFmtId="171" fontId="9" fillId="2" borderId="13" xfId="0" applyNumberFormat="1" applyFont="1" applyFill="1" applyBorder="1" applyAlignment="1">
      <alignment horizontal="center" vertical="center"/>
    </xf>
    <xf numFmtId="3" fontId="50" fillId="2" borderId="5" xfId="0" applyNumberFormat="1" applyFont="1" applyFill="1" applyBorder="1" applyAlignment="1">
      <alignment horizontal="center" vertical="center"/>
    </xf>
    <xf numFmtId="3" fontId="9" fillId="2" borderId="6" xfId="0" applyNumberFormat="1" applyFont="1" applyFill="1" applyBorder="1" applyAlignment="1">
      <alignment horizontal="center" vertical="center"/>
    </xf>
    <xf numFmtId="3" fontId="50" fillId="2" borderId="6"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0" fontId="63" fillId="27" borderId="68" xfId="0" applyFont="1" applyFill="1" applyBorder="1" applyAlignment="1">
      <alignment horizontal="left" vertical="center" wrapText="1"/>
    </xf>
    <xf numFmtId="0" fontId="63" fillId="27" borderId="71" xfId="0" applyFont="1" applyFill="1" applyBorder="1" applyAlignment="1">
      <alignment horizontal="center" vertical="center" wrapText="1"/>
    </xf>
    <xf numFmtId="0" fontId="63" fillId="27" borderId="72" xfId="0" applyFont="1" applyFill="1" applyBorder="1" applyAlignment="1">
      <alignment horizontal="center" vertical="center" wrapText="1"/>
    </xf>
    <xf numFmtId="177" fontId="54" fillId="2" borderId="0" xfId="70" applyNumberFormat="1" applyFont="1" applyFill="1" applyBorder="1" applyAlignment="1" applyProtection="1">
      <alignment horizontal="center"/>
    </xf>
    <xf numFmtId="0" fontId="54" fillId="2" borderId="0" xfId="0" applyFont="1" applyFill="1" applyBorder="1" applyAlignment="1">
      <alignment horizontal="center"/>
    </xf>
    <xf numFmtId="0" fontId="54" fillId="2" borderId="12" xfId="0" applyFont="1" applyFill="1" applyBorder="1" applyAlignment="1">
      <alignment horizontal="left" vertical="center" wrapText="1"/>
    </xf>
    <xf numFmtId="177" fontId="54" fillId="2" borderId="13" xfId="70" applyNumberFormat="1" applyFont="1" applyFill="1" applyBorder="1" applyAlignment="1" applyProtection="1">
      <alignment horizontal="center"/>
    </xf>
    <xf numFmtId="0" fontId="54" fillId="2" borderId="5" xfId="0" applyFont="1" applyFill="1" applyBorder="1" applyAlignment="1">
      <alignment horizontal="left" vertical="center" wrapText="1"/>
    </xf>
    <xf numFmtId="177" fontId="54" fillId="2" borderId="6" xfId="70" applyNumberFormat="1" applyFont="1" applyFill="1" applyBorder="1" applyAlignment="1" applyProtection="1">
      <alignment horizontal="center"/>
    </xf>
    <xf numFmtId="177" fontId="54" fillId="2" borderId="7" xfId="70" applyNumberFormat="1" applyFont="1" applyFill="1" applyBorder="1" applyAlignment="1" applyProtection="1">
      <alignment horizontal="center"/>
    </xf>
    <xf numFmtId="9" fontId="49" fillId="29" borderId="0" xfId="0" applyNumberFormat="1" applyFont="1" applyFill="1" applyBorder="1" applyAlignment="1">
      <alignment horizontal="center" vertical="center"/>
    </xf>
    <xf numFmtId="9" fontId="49" fillId="29" borderId="0" xfId="0" applyNumberFormat="1" applyFont="1" applyFill="1" applyBorder="1"/>
    <xf numFmtId="9" fontId="49" fillId="29" borderId="0" xfId="0" applyNumberFormat="1" applyFont="1" applyFill="1" applyBorder="1" applyAlignment="1">
      <alignment horizontal="center"/>
    </xf>
    <xf numFmtId="3" fontId="54" fillId="29" borderId="40" xfId="0" applyNumberFormat="1" applyFont="1" applyFill="1" applyBorder="1" applyAlignment="1">
      <alignment horizontal="center" vertical="center"/>
    </xf>
    <xf numFmtId="3" fontId="54" fillId="29" borderId="73" xfId="0" applyNumberFormat="1" applyFont="1" applyFill="1" applyBorder="1" applyAlignment="1">
      <alignment horizontal="center" vertical="center"/>
    </xf>
    <xf numFmtId="0" fontId="14" fillId="2" borderId="0" xfId="53" applyFont="1" applyFill="1" applyBorder="1" applyAlignment="1"/>
    <xf numFmtId="0" fontId="14" fillId="2" borderId="0" xfId="53" applyFont="1" applyFill="1" applyBorder="1"/>
    <xf numFmtId="2" fontId="14" fillId="2" borderId="0" xfId="53" applyNumberFormat="1" applyFont="1" applyFill="1" applyBorder="1" applyAlignment="1">
      <alignment horizontal="center"/>
    </xf>
    <xf numFmtId="0" fontId="53" fillId="2" borderId="11" xfId="73" applyFont="1" applyFill="1" applyBorder="1" applyAlignment="1">
      <alignment vertical="center"/>
    </xf>
    <xf numFmtId="0" fontId="63" fillId="27" borderId="2" xfId="0" applyFont="1" applyFill="1" applyBorder="1" applyAlignment="1">
      <alignment horizontal="center" wrapText="1"/>
    </xf>
    <xf numFmtId="0" fontId="8" fillId="2" borderId="0" xfId="0" applyFont="1" applyFill="1" applyAlignment="1">
      <alignment horizontal="center"/>
    </xf>
    <xf numFmtId="0" fontId="77" fillId="2" borderId="0" xfId="0" applyFont="1" applyFill="1"/>
    <xf numFmtId="0" fontId="0" fillId="2" borderId="0" xfId="0" applyFill="1" applyAlignment="1">
      <alignment vertical="top"/>
    </xf>
    <xf numFmtId="0" fontId="61" fillId="2" borderId="0" xfId="0" applyFont="1" applyFill="1" applyAlignment="1">
      <alignment horizontal="left" vertical="top"/>
    </xf>
    <xf numFmtId="0" fontId="61" fillId="2" borderId="0" xfId="0" applyFont="1" applyFill="1" applyAlignment="1">
      <alignment vertical="top"/>
    </xf>
    <xf numFmtId="0" fontId="37" fillId="2" borderId="0" xfId="0" applyFont="1" applyFill="1" applyAlignment="1">
      <alignment horizontal="center" vertical="top"/>
    </xf>
    <xf numFmtId="0" fontId="63" fillId="27" borderId="10" xfId="0" applyFont="1" applyFill="1" applyBorder="1" applyAlignment="1">
      <alignment vertical="center" wrapText="1"/>
    </xf>
    <xf numFmtId="0" fontId="63" fillId="27" borderId="59" xfId="0" applyFont="1" applyFill="1" applyBorder="1" applyAlignment="1">
      <alignment horizontal="center" vertical="center" wrapText="1"/>
    </xf>
    <xf numFmtId="0" fontId="63" fillId="27" borderId="10" xfId="53" applyFont="1" applyFill="1" applyBorder="1" applyAlignment="1">
      <alignment vertical="center"/>
    </xf>
    <xf numFmtId="0" fontId="63" fillId="27" borderId="59" xfId="53" applyFont="1" applyFill="1" applyBorder="1" applyAlignment="1">
      <alignment horizontal="center" vertical="center"/>
    </xf>
    <xf numFmtId="175" fontId="62" fillId="2" borderId="0" xfId="40" applyNumberFormat="1" applyFont="1" applyFill="1" applyBorder="1" applyAlignment="1">
      <alignment vertical="center"/>
    </xf>
    <xf numFmtId="3" fontId="9" fillId="2" borderId="35" xfId="0" applyNumberFormat="1" applyFont="1" applyFill="1" applyBorder="1" applyAlignment="1">
      <alignment horizontal="center" vertical="center" wrapText="1"/>
    </xf>
    <xf numFmtId="0" fontId="50" fillId="2" borderId="12" xfId="0" applyFont="1" applyFill="1" applyBorder="1" applyAlignment="1">
      <alignment horizontal="left"/>
    </xf>
    <xf numFmtId="3" fontId="59" fillId="2" borderId="0" xfId="0" applyNumberFormat="1" applyFont="1" applyFill="1" applyBorder="1" applyAlignment="1">
      <alignment horizontal="center" vertical="center" wrapText="1"/>
    </xf>
    <xf numFmtId="0" fontId="49" fillId="29" borderId="0" xfId="0" applyFont="1" applyFill="1" applyBorder="1"/>
    <xf numFmtId="38" fontId="54" fillId="29" borderId="0" xfId="0" applyNumberFormat="1" applyFont="1" applyFill="1" applyBorder="1" applyAlignment="1">
      <alignment horizontal="center"/>
    </xf>
    <xf numFmtId="0" fontId="49" fillId="29" borderId="6" xfId="0" applyFont="1" applyFill="1" applyBorder="1" applyAlignment="1">
      <alignment vertical="top"/>
    </xf>
    <xf numFmtId="0" fontId="49" fillId="2" borderId="0" xfId="0" applyFont="1" applyFill="1" applyBorder="1" applyAlignment="1">
      <alignment horizontal="left" vertical="top"/>
    </xf>
    <xf numFmtId="0" fontId="49" fillId="2" borderId="0" xfId="0" applyFont="1" applyFill="1" applyBorder="1" applyAlignment="1">
      <alignment vertical="top"/>
    </xf>
    <xf numFmtId="173" fontId="54" fillId="2" borderId="0" xfId="0" applyNumberFormat="1" applyFont="1" applyFill="1" applyBorder="1" applyAlignment="1">
      <alignment horizontal="center"/>
    </xf>
    <xf numFmtId="3" fontId="49" fillId="2" borderId="0" xfId="0" applyNumberFormat="1" applyFont="1" applyFill="1" applyBorder="1" applyAlignment="1">
      <alignment horizontal="right"/>
    </xf>
    <xf numFmtId="10" fontId="49" fillId="2" borderId="0" xfId="72" applyNumberFormat="1" applyFont="1" applyFill="1" applyBorder="1" applyAlignment="1">
      <alignment horizontal="center"/>
    </xf>
    <xf numFmtId="38" fontId="49" fillId="2" borderId="0" xfId="71" applyNumberFormat="1" applyFont="1" applyFill="1" applyBorder="1" applyAlignment="1">
      <alignment horizontal="center"/>
    </xf>
    <xf numFmtId="38" fontId="49" fillId="2" borderId="0" xfId="0" applyNumberFormat="1" applyFont="1" applyFill="1" applyBorder="1" applyAlignment="1">
      <alignment horizontal="center"/>
    </xf>
    <xf numFmtId="0" fontId="49" fillId="29" borderId="6" xfId="0" applyFont="1" applyFill="1" applyBorder="1"/>
    <xf numFmtId="0" fontId="54" fillId="29" borderId="6" xfId="0" applyFont="1" applyFill="1" applyBorder="1"/>
    <xf numFmtId="0" fontId="50" fillId="2" borderId="12" xfId="0" applyFont="1" applyFill="1" applyBorder="1"/>
    <xf numFmtId="0" fontId="49" fillId="2" borderId="6" xfId="0" applyFont="1" applyFill="1" applyBorder="1"/>
    <xf numFmtId="0" fontId="77" fillId="2" borderId="0" xfId="0" applyFont="1" applyFill="1" applyBorder="1"/>
    <xf numFmtId="0" fontId="9" fillId="2" borderId="0" xfId="0" applyFont="1" applyFill="1" applyBorder="1"/>
    <xf numFmtId="0" fontId="9" fillId="2" borderId="0" xfId="0" applyFont="1" applyFill="1"/>
    <xf numFmtId="0" fontId="50" fillId="2" borderId="0" xfId="0" applyFont="1" applyFill="1"/>
    <xf numFmtId="0" fontId="50" fillId="2" borderId="0" xfId="0" applyFont="1" applyFill="1" applyBorder="1"/>
    <xf numFmtId="0" fontId="0" fillId="2" borderId="0" xfId="0" applyFont="1" applyFill="1" applyBorder="1" applyAlignment="1">
      <alignment horizontal="left"/>
    </xf>
    <xf numFmtId="0" fontId="9" fillId="2" borderId="34" xfId="0" applyNumberFormat="1" applyFont="1" applyFill="1" applyBorder="1" applyAlignment="1">
      <alignment horizontal="center" vertical="center" wrapText="1"/>
    </xf>
    <xf numFmtId="0" fontId="9" fillId="2" borderId="36" xfId="0" applyFont="1" applyFill="1" applyBorder="1" applyAlignment="1">
      <alignment horizontal="center" vertical="center" wrapText="1"/>
    </xf>
    <xf numFmtId="38" fontId="9" fillId="2" borderId="0" xfId="71" applyNumberFormat="1" applyFont="1" applyFill="1" applyBorder="1" applyAlignment="1">
      <alignment horizontal="center" vertical="center"/>
    </xf>
    <xf numFmtId="0" fontId="59" fillId="2" borderId="13" xfId="0" applyFont="1" applyFill="1" applyBorder="1" applyAlignment="1">
      <alignment horizontal="center" vertical="center" wrapText="1"/>
    </xf>
    <xf numFmtId="38" fontId="54" fillId="2" borderId="0" xfId="71" applyNumberFormat="1" applyFont="1" applyFill="1" applyBorder="1" applyAlignment="1">
      <alignment horizontal="center" vertical="center"/>
    </xf>
    <xf numFmtId="38" fontId="54" fillId="29" borderId="0" xfId="71" applyNumberFormat="1" applyFont="1" applyFill="1" applyBorder="1" applyAlignment="1">
      <alignment horizontal="center" vertical="center"/>
    </xf>
    <xf numFmtId="0" fontId="54" fillId="2" borderId="12" xfId="0" applyFont="1" applyFill="1" applyBorder="1" applyAlignment="1">
      <alignment horizontal="left" vertical="center"/>
    </xf>
    <xf numFmtId="0" fontId="49" fillId="2" borderId="0" xfId="0" applyFont="1" applyFill="1" applyBorder="1" applyAlignment="1">
      <alignment horizontal="center"/>
    </xf>
    <xf numFmtId="38" fontId="49" fillId="2" borderId="13" xfId="0" applyNumberFormat="1" applyFont="1" applyFill="1" applyBorder="1" applyAlignment="1">
      <alignment horizontal="center"/>
    </xf>
    <xf numFmtId="38" fontId="54" fillId="2" borderId="0" xfId="0" applyNumberFormat="1" applyFont="1" applyFill="1" applyBorder="1" applyAlignment="1">
      <alignment horizontal="center" vertical="center"/>
    </xf>
    <xf numFmtId="0" fontId="59" fillId="2" borderId="0" xfId="0" applyFont="1" applyFill="1" applyBorder="1" applyAlignment="1">
      <alignment horizontal="center" vertical="center" wrapText="1"/>
    </xf>
    <xf numFmtId="0" fontId="54" fillId="2" borderId="0" xfId="0" applyFont="1" applyFill="1" applyBorder="1" applyAlignment="1">
      <alignment horizontal="left" vertical="center"/>
    </xf>
    <xf numFmtId="0" fontId="54" fillId="2" borderId="0" xfId="0" applyFont="1" applyFill="1" applyBorder="1" applyAlignment="1">
      <alignment horizontal="right" vertical="center"/>
    </xf>
    <xf numFmtId="0" fontId="49" fillId="2" borderId="13" xfId="0" applyFont="1" applyFill="1" applyBorder="1"/>
    <xf numFmtId="38" fontId="54" fillId="2" borderId="13" xfId="71" applyNumberFormat="1" applyFont="1" applyFill="1" applyBorder="1" applyAlignment="1">
      <alignment horizontal="center" vertical="center"/>
    </xf>
    <xf numFmtId="3" fontId="9" fillId="2" borderId="73" xfId="0" applyNumberFormat="1" applyFont="1" applyFill="1" applyBorder="1" applyAlignment="1">
      <alignment horizontal="left" vertical="center"/>
    </xf>
    <xf numFmtId="3" fontId="50" fillId="2" borderId="43" xfId="0" applyNumberFormat="1" applyFont="1" applyFill="1" applyBorder="1" applyAlignment="1">
      <alignment horizontal="center" vertical="center"/>
    </xf>
    <xf numFmtId="3" fontId="9" fillId="2" borderId="42" xfId="0" applyNumberFormat="1" applyFont="1" applyFill="1" applyBorder="1" applyAlignment="1">
      <alignment horizontal="center" vertical="center"/>
    </xf>
    <xf numFmtId="3" fontId="50" fillId="2" borderId="42" xfId="0" applyNumberFormat="1" applyFont="1" applyFill="1" applyBorder="1" applyAlignment="1">
      <alignment horizontal="center" vertical="center"/>
    </xf>
    <xf numFmtId="3" fontId="9" fillId="29" borderId="42" xfId="0" applyNumberFormat="1" applyFont="1" applyFill="1" applyBorder="1" applyAlignment="1">
      <alignment horizontal="center" vertical="center"/>
    </xf>
    <xf numFmtId="3" fontId="9" fillId="0" borderId="42" xfId="0" applyNumberFormat="1" applyFont="1" applyFill="1" applyBorder="1" applyAlignment="1">
      <alignment horizontal="center" vertical="center"/>
    </xf>
    <xf numFmtId="3" fontId="9" fillId="2" borderId="44" xfId="0" applyNumberFormat="1" applyFont="1" applyFill="1" applyBorder="1" applyAlignment="1">
      <alignment horizontal="center" vertical="center"/>
    </xf>
    <xf numFmtId="0" fontId="78" fillId="2" borderId="0" xfId="0" applyFont="1" applyFill="1" applyAlignment="1">
      <alignment vertical="center"/>
    </xf>
    <xf numFmtId="0" fontId="13" fillId="2" borderId="0" xfId="0" applyFont="1" applyFill="1" applyAlignment="1">
      <alignment vertical="center"/>
    </xf>
    <xf numFmtId="0" fontId="50" fillId="2" borderId="0" xfId="0" applyFont="1" applyFill="1" applyAlignment="1">
      <alignment horizontal="left" wrapText="1"/>
    </xf>
    <xf numFmtId="0" fontId="50" fillId="2" borderId="0" xfId="0" applyFont="1" applyFill="1" applyAlignment="1">
      <alignment horizontal="left"/>
    </xf>
    <xf numFmtId="0" fontId="3" fillId="2" borderId="0" xfId="0" applyFont="1" applyFill="1" applyAlignment="1">
      <alignment vertical="center"/>
    </xf>
    <xf numFmtId="38" fontId="49" fillId="2" borderId="37" xfId="0" applyNumberFormat="1" applyFont="1" applyFill="1" applyBorder="1" applyAlignment="1">
      <alignment horizontal="center"/>
    </xf>
    <xf numFmtId="177" fontId="54" fillId="2" borderId="0" xfId="70" applyNumberFormat="1" applyFont="1" applyFill="1" applyBorder="1" applyAlignment="1" applyProtection="1">
      <alignment horizontal="center"/>
      <protection locked="0"/>
    </xf>
    <xf numFmtId="177" fontId="54" fillId="2" borderId="0" xfId="70" applyNumberFormat="1" applyFont="1" applyFill="1" applyBorder="1"/>
    <xf numFmtId="0" fontId="9" fillId="2" borderId="0" xfId="0" applyFont="1" applyFill="1" applyAlignment="1">
      <alignment horizontal="left" vertical="center" wrapText="1"/>
    </xf>
    <xf numFmtId="0" fontId="76" fillId="2" borderId="0" xfId="0" applyFont="1" applyFill="1" applyBorder="1" applyAlignment="1">
      <alignment vertical="center"/>
    </xf>
    <xf numFmtId="0" fontId="9" fillId="2" borderId="0" xfId="0" applyFont="1" applyFill="1" applyBorder="1" applyAlignment="1">
      <alignment horizontal="left" vertical="top"/>
    </xf>
    <xf numFmtId="0" fontId="9" fillId="2" borderId="0" xfId="0" applyFont="1" applyFill="1" applyBorder="1" applyAlignment="1"/>
    <xf numFmtId="0" fontId="79" fillId="2" borderId="0" xfId="0" applyFont="1" applyFill="1" applyBorder="1" applyAlignment="1">
      <alignment horizontal="center"/>
    </xf>
    <xf numFmtId="0" fontId="54" fillId="2" borderId="0" xfId="0" applyFont="1" applyFill="1" applyBorder="1" applyAlignment="1">
      <alignment horizontal="left"/>
    </xf>
    <xf numFmtId="0" fontId="54" fillId="2" borderId="0" xfId="0" applyFont="1" applyFill="1" applyAlignment="1">
      <alignment horizontal="center"/>
    </xf>
    <xf numFmtId="3" fontId="59" fillId="26" borderId="45" xfId="0" applyNumberFormat="1" applyFont="1" applyFill="1" applyBorder="1" applyAlignment="1">
      <alignment horizontal="center" vertical="center"/>
    </xf>
    <xf numFmtId="3" fontId="59" fillId="26" borderId="46" xfId="0" applyNumberFormat="1" applyFont="1" applyFill="1" applyBorder="1" applyAlignment="1">
      <alignment horizontal="center" vertical="center"/>
    </xf>
    <xf numFmtId="3" fontId="59" fillId="26" borderId="46" xfId="0" applyNumberFormat="1" applyFont="1" applyFill="1" applyBorder="1" applyAlignment="1">
      <alignment vertical="center"/>
    </xf>
    <xf numFmtId="3" fontId="59" fillId="26" borderId="41" xfId="0" applyNumberFormat="1" applyFont="1" applyFill="1" applyBorder="1" applyAlignment="1">
      <alignment vertical="center"/>
    </xf>
    <xf numFmtId="171" fontId="54" fillId="2" borderId="0" xfId="0" applyNumberFormat="1" applyFont="1" applyFill="1" applyBorder="1" applyAlignment="1">
      <alignment horizontal="center" vertical="center"/>
    </xf>
    <xf numFmtId="3" fontId="9" fillId="2" borderId="0" xfId="0" applyNumberFormat="1" applyFont="1" applyFill="1" applyBorder="1" applyAlignment="1">
      <alignment horizontal="left" vertical="center" wrapText="1"/>
    </xf>
    <xf numFmtId="0" fontId="63" fillId="27" borderId="76" xfId="0" applyNumberFormat="1" applyFont="1" applyFill="1" applyBorder="1" applyAlignment="1">
      <alignment horizontal="center" vertical="center" wrapText="1"/>
    </xf>
    <xf numFmtId="3" fontId="49" fillId="2" borderId="12" xfId="0" applyNumberFormat="1" applyFont="1" applyFill="1" applyBorder="1" applyAlignment="1">
      <alignment horizontal="center" vertical="center"/>
    </xf>
    <xf numFmtId="3" fontId="54" fillId="2" borderId="13" xfId="0" applyNumberFormat="1" applyFont="1" applyFill="1" applyBorder="1" applyAlignment="1">
      <alignment horizontal="center" vertical="center"/>
    </xf>
    <xf numFmtId="3" fontId="59" fillId="26" borderId="12" xfId="0" applyNumberFormat="1" applyFont="1" applyFill="1" applyBorder="1" applyAlignment="1">
      <alignment horizontal="center" vertical="center"/>
    </xf>
    <xf numFmtId="3" fontId="59" fillId="26" borderId="0" xfId="0" applyNumberFormat="1" applyFont="1" applyFill="1" applyBorder="1" applyAlignment="1">
      <alignment horizontal="center" vertical="center"/>
    </xf>
    <xf numFmtId="3" fontId="59" fillId="26" borderId="0" xfId="0" applyNumberFormat="1" applyFont="1" applyFill="1" applyBorder="1" applyAlignment="1">
      <alignment vertical="center"/>
    </xf>
    <xf numFmtId="3" fontId="59" fillId="26" borderId="13" xfId="0" applyNumberFormat="1" applyFont="1" applyFill="1" applyBorder="1" applyAlignment="1">
      <alignment vertical="center"/>
    </xf>
    <xf numFmtId="9" fontId="70" fillId="2" borderId="13" xfId="0" applyNumberFormat="1" applyFont="1" applyFill="1" applyBorder="1"/>
    <xf numFmtId="0" fontId="54" fillId="2" borderId="0" xfId="0" applyFont="1" applyFill="1" applyAlignment="1">
      <alignment horizontal="left"/>
    </xf>
    <xf numFmtId="0" fontId="79" fillId="2" borderId="0" xfId="0" applyFont="1" applyFill="1" applyAlignment="1">
      <alignment vertical="center"/>
    </xf>
    <xf numFmtId="0" fontId="80" fillId="2" borderId="0" xfId="0" applyFont="1" applyFill="1" applyAlignment="1">
      <alignment vertical="center"/>
    </xf>
    <xf numFmtId="0" fontId="81" fillId="2" borderId="0" xfId="0" applyFont="1" applyFill="1" applyAlignment="1">
      <alignment horizontal="center" wrapText="1"/>
    </xf>
    <xf numFmtId="0" fontId="81" fillId="2" borderId="0" xfId="0" applyFont="1" applyFill="1" applyAlignment="1">
      <alignment horizontal="left" wrapText="1"/>
    </xf>
    <xf numFmtId="0" fontId="9" fillId="2" borderId="0" xfId="0" applyFont="1" applyFill="1" applyBorder="1" applyAlignment="1">
      <alignment horizontal="left"/>
    </xf>
    <xf numFmtId="0" fontId="81" fillId="2" borderId="0" xfId="0" applyFont="1" applyFill="1" applyAlignment="1">
      <alignment horizontal="center"/>
    </xf>
    <xf numFmtId="0" fontId="81" fillId="2" borderId="0" xfId="0" applyFont="1" applyFill="1" applyAlignment="1">
      <alignment horizontal="center" vertical="center"/>
    </xf>
    <xf numFmtId="0" fontId="42" fillId="2" borderId="0" xfId="0" applyFont="1" applyFill="1" applyBorder="1" applyAlignment="1">
      <alignment vertical="top"/>
    </xf>
    <xf numFmtId="0" fontId="49" fillId="2" borderId="5" xfId="0" applyFont="1" applyFill="1" applyBorder="1" applyAlignment="1">
      <alignment horizontal="center"/>
    </xf>
    <xf numFmtId="0" fontId="59" fillId="2" borderId="6" xfId="0" applyFont="1" applyFill="1" applyBorder="1" applyAlignment="1">
      <alignment horizontal="center"/>
    </xf>
    <xf numFmtId="39" fontId="50" fillId="2" borderId="6" xfId="0" applyNumberFormat="1" applyFont="1" applyFill="1" applyBorder="1" applyAlignment="1">
      <alignment horizontal="center"/>
    </xf>
    <xf numFmtId="0" fontId="49" fillId="2" borderId="7" xfId="0" applyFont="1" applyFill="1" applyBorder="1"/>
    <xf numFmtId="3" fontId="54" fillId="29" borderId="77" xfId="0" applyNumberFormat="1" applyFont="1" applyFill="1" applyBorder="1" applyAlignment="1">
      <alignment horizontal="center" vertical="center"/>
    </xf>
    <xf numFmtId="9" fontId="70" fillId="29" borderId="0" xfId="0" applyNumberFormat="1" applyFont="1" applyFill="1" applyBorder="1" applyAlignment="1">
      <alignment horizontal="center" vertical="center"/>
    </xf>
    <xf numFmtId="9" fontId="70" fillId="29" borderId="0" xfId="0" applyNumberFormat="1" applyFont="1" applyFill="1" applyBorder="1"/>
    <xf numFmtId="3" fontId="54" fillId="29" borderId="78" xfId="0" applyNumberFormat="1" applyFont="1" applyFill="1" applyBorder="1" applyAlignment="1">
      <alignment horizontal="center" vertical="center"/>
    </xf>
    <xf numFmtId="9" fontId="49" fillId="29" borderId="13" xfId="0" applyNumberFormat="1" applyFont="1" applyFill="1" applyBorder="1"/>
    <xf numFmtId="9" fontId="70" fillId="29" borderId="13" xfId="0" applyNumberFormat="1" applyFont="1" applyFill="1" applyBorder="1"/>
    <xf numFmtId="0" fontId="0" fillId="2" borderId="12" xfId="0" applyFill="1" applyBorder="1" applyAlignment="1">
      <alignment horizontal="center"/>
    </xf>
    <xf numFmtId="0" fontId="0" fillId="2" borderId="13" xfId="0" applyFill="1" applyBorder="1"/>
    <xf numFmtId="0" fontId="0" fillId="2" borderId="5" xfId="0" applyFill="1" applyBorder="1" applyAlignment="1">
      <alignment horizontal="center"/>
    </xf>
    <xf numFmtId="0" fontId="0" fillId="2" borderId="6" xfId="0" applyFill="1" applyBorder="1" applyAlignment="1">
      <alignment horizontal="center"/>
    </xf>
    <xf numFmtId="0" fontId="0" fillId="2" borderId="7" xfId="0" applyFill="1" applyBorder="1"/>
    <xf numFmtId="175" fontId="62" fillId="29" borderId="29" xfId="40" applyNumberFormat="1" applyFont="1" applyFill="1" applyBorder="1" applyAlignment="1">
      <alignment horizontal="center" vertical="center" wrapText="1"/>
    </xf>
    <xf numFmtId="0" fontId="54" fillId="2" borderId="0" xfId="0" applyFont="1" applyFill="1" applyBorder="1" applyAlignment="1">
      <alignment vertical="top"/>
    </xf>
    <xf numFmtId="0" fontId="54" fillId="2" borderId="0" xfId="0" applyFont="1" applyFill="1" applyBorder="1" applyAlignment="1">
      <alignment vertical="top" wrapText="1"/>
    </xf>
    <xf numFmtId="0" fontId="49" fillId="2" borderId="0" xfId="0" applyFont="1" applyFill="1" applyBorder="1" applyAlignment="1">
      <alignment horizontal="center" wrapText="1"/>
    </xf>
    <xf numFmtId="3" fontId="54" fillId="29" borderId="0" xfId="0" applyNumberFormat="1" applyFont="1" applyFill="1" applyBorder="1" applyAlignment="1">
      <alignment vertical="top"/>
    </xf>
    <xf numFmtId="0" fontId="54" fillId="2" borderId="0" xfId="0" applyFont="1" applyFill="1" applyBorder="1" applyAlignment="1">
      <alignment horizontal="center" vertical="top" wrapText="1"/>
    </xf>
    <xf numFmtId="0" fontId="74" fillId="2" borderId="0" xfId="0" applyFont="1" applyFill="1" applyBorder="1" applyAlignment="1">
      <alignment vertical="top" wrapText="1"/>
    </xf>
    <xf numFmtId="0" fontId="74" fillId="2" borderId="0" xfId="0" applyFont="1" applyFill="1" applyBorder="1" applyAlignment="1">
      <alignment horizontal="center" vertical="top" wrapText="1"/>
    </xf>
    <xf numFmtId="0" fontId="74" fillId="29" borderId="0" xfId="0" applyFont="1" applyFill="1" applyBorder="1" applyAlignment="1">
      <alignment vertical="top"/>
    </xf>
    <xf numFmtId="0" fontId="54" fillId="29" borderId="0" xfId="0" applyFont="1" applyFill="1" applyBorder="1" applyAlignment="1">
      <alignment vertical="top"/>
    </xf>
    <xf numFmtId="3" fontId="54" fillId="29" borderId="0" xfId="0" applyNumberFormat="1" applyFont="1" applyFill="1" applyBorder="1" applyAlignment="1">
      <alignment horizontal="center" vertical="top"/>
    </xf>
    <xf numFmtId="0" fontId="49" fillId="2" borderId="12" xfId="0" applyFont="1" applyFill="1" applyBorder="1"/>
    <xf numFmtId="0" fontId="49" fillId="2" borderId="5" xfId="0" applyFont="1" applyFill="1" applyBorder="1"/>
    <xf numFmtId="0" fontId="49" fillId="2" borderId="6" xfId="0" applyFont="1" applyFill="1" applyBorder="1" applyAlignment="1">
      <alignment horizontal="center" wrapText="1"/>
    </xf>
    <xf numFmtId="9" fontId="54" fillId="29" borderId="0" xfId="72" applyFont="1" applyFill="1" applyBorder="1" applyAlignment="1">
      <alignment vertical="top"/>
    </xf>
    <xf numFmtId="0" fontId="63" fillId="27" borderId="63" xfId="0" applyFont="1" applyFill="1" applyBorder="1" applyAlignment="1">
      <alignment horizontal="center" vertical="center" wrapText="1"/>
    </xf>
    <xf numFmtId="170" fontId="63" fillId="27" borderId="76" xfId="6" applyNumberFormat="1" applyFont="1" applyFill="1" applyBorder="1" applyAlignment="1">
      <alignment horizontal="center" vertical="center" wrapText="1"/>
    </xf>
    <xf numFmtId="0" fontId="54" fillId="2" borderId="12" xfId="0" applyFont="1" applyFill="1" applyBorder="1" applyAlignment="1">
      <alignment vertical="top"/>
    </xf>
    <xf numFmtId="9" fontId="54" fillId="29" borderId="13" xfId="72" applyFont="1" applyFill="1" applyBorder="1" applyAlignment="1">
      <alignment vertical="top"/>
    </xf>
    <xf numFmtId="3" fontId="59" fillId="2" borderId="12" xfId="0" applyNumberFormat="1" applyFont="1" applyFill="1" applyBorder="1" applyAlignment="1"/>
    <xf numFmtId="0" fontId="75" fillId="2" borderId="12" xfId="0" applyFont="1" applyFill="1" applyBorder="1" applyAlignment="1">
      <alignment vertical="top"/>
    </xf>
    <xf numFmtId="0" fontId="73" fillId="2" borderId="12" xfId="0" applyFont="1" applyFill="1" applyBorder="1" applyAlignment="1">
      <alignment vertical="top"/>
    </xf>
    <xf numFmtId="9" fontId="54" fillId="2" borderId="13" xfId="72" applyFont="1" applyFill="1" applyBorder="1" applyAlignment="1">
      <alignment vertical="top"/>
    </xf>
    <xf numFmtId="0" fontId="54" fillId="2" borderId="5" xfId="0" applyFont="1" applyFill="1" applyBorder="1" applyAlignment="1">
      <alignment vertical="top"/>
    </xf>
    <xf numFmtId="3" fontId="54" fillId="29" borderId="6" xfId="0" applyNumberFormat="1" applyFont="1" applyFill="1" applyBorder="1" applyAlignment="1">
      <alignment horizontal="center" vertical="top"/>
    </xf>
    <xf numFmtId="9" fontId="54" fillId="29" borderId="7" xfId="72" applyFont="1" applyFill="1" applyBorder="1" applyAlignment="1">
      <alignment vertical="top"/>
    </xf>
    <xf numFmtId="0" fontId="63" fillId="27" borderId="0" xfId="0" quotePrefix="1" applyFont="1" applyFill="1" applyBorder="1" applyAlignment="1">
      <alignment horizontal="center" vertical="center"/>
    </xf>
    <xf numFmtId="170" fontId="63" fillId="27" borderId="0" xfId="6" applyNumberFormat="1" applyFont="1" applyFill="1" applyBorder="1" applyAlignment="1">
      <alignment horizontal="center" vertical="center" wrapText="1"/>
    </xf>
    <xf numFmtId="0" fontId="0" fillId="2" borderId="0" xfId="0" applyFont="1" applyFill="1" applyBorder="1" applyAlignment="1">
      <alignment wrapText="1"/>
    </xf>
    <xf numFmtId="0" fontId="0" fillId="2" borderId="0" xfId="0" applyFont="1" applyFill="1" applyBorder="1" applyAlignment="1">
      <alignment horizontal="center" wrapText="1"/>
    </xf>
    <xf numFmtId="170" fontId="63" fillId="27" borderId="13" xfId="6" applyNumberFormat="1" applyFont="1" applyFill="1" applyBorder="1" applyAlignment="1">
      <alignment horizontal="center" vertical="center" wrapText="1"/>
    </xf>
    <xf numFmtId="0" fontId="37" fillId="2" borderId="0" xfId="0" applyFont="1" applyFill="1" applyBorder="1" applyAlignment="1">
      <alignment horizontal="center" wrapText="1"/>
    </xf>
    <xf numFmtId="0" fontId="81" fillId="2" borderId="0" xfId="0" applyFont="1" applyFill="1" applyBorder="1" applyAlignment="1">
      <alignment horizontal="center" wrapText="1"/>
    </xf>
    <xf numFmtId="0" fontId="81" fillId="2" borderId="0" xfId="0" applyFont="1" applyFill="1" applyBorder="1" applyAlignment="1">
      <alignment horizontal="left" wrapText="1"/>
    </xf>
    <xf numFmtId="0" fontId="76" fillId="2" borderId="0" xfId="0" applyFont="1" applyFill="1" applyBorder="1" applyAlignment="1">
      <alignment vertical="top"/>
    </xf>
    <xf numFmtId="0" fontId="48" fillId="2" borderId="0" xfId="0" applyFont="1" applyFill="1" applyBorder="1" applyAlignment="1">
      <alignment vertical="top" wrapText="1"/>
    </xf>
    <xf numFmtId="0" fontId="48" fillId="2" borderId="0" xfId="0" applyFont="1" applyFill="1" applyBorder="1" applyAlignment="1">
      <alignment horizontal="center" vertical="top" wrapText="1"/>
    </xf>
    <xf numFmtId="0" fontId="37" fillId="2" borderId="0" xfId="0" applyFont="1" applyFill="1" applyBorder="1" applyAlignment="1">
      <alignment horizontal="left" wrapText="1"/>
    </xf>
    <xf numFmtId="0" fontId="48" fillId="2" borderId="0" xfId="0" applyFont="1" applyFill="1" applyBorder="1" applyAlignment="1">
      <alignment vertical="top"/>
    </xf>
    <xf numFmtId="0" fontId="8" fillId="2" borderId="0" xfId="0" applyFont="1" applyFill="1" applyBorder="1" applyAlignment="1">
      <alignment vertical="top"/>
    </xf>
    <xf numFmtId="0" fontId="0" fillId="29" borderId="0" xfId="0" applyFont="1" applyFill="1" applyBorder="1" applyAlignment="1">
      <alignment horizontal="left"/>
    </xf>
    <xf numFmtId="3" fontId="9" fillId="2" borderId="6" xfId="0" applyNumberFormat="1" applyFont="1" applyFill="1" applyBorder="1" applyAlignment="1">
      <alignment horizontal="left" vertical="center" wrapText="1"/>
    </xf>
    <xf numFmtId="171" fontId="9" fillId="2" borderId="6" xfId="0" applyNumberFormat="1" applyFont="1" applyFill="1" applyBorder="1" applyAlignment="1">
      <alignment horizontal="center" vertical="center"/>
    </xf>
    <xf numFmtId="171" fontId="9" fillId="2" borderId="7" xfId="0" applyNumberFormat="1" applyFont="1" applyFill="1" applyBorder="1" applyAlignment="1">
      <alignment horizontal="center" vertical="center"/>
    </xf>
    <xf numFmtId="0" fontId="82" fillId="2" borderId="0" xfId="0" applyFont="1" applyFill="1"/>
    <xf numFmtId="0" fontId="35" fillId="2" borderId="0" xfId="0" applyFont="1" applyFill="1"/>
    <xf numFmtId="0" fontId="82" fillId="2" borderId="0" xfId="0" applyFont="1" applyFill="1" applyAlignment="1">
      <alignment horizontal="left"/>
    </xf>
    <xf numFmtId="0" fontId="82" fillId="2" borderId="0" xfId="0" applyFont="1" applyFill="1" applyAlignment="1">
      <alignment horizontal="center"/>
    </xf>
    <xf numFmtId="0" fontId="54" fillId="2" borderId="11" xfId="0" applyFont="1" applyFill="1" applyBorder="1" applyAlignment="1">
      <alignment vertical="center" wrapText="1"/>
    </xf>
    <xf numFmtId="0" fontId="50" fillId="2" borderId="0" xfId="0" applyFont="1" applyFill="1" applyAlignment="1">
      <alignment horizontal="left" vertical="center"/>
    </xf>
    <xf numFmtId="0" fontId="1" fillId="0" borderId="0" xfId="0" applyFont="1" applyFill="1" applyAlignment="1">
      <alignment wrapText="1"/>
    </xf>
    <xf numFmtId="0" fontId="0" fillId="0" borderId="0" xfId="0" applyFont="1" applyFill="1"/>
    <xf numFmtId="0" fontId="67" fillId="29" borderId="39" xfId="0" applyFont="1" applyFill="1" applyBorder="1" applyAlignment="1">
      <alignment horizontal="center" vertical="center" wrapText="1"/>
    </xf>
    <xf numFmtId="0" fontId="63" fillId="27" borderId="59" xfId="0" applyFont="1" applyFill="1" applyBorder="1" applyAlignment="1">
      <alignment horizontal="center" vertical="center"/>
    </xf>
    <xf numFmtId="0" fontId="53" fillId="2" borderId="59" xfId="73" applyFont="1" applyFill="1" applyBorder="1" applyAlignment="1">
      <alignment vertical="center"/>
    </xf>
    <xf numFmtId="0" fontId="54" fillId="2" borderId="59" xfId="0" applyFont="1" applyFill="1" applyBorder="1" applyAlignment="1">
      <alignment vertical="center" wrapText="1"/>
    </xf>
    <xf numFmtId="0" fontId="49" fillId="2" borderId="0" xfId="0" applyFont="1" applyFill="1" applyAlignment="1">
      <alignment horizontal="center"/>
    </xf>
    <xf numFmtId="0" fontId="37" fillId="2" borderId="0" xfId="0" applyFont="1" applyFill="1" applyAlignment="1">
      <alignment horizontal="center" wrapText="1"/>
    </xf>
    <xf numFmtId="0" fontId="49" fillId="2" borderId="45" xfId="0" applyFont="1" applyFill="1" applyBorder="1"/>
    <xf numFmtId="0" fontId="49" fillId="2" borderId="46" xfId="0" applyFont="1" applyFill="1" applyBorder="1"/>
    <xf numFmtId="0" fontId="49" fillId="2" borderId="41" xfId="0" applyFont="1" applyFill="1" applyBorder="1"/>
    <xf numFmtId="0" fontId="49" fillId="2" borderId="0" xfId="0" quotePrefix="1" applyFont="1" applyFill="1"/>
    <xf numFmtId="10" fontId="14" fillId="0" borderId="9" xfId="0" applyNumberFormat="1" applyFont="1" applyFill="1" applyBorder="1" applyAlignment="1">
      <alignment horizontal="center"/>
    </xf>
    <xf numFmtId="10" fontId="13" fillId="2" borderId="15" xfId="0" applyNumberFormat="1" applyFont="1" applyFill="1" applyBorder="1"/>
    <xf numFmtId="10" fontId="14" fillId="29" borderId="8" xfId="0" applyNumberFormat="1" applyFont="1" applyFill="1" applyBorder="1"/>
    <xf numFmtId="10" fontId="13" fillId="2" borderId="8" xfId="0" applyNumberFormat="1" applyFont="1" applyFill="1" applyBorder="1"/>
    <xf numFmtId="10" fontId="14" fillId="2" borderId="9" xfId="0" applyNumberFormat="1" applyFont="1" applyFill="1" applyBorder="1" applyAlignment="1">
      <alignment horizontal="center"/>
    </xf>
    <xf numFmtId="10" fontId="14" fillId="2" borderId="9" xfId="0" quotePrefix="1" applyNumberFormat="1" applyFont="1" applyFill="1" applyBorder="1" applyAlignment="1">
      <alignment horizontal="center"/>
    </xf>
    <xf numFmtId="17" fontId="13" fillId="2" borderId="15" xfId="0" applyNumberFormat="1" applyFont="1" applyFill="1" applyBorder="1"/>
    <xf numFmtId="0" fontId="54" fillId="2" borderId="0" xfId="72" applyNumberFormat="1" applyFont="1" applyFill="1" applyBorder="1" applyAlignment="1">
      <alignment horizontal="center" vertical="center"/>
    </xf>
    <xf numFmtId="9" fontId="49" fillId="2" borderId="13" xfId="72" applyFont="1" applyFill="1" applyBorder="1" applyAlignment="1">
      <alignment horizontal="center"/>
    </xf>
    <xf numFmtId="38" fontId="54" fillId="2" borderId="12" xfId="0" applyNumberFormat="1" applyFont="1" applyFill="1" applyBorder="1" applyAlignment="1">
      <alignment horizontal="left"/>
    </xf>
    <xf numFmtId="10" fontId="54" fillId="2" borderId="0" xfId="72" applyNumberFormat="1" applyFont="1" applyFill="1" applyBorder="1" applyAlignment="1">
      <alignment horizontal="center" vertical="center"/>
    </xf>
    <xf numFmtId="43" fontId="49" fillId="2" borderId="13" xfId="71" applyFont="1" applyFill="1" applyBorder="1" applyAlignment="1">
      <alignment horizontal="center"/>
    </xf>
    <xf numFmtId="0" fontId="54" fillId="2" borderId="5" xfId="0" applyFont="1" applyFill="1" applyBorder="1" applyAlignment="1">
      <alignment horizontal="left" vertical="center"/>
    </xf>
    <xf numFmtId="38" fontId="54" fillId="2" borderId="13" xfId="0" applyNumberFormat="1" applyFont="1" applyFill="1" applyBorder="1" applyAlignment="1">
      <alignment horizontal="center"/>
    </xf>
    <xf numFmtId="0" fontId="54" fillId="2" borderId="7" xfId="0" applyFont="1" applyFill="1" applyBorder="1" applyAlignment="1">
      <alignment horizontal="center"/>
    </xf>
    <xf numFmtId="3" fontId="50" fillId="2" borderId="3" xfId="0" applyNumberFormat="1" applyFont="1" applyFill="1" applyBorder="1" applyAlignment="1">
      <alignment horizontal="center" vertical="center"/>
    </xf>
    <xf numFmtId="3" fontId="9" fillId="2" borderId="40" xfId="0" applyNumberFormat="1" applyFont="1" applyFill="1" applyBorder="1" applyAlignment="1">
      <alignment horizontal="left" vertical="center"/>
    </xf>
    <xf numFmtId="3" fontId="9" fillId="2" borderId="40" xfId="0" applyNumberFormat="1" applyFont="1" applyFill="1" applyBorder="1" applyAlignment="1">
      <alignment horizontal="center" vertical="center"/>
    </xf>
    <xf numFmtId="3" fontId="50" fillId="2" borderId="40" xfId="0" applyNumberFormat="1" applyFont="1" applyFill="1" applyBorder="1" applyAlignment="1">
      <alignment horizontal="center" vertical="center"/>
    </xf>
    <xf numFmtId="3" fontId="9" fillId="29" borderId="40" xfId="0" applyNumberFormat="1" applyFont="1" applyFill="1" applyBorder="1" applyAlignment="1">
      <alignment horizontal="center" vertical="center"/>
    </xf>
    <xf numFmtId="3" fontId="9" fillId="0" borderId="40" xfId="0" applyNumberFormat="1" applyFont="1" applyFill="1" applyBorder="1" applyAlignment="1">
      <alignment horizontal="center" vertical="center"/>
    </xf>
    <xf numFmtId="3" fontId="9" fillId="2" borderId="84" xfId="0" applyNumberFormat="1" applyFont="1" applyFill="1" applyBorder="1" applyAlignment="1">
      <alignment horizontal="center" vertical="center"/>
    </xf>
    <xf numFmtId="3" fontId="59" fillId="0" borderId="0" xfId="0" applyNumberFormat="1" applyFont="1" applyFill="1" applyBorder="1" applyAlignment="1">
      <alignment vertical="center" wrapText="1"/>
    </xf>
    <xf numFmtId="0" fontId="54" fillId="0" borderId="0" xfId="0" applyFont="1" applyFill="1" applyBorder="1" applyAlignment="1">
      <alignment vertical="top" wrapText="1"/>
    </xf>
    <xf numFmtId="3" fontId="54" fillId="2" borderId="40" xfId="0" applyNumberFormat="1" applyFont="1" applyFill="1" applyBorder="1" applyAlignment="1">
      <alignment horizontal="center" vertical="center"/>
    </xf>
    <xf numFmtId="167" fontId="49" fillId="2" borderId="37" xfId="0" applyNumberFormat="1" applyFont="1" applyFill="1" applyBorder="1"/>
    <xf numFmtId="165" fontId="62" fillId="29" borderId="29" xfId="70" applyFont="1" applyFill="1" applyBorder="1" applyAlignment="1">
      <alignment horizontal="left" vertical="center" wrapText="1"/>
    </xf>
    <xf numFmtId="38" fontId="77" fillId="2" borderId="0" xfId="71" applyNumberFormat="1" applyFont="1" applyFill="1" applyBorder="1" applyAlignment="1">
      <alignment horizontal="center" vertical="center"/>
    </xf>
    <xf numFmtId="178" fontId="49" fillId="29" borderId="39" xfId="71" applyNumberFormat="1" applyFont="1" applyFill="1" applyBorder="1" applyAlignment="1">
      <alignment horizontal="center"/>
    </xf>
    <xf numFmtId="3" fontId="49" fillId="2" borderId="2" xfId="0" applyNumberFormat="1" applyFont="1" applyFill="1" applyBorder="1" applyAlignment="1" applyProtection="1">
      <alignment horizontal="center"/>
      <protection locked="0"/>
    </xf>
    <xf numFmtId="9" fontId="49" fillId="29" borderId="6" xfId="72" applyFont="1" applyFill="1" applyBorder="1"/>
    <xf numFmtId="10" fontId="54" fillId="29" borderId="6" xfId="72" applyNumberFormat="1" applyFont="1" applyFill="1" applyBorder="1" applyAlignment="1">
      <alignment horizontal="center"/>
    </xf>
    <xf numFmtId="38" fontId="49" fillId="2" borderId="0" xfId="0" applyNumberFormat="1" applyFont="1" applyFill="1" applyBorder="1"/>
    <xf numFmtId="1" fontId="62" fillId="29" borderId="29" xfId="40" applyNumberFormat="1" applyFont="1" applyFill="1" applyBorder="1" applyAlignment="1">
      <alignment horizontal="center" vertical="center" wrapText="1"/>
    </xf>
    <xf numFmtId="0" fontId="55" fillId="2" borderId="0" xfId="0" applyFont="1" applyFill="1" applyAlignment="1">
      <alignment horizontal="center"/>
    </xf>
    <xf numFmtId="3" fontId="54" fillId="2"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0" fontId="63" fillId="27" borderId="37" xfId="0" applyFont="1" applyFill="1" applyBorder="1" applyAlignment="1">
      <alignment horizontal="center" vertical="center" wrapText="1"/>
    </xf>
    <xf numFmtId="175" fontId="62" fillId="29" borderId="29" xfId="40" applyNumberFormat="1" applyFont="1" applyFill="1" applyBorder="1" applyAlignment="1">
      <alignment horizontal="right" vertical="center" wrapText="1"/>
    </xf>
    <xf numFmtId="3" fontId="9" fillId="2" borderId="0" xfId="0" applyNumberFormat="1" applyFont="1" applyFill="1" applyBorder="1" applyAlignment="1">
      <alignment horizontal="left" vertical="center"/>
    </xf>
    <xf numFmtId="3" fontId="54" fillId="2"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167" fontId="49" fillId="2" borderId="0" xfId="0" applyNumberFormat="1" applyFont="1" applyFill="1" applyBorder="1"/>
    <xf numFmtId="0" fontId="14" fillId="2" borderId="37" xfId="53" applyFont="1" applyFill="1" applyBorder="1" applyAlignment="1">
      <alignment horizontal="center"/>
    </xf>
    <xf numFmtId="0" fontId="14" fillId="2" borderId="37" xfId="53" applyFont="1" applyFill="1" applyBorder="1" applyAlignment="1"/>
    <xf numFmtId="0" fontId="14" fillId="2" borderId="37" xfId="53" applyFont="1" applyFill="1" applyBorder="1"/>
    <xf numFmtId="2" fontId="14" fillId="2" borderId="37" xfId="53" applyNumberFormat="1" applyFont="1" applyFill="1" applyBorder="1" applyAlignment="1">
      <alignment horizontal="center"/>
    </xf>
    <xf numFmtId="0" fontId="47" fillId="2" borderId="37" xfId="53" applyFont="1" applyFill="1" applyBorder="1" applyAlignment="1"/>
    <xf numFmtId="3" fontId="54" fillId="2" borderId="6" xfId="0" applyNumberFormat="1" applyFont="1" applyFill="1" applyBorder="1" applyAlignment="1">
      <alignment horizontal="center" vertical="center"/>
    </xf>
    <xf numFmtId="2" fontId="49" fillId="2" borderId="37" xfId="0" applyNumberFormat="1" applyFont="1" applyFill="1" applyBorder="1" applyAlignment="1">
      <alignment horizontal="center"/>
    </xf>
    <xf numFmtId="8" fontId="71" fillId="0" borderId="38" xfId="70" applyNumberFormat="1" applyFont="1" applyFill="1" applyBorder="1" applyAlignment="1">
      <alignment horizontal="center" vertical="center" wrapText="1"/>
    </xf>
    <xf numFmtId="172" fontId="14" fillId="2" borderId="2" xfId="53" applyNumberFormat="1" applyFont="1" applyFill="1" applyBorder="1" applyAlignment="1">
      <alignment horizontal="center"/>
    </xf>
    <xf numFmtId="172" fontId="14" fillId="2" borderId="37" xfId="53" applyNumberFormat="1" applyFont="1" applyFill="1" applyBorder="1"/>
    <xf numFmtId="172" fontId="14" fillId="2" borderId="37" xfId="53" applyNumberFormat="1" applyFont="1" applyFill="1" applyBorder="1" applyAlignment="1">
      <alignment horizontal="center"/>
    </xf>
    <xf numFmtId="9" fontId="59" fillId="26" borderId="35" xfId="72" applyFont="1" applyFill="1" applyBorder="1" applyAlignment="1">
      <alignment vertical="center"/>
    </xf>
    <xf numFmtId="9" fontId="49" fillId="29" borderId="0" xfId="72" applyFont="1" applyFill="1" applyBorder="1" applyAlignment="1">
      <alignment vertical="center"/>
    </xf>
    <xf numFmtId="9" fontId="49" fillId="29" borderId="0" xfId="72" applyFont="1" applyFill="1" applyBorder="1" applyAlignment="1">
      <alignment horizontal="center"/>
    </xf>
    <xf numFmtId="9" fontId="49" fillId="29" borderId="0" xfId="72" applyFont="1" applyFill="1" applyBorder="1" applyAlignment="1">
      <alignment horizontal="center" vertical="center"/>
    </xf>
    <xf numFmtId="9" fontId="49" fillId="2" borderId="13" xfId="0" applyNumberFormat="1" applyFont="1" applyFill="1" applyBorder="1" applyAlignment="1">
      <alignment horizontal="center"/>
    </xf>
    <xf numFmtId="3" fontId="59" fillId="26" borderId="36" xfId="0" applyNumberFormat="1" applyFont="1" applyFill="1" applyBorder="1" applyAlignment="1">
      <alignment horizontal="center" vertical="center"/>
    </xf>
    <xf numFmtId="179" fontId="49" fillId="29" borderId="0" xfId="0" applyNumberFormat="1" applyFont="1" applyFill="1" applyBorder="1" applyAlignment="1">
      <alignment horizontal="center" vertical="center"/>
    </xf>
    <xf numFmtId="9" fontId="49" fillId="29" borderId="13" xfId="72" applyFont="1" applyFill="1" applyBorder="1"/>
    <xf numFmtId="9" fontId="70" fillId="29" borderId="0" xfId="71" applyNumberFormat="1" applyFont="1" applyFill="1" applyBorder="1" applyAlignment="1">
      <alignment horizontal="center" vertical="center"/>
    </xf>
    <xf numFmtId="9" fontId="59" fillId="26" borderId="0" xfId="71" applyNumberFormat="1" applyFont="1" applyFill="1" applyBorder="1" applyAlignment="1">
      <alignment horizontal="center" vertical="center"/>
    </xf>
    <xf numFmtId="9" fontId="49" fillId="29" borderId="0" xfId="71" applyNumberFormat="1" applyFont="1" applyFill="1" applyBorder="1" applyAlignment="1">
      <alignment horizontal="center" vertical="center"/>
    </xf>
    <xf numFmtId="10" fontId="49" fillId="29" borderId="0" xfId="0" applyNumberFormat="1" applyFont="1" applyFill="1" applyBorder="1" applyAlignment="1">
      <alignment horizontal="center" vertical="center"/>
    </xf>
    <xf numFmtId="10" fontId="49" fillId="29" borderId="0" xfId="0" applyNumberFormat="1" applyFont="1" applyFill="1" applyBorder="1"/>
    <xf numFmtId="10" fontId="49" fillId="29" borderId="0" xfId="72" applyNumberFormat="1" applyFont="1" applyFill="1" applyBorder="1" applyAlignment="1">
      <alignment vertical="center"/>
    </xf>
    <xf numFmtId="10" fontId="59" fillId="26" borderId="35" xfId="0" applyNumberFormat="1" applyFont="1" applyFill="1" applyBorder="1" applyAlignment="1">
      <alignment vertical="center"/>
    </xf>
    <xf numFmtId="178" fontId="0" fillId="2" borderId="0" xfId="71" applyNumberFormat="1" applyFont="1" applyFill="1"/>
    <xf numFmtId="10" fontId="49" fillId="29" borderId="0" xfId="0" applyNumberFormat="1" applyFont="1" applyFill="1" applyBorder="1" applyAlignment="1"/>
    <xf numFmtId="178" fontId="1" fillId="2" borderId="0" xfId="71" applyNumberFormat="1" applyFont="1" applyFill="1"/>
    <xf numFmtId="10" fontId="49" fillId="29" borderId="0" xfId="72" applyNumberFormat="1" applyFont="1" applyFill="1" applyBorder="1" applyAlignment="1"/>
    <xf numFmtId="178" fontId="15" fillId="2" borderId="0" xfId="71" applyNumberFormat="1" applyFont="1" applyFill="1"/>
    <xf numFmtId="43" fontId="1" fillId="2" borderId="0" xfId="71" applyFont="1" applyFill="1"/>
    <xf numFmtId="10" fontId="49" fillId="29" borderId="0" xfId="0" applyNumberFormat="1" applyFont="1" applyFill="1" applyBorder="1" applyAlignment="1">
      <alignment vertical="center"/>
    </xf>
    <xf numFmtId="0" fontId="0" fillId="2" borderId="0" xfId="0" applyFill="1"/>
    <xf numFmtId="3" fontId="54" fillId="2" borderId="0" xfId="0" applyNumberFormat="1" applyFont="1" applyFill="1" applyBorder="1" applyAlignment="1">
      <alignment horizontal="center" vertical="center"/>
    </xf>
    <xf numFmtId="3" fontId="9" fillId="29" borderId="39" xfId="0" applyNumberFormat="1" applyFont="1" applyFill="1" applyBorder="1" applyAlignment="1">
      <alignment horizontal="center" vertical="center"/>
    </xf>
    <xf numFmtId="3" fontId="9" fillId="2" borderId="47" xfId="0" applyNumberFormat="1" applyFont="1" applyFill="1" applyBorder="1" applyAlignment="1">
      <alignment horizontal="center" vertical="center"/>
    </xf>
    <xf numFmtId="3" fontId="9" fillId="29" borderId="42" xfId="0" applyNumberFormat="1" applyFont="1" applyFill="1" applyBorder="1" applyAlignment="1">
      <alignment horizontal="center" vertical="center"/>
    </xf>
    <xf numFmtId="3" fontId="9" fillId="2" borderId="44" xfId="0" applyNumberFormat="1" applyFont="1" applyFill="1" applyBorder="1" applyAlignment="1">
      <alignment horizontal="center" vertical="center"/>
    </xf>
    <xf numFmtId="3" fontId="9" fillId="2" borderId="40" xfId="0" applyNumberFormat="1" applyFont="1" applyFill="1" applyBorder="1" applyAlignment="1">
      <alignment horizontal="center" vertical="center"/>
    </xf>
    <xf numFmtId="179" fontId="59" fillId="26" borderId="0" xfId="0" applyNumberFormat="1" applyFont="1" applyFill="1" applyBorder="1" applyAlignment="1">
      <alignment horizontal="center" vertical="center"/>
    </xf>
    <xf numFmtId="179" fontId="49" fillId="29" borderId="0" xfId="0" applyNumberFormat="1" applyFont="1" applyFill="1" applyBorder="1" applyAlignment="1">
      <alignment horizontal="center"/>
    </xf>
    <xf numFmtId="180" fontId="14" fillId="2" borderId="37" xfId="53" applyNumberFormat="1" applyFont="1" applyFill="1" applyBorder="1" applyAlignment="1">
      <alignment horizontal="center"/>
    </xf>
    <xf numFmtId="181" fontId="60" fillId="2" borderId="0" xfId="72" applyNumberFormat="1" applyFont="1" applyFill="1" applyAlignment="1">
      <alignment vertical="center"/>
    </xf>
    <xf numFmtId="9" fontId="0" fillId="0" borderId="0" xfId="72" applyFont="1"/>
    <xf numFmtId="0" fontId="3" fillId="0" borderId="0" xfId="0" applyFont="1"/>
    <xf numFmtId="166" fontId="54" fillId="2" borderId="0" xfId="72" applyNumberFormat="1" applyFont="1" applyFill="1" applyBorder="1" applyAlignment="1">
      <alignment horizontal="center" vertical="center"/>
    </xf>
    <xf numFmtId="0" fontId="49" fillId="32" borderId="2" xfId="0" applyNumberFormat="1" applyFont="1" applyFill="1" applyBorder="1" applyAlignment="1">
      <alignment horizontal="center"/>
    </xf>
    <xf numFmtId="3" fontId="49" fillId="32" borderId="37" xfId="0" applyNumberFormat="1" applyFont="1" applyFill="1" applyBorder="1" applyAlignment="1">
      <alignment horizontal="center"/>
    </xf>
    <xf numFmtId="3" fontId="49" fillId="32" borderId="37" xfId="0" applyNumberFormat="1" applyFont="1" applyFill="1" applyBorder="1"/>
    <xf numFmtId="171" fontId="49" fillId="32" borderId="37" xfId="0" applyNumberFormat="1" applyFont="1" applyFill="1" applyBorder="1" applyAlignment="1">
      <alignment horizontal="center"/>
    </xf>
    <xf numFmtId="0" fontId="49" fillId="0" borderId="0" xfId="0" applyFont="1" applyFill="1" applyBorder="1"/>
    <xf numFmtId="170" fontId="63" fillId="28" borderId="68" xfId="0" applyNumberFormat="1" applyFont="1" applyFill="1" applyBorder="1" applyAlignment="1">
      <alignment horizontal="center" vertical="center" wrapText="1"/>
    </xf>
    <xf numFmtId="38" fontId="49" fillId="0" borderId="13" xfId="0" applyNumberFormat="1" applyFont="1" applyFill="1" applyBorder="1" applyAlignment="1">
      <alignment horizontal="center"/>
    </xf>
    <xf numFmtId="38" fontId="77" fillId="0" borderId="0" xfId="71" applyNumberFormat="1" applyFont="1" applyFill="1" applyBorder="1" applyAlignment="1">
      <alignment horizontal="center" vertical="center"/>
    </xf>
    <xf numFmtId="38" fontId="54" fillId="0" borderId="0" xfId="0" applyNumberFormat="1" applyFont="1" applyFill="1" applyBorder="1" applyAlignment="1">
      <alignment horizontal="center" vertical="center"/>
    </xf>
    <xf numFmtId="38" fontId="54" fillId="0" borderId="0" xfId="71" applyNumberFormat="1" applyFont="1" applyFill="1" applyBorder="1" applyAlignment="1">
      <alignment horizontal="center" vertical="center"/>
    </xf>
    <xf numFmtId="0" fontId="0" fillId="0" borderId="0" xfId="0" applyAlignment="1">
      <alignment wrapText="1"/>
    </xf>
    <xf numFmtId="0" fontId="3" fillId="0" borderId="0" xfId="0" applyFont="1" applyBorder="1"/>
    <xf numFmtId="175" fontId="3" fillId="0" borderId="0" xfId="0" applyNumberFormat="1" applyFont="1" applyBorder="1" applyAlignment="1">
      <alignment wrapText="1"/>
    </xf>
    <xf numFmtId="166" fontId="0" fillId="0" borderId="0" xfId="40" applyFont="1"/>
    <xf numFmtId="0" fontId="0" fillId="0" borderId="0" xfId="0" applyFill="1"/>
    <xf numFmtId="0" fontId="0" fillId="0" borderId="85" xfId="0" applyBorder="1"/>
    <xf numFmtId="0" fontId="85" fillId="0" borderId="0" xfId="0" applyFont="1"/>
    <xf numFmtId="0" fontId="0" fillId="0" borderId="12" xfId="0" applyBorder="1"/>
    <xf numFmtId="0" fontId="86" fillId="0" borderId="0" xfId="0" applyFont="1"/>
    <xf numFmtId="0" fontId="0" fillId="0" borderId="0" xfId="0" applyBorder="1"/>
    <xf numFmtId="0" fontId="0" fillId="0" borderId="5" xfId="0" applyBorder="1"/>
    <xf numFmtId="0" fontId="0" fillId="0" borderId="6" xfId="0" applyBorder="1"/>
    <xf numFmtId="184" fontId="14" fillId="0" borderId="41" xfId="70" applyNumberFormat="1" applyFont="1" applyFill="1" applyBorder="1" applyAlignment="1">
      <alignment horizontal="center" vertical="center"/>
    </xf>
    <xf numFmtId="0" fontId="0" fillId="0" borderId="5" xfId="0" applyFill="1" applyBorder="1"/>
    <xf numFmtId="183" fontId="14" fillId="0" borderId="0" xfId="70" applyNumberFormat="1" applyFont="1" applyFill="1" applyBorder="1" applyAlignment="1">
      <alignment horizontal="center" vertical="center"/>
    </xf>
    <xf numFmtId="184" fontId="38" fillId="0" borderId="0" xfId="70" applyNumberFormat="1" applyFont="1" applyFill="1" applyBorder="1" applyAlignment="1">
      <alignment horizontal="center" vertical="center"/>
    </xf>
    <xf numFmtId="165" fontId="0" fillId="0" borderId="0" xfId="0" applyNumberFormat="1"/>
    <xf numFmtId="164" fontId="0" fillId="0" borderId="0" xfId="0" applyNumberFormat="1"/>
    <xf numFmtId="183" fontId="14" fillId="0" borderId="59" xfId="0" applyNumberFormat="1" applyFont="1" applyFill="1" applyBorder="1" applyAlignment="1">
      <alignment horizontal="center" vertical="center"/>
    </xf>
    <xf numFmtId="183" fontId="14" fillId="0" borderId="10" xfId="0" applyNumberFormat="1" applyFont="1" applyFill="1" applyBorder="1" applyAlignment="1">
      <alignment horizontal="center" vertical="center"/>
    </xf>
    <xf numFmtId="0" fontId="0" fillId="0" borderId="0" xfId="0" applyFill="1" applyBorder="1"/>
    <xf numFmtId="0" fontId="8" fillId="0" borderId="0" xfId="0" applyFont="1" applyFill="1" applyBorder="1"/>
    <xf numFmtId="0" fontId="3" fillId="0" borderId="86" xfId="0" applyFont="1" applyBorder="1"/>
    <xf numFmtId="0" fontId="0" fillId="0" borderId="87" xfId="0" applyBorder="1"/>
    <xf numFmtId="0" fontId="0" fillId="0" borderId="88" xfId="0" applyBorder="1"/>
    <xf numFmtId="0" fontId="0" fillId="0" borderId="89" xfId="0" applyBorder="1"/>
    <xf numFmtId="178" fontId="0" fillId="0" borderId="0" xfId="0" applyNumberFormat="1" applyBorder="1"/>
    <xf numFmtId="178" fontId="0" fillId="0" borderId="90" xfId="0" applyNumberFormat="1" applyBorder="1"/>
    <xf numFmtId="0" fontId="0" fillId="0" borderId="91" xfId="0" applyBorder="1"/>
    <xf numFmtId="0" fontId="0" fillId="0" borderId="92" xfId="0" applyBorder="1"/>
    <xf numFmtId="178" fontId="0" fillId="0" borderId="92" xfId="0" applyNumberFormat="1" applyBorder="1"/>
    <xf numFmtId="178" fontId="0" fillId="0" borderId="93" xfId="0" applyNumberFormat="1" applyBorder="1"/>
    <xf numFmtId="178" fontId="0" fillId="0" borderId="0" xfId="0" applyNumberFormat="1"/>
    <xf numFmtId="0" fontId="0" fillId="0" borderId="0" xfId="0" applyAlignment="1">
      <alignment horizontal="right"/>
    </xf>
    <xf numFmtId="178" fontId="3" fillId="0" borderId="0" xfId="0" applyNumberFormat="1" applyFont="1"/>
    <xf numFmtId="3" fontId="49" fillId="0" borderId="59" xfId="0" applyNumberFormat="1" applyFont="1" applyFill="1" applyBorder="1" applyAlignment="1" applyProtection="1">
      <alignment horizontal="center"/>
    </xf>
    <xf numFmtId="3" fontId="49" fillId="0" borderId="11" xfId="0" applyNumberFormat="1" applyFont="1" applyFill="1" applyBorder="1" applyAlignment="1" applyProtection="1">
      <alignment horizontal="center"/>
    </xf>
    <xf numFmtId="38" fontId="49" fillId="0" borderId="11" xfId="0" applyNumberFormat="1" applyFont="1" applyFill="1" applyBorder="1" applyAlignment="1" applyProtection="1">
      <alignment horizontal="center"/>
    </xf>
    <xf numFmtId="38" fontId="49" fillId="0" borderId="10" xfId="0" applyNumberFormat="1" applyFont="1" applyFill="1" applyBorder="1" applyAlignment="1" applyProtection="1">
      <alignment horizontal="center"/>
    </xf>
    <xf numFmtId="175" fontId="3" fillId="0" borderId="12" xfId="40" applyNumberFormat="1" applyFont="1" applyBorder="1" applyAlignment="1">
      <alignment wrapText="1"/>
    </xf>
    <xf numFmtId="175" fontId="3" fillId="0" borderId="0" xfId="40" applyNumberFormat="1" applyFont="1" applyBorder="1" applyAlignment="1">
      <alignment wrapText="1"/>
    </xf>
    <xf numFmtId="0" fontId="0" fillId="0" borderId="0" xfId="0" applyBorder="1" applyAlignment="1">
      <alignment wrapText="1"/>
    </xf>
    <xf numFmtId="170" fontId="63" fillId="28" borderId="94" xfId="0" applyNumberFormat="1" applyFont="1" applyFill="1" applyBorder="1" applyAlignment="1">
      <alignment horizontal="center" vertical="center" wrapText="1"/>
    </xf>
    <xf numFmtId="170" fontId="63" fillId="28" borderId="37" xfId="0" applyNumberFormat="1" applyFont="1" applyFill="1" applyBorder="1" applyAlignment="1">
      <alignment horizontal="center" vertical="center" wrapText="1"/>
    </xf>
    <xf numFmtId="0" fontId="87" fillId="27" borderId="0" xfId="0" applyFont="1" applyFill="1" applyAlignment="1">
      <alignment horizontal="center" vertical="center"/>
    </xf>
    <xf numFmtId="0" fontId="0" fillId="27" borderId="0" xfId="0" applyFill="1"/>
    <xf numFmtId="0" fontId="84" fillId="0" borderId="0" xfId="0" applyFont="1" applyBorder="1"/>
    <xf numFmtId="0" fontId="85" fillId="0" borderId="0" xfId="0" applyFont="1" applyFill="1"/>
    <xf numFmtId="0" fontId="85" fillId="0" borderId="46" xfId="0" applyFont="1" applyBorder="1"/>
    <xf numFmtId="0" fontId="88" fillId="0" borderId="0" xfId="0" applyFont="1" applyFill="1"/>
    <xf numFmtId="182" fontId="89" fillId="0" borderId="0" xfId="72" applyNumberFormat="1" applyFont="1" applyFill="1" applyBorder="1"/>
    <xf numFmtId="10" fontId="89" fillId="0" borderId="0" xfId="72" applyNumberFormat="1" applyFont="1" applyFill="1" applyBorder="1"/>
    <xf numFmtId="170" fontId="90" fillId="28" borderId="94" xfId="0" applyNumberFormat="1" applyFont="1" applyFill="1" applyBorder="1" applyAlignment="1">
      <alignment horizontal="center" vertical="center" wrapText="1"/>
    </xf>
    <xf numFmtId="170" fontId="90" fillId="28" borderId="37" xfId="0" applyNumberFormat="1" applyFont="1" applyFill="1" applyBorder="1" applyAlignment="1">
      <alignment horizontal="center" vertical="center" wrapText="1"/>
    </xf>
    <xf numFmtId="0" fontId="91" fillId="0" borderId="0" xfId="0" applyFont="1"/>
    <xf numFmtId="0" fontId="0" fillId="0" borderId="59" xfId="0" applyFill="1" applyBorder="1"/>
    <xf numFmtId="184" fontId="14" fillId="0" borderId="59" xfId="70" applyNumberFormat="1" applyFont="1" applyFill="1" applyBorder="1" applyAlignment="1">
      <alignment horizontal="center" vertical="center"/>
    </xf>
    <xf numFmtId="17" fontId="0" fillId="0" borderId="59" xfId="0" applyNumberFormat="1" applyBorder="1" applyAlignment="1">
      <alignment horizontal="center"/>
    </xf>
    <xf numFmtId="17" fontId="0" fillId="0" borderId="11" xfId="0" applyNumberFormat="1" applyBorder="1" applyAlignment="1">
      <alignment horizontal="center"/>
    </xf>
    <xf numFmtId="17" fontId="0" fillId="0" borderId="10" xfId="0" applyNumberFormat="1" applyBorder="1" applyAlignment="1">
      <alignment horizontal="center"/>
    </xf>
    <xf numFmtId="17" fontId="0" fillId="0" borderId="59" xfId="0" applyNumberFormat="1" applyFill="1" applyBorder="1" applyAlignment="1">
      <alignment horizontal="center"/>
    </xf>
    <xf numFmtId="17" fontId="0" fillId="0" borderId="11" xfId="0" applyNumberFormat="1" applyFill="1" applyBorder="1" applyAlignment="1">
      <alignment horizontal="center"/>
    </xf>
    <xf numFmtId="17" fontId="0" fillId="0" borderId="10" xfId="0" applyNumberFormat="1" applyFill="1" applyBorder="1" applyAlignment="1">
      <alignment horizontal="center"/>
    </xf>
    <xf numFmtId="0" fontId="85" fillId="0" borderId="0" xfId="0" applyFont="1" applyBorder="1"/>
    <xf numFmtId="0" fontId="3" fillId="0" borderId="34" xfId="0" applyFont="1" applyBorder="1" applyAlignment="1">
      <alignment horizontal="center"/>
    </xf>
    <xf numFmtId="0" fontId="3" fillId="0" borderId="0" xfId="0" applyFont="1" applyBorder="1" applyAlignment="1">
      <alignment horizontal="center"/>
    </xf>
    <xf numFmtId="184" fontId="14" fillId="0" borderId="11" xfId="70" applyNumberFormat="1" applyFont="1" applyFill="1" applyBorder="1" applyAlignment="1">
      <alignment horizontal="center" vertical="center"/>
    </xf>
    <xf numFmtId="184" fontId="14" fillId="0" borderId="13" xfId="70" applyNumberFormat="1" applyFont="1" applyFill="1" applyBorder="1" applyAlignment="1">
      <alignment horizontal="center" vertical="center"/>
    </xf>
    <xf numFmtId="43" fontId="38" fillId="0" borderId="34" xfId="71" applyNumberFormat="1" applyFont="1" applyFill="1" applyBorder="1" applyAlignment="1">
      <alignment horizontal="center" vertical="center"/>
    </xf>
    <xf numFmtId="43" fontId="38" fillId="0" borderId="37" xfId="71" applyNumberFormat="1" applyFont="1" applyFill="1" applyBorder="1" applyAlignment="1">
      <alignment horizontal="center" vertical="center"/>
    </xf>
    <xf numFmtId="43" fontId="38" fillId="0" borderId="36" xfId="71" applyNumberFormat="1" applyFont="1" applyFill="1" applyBorder="1" applyAlignment="1">
      <alignment horizontal="center" vertical="center"/>
    </xf>
    <xf numFmtId="184" fontId="14" fillId="0" borderId="45" xfId="0" applyNumberFormat="1" applyFont="1" applyFill="1" applyBorder="1" applyAlignment="1">
      <alignment horizontal="center" vertical="center"/>
    </xf>
    <xf numFmtId="184" fontId="14" fillId="0" borderId="12" xfId="0" applyNumberFormat="1" applyFont="1" applyFill="1" applyBorder="1" applyAlignment="1">
      <alignment horizontal="center" vertical="center"/>
    </xf>
    <xf numFmtId="0" fontId="87" fillId="27" borderId="0" xfId="0" applyFont="1" applyFill="1" applyAlignment="1">
      <alignment horizontal="center" vertical="center" wrapText="1"/>
    </xf>
    <xf numFmtId="0" fontId="0" fillId="0" borderId="35" xfId="0" applyBorder="1"/>
    <xf numFmtId="183" fontId="14" fillId="0" borderId="35" xfId="70" applyNumberFormat="1" applyFont="1" applyFill="1" applyBorder="1" applyAlignment="1">
      <alignment horizontal="center" vertical="center"/>
    </xf>
    <xf numFmtId="0" fontId="0" fillId="0" borderId="37" xfId="0" applyBorder="1"/>
    <xf numFmtId="171" fontId="50" fillId="0" borderId="74" xfId="0" applyNumberFormat="1" applyFont="1" applyFill="1" applyBorder="1" applyAlignment="1">
      <alignment horizontal="center"/>
    </xf>
    <xf numFmtId="8" fontId="9" fillId="0" borderId="49" xfId="0" applyNumberFormat="1" applyFont="1" applyFill="1" applyBorder="1" applyAlignment="1">
      <alignment horizontal="center"/>
    </xf>
    <xf numFmtId="175" fontId="0" fillId="0" borderId="12" xfId="40" applyNumberFormat="1" applyFont="1" applyFill="1" applyBorder="1" applyAlignment="1">
      <alignment horizontal="left" indent="2"/>
    </xf>
    <xf numFmtId="10" fontId="38" fillId="2" borderId="9" xfId="0" applyNumberFormat="1" applyFont="1" applyFill="1" applyBorder="1" applyAlignment="1" applyProtection="1">
      <alignment horizontal="center"/>
      <protection locked="0"/>
    </xf>
    <xf numFmtId="0" fontId="55" fillId="2" borderId="0" xfId="0" applyFont="1" applyFill="1" applyAlignment="1">
      <alignment horizontal="center"/>
    </xf>
    <xf numFmtId="0" fontId="63" fillId="27" borderId="61" xfId="0" applyNumberFormat="1" applyFont="1" applyFill="1" applyBorder="1" applyAlignment="1">
      <alignment horizontal="center" vertical="center" wrapText="1"/>
    </xf>
    <xf numFmtId="169" fontId="0" fillId="2" borderId="0" xfId="0" applyNumberFormat="1" applyFill="1"/>
    <xf numFmtId="43" fontId="0" fillId="2" borderId="0" xfId="71" applyFont="1" applyFill="1"/>
    <xf numFmtId="171" fontId="50" fillId="2" borderId="34" xfId="0" applyNumberFormat="1" applyFont="1" applyFill="1" applyBorder="1" applyAlignment="1">
      <alignment horizontal="center" wrapText="1"/>
    </xf>
    <xf numFmtId="8" fontId="50" fillId="2" borderId="35" xfId="0" applyNumberFormat="1" applyFont="1" applyFill="1" applyBorder="1" applyAlignment="1">
      <alignment horizontal="center"/>
    </xf>
    <xf numFmtId="8" fontId="50" fillId="0" borderId="36" xfId="0" applyNumberFormat="1" applyFont="1" applyFill="1" applyBorder="1" applyAlignment="1">
      <alignment horizontal="center"/>
    </xf>
    <xf numFmtId="171" fontId="51" fillId="2" borderId="34" xfId="0" applyNumberFormat="1" applyFont="1" applyFill="1" applyBorder="1" applyAlignment="1">
      <alignment horizontal="center" wrapText="1"/>
    </xf>
    <xf numFmtId="0" fontId="85" fillId="0" borderId="95" xfId="0" applyFont="1" applyBorder="1"/>
    <xf numFmtId="0" fontId="0" fillId="0" borderId="97" xfId="0" applyBorder="1"/>
    <xf numFmtId="1" fontId="88" fillId="0" borderId="98" xfId="0" applyNumberFormat="1" applyFont="1" applyBorder="1" applyAlignment="1">
      <alignment horizontal="center"/>
    </xf>
    <xf numFmtId="0" fontId="0" fillId="0" borderId="96" xfId="0" applyBorder="1"/>
    <xf numFmtId="0" fontId="88" fillId="0" borderId="99" xfId="0" applyFont="1" applyBorder="1" applyAlignment="1">
      <alignment horizontal="center" vertical="center"/>
    </xf>
    <xf numFmtId="1" fontId="88" fillId="0" borderId="99" xfId="0" applyNumberFormat="1" applyFont="1" applyBorder="1" applyAlignment="1">
      <alignment horizontal="center"/>
    </xf>
    <xf numFmtId="182" fontId="89" fillId="0" borderId="100" xfId="72" applyNumberFormat="1" applyFont="1" applyFill="1" applyBorder="1"/>
    <xf numFmtId="182" fontId="89" fillId="0" borderId="97" xfId="72" applyNumberFormat="1" applyFont="1" applyFill="1" applyBorder="1"/>
    <xf numFmtId="182" fontId="89" fillId="0" borderId="99" xfId="72" applyNumberFormat="1" applyFont="1" applyFill="1" applyBorder="1"/>
    <xf numFmtId="182" fontId="89" fillId="0" borderId="101" xfId="72" applyNumberFormat="1" applyFont="1" applyFill="1" applyBorder="1"/>
    <xf numFmtId="182" fontId="89" fillId="0" borderId="98" xfId="72" applyNumberFormat="1" applyFont="1" applyFill="1" applyBorder="1"/>
    <xf numFmtId="182" fontId="89" fillId="0" borderId="102" xfId="72" applyNumberFormat="1" applyFont="1" applyFill="1" applyBorder="1"/>
    <xf numFmtId="182" fontId="89" fillId="0" borderId="95" xfId="72" applyNumberFormat="1" applyFont="1" applyFill="1" applyBorder="1"/>
    <xf numFmtId="182" fontId="89" fillId="0" borderId="103" xfId="72" applyNumberFormat="1" applyFont="1" applyFill="1" applyBorder="1"/>
    <xf numFmtId="10" fontId="89" fillId="0" borderId="100" xfId="72" applyNumberFormat="1" applyFont="1" applyFill="1" applyBorder="1"/>
    <xf numFmtId="10" fontId="89" fillId="0" borderId="97" xfId="72" applyNumberFormat="1" applyFont="1" applyFill="1" applyBorder="1"/>
    <xf numFmtId="10" fontId="89" fillId="0" borderId="99" xfId="72" applyNumberFormat="1" applyFont="1" applyFill="1" applyBorder="1"/>
    <xf numFmtId="10" fontId="89" fillId="0" borderId="101" xfId="72" applyNumberFormat="1" applyFont="1" applyFill="1" applyBorder="1"/>
    <xf numFmtId="10" fontId="89" fillId="0" borderId="98" xfId="72" applyNumberFormat="1" applyFont="1" applyFill="1" applyBorder="1"/>
    <xf numFmtId="10" fontId="89" fillId="0" borderId="102" xfId="72" applyNumberFormat="1" applyFont="1" applyFill="1" applyBorder="1"/>
    <xf numFmtId="10" fontId="89" fillId="0" borderId="95" xfId="72" applyNumberFormat="1" applyFont="1" applyFill="1" applyBorder="1"/>
    <xf numFmtId="10" fontId="89" fillId="0" borderId="103" xfId="72" applyNumberFormat="1" applyFont="1" applyFill="1" applyBorder="1"/>
    <xf numFmtId="165" fontId="0" fillId="0" borderId="0" xfId="0" applyNumberFormat="1" applyBorder="1"/>
    <xf numFmtId="165" fontId="0" fillId="0" borderId="0" xfId="0" applyNumberFormat="1" applyFill="1"/>
    <xf numFmtId="165" fontId="83" fillId="0" borderId="6" xfId="70" applyNumberFormat="1" applyFont="1" applyFill="1" applyBorder="1"/>
    <xf numFmtId="43" fontId="0" fillId="0" borderId="0" xfId="71" applyFont="1" applyFill="1" applyBorder="1"/>
    <xf numFmtId="0" fontId="63" fillId="27" borderId="79" xfId="0" applyNumberFormat="1" applyFont="1" applyFill="1" applyBorder="1" applyAlignment="1">
      <alignment horizontal="center" vertical="center" wrapText="1"/>
    </xf>
    <xf numFmtId="0" fontId="63" fillId="27" borderId="104" xfId="0" applyNumberFormat="1" applyFont="1" applyFill="1" applyBorder="1" applyAlignment="1">
      <alignment horizontal="center" vertical="center" wrapText="1"/>
    </xf>
    <xf numFmtId="178" fontId="0" fillId="0" borderId="12" xfId="71" applyNumberFormat="1" applyFont="1" applyBorder="1"/>
    <xf numFmtId="178" fontId="0" fillId="0" borderId="0" xfId="71" applyNumberFormat="1" applyFont="1" applyBorder="1"/>
    <xf numFmtId="178" fontId="0" fillId="0" borderId="13" xfId="71" applyNumberFormat="1" applyFont="1" applyBorder="1"/>
    <xf numFmtId="178" fontId="0" fillId="0" borderId="6" xfId="71" applyNumberFormat="1" applyFont="1" applyBorder="1"/>
    <xf numFmtId="178" fontId="0" fillId="0" borderId="7" xfId="71" applyNumberFormat="1" applyFont="1" applyBorder="1"/>
    <xf numFmtId="0" fontId="0" fillId="0" borderId="59" xfId="0" applyBorder="1"/>
    <xf numFmtId="3" fontId="0" fillId="0" borderId="11" xfId="0" applyNumberFormat="1" applyBorder="1"/>
    <xf numFmtId="0" fontId="0" fillId="0" borderId="10" xfId="0" applyBorder="1"/>
    <xf numFmtId="3" fontId="0" fillId="2" borderId="34" xfId="0" applyNumberFormat="1" applyFill="1" applyBorder="1"/>
    <xf numFmtId="3" fontId="0" fillId="2" borderId="36" xfId="0" applyNumberFormat="1" applyFill="1" applyBorder="1"/>
    <xf numFmtId="178" fontId="7" fillId="0" borderId="5" xfId="71" applyNumberFormat="1" applyFont="1" applyBorder="1"/>
    <xf numFmtId="0" fontId="3" fillId="0" borderId="46" xfId="0" applyFont="1" applyBorder="1"/>
    <xf numFmtId="0" fontId="3" fillId="0" borderId="41" xfId="0" applyFont="1" applyBorder="1"/>
    <xf numFmtId="3" fontId="0" fillId="0" borderId="0" xfId="0" applyNumberFormat="1" applyBorder="1"/>
    <xf numFmtId="3" fontId="0" fillId="0" borderId="13" xfId="0" applyNumberFormat="1" applyBorder="1"/>
    <xf numFmtId="3" fontId="0" fillId="0" borderId="7" xfId="0" applyNumberFormat="1" applyBorder="1"/>
    <xf numFmtId="178" fontId="3" fillId="0" borderId="0" xfId="0" applyNumberFormat="1" applyFont="1" applyFill="1"/>
    <xf numFmtId="0" fontId="54" fillId="2" borderId="11" xfId="0" quotePrefix="1" applyFont="1" applyFill="1" applyBorder="1" applyAlignment="1">
      <alignment vertical="center" wrapText="1"/>
    </xf>
    <xf numFmtId="3" fontId="54" fillId="0" borderId="0" xfId="0" applyNumberFormat="1" applyFont="1" applyFill="1" applyBorder="1" applyAlignment="1">
      <alignment vertical="center" wrapText="1"/>
    </xf>
    <xf numFmtId="0" fontId="63" fillId="27" borderId="62" xfId="0" applyNumberFormat="1" applyFont="1" applyFill="1" applyBorder="1" applyAlignment="1">
      <alignment horizontal="center" vertical="center" wrapText="1"/>
    </xf>
    <xf numFmtId="0" fontId="63" fillId="27" borderId="61" xfId="0" applyNumberFormat="1" applyFont="1" applyFill="1" applyBorder="1" applyAlignment="1">
      <alignment horizontal="center" vertical="center" wrapText="1"/>
    </xf>
    <xf numFmtId="0" fontId="63" fillId="27" borderId="79" xfId="0" applyFont="1" applyFill="1" applyBorder="1" applyAlignment="1">
      <alignment horizontal="center" vertical="center" wrapText="1"/>
    </xf>
    <xf numFmtId="3" fontId="0" fillId="0" borderId="0" xfId="0" applyNumberFormat="1" applyFill="1" applyBorder="1"/>
    <xf numFmtId="1" fontId="0" fillId="0" borderId="0" xfId="0" applyNumberFormat="1"/>
    <xf numFmtId="0" fontId="0" fillId="0" borderId="0" xfId="0"/>
    <xf numFmtId="0" fontId="61" fillId="2" borderId="0" xfId="0" applyFont="1" applyFill="1" applyBorder="1" applyAlignment="1">
      <alignment vertical="center"/>
    </xf>
    <xf numFmtId="0" fontId="3" fillId="0" borderId="0" xfId="0" applyFont="1"/>
    <xf numFmtId="0" fontId="3" fillId="0" borderId="0" xfId="0" applyFont="1" applyBorder="1"/>
    <xf numFmtId="0" fontId="61" fillId="0" borderId="0" xfId="0" applyFont="1" applyFill="1" applyBorder="1" applyAlignment="1">
      <alignment horizontal="center" vertical="center" wrapText="1"/>
    </xf>
    <xf numFmtId="0" fontId="61" fillId="2" borderId="0" xfId="0" applyFont="1" applyFill="1" applyBorder="1" applyAlignment="1">
      <alignment vertical="center" wrapText="1"/>
    </xf>
    <xf numFmtId="0" fontId="61" fillId="2" borderId="0" xfId="0" applyFont="1" applyFill="1" applyBorder="1" applyAlignment="1">
      <alignment horizontal="left" vertical="center"/>
    </xf>
    <xf numFmtId="0" fontId="0" fillId="0" borderId="0" xfId="0"/>
    <xf numFmtId="0" fontId="61" fillId="2" borderId="0" xfId="0" applyFont="1" applyFill="1" applyBorder="1" applyAlignment="1">
      <alignment vertical="center"/>
    </xf>
    <xf numFmtId="3" fontId="0" fillId="0" borderId="0" xfId="0" applyNumberFormat="1"/>
    <xf numFmtId="9" fontId="0" fillId="0" borderId="0" xfId="72" applyFont="1"/>
    <xf numFmtId="0" fontId="0" fillId="0" borderId="12" xfId="0" applyBorder="1"/>
    <xf numFmtId="0" fontId="0" fillId="0" borderId="0" xfId="0" applyBorder="1"/>
    <xf numFmtId="0" fontId="0" fillId="0" borderId="5" xfId="0" applyBorder="1"/>
    <xf numFmtId="178" fontId="0" fillId="0" borderId="0" xfId="0" applyNumberFormat="1" applyBorder="1"/>
    <xf numFmtId="1" fontId="3" fillId="0" borderId="0" xfId="0" applyNumberFormat="1" applyFont="1"/>
    <xf numFmtId="3" fontId="0" fillId="0" borderId="0" xfId="0" applyNumberFormat="1" applyBorder="1"/>
    <xf numFmtId="178" fontId="0" fillId="0" borderId="45" xfId="0" applyNumberFormat="1" applyBorder="1"/>
    <xf numFmtId="178" fontId="0" fillId="0" borderId="46" xfId="0" applyNumberFormat="1" applyBorder="1"/>
    <xf numFmtId="178" fontId="0" fillId="0" borderId="41" xfId="0" applyNumberFormat="1" applyBorder="1"/>
    <xf numFmtId="178" fontId="0" fillId="0" borderId="12" xfId="0" applyNumberFormat="1" applyBorder="1"/>
    <xf numFmtId="178" fontId="0" fillId="0" borderId="13" xfId="0" applyNumberFormat="1" applyBorder="1"/>
    <xf numFmtId="178" fontId="0" fillId="0" borderId="5" xfId="0" applyNumberFormat="1" applyBorder="1"/>
    <xf numFmtId="178" fontId="0" fillId="0" borderId="6" xfId="0" applyNumberFormat="1" applyBorder="1"/>
    <xf numFmtId="178" fontId="0" fillId="0" borderId="7" xfId="0" applyNumberFormat="1" applyBorder="1"/>
    <xf numFmtId="0" fontId="63" fillId="27" borderId="61" xfId="0" applyNumberFormat="1" applyFont="1" applyFill="1" applyBorder="1" applyAlignment="1">
      <alignment horizontal="center" vertical="center" wrapText="1"/>
    </xf>
    <xf numFmtId="0" fontId="63" fillId="27" borderId="61" xfId="0" applyFont="1" applyFill="1" applyBorder="1" applyAlignment="1">
      <alignment horizontal="center" vertical="center" wrapText="1"/>
    </xf>
    <xf numFmtId="0" fontId="63" fillId="27" borderId="53" xfId="0" applyFont="1" applyFill="1" applyBorder="1" applyAlignment="1">
      <alignment horizontal="center" vertical="center" wrapText="1"/>
    </xf>
    <xf numFmtId="0" fontId="63" fillId="27" borderId="54" xfId="0" applyFont="1" applyFill="1" applyBorder="1" applyAlignment="1">
      <alignment horizontal="center" vertical="center" wrapText="1"/>
    </xf>
    <xf numFmtId="0" fontId="54" fillId="0" borderId="0" xfId="0" applyNumberFormat="1" applyFont="1" applyFill="1" applyBorder="1" applyAlignment="1">
      <alignment horizontal="center" vertical="center" wrapText="1"/>
    </xf>
    <xf numFmtId="0" fontId="0" fillId="0" borderId="0" xfId="0" applyFont="1" applyBorder="1" applyAlignment="1">
      <alignment wrapText="1"/>
    </xf>
    <xf numFmtId="0" fontId="0" fillId="0" borderId="0" xfId="0" applyFont="1" applyBorder="1"/>
    <xf numFmtId="178" fontId="7" fillId="0" borderId="0" xfId="71" applyNumberFormat="1" applyFont="1" applyBorder="1"/>
    <xf numFmtId="0" fontId="0" fillId="0" borderId="0" xfId="0"/>
    <xf numFmtId="0" fontId="0" fillId="0" borderId="0" xfId="0" applyBorder="1"/>
    <xf numFmtId="178" fontId="0" fillId="0" borderId="0" xfId="0" applyNumberFormat="1" applyBorder="1"/>
    <xf numFmtId="178" fontId="0" fillId="0" borderId="13" xfId="0" applyNumberFormat="1" applyBorder="1"/>
    <xf numFmtId="3" fontId="0" fillId="0" borderId="0" xfId="0" applyNumberFormat="1" applyFill="1" applyBorder="1"/>
    <xf numFmtId="0" fontId="3" fillId="0" borderId="0" xfId="0" applyFont="1" applyAlignment="1">
      <alignment horizontal="right"/>
    </xf>
    <xf numFmtId="178" fontId="0" fillId="0" borderId="0" xfId="0" applyNumberFormat="1" applyFill="1" applyBorder="1"/>
    <xf numFmtId="185" fontId="0" fillId="0" borderId="0" xfId="0" applyNumberFormat="1" applyFill="1"/>
    <xf numFmtId="178" fontId="0" fillId="0" borderId="90" xfId="0" applyNumberFormat="1" applyFill="1" applyBorder="1"/>
    <xf numFmtId="38" fontId="50" fillId="0" borderId="37" xfId="0" applyNumberFormat="1" applyFont="1" applyFill="1" applyBorder="1" applyAlignment="1" applyProtection="1">
      <alignment horizontal="center"/>
    </xf>
    <xf numFmtId="38" fontId="49" fillId="0" borderId="37" xfId="0" applyNumberFormat="1" applyFont="1" applyFill="1" applyBorder="1" applyAlignment="1" applyProtection="1">
      <alignment horizontal="center"/>
    </xf>
    <xf numFmtId="186" fontId="0" fillId="0" borderId="0" xfId="70" applyNumberFormat="1" applyFont="1" applyAlignment="1">
      <alignment horizontal="center"/>
    </xf>
    <xf numFmtId="170" fontId="93" fillId="28" borderId="68" xfId="0" applyNumberFormat="1" applyFont="1" applyFill="1" applyBorder="1" applyAlignment="1">
      <alignment horizontal="center" vertical="center" wrapText="1"/>
    </xf>
    <xf numFmtId="0" fontId="16" fillId="0" borderId="0" xfId="0" applyFont="1"/>
    <xf numFmtId="187" fontId="50" fillId="0" borderId="37" xfId="0" applyNumberFormat="1" applyFont="1" applyFill="1" applyBorder="1" applyAlignment="1" applyProtection="1">
      <alignment horizontal="left" indent="3"/>
    </xf>
    <xf numFmtId="187" fontId="0" fillId="0" borderId="0" xfId="0" applyNumberFormat="1" applyAlignment="1">
      <alignment horizontal="left" indent="3"/>
    </xf>
    <xf numFmtId="10" fontId="13" fillId="0" borderId="0" xfId="40" applyNumberFormat="1" applyFont="1" applyFill="1" applyBorder="1" applyAlignment="1">
      <alignment horizontal="center" vertical="center" wrapText="1"/>
    </xf>
    <xf numFmtId="170" fontId="90" fillId="33" borderId="0" xfId="0" applyNumberFormat="1" applyFont="1" applyFill="1" applyBorder="1" applyAlignment="1">
      <alignment horizontal="center" vertical="center" wrapText="1"/>
    </xf>
    <xf numFmtId="0" fontId="88" fillId="0" borderId="0" xfId="0" applyFont="1"/>
    <xf numFmtId="3" fontId="49" fillId="2" borderId="6" xfId="0" applyNumberFormat="1" applyFont="1" applyFill="1" applyBorder="1" applyAlignment="1">
      <alignment horizontal="center" vertical="center"/>
    </xf>
    <xf numFmtId="3" fontId="54" fillId="2" borderId="7" xfId="0" applyNumberFormat="1" applyFont="1" applyFill="1" applyBorder="1" applyAlignment="1">
      <alignment horizontal="center" vertical="center"/>
    </xf>
    <xf numFmtId="0" fontId="55" fillId="2" borderId="0" xfId="0" applyFont="1" applyFill="1" applyBorder="1" applyAlignment="1">
      <alignment horizontal="center" vertical="center"/>
    </xf>
    <xf numFmtId="0" fontId="38" fillId="2" borderId="0" xfId="0" applyFont="1" applyFill="1" applyAlignment="1">
      <alignment horizontal="left" vertical="top" wrapText="1"/>
    </xf>
    <xf numFmtId="0" fontId="49" fillId="2" borderId="45" xfId="0" applyFont="1" applyFill="1" applyBorder="1" applyAlignment="1">
      <alignment horizontal="left" wrapText="1"/>
    </xf>
    <xf numFmtId="0" fontId="49" fillId="2" borderId="46" xfId="0" applyFont="1" applyFill="1" applyBorder="1" applyAlignment="1">
      <alignment horizontal="left" wrapText="1"/>
    </xf>
    <xf numFmtId="0" fontId="49" fillId="2" borderId="41" xfId="0" applyFont="1" applyFill="1" applyBorder="1" applyAlignment="1">
      <alignment horizontal="left" wrapText="1"/>
    </xf>
    <xf numFmtId="0" fontId="49" fillId="2" borderId="12" xfId="0" applyFont="1" applyFill="1" applyBorder="1" applyAlignment="1">
      <alignment horizontal="left" wrapText="1"/>
    </xf>
    <xf numFmtId="0" fontId="49" fillId="2" borderId="0" xfId="0" applyFont="1" applyFill="1" applyBorder="1" applyAlignment="1">
      <alignment horizontal="left" wrapText="1"/>
    </xf>
    <xf numFmtId="0" fontId="49" fillId="2" borderId="13" xfId="0" applyFont="1" applyFill="1" applyBorder="1" applyAlignment="1">
      <alignment horizontal="left" wrapText="1"/>
    </xf>
    <xf numFmtId="0" fontId="49" fillId="2" borderId="5" xfId="0" applyFont="1" applyFill="1" applyBorder="1" applyAlignment="1">
      <alignment horizontal="left" wrapText="1"/>
    </xf>
    <xf numFmtId="0" fontId="49" fillId="2" borderId="6" xfId="0" applyFont="1" applyFill="1" applyBorder="1" applyAlignment="1">
      <alignment horizontal="left" wrapText="1"/>
    </xf>
    <xf numFmtId="0" fontId="49" fillId="2" borderId="7" xfId="0" applyFont="1" applyFill="1" applyBorder="1" applyAlignment="1">
      <alignment horizontal="left" wrapText="1"/>
    </xf>
    <xf numFmtId="0" fontId="49" fillId="2" borderId="13" xfId="0" applyFont="1" applyFill="1" applyBorder="1" applyAlignment="1">
      <alignment horizontal="center" vertical="center"/>
    </xf>
    <xf numFmtId="0" fontId="49" fillId="2" borderId="0" xfId="0" applyFont="1" applyFill="1" applyBorder="1" applyAlignment="1">
      <alignment horizontal="left" vertical="center"/>
    </xf>
    <xf numFmtId="0" fontId="49" fillId="2" borderId="45" xfId="0" applyFont="1" applyFill="1" applyBorder="1" applyAlignment="1">
      <alignment horizontal="center" vertical="center" wrapText="1"/>
    </xf>
    <xf numFmtId="0" fontId="49" fillId="2" borderId="46" xfId="0" applyFont="1" applyFill="1" applyBorder="1" applyAlignment="1">
      <alignment horizontal="center" vertical="center" wrapText="1"/>
    </xf>
    <xf numFmtId="0" fontId="49" fillId="2" borderId="41" xfId="0" applyFont="1" applyFill="1" applyBorder="1" applyAlignment="1">
      <alignment horizontal="center" vertical="center" wrapText="1"/>
    </xf>
    <xf numFmtId="0" fontId="49" fillId="2" borderId="12" xfId="0" applyFont="1" applyFill="1" applyBorder="1" applyAlignment="1">
      <alignment horizontal="center" vertical="center" wrapText="1"/>
    </xf>
    <xf numFmtId="0" fontId="49" fillId="2" borderId="0" xfId="0" applyFont="1" applyFill="1" applyBorder="1" applyAlignment="1">
      <alignment horizontal="center" vertical="center" wrapText="1"/>
    </xf>
    <xf numFmtId="0" fontId="49" fillId="2" borderId="13" xfId="0" applyFont="1" applyFill="1" applyBorder="1" applyAlignment="1">
      <alignment horizontal="center" vertical="center" wrapText="1"/>
    </xf>
    <xf numFmtId="0" fontId="49" fillId="2" borderId="5" xfId="0" applyFont="1" applyFill="1" applyBorder="1" applyAlignment="1">
      <alignment horizontal="center" vertical="center" wrapText="1"/>
    </xf>
    <xf numFmtId="0" fontId="49" fillId="2" borderId="6" xfId="0" applyFont="1" applyFill="1" applyBorder="1" applyAlignment="1">
      <alignment horizontal="center" vertical="center" wrapText="1"/>
    </xf>
    <xf numFmtId="0" fontId="49" fillId="2" borderId="7" xfId="0" applyFont="1" applyFill="1" applyBorder="1" applyAlignment="1">
      <alignment horizontal="center" vertical="center" wrapText="1"/>
    </xf>
    <xf numFmtId="0" fontId="55" fillId="2" borderId="0" xfId="0" applyFont="1" applyFill="1" applyAlignment="1">
      <alignment horizontal="center"/>
    </xf>
    <xf numFmtId="0" fontId="50" fillId="2" borderId="13" xfId="0" applyFont="1" applyFill="1" applyBorder="1" applyAlignment="1">
      <alignment horizontal="left" vertical="center"/>
    </xf>
    <xf numFmtId="0" fontId="49" fillId="2" borderId="0" xfId="0" applyFont="1" applyFill="1" applyAlignment="1">
      <alignment horizontal="center"/>
    </xf>
    <xf numFmtId="0" fontId="50" fillId="2" borderId="0" xfId="0" applyFont="1" applyFill="1" applyAlignment="1">
      <alignment horizontal="left" vertical="center" wrapText="1"/>
    </xf>
    <xf numFmtId="0" fontId="50" fillId="2" borderId="13"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13" xfId="0" applyFont="1" applyFill="1" applyBorder="1" applyAlignment="1">
      <alignment horizontal="left" vertical="center" wrapText="1"/>
    </xf>
    <xf numFmtId="0" fontId="50" fillId="2" borderId="0" xfId="0" applyFont="1" applyFill="1" applyBorder="1" applyAlignment="1">
      <alignment horizontal="left" vertical="center"/>
    </xf>
    <xf numFmtId="0" fontId="54" fillId="2" borderId="0" xfId="0" applyFont="1" applyFill="1" applyAlignment="1">
      <alignment horizontal="left" wrapText="1"/>
    </xf>
    <xf numFmtId="0" fontId="61" fillId="2" borderId="0" xfId="0" applyFont="1" applyFill="1" applyBorder="1" applyAlignment="1">
      <alignment horizontal="center" vertical="center"/>
    </xf>
    <xf numFmtId="0" fontId="92" fillId="0" borderId="0" xfId="0" applyFont="1" applyAlignment="1">
      <alignment horizontal="center" vertical="center"/>
    </xf>
    <xf numFmtId="0" fontId="63" fillId="27" borderId="69" xfId="0" applyFont="1" applyFill="1" applyBorder="1" applyAlignment="1">
      <alignment horizontal="center" vertical="center" wrapText="1"/>
    </xf>
    <xf numFmtId="0" fontId="63" fillId="27" borderId="70" xfId="0" applyFont="1" applyFill="1" applyBorder="1" applyAlignment="1">
      <alignment horizontal="center" vertical="center" wrapText="1"/>
    </xf>
    <xf numFmtId="43" fontId="54" fillId="2" borderId="0" xfId="71" applyFont="1" applyFill="1" applyBorder="1" applyAlignment="1">
      <alignment horizontal="center"/>
    </xf>
    <xf numFmtId="0" fontId="54" fillId="2" borderId="0" xfId="0" applyFont="1" applyFill="1" applyBorder="1" applyAlignment="1">
      <alignment horizontal="center"/>
    </xf>
    <xf numFmtId="0" fontId="64" fillId="2" borderId="0" xfId="0" applyFont="1" applyFill="1" applyAlignment="1">
      <alignment horizontal="center"/>
    </xf>
    <xf numFmtId="0" fontId="50" fillId="2" borderId="0" xfId="0" applyFont="1" applyFill="1" applyBorder="1" applyAlignment="1">
      <alignment horizontal="left" vertical="top"/>
    </xf>
    <xf numFmtId="175" fontId="62" fillId="29" borderId="0" xfId="40" applyNumberFormat="1" applyFont="1" applyFill="1" applyBorder="1" applyAlignment="1">
      <alignment horizontal="left" vertical="top"/>
    </xf>
    <xf numFmtId="175" fontId="62" fillId="0" borderId="0" xfId="40" applyNumberFormat="1" applyFont="1" applyFill="1" applyBorder="1" applyAlignment="1">
      <alignment horizontal="left" vertical="top"/>
    </xf>
    <xf numFmtId="0" fontId="54" fillId="2" borderId="0" xfId="40" applyNumberFormat="1" applyFont="1" applyFill="1" applyBorder="1" applyAlignment="1">
      <alignment horizontal="left" vertical="top" wrapText="1"/>
    </xf>
    <xf numFmtId="0" fontId="54" fillId="2" borderId="6" xfId="0" applyFont="1" applyFill="1" applyBorder="1" applyAlignment="1">
      <alignment horizontal="center"/>
    </xf>
    <xf numFmtId="3" fontId="54" fillId="2"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3" fontId="9" fillId="2" borderId="39" xfId="0" applyNumberFormat="1" applyFont="1" applyFill="1" applyBorder="1" applyAlignment="1">
      <alignment horizontal="left" vertical="center"/>
    </xf>
    <xf numFmtId="0" fontId="61" fillId="2" borderId="0" xfId="0" applyFont="1" applyFill="1" applyAlignment="1">
      <alignment horizontal="left"/>
    </xf>
    <xf numFmtId="0" fontId="63" fillId="27" borderId="64" xfId="0" applyNumberFormat="1" applyFont="1" applyFill="1" applyBorder="1" applyAlignment="1">
      <alignment horizontal="center" vertical="center" wrapText="1"/>
    </xf>
    <xf numFmtId="0" fontId="63" fillId="27" borderId="65" xfId="0" applyNumberFormat="1" applyFont="1" applyFill="1" applyBorder="1" applyAlignment="1">
      <alignment horizontal="center" vertical="center" wrapText="1"/>
    </xf>
    <xf numFmtId="0" fontId="63" fillId="27" borderId="66" xfId="0" applyNumberFormat="1" applyFont="1" applyFill="1" applyBorder="1" applyAlignment="1">
      <alignment horizontal="center" vertical="center" wrapText="1"/>
    </xf>
    <xf numFmtId="0" fontId="63" fillId="27" borderId="61" xfId="0" applyNumberFormat="1" applyFont="1" applyFill="1" applyBorder="1" applyAlignment="1">
      <alignment horizontal="center" vertical="center" wrapText="1"/>
    </xf>
    <xf numFmtId="0" fontId="63" fillId="27" borderId="75" xfId="0" applyNumberFormat="1" applyFont="1" applyFill="1" applyBorder="1" applyAlignment="1">
      <alignment horizontal="center" vertical="center" wrapText="1"/>
    </xf>
    <xf numFmtId="0" fontId="63" fillId="27" borderId="62" xfId="0" applyNumberFormat="1" applyFont="1" applyFill="1" applyBorder="1" applyAlignment="1">
      <alignment horizontal="center" vertical="center" wrapText="1"/>
    </xf>
    <xf numFmtId="0" fontId="63" fillId="27" borderId="55" xfId="0" applyNumberFormat="1" applyFont="1" applyFill="1" applyBorder="1" applyAlignment="1">
      <alignment horizontal="center" vertical="center" wrapText="1"/>
    </xf>
    <xf numFmtId="3" fontId="9" fillId="2" borderId="73" xfId="0" applyNumberFormat="1" applyFont="1" applyFill="1" applyBorder="1" applyAlignment="1">
      <alignment horizontal="left" vertical="center"/>
    </xf>
    <xf numFmtId="3" fontId="59" fillId="26" borderId="35" xfId="0" applyNumberFormat="1" applyFont="1" applyFill="1" applyBorder="1" applyAlignment="1">
      <alignment horizontal="left" vertical="center"/>
    </xf>
    <xf numFmtId="0" fontId="66" fillId="2" borderId="0" xfId="0" applyFont="1" applyFill="1" applyBorder="1" applyAlignment="1">
      <alignment horizontal="center" vertical="center" textRotation="90"/>
    </xf>
    <xf numFmtId="3" fontId="59" fillId="26" borderId="46" xfId="0" applyNumberFormat="1" applyFont="1" applyFill="1" applyBorder="1" applyAlignment="1">
      <alignment horizontal="left" vertical="center"/>
    </xf>
    <xf numFmtId="3" fontId="59" fillId="26" borderId="0" xfId="0" applyNumberFormat="1" applyFont="1" applyFill="1" applyBorder="1" applyAlignment="1">
      <alignment horizontal="left" vertical="center"/>
    </xf>
    <xf numFmtId="0" fontId="94" fillId="2" borderId="0" xfId="0" applyFont="1" applyFill="1" applyBorder="1" applyAlignment="1">
      <alignment horizontal="center" vertical="center" textRotation="90"/>
    </xf>
    <xf numFmtId="3" fontId="9" fillId="2" borderId="42"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0" fontId="63" fillId="27" borderId="60" xfId="0" applyNumberFormat="1" applyFont="1" applyFill="1" applyBorder="1" applyAlignment="1">
      <alignment horizontal="center" vertical="center" wrapText="1"/>
    </xf>
    <xf numFmtId="0" fontId="63" fillId="27" borderId="67" xfId="0" applyNumberFormat="1" applyFont="1" applyFill="1" applyBorder="1" applyAlignment="1">
      <alignment horizontal="center" vertical="center" wrapText="1"/>
    </xf>
    <xf numFmtId="0" fontId="41" fillId="2" borderId="0" xfId="0" applyFont="1" applyFill="1" applyAlignment="1">
      <alignment horizontal="left" vertical="center" wrapText="1"/>
    </xf>
    <xf numFmtId="0" fontId="63" fillId="27" borderId="45" xfId="0" applyFont="1" applyFill="1" applyBorder="1" applyAlignment="1">
      <alignment horizontal="center" vertical="center" wrapText="1"/>
    </xf>
    <xf numFmtId="0" fontId="63" fillId="27" borderId="46" xfId="0" applyFont="1" applyFill="1" applyBorder="1" applyAlignment="1">
      <alignment horizontal="center" vertical="center" wrapText="1"/>
    </xf>
    <xf numFmtId="0" fontId="63" fillId="27" borderId="41" xfId="0" applyFont="1" applyFill="1" applyBorder="1" applyAlignment="1">
      <alignment horizontal="center" vertical="center" wrapText="1"/>
    </xf>
    <xf numFmtId="0" fontId="63" fillId="27" borderId="1" xfId="0" applyFont="1" applyFill="1" applyBorder="1" applyAlignment="1">
      <alignment horizontal="center" vertical="center" wrapText="1"/>
    </xf>
    <xf numFmtId="0" fontId="63" fillId="27" borderId="10" xfId="0" applyFont="1" applyFill="1" applyBorder="1" applyAlignment="1">
      <alignment horizontal="center" vertical="center" wrapText="1"/>
    </xf>
    <xf numFmtId="0" fontId="63" fillId="27" borderId="37" xfId="0" applyFont="1" applyFill="1" applyBorder="1" applyAlignment="1">
      <alignment horizontal="center" vertical="center"/>
    </xf>
    <xf numFmtId="0" fontId="63" fillId="27" borderId="34" xfId="0" applyFont="1" applyFill="1" applyBorder="1" applyAlignment="1">
      <alignment horizontal="center"/>
    </xf>
    <xf numFmtId="0" fontId="63" fillId="27" borderId="35" xfId="0" applyFont="1" applyFill="1" applyBorder="1" applyAlignment="1">
      <alignment horizontal="center"/>
    </xf>
    <xf numFmtId="0" fontId="63" fillId="27" borderId="36" xfId="0" applyFont="1" applyFill="1" applyBorder="1" applyAlignment="1">
      <alignment horizontal="center"/>
    </xf>
    <xf numFmtId="0" fontId="58" fillId="27" borderId="34" xfId="53" applyFont="1" applyFill="1" applyBorder="1" applyAlignment="1">
      <alignment horizontal="center"/>
    </xf>
    <xf numFmtId="0" fontId="58" fillId="27" borderId="35" xfId="53" applyFont="1" applyFill="1" applyBorder="1" applyAlignment="1">
      <alignment horizontal="center"/>
    </xf>
    <xf numFmtId="0" fontId="58" fillId="27" borderId="36" xfId="53" applyFont="1" applyFill="1" applyBorder="1" applyAlignment="1">
      <alignment horizontal="center"/>
    </xf>
    <xf numFmtId="0" fontId="63" fillId="27" borderId="5" xfId="0" applyFont="1" applyFill="1" applyBorder="1" applyAlignment="1">
      <alignment horizontal="center" vertical="center" wrapText="1"/>
    </xf>
    <xf numFmtId="0" fontId="63" fillId="27" borderId="6" xfId="0" applyFont="1" applyFill="1" applyBorder="1" applyAlignment="1">
      <alignment horizontal="center" vertical="center" wrapText="1"/>
    </xf>
    <xf numFmtId="0" fontId="63" fillId="27" borderId="12" xfId="0" applyFont="1" applyFill="1" applyBorder="1" applyAlignment="1">
      <alignment horizontal="center" vertical="center" wrapText="1"/>
    </xf>
    <xf numFmtId="0" fontId="63" fillId="27" borderId="0" xfId="0" applyFont="1" applyFill="1" applyBorder="1" applyAlignment="1">
      <alignment horizontal="center" vertical="center" wrapText="1"/>
    </xf>
    <xf numFmtId="175" fontId="62" fillId="29" borderId="0" xfId="40" applyNumberFormat="1" applyFont="1" applyFill="1" applyBorder="1" applyAlignment="1">
      <alignment horizontal="left" vertical="center"/>
    </xf>
    <xf numFmtId="175" fontId="62" fillId="0" borderId="0" xfId="40" applyNumberFormat="1" applyFont="1" applyFill="1" applyBorder="1" applyAlignment="1">
      <alignment horizontal="left" vertical="center"/>
    </xf>
    <xf numFmtId="0" fontId="54" fillId="2" borderId="0" xfId="0" applyFont="1" applyFill="1" applyBorder="1" applyAlignment="1">
      <alignment horizontal="left" vertical="center" wrapText="1"/>
    </xf>
    <xf numFmtId="0" fontId="54" fillId="2" borderId="0" xfId="0" applyFont="1" applyFill="1" applyAlignment="1">
      <alignment horizontal="left" vertical="top" wrapText="1"/>
    </xf>
    <xf numFmtId="0" fontId="54" fillId="2" borderId="0" xfId="0" applyFont="1" applyFill="1" applyBorder="1" applyAlignment="1">
      <alignment horizontal="left" vertical="top"/>
    </xf>
    <xf numFmtId="3" fontId="59" fillId="30" borderId="12" xfId="0" applyNumberFormat="1" applyFont="1" applyFill="1" applyBorder="1" applyAlignment="1">
      <alignment horizontal="left" vertical="center"/>
    </xf>
    <xf numFmtId="3" fontId="59" fillId="30" borderId="0" xfId="0" applyNumberFormat="1" applyFont="1" applyFill="1" applyBorder="1" applyAlignment="1">
      <alignment horizontal="left" vertical="center"/>
    </xf>
    <xf numFmtId="3" fontId="59" fillId="30" borderId="13" xfId="0" applyNumberFormat="1" applyFont="1" applyFill="1" applyBorder="1" applyAlignment="1">
      <alignment horizontal="left" vertical="center"/>
    </xf>
    <xf numFmtId="3" fontId="59" fillId="26" borderId="12" xfId="0" applyNumberFormat="1" applyFont="1" applyFill="1" applyBorder="1" applyAlignment="1">
      <alignment horizontal="left" vertical="center"/>
    </xf>
    <xf numFmtId="3" fontId="59" fillId="26" borderId="13" xfId="0" applyNumberFormat="1" applyFont="1" applyFill="1" applyBorder="1" applyAlignment="1">
      <alignment horizontal="left" vertical="center"/>
    </xf>
    <xf numFmtId="0" fontId="37" fillId="2" borderId="0" xfId="0" applyFont="1" applyFill="1" applyAlignment="1">
      <alignment horizontal="center" wrapText="1"/>
    </xf>
    <xf numFmtId="0" fontId="63" fillId="27" borderId="62" xfId="0" applyFont="1" applyFill="1" applyBorder="1" applyAlignment="1">
      <alignment horizontal="center" vertical="center" wrapText="1"/>
    </xf>
    <xf numFmtId="0" fontId="63" fillId="27" borderId="57" xfId="0" applyFont="1" applyFill="1" applyBorder="1" applyAlignment="1">
      <alignment horizontal="center" vertical="center" wrapText="1"/>
    </xf>
    <xf numFmtId="0" fontId="56" fillId="31" borderId="12" xfId="0" applyFont="1" applyFill="1" applyBorder="1" applyAlignment="1">
      <alignment horizontal="left" vertical="center" wrapText="1"/>
    </xf>
    <xf numFmtId="0" fontId="56" fillId="31" borderId="0" xfId="0" applyFont="1" applyFill="1" applyBorder="1" applyAlignment="1">
      <alignment horizontal="left" vertical="center" wrapText="1"/>
    </xf>
    <xf numFmtId="0" fontId="56" fillId="31" borderId="13" xfId="0" applyFont="1" applyFill="1" applyBorder="1" applyAlignment="1">
      <alignment horizontal="left" vertical="center" wrapText="1"/>
    </xf>
    <xf numFmtId="0" fontId="56" fillId="31" borderId="82" xfId="0" applyFont="1" applyFill="1" applyBorder="1" applyAlignment="1">
      <alignment horizontal="left" vertical="center" wrapText="1"/>
    </xf>
    <xf numFmtId="0" fontId="56" fillId="31" borderId="56" xfId="0" applyFont="1" applyFill="1" applyBorder="1" applyAlignment="1">
      <alignment horizontal="left" vertical="center" wrapText="1"/>
    </xf>
    <xf numFmtId="0" fontId="56" fillId="31" borderId="83" xfId="0" applyFont="1" applyFill="1" applyBorder="1" applyAlignment="1">
      <alignment horizontal="left" vertical="center" wrapText="1"/>
    </xf>
    <xf numFmtId="0" fontId="63" fillId="27" borderId="79" xfId="0" applyFont="1" applyFill="1" applyBorder="1" applyAlignment="1">
      <alignment horizontal="center" vertical="center" wrapText="1"/>
    </xf>
    <xf numFmtId="0" fontId="63" fillId="27" borderId="81" xfId="0" applyFont="1" applyFill="1" applyBorder="1" applyAlignment="1">
      <alignment horizontal="center" vertical="center" wrapText="1"/>
    </xf>
    <xf numFmtId="170" fontId="63" fillId="27" borderId="63" xfId="6" applyNumberFormat="1" applyFont="1" applyFill="1" applyBorder="1" applyAlignment="1">
      <alignment horizontal="center" vertical="center"/>
    </xf>
    <xf numFmtId="170" fontId="63" fillId="27" borderId="80" xfId="6" applyNumberFormat="1" applyFont="1" applyFill="1" applyBorder="1" applyAlignment="1">
      <alignment horizontal="center" vertical="center"/>
    </xf>
    <xf numFmtId="0" fontId="55" fillId="2" borderId="0" xfId="0" applyFont="1" applyFill="1" applyAlignment="1">
      <alignment horizontal="center" wrapText="1"/>
    </xf>
    <xf numFmtId="170" fontId="63" fillId="27" borderId="46" xfId="6" applyNumberFormat="1" applyFont="1" applyFill="1" applyBorder="1" applyAlignment="1">
      <alignment horizontal="center" vertical="center"/>
    </xf>
    <xf numFmtId="170" fontId="63" fillId="27" borderId="41" xfId="6" applyNumberFormat="1" applyFont="1" applyFill="1" applyBorder="1" applyAlignment="1">
      <alignment horizontal="center" vertical="center"/>
    </xf>
    <xf numFmtId="175" fontId="54" fillId="29" borderId="0" xfId="40" applyNumberFormat="1" applyFont="1" applyFill="1" applyBorder="1" applyAlignment="1">
      <alignment horizontal="left" vertical="center"/>
    </xf>
    <xf numFmtId="0" fontId="54" fillId="2" borderId="0" xfId="0" applyFont="1" applyFill="1" applyBorder="1" applyAlignment="1">
      <alignment horizontal="left" vertical="center"/>
    </xf>
    <xf numFmtId="0" fontId="55" fillId="2" borderId="0" xfId="0" applyFont="1" applyFill="1" applyBorder="1" applyAlignment="1">
      <alignment horizontal="center" wrapText="1"/>
    </xf>
    <xf numFmtId="0" fontId="54" fillId="2" borderId="0" xfId="0" applyFont="1" applyFill="1" applyBorder="1" applyAlignment="1">
      <alignment horizontal="left" wrapText="1"/>
    </xf>
    <xf numFmtId="0" fontId="55" fillId="2" borderId="0" xfId="0" applyFont="1" applyFill="1" applyAlignment="1">
      <alignment horizontal="center" vertical="center"/>
    </xf>
    <xf numFmtId="0" fontId="61" fillId="2" borderId="0" xfId="0" applyFont="1" applyFill="1" applyAlignment="1">
      <alignment horizontal="left" vertical="top" wrapText="1"/>
    </xf>
  </cellXfs>
  <cellStyles count="135">
    <cellStyle name="20% - Accent1 2" xfId="11"/>
    <cellStyle name="20% - Accent2 2" xfId="12"/>
    <cellStyle name="20% - Accent3 2" xfId="13"/>
    <cellStyle name="20% - Accent4 2" xfId="14"/>
    <cellStyle name="20% - Accent5 2" xfId="15"/>
    <cellStyle name="20% - Accent6 2" xfId="16"/>
    <cellStyle name="40% - Accent1 2" xfId="17"/>
    <cellStyle name="40% - Accent2 2" xfId="18"/>
    <cellStyle name="40% - Accent3 2" xfId="19"/>
    <cellStyle name="40% - Accent4 2" xfId="20"/>
    <cellStyle name="40% - Accent5 2" xfId="21"/>
    <cellStyle name="40% - Accent6 2" xfId="22"/>
    <cellStyle name="60% - Accent1 2" xfId="23"/>
    <cellStyle name="60% - Accent2 2" xfId="24"/>
    <cellStyle name="60% - Accent3 2" xfId="25"/>
    <cellStyle name="60% - Accent4 2" xfId="26"/>
    <cellStyle name="60% - Accent5 2" xfId="27"/>
    <cellStyle name="60% - Accent6 2" xfId="28"/>
    <cellStyle name="Accent1 2" xfId="29"/>
    <cellStyle name="Accent2 2" xfId="30"/>
    <cellStyle name="Accent3 2" xfId="31"/>
    <cellStyle name="Accent4 2" xfId="32"/>
    <cellStyle name="Accent5 2" xfId="33"/>
    <cellStyle name="Accent6 2" xfId="34"/>
    <cellStyle name="Bad 2" xfId="35"/>
    <cellStyle name="Calculation 2" xfId="36"/>
    <cellStyle name="Calculation 2 2" xfId="64"/>
    <cellStyle name="Calculation 2 2 2" xfId="84"/>
    <cellStyle name="Calculation 2 3" xfId="78"/>
    <cellStyle name="Check Cell 2" xfId="37"/>
    <cellStyle name="Comma" xfId="71" builtinId="3"/>
    <cellStyle name="Comma 2" xfId="1"/>
    <cellStyle name="Comma 2 2" xfId="2"/>
    <cellStyle name="Comma 2 2 2" xfId="91"/>
    <cellStyle name="Comma 2 2 2 2" xfId="103"/>
    <cellStyle name="Comma 2 2 2 2 2" xfId="127"/>
    <cellStyle name="Comma 2 2 2 3" xfId="115"/>
    <cellStyle name="Comma 2 3" xfId="39"/>
    <cellStyle name="Comma 2 3 2" xfId="95"/>
    <cellStyle name="Comma 2 3 2 2" xfId="107"/>
    <cellStyle name="Comma 2 3 2 2 2" xfId="131"/>
    <cellStyle name="Comma 2 3 2 3" xfId="119"/>
    <cellStyle name="Comma 2 3 3" xfId="100"/>
    <cellStyle name="Comma 2 3 3 2" xfId="124"/>
    <cellStyle name="Comma 2 3 4" xfId="112"/>
    <cellStyle name="Comma 3" xfId="3"/>
    <cellStyle name="Comma 3 2" xfId="40"/>
    <cellStyle name="Comma 3 2 2" xfId="96"/>
    <cellStyle name="Comma 3 2 2 2" xfId="108"/>
    <cellStyle name="Comma 3 2 2 2 2" xfId="132"/>
    <cellStyle name="Comma 3 2 2 3" xfId="120"/>
    <cellStyle name="Comma 3 2 3" xfId="101"/>
    <cellStyle name="Comma 3 2 3 2" xfId="125"/>
    <cellStyle name="Comma 3 2 4" xfId="113"/>
    <cellStyle name="Comma 3 3" xfId="92"/>
    <cellStyle name="Comma 3 3 2" xfId="104"/>
    <cellStyle name="Comma 3 3 2 2" xfId="128"/>
    <cellStyle name="Comma 3 3 3" xfId="116"/>
    <cellStyle name="Comma 4" xfId="38"/>
    <cellStyle name="Comma 4 2" xfId="94"/>
    <cellStyle name="Comma 4 2 2" xfId="106"/>
    <cellStyle name="Comma 4 2 2 2" xfId="130"/>
    <cellStyle name="Comma 4 2 3" xfId="118"/>
    <cellStyle name="Comma 4 3" xfId="99"/>
    <cellStyle name="Comma 4 3 2" xfId="123"/>
    <cellStyle name="Comma 4 4" xfId="111"/>
    <cellStyle name="Comma 5" xfId="90"/>
    <cellStyle name="Comma 5 2" xfId="98"/>
    <cellStyle name="Comma 5 2 2" xfId="110"/>
    <cellStyle name="Comma 5 2 2 2" xfId="134"/>
    <cellStyle name="Comma 5 2 3" xfId="122"/>
    <cellStyle name="Currency" xfId="70" builtinId="4"/>
    <cellStyle name="Currency 2" xfId="4"/>
    <cellStyle name="Currency 2 2" xfId="93"/>
    <cellStyle name="Currency 2 2 2" xfId="105"/>
    <cellStyle name="Currency 2 2 2 2" xfId="129"/>
    <cellStyle name="Currency 2 2 3" xfId="117"/>
    <cellStyle name="Currency 3" xfId="97"/>
    <cellStyle name="Currency 3 2" xfId="109"/>
    <cellStyle name="Currency 3 2 2" xfId="133"/>
    <cellStyle name="Currency 3 3" xfId="121"/>
    <cellStyle name="Currency 4" xfId="102"/>
    <cellStyle name="Currency 4 2" xfId="126"/>
    <cellStyle name="Currency 5" xfId="114"/>
    <cellStyle name="Explanatory Text 2" xfId="41"/>
    <cellStyle name="Good 2" xfId="42"/>
    <cellStyle name="Heading 1 2" xfId="43"/>
    <cellStyle name="Heading 2 2" xfId="44"/>
    <cellStyle name="Heading 3 2" xfId="45"/>
    <cellStyle name="Heading 4 2" xfId="46"/>
    <cellStyle name="Hyperlink" xfId="73" builtinId="8"/>
    <cellStyle name="Input 2" xfId="47"/>
    <cellStyle name="Input 2 2" xfId="65"/>
    <cellStyle name="Input 2 2 2" xfId="85"/>
    <cellStyle name="Input 2 3" xfId="79"/>
    <cellStyle name="Linked Cell 2" xfId="48"/>
    <cellStyle name="Neutral 2" xfId="49"/>
    <cellStyle name="Normal" xfId="0" builtinId="0"/>
    <cellStyle name="Normal 2" xfId="5"/>
    <cellStyle name="Normal 2 2" xfId="6"/>
    <cellStyle name="Normal 2 2 2" xfId="51"/>
    <cellStyle name="Normal 2 3" xfId="50"/>
    <cellStyle name="Normal 3" xfId="7"/>
    <cellStyle name="Normal 3 2" xfId="52"/>
    <cellStyle name="Normal 4" xfId="53"/>
    <cellStyle name="Normal 5" xfId="54"/>
    <cellStyle name="Normal 5 2" xfId="74"/>
    <cellStyle name="Note 2" xfId="56"/>
    <cellStyle name="Note 2 2" xfId="67"/>
    <cellStyle name="Note 2 2 2" xfId="87"/>
    <cellStyle name="Note 2 3" xfId="81"/>
    <cellStyle name="Note 3" xfId="55"/>
    <cellStyle name="Note 3 2" xfId="66"/>
    <cellStyle name="Note 3 2 2" xfId="86"/>
    <cellStyle name="Note 3 3" xfId="80"/>
    <cellStyle name="Output 2" xfId="57"/>
    <cellStyle name="Output 2 2" xfId="68"/>
    <cellStyle name="Output 2 2 2" xfId="88"/>
    <cellStyle name="Output 2 3" xfId="82"/>
    <cellStyle name="Percent" xfId="72" builtinId="5"/>
    <cellStyle name="Percent 2" xfId="8"/>
    <cellStyle name="Percent 2 2" xfId="9"/>
    <cellStyle name="Percent 2 3" xfId="10"/>
    <cellStyle name="Percent 3" xfId="58"/>
    <cellStyle name="Percent 3 2" xfId="75"/>
    <cellStyle name="Style 23" xfId="59"/>
    <cellStyle name="Style 23 2" xfId="60"/>
    <cellStyle name="Style 23 2 2" xfId="76"/>
    <cellStyle name="Style 23 3" xfId="77"/>
    <cellStyle name="Title 2" xfId="61"/>
    <cellStyle name="Total 2" xfId="62"/>
    <cellStyle name="Total 2 2" xfId="69"/>
    <cellStyle name="Total 2 2 2" xfId="89"/>
    <cellStyle name="Total 2 3" xfId="83"/>
    <cellStyle name="Warning Text 2" xfId="63"/>
  </cellStyles>
  <dxfs count="0"/>
  <tableStyles count="0" defaultTableStyle="TableStyleMedium9" defaultPivotStyle="PivotStyleLight16"/>
  <colors>
    <mruColors>
      <color rgb="FF66FFFF"/>
      <color rgb="FFFFFF66"/>
      <color rgb="FFFFFF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100853</xdr:colOff>
      <xdr:row>19</xdr:row>
      <xdr:rowOff>134471</xdr:rowOff>
    </xdr:from>
    <xdr:to>
      <xdr:col>3</xdr:col>
      <xdr:colOff>481852</xdr:colOff>
      <xdr:row>26</xdr:row>
      <xdr:rowOff>123264</xdr:rowOff>
    </xdr:to>
    <xdr:sp macro="" textlink="">
      <xdr:nvSpPr>
        <xdr:cNvPr id="3" name="Right Brace 2"/>
        <xdr:cNvSpPr/>
      </xdr:nvSpPr>
      <xdr:spPr>
        <a:xfrm>
          <a:off x="10466294" y="4314265"/>
          <a:ext cx="380999" cy="1277470"/>
        </a:xfrm>
        <a:prstGeom prst="rightBrace">
          <a:avLst/>
        </a:prstGeom>
        <a:ln w="38100"/>
        <a:effectLst>
          <a:outerShdw blurRad="88900" dist="330200" dir="2700000" algn="tl" rotWithShape="0">
            <a:schemeClr val="bg1">
              <a:lumMod val="75000"/>
              <a:alpha val="25000"/>
            </a:schemeClr>
          </a:outerShdw>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169332</xdr:colOff>
      <xdr:row>14</xdr:row>
      <xdr:rowOff>31750</xdr:rowOff>
    </xdr:from>
    <xdr:to>
      <xdr:col>5</xdr:col>
      <xdr:colOff>380999</xdr:colOff>
      <xdr:row>21</xdr:row>
      <xdr:rowOff>0</xdr:rowOff>
    </xdr:to>
    <xdr:sp macro="" textlink="">
      <xdr:nvSpPr>
        <xdr:cNvPr id="2" name="Right Brace 1"/>
        <xdr:cNvSpPr/>
      </xdr:nvSpPr>
      <xdr:spPr>
        <a:xfrm>
          <a:off x="5302249" y="4423833"/>
          <a:ext cx="211667" cy="1301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solidFill>
              <a:sysClr val="windowText" lastClr="000000"/>
            </a:solidFill>
          </a:endParaRPr>
        </a:p>
      </xdr:txBody>
    </xdr:sp>
    <xdr:clientData/>
  </xdr:twoCellAnchor>
  <xdr:twoCellAnchor>
    <xdr:from>
      <xdr:col>5</xdr:col>
      <xdr:colOff>127000</xdr:colOff>
      <xdr:row>22</xdr:row>
      <xdr:rowOff>0</xdr:rowOff>
    </xdr:from>
    <xdr:to>
      <xdr:col>5</xdr:col>
      <xdr:colOff>371475</xdr:colOff>
      <xdr:row>26</xdr:row>
      <xdr:rowOff>0</xdr:rowOff>
    </xdr:to>
    <xdr:sp macro="" textlink="">
      <xdr:nvSpPr>
        <xdr:cNvPr id="3" name="Right Brace 2"/>
        <xdr:cNvSpPr/>
      </xdr:nvSpPr>
      <xdr:spPr>
        <a:xfrm>
          <a:off x="5259917" y="5916083"/>
          <a:ext cx="244475" cy="762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solidFill>
              <a:sysClr val="windowText" lastClr="000000"/>
            </a:solidFill>
          </a:endParaRPr>
        </a:p>
      </xdr:txBody>
    </xdr:sp>
    <xdr:clientData/>
  </xdr:twoCellAnchor>
  <xdr:twoCellAnchor>
    <xdr:from>
      <xdr:col>0</xdr:col>
      <xdr:colOff>0</xdr:colOff>
      <xdr:row>0</xdr:row>
      <xdr:rowOff>1</xdr:rowOff>
    </xdr:from>
    <xdr:to>
      <xdr:col>11</xdr:col>
      <xdr:colOff>504825</xdr:colOff>
      <xdr:row>1</xdr:row>
      <xdr:rowOff>9525</xdr:rowOff>
    </xdr:to>
    <xdr:grpSp>
      <xdr:nvGrpSpPr>
        <xdr:cNvPr id="4" name="Group 3"/>
        <xdr:cNvGrpSpPr/>
      </xdr:nvGrpSpPr>
      <xdr:grpSpPr>
        <a:xfrm>
          <a:off x="0" y="1"/>
          <a:ext cx="9828742" cy="187219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Input-Output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0</xdr:colOff>
      <xdr:row>2</xdr:row>
      <xdr:rowOff>73025</xdr:rowOff>
    </xdr:to>
    <xdr:grpSp>
      <xdr:nvGrpSpPr>
        <xdr:cNvPr id="2" name="Group 1"/>
        <xdr:cNvGrpSpPr/>
      </xdr:nvGrpSpPr>
      <xdr:grpSpPr>
        <a:xfrm>
          <a:off x="101991" y="0"/>
          <a:ext cx="13089987" cy="206946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Table</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254000</xdr:colOff>
      <xdr:row>1</xdr:row>
      <xdr:rowOff>178858</xdr:rowOff>
    </xdr:to>
    <xdr:grpSp>
      <xdr:nvGrpSpPr>
        <xdr:cNvPr id="2" name="Group 1"/>
        <xdr:cNvGrpSpPr/>
      </xdr:nvGrpSpPr>
      <xdr:grpSpPr>
        <a:xfrm>
          <a:off x="0" y="0"/>
          <a:ext cx="13439321" cy="209746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CDM Allocation</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10583</xdr:colOff>
      <xdr:row>2</xdr:row>
      <xdr:rowOff>115358</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1885083" cy="2359025"/>
        </a:xfrm>
        <a:prstGeom prst="rect">
          <a:avLst/>
        </a:prstGeom>
        <a:ln>
          <a:noFill/>
        </a:ln>
        <a:effectLst>
          <a:softEdge rad="112500"/>
        </a:effectLst>
      </xdr:spPr>
    </xdr:pic>
    <xdr:clientData/>
  </xdr:twoCellAnchor>
  <xdr:twoCellAnchor>
    <xdr:from>
      <xdr:col>0</xdr:col>
      <xdr:colOff>320001</xdr:colOff>
      <xdr:row>0</xdr:row>
      <xdr:rowOff>289473</xdr:rowOff>
    </xdr:from>
    <xdr:to>
      <xdr:col>10</xdr:col>
      <xdr:colOff>804336</xdr:colOff>
      <xdr:row>1</xdr:row>
      <xdr:rowOff>55662</xdr:rowOff>
    </xdr:to>
    <xdr:grpSp>
      <xdr:nvGrpSpPr>
        <xdr:cNvPr id="3" name="Group 2"/>
        <xdr:cNvGrpSpPr/>
      </xdr:nvGrpSpPr>
      <xdr:grpSpPr>
        <a:xfrm>
          <a:off x="320001" y="289473"/>
          <a:ext cx="11448668" cy="1819356"/>
          <a:chOff x="11107771" y="5637897"/>
          <a:chExt cx="7550541" cy="1604481"/>
        </a:xfrm>
      </xdr:grpSpPr>
      <xdr:sp macro="" textlink="">
        <xdr:nvSpPr>
          <xdr:cNvPr id="5" name="Rectangle 4"/>
          <xdr:cNvSpPr/>
        </xdr:nvSpPr>
        <xdr:spPr>
          <a:xfrm>
            <a:off x="11107771" y="5940347"/>
            <a:ext cx="7550541"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52918</xdr:colOff>
      <xdr:row>0</xdr:row>
      <xdr:rowOff>31750</xdr:rowOff>
    </xdr:from>
    <xdr:to>
      <xdr:col>12</xdr:col>
      <xdr:colOff>381000</xdr:colOff>
      <xdr:row>2</xdr:row>
      <xdr:rowOff>41172</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52918" y="31750"/>
          <a:ext cx="13935225" cy="2390672"/>
        </a:xfrm>
        <a:prstGeom prst="rect">
          <a:avLst/>
        </a:prstGeom>
        <a:ln>
          <a:noFill/>
        </a:ln>
        <a:effectLst>
          <a:softEdge rad="112500"/>
        </a:effectLst>
      </xdr:spPr>
    </xdr:pic>
    <xdr:clientData/>
  </xdr:twoCellAnchor>
  <xdr:twoCellAnchor>
    <xdr:from>
      <xdr:col>0</xdr:col>
      <xdr:colOff>264575</xdr:colOff>
      <xdr:row>0</xdr:row>
      <xdr:rowOff>275158</xdr:rowOff>
    </xdr:from>
    <xdr:to>
      <xdr:col>12</xdr:col>
      <xdr:colOff>0</xdr:colOff>
      <xdr:row>1</xdr:row>
      <xdr:rowOff>83681</xdr:rowOff>
    </xdr:to>
    <xdr:grpSp>
      <xdr:nvGrpSpPr>
        <xdr:cNvPr id="3" name="Group 2"/>
        <xdr:cNvGrpSpPr/>
      </xdr:nvGrpSpPr>
      <xdr:grpSpPr>
        <a:xfrm>
          <a:off x="269545" y="272121"/>
          <a:ext cx="14234959" cy="1874206"/>
          <a:chOff x="11107771" y="5637897"/>
          <a:chExt cx="7550541" cy="1604481"/>
        </a:xfrm>
      </xdr:grpSpPr>
      <xdr:sp macro="" textlink="">
        <xdr:nvSpPr>
          <xdr:cNvPr id="4" name="Rectangle 3"/>
          <xdr:cNvSpPr/>
        </xdr:nvSpPr>
        <xdr:spPr>
          <a:xfrm>
            <a:off x="11107771" y="5940347"/>
            <a:ext cx="7550541"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264583</xdr:colOff>
      <xdr:row>1</xdr:row>
      <xdr:rowOff>231775</xdr:rowOff>
    </xdr:to>
    <xdr:grpSp>
      <xdr:nvGrpSpPr>
        <xdr:cNvPr id="2" name="Group 1"/>
        <xdr:cNvGrpSpPr/>
      </xdr:nvGrpSpPr>
      <xdr:grpSpPr>
        <a:xfrm>
          <a:off x="0" y="0"/>
          <a:ext cx="16969406" cy="2172579"/>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Persistence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274544</xdr:colOff>
      <xdr:row>0</xdr:row>
      <xdr:rowOff>2105025</xdr:rowOff>
    </xdr:to>
    <xdr:grpSp>
      <xdr:nvGrpSpPr>
        <xdr:cNvPr id="4" name="Group 3"/>
        <xdr:cNvGrpSpPr/>
      </xdr:nvGrpSpPr>
      <xdr:grpSpPr>
        <a:xfrm>
          <a:off x="0" y="0"/>
          <a:ext cx="13351008" cy="210502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892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502708</xdr:colOff>
      <xdr:row>2</xdr:row>
      <xdr:rowOff>69056</xdr:rowOff>
    </xdr:to>
    <xdr:grpSp>
      <xdr:nvGrpSpPr>
        <xdr:cNvPr id="2" name="Group 1"/>
        <xdr:cNvGrpSpPr/>
      </xdr:nvGrpSpPr>
      <xdr:grpSpPr>
        <a:xfrm>
          <a:off x="0" y="0"/>
          <a:ext cx="13795375" cy="219630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www.ontarioenergyboard.ca/OEB/Industry/Rules+and+Requirements/Rules+Codes+Guidelines+and+Forms/Prescribed+Interest+Rates" TargetMode="External"/><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34"/>
  <sheetViews>
    <sheetView zoomScale="90" zoomScaleNormal="90" workbookViewId="0">
      <selection activeCell="C17" sqref="C17"/>
    </sheetView>
  </sheetViews>
  <sheetFormatPr defaultColWidth="9.08984375" defaultRowHeight="14.5" x14ac:dyDescent="0.35"/>
  <cols>
    <col min="1" max="1" width="9.08984375" style="20"/>
    <col min="2" max="2" width="32.08984375" style="60" customWidth="1"/>
    <col min="3" max="3" width="114.36328125" style="20" customWidth="1"/>
    <col min="4" max="4" width="8.08984375" style="20" customWidth="1"/>
    <col min="5" max="16384" width="9.08984375" style="20"/>
  </cols>
  <sheetData>
    <row r="1" spans="1:3" ht="29.25" customHeight="1" x14ac:dyDescent="0.35"/>
    <row r="3" spans="1:3" ht="20" x14ac:dyDescent="0.35">
      <c r="B3" s="748" t="s">
        <v>340</v>
      </c>
      <c r="C3" s="748"/>
    </row>
    <row r="4" spans="1:3" ht="21" customHeight="1" x14ac:dyDescent="0.35"/>
    <row r="5" spans="1:3" s="67" customFormat="1" ht="25.5" customHeight="1" x14ac:dyDescent="0.3">
      <c r="B5" s="444" t="s">
        <v>373</v>
      </c>
      <c r="C5" s="444" t="s">
        <v>339</v>
      </c>
    </row>
    <row r="6" spans="1:3" s="74" customFormat="1" ht="32.25" customHeight="1" x14ac:dyDescent="0.35">
      <c r="A6" s="38"/>
      <c r="B6" s="445" t="s">
        <v>335</v>
      </c>
      <c r="C6" s="446" t="s">
        <v>437</v>
      </c>
    </row>
    <row r="7" spans="1:3" s="74" customFormat="1" ht="9.75" hidden="1" customHeight="1" x14ac:dyDescent="0.35">
      <c r="B7" s="81"/>
      <c r="C7" s="83"/>
    </row>
    <row r="8" spans="1:3" s="74" customFormat="1" ht="14" hidden="1" x14ac:dyDescent="0.35">
      <c r="B8" s="280" t="s">
        <v>330</v>
      </c>
      <c r="C8" s="83" t="s">
        <v>349</v>
      </c>
    </row>
    <row r="9" spans="1:3" s="74" customFormat="1" ht="14" x14ac:dyDescent="0.35">
      <c r="B9" s="81"/>
      <c r="C9" s="83"/>
    </row>
    <row r="10" spans="1:3" s="74" customFormat="1" ht="28" x14ac:dyDescent="0.35">
      <c r="B10" s="280" t="s">
        <v>532</v>
      </c>
      <c r="C10" s="439" t="s">
        <v>545</v>
      </c>
    </row>
    <row r="11" spans="1:3" s="74" customFormat="1" ht="14" hidden="1" x14ac:dyDescent="0.35">
      <c r="B11" s="81"/>
      <c r="C11" s="83"/>
    </row>
    <row r="12" spans="1:3" s="74" customFormat="1" ht="14" hidden="1" x14ac:dyDescent="0.35">
      <c r="B12" s="280" t="s">
        <v>331</v>
      </c>
      <c r="C12" s="83" t="s">
        <v>351</v>
      </c>
    </row>
    <row r="13" spans="1:3" s="74" customFormat="1" ht="14" x14ac:dyDescent="0.35">
      <c r="B13" s="81"/>
      <c r="C13" s="83"/>
    </row>
    <row r="14" spans="1:3" s="74" customFormat="1" ht="30" customHeight="1" x14ac:dyDescent="0.35">
      <c r="B14" s="280" t="s">
        <v>332</v>
      </c>
      <c r="C14" s="439" t="s">
        <v>438</v>
      </c>
    </row>
    <row r="15" spans="1:3" s="74" customFormat="1" ht="7.5" customHeight="1" x14ac:dyDescent="0.35">
      <c r="B15" s="280"/>
      <c r="C15" s="439"/>
    </row>
    <row r="16" spans="1:3" s="74" customFormat="1" ht="19.5" customHeight="1" x14ac:dyDescent="0.35">
      <c r="B16" s="280" t="s">
        <v>535</v>
      </c>
      <c r="C16" s="687" t="s">
        <v>536</v>
      </c>
    </row>
    <row r="17" spans="2:8" s="74" customFormat="1" ht="14" hidden="1" x14ac:dyDescent="0.35">
      <c r="B17" s="81"/>
      <c r="C17" s="83"/>
    </row>
    <row r="18" spans="2:8" s="74" customFormat="1" ht="14" hidden="1" x14ac:dyDescent="0.35">
      <c r="B18" s="280" t="s">
        <v>478</v>
      </c>
      <c r="C18" s="83" t="s">
        <v>458</v>
      </c>
    </row>
    <row r="19" spans="2:8" s="74" customFormat="1" ht="14" hidden="1" x14ac:dyDescent="0.35">
      <c r="B19" s="280" t="s">
        <v>446</v>
      </c>
      <c r="C19" s="83" t="s">
        <v>459</v>
      </c>
    </row>
    <row r="20" spans="2:8" s="74" customFormat="1" ht="14" hidden="1" x14ac:dyDescent="0.35">
      <c r="B20" s="81"/>
      <c r="C20" s="83"/>
    </row>
    <row r="21" spans="2:8" s="74" customFormat="1" ht="14" hidden="1" x14ac:dyDescent="0.35">
      <c r="B21" s="280" t="s">
        <v>447</v>
      </c>
      <c r="C21" s="83" t="s">
        <v>460</v>
      </c>
    </row>
    <row r="22" spans="2:8" s="74" customFormat="1" ht="14" hidden="1" x14ac:dyDescent="0.35">
      <c r="B22" s="81"/>
      <c r="C22" s="83"/>
    </row>
    <row r="23" spans="2:8" s="74" customFormat="1" ht="14" hidden="1" x14ac:dyDescent="0.35">
      <c r="B23" s="280" t="s">
        <v>448</v>
      </c>
      <c r="C23" s="83" t="s">
        <v>461</v>
      </c>
      <c r="E23" s="749" t="s">
        <v>443</v>
      </c>
      <c r="F23" s="749"/>
      <c r="G23" s="749"/>
      <c r="H23" s="749"/>
    </row>
    <row r="24" spans="2:8" s="74" customFormat="1" ht="14" hidden="1" x14ac:dyDescent="0.35">
      <c r="B24" s="81"/>
      <c r="C24" s="83"/>
      <c r="E24" s="749"/>
      <c r="F24" s="749"/>
      <c r="G24" s="749"/>
      <c r="H24" s="749"/>
    </row>
    <row r="25" spans="2:8" s="74" customFormat="1" ht="14" hidden="1" x14ac:dyDescent="0.35">
      <c r="B25" s="280" t="s">
        <v>449</v>
      </c>
      <c r="C25" s="83" t="s">
        <v>462</v>
      </c>
      <c r="E25" s="749"/>
      <c r="F25" s="749"/>
      <c r="G25" s="749"/>
      <c r="H25" s="749"/>
    </row>
    <row r="26" spans="2:8" s="74" customFormat="1" ht="14" hidden="1" x14ac:dyDescent="0.35">
      <c r="B26" s="81"/>
      <c r="C26" s="83"/>
    </row>
    <row r="27" spans="2:8" s="74" customFormat="1" ht="14" hidden="1" x14ac:dyDescent="0.35">
      <c r="B27" s="280" t="s">
        <v>450</v>
      </c>
      <c r="C27" s="83" t="s">
        <v>463</v>
      </c>
    </row>
    <row r="28" spans="2:8" s="74" customFormat="1" ht="14" x14ac:dyDescent="0.35">
      <c r="B28" s="81"/>
      <c r="C28" s="83"/>
    </row>
    <row r="29" spans="2:8" s="74" customFormat="1" ht="14" x14ac:dyDescent="0.35">
      <c r="B29" s="280" t="s">
        <v>445</v>
      </c>
      <c r="C29" s="439" t="s">
        <v>537</v>
      </c>
    </row>
    <row r="30" spans="2:8" s="74" customFormat="1" ht="14" x14ac:dyDescent="0.35">
      <c r="B30" s="280"/>
      <c r="C30" s="439"/>
    </row>
    <row r="31" spans="2:8" s="74" customFormat="1" ht="14" x14ac:dyDescent="0.35">
      <c r="B31" s="280" t="s">
        <v>333</v>
      </c>
      <c r="C31" s="83" t="s">
        <v>364</v>
      </c>
    </row>
    <row r="32" spans="2:8" s="74" customFormat="1" ht="14" x14ac:dyDescent="0.35">
      <c r="B32" s="82"/>
      <c r="C32" s="82"/>
    </row>
    <row r="33" spans="2:2" s="75" customFormat="1" x14ac:dyDescent="0.35">
      <c r="B33" s="194"/>
    </row>
    <row r="34" spans="2:2" s="75" customFormat="1" x14ac:dyDescent="0.35">
      <c r="B34" s="141"/>
    </row>
  </sheetData>
  <mergeCells count="2">
    <mergeCell ref="B3:C3"/>
    <mergeCell ref="E23:H25"/>
  </mergeCells>
  <hyperlinks>
    <hyperlink ref="B6" location="'1.  LRAMVA Summary'!A1" display="1.  LRAMVA Summary"/>
    <hyperlink ref="B8" location="'2.  CDM Allocation'!A1" display="2.  CDM Allocation"/>
    <hyperlink ref="B12" location="'3.  Distribution Rates'!A1" display="3.  Distribution Rates"/>
    <hyperlink ref="B14" location="'4.  2011-14 LRAM'!A1" display="4.  2011-14 LRAM"/>
    <hyperlink ref="B29" location="'6.  Persistence Rates'!A1" display="6.  Persistence Rates"/>
    <hyperlink ref="B19" location="'6-b. 2016 LRAM'!A1" display="6-b. 2016 LRAM"/>
    <hyperlink ref="B21" location="'6-c.  2017 LRAM'!A1" display="6-c.  2017 LRAM"/>
    <hyperlink ref="B23" location="'6-d.  2018 LRAM'!A1" display="6-d.  2018 LRAM"/>
    <hyperlink ref="B25" location="'6-e.  2019 LRAM'!A1" display="6-e.  2019 LRAM"/>
    <hyperlink ref="B27" location="'6-f.  2020 LRAM'!A1" display="6-f.  2020 LRAM"/>
    <hyperlink ref="B31" location="'7.  Carrying Charges'!A1" display="7.  Carrying Charges"/>
    <hyperlink ref="B18" location="'5.  2015 LRAM'!A1" display="5-a.  2015 LRAM"/>
    <hyperlink ref="B10" location="'1.1. LRAMVA Calculations'!A1" display="1.1  LRAMVA Caculations"/>
    <hyperlink ref="B16" location="'4.1. 2011-14 LRAM Monthly'!A1" display="4.1. 2011-14 LRAM Monthly"/>
  </hyperlinks>
  <printOptions horizontalCentered="1"/>
  <pageMargins left="0.35433070866141703" right="0.27559055118110198" top="1.25984251968504" bottom="0.511811023622047" header="0.23622047244094499" footer="0.31496062992126"/>
  <pageSetup scale="90"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130"/>
  <sheetViews>
    <sheetView zoomScale="70" zoomScaleNormal="70" workbookViewId="0">
      <pane ySplit="2" topLeftCell="A16" activePane="bottomLeft" state="frozen"/>
      <selection pane="bottomLeft" activeCell="G46" sqref="G46"/>
    </sheetView>
  </sheetViews>
  <sheetFormatPr defaultColWidth="9.08984375" defaultRowHeight="14.5" outlineLevelRow="1" x14ac:dyDescent="0.35"/>
  <cols>
    <col min="1" max="1" width="6.54296875" style="20" customWidth="1"/>
    <col min="2" max="2" width="5.08984375" style="20" customWidth="1"/>
    <col min="3" max="3" width="44.36328125" style="31" customWidth="1"/>
    <col min="4" max="4" width="12.36328125" style="36" customWidth="1"/>
    <col min="5" max="5" width="13.36328125" style="36" customWidth="1"/>
    <col min="6" max="7" width="19.453125" style="20" customWidth="1"/>
    <col min="8" max="14" width="12.6328125" style="20" customWidth="1"/>
    <col min="15" max="15" width="8.08984375" style="20" customWidth="1"/>
    <col min="16" max="16" width="11.36328125" style="20" customWidth="1"/>
    <col min="17" max="17" width="13.08984375" style="20" customWidth="1"/>
    <col min="18" max="16384" width="9.08984375" style="20"/>
  </cols>
  <sheetData>
    <row r="1" spans="1:18" ht="167.25" customHeight="1" x14ac:dyDescent="0.45">
      <c r="A1" s="839"/>
      <c r="B1" s="839"/>
      <c r="C1" s="839"/>
      <c r="D1" s="839"/>
      <c r="E1" s="839"/>
      <c r="F1" s="839"/>
      <c r="G1" s="839"/>
      <c r="H1" s="839"/>
      <c r="I1" s="839"/>
      <c r="J1" s="839"/>
      <c r="K1" s="839"/>
      <c r="L1" s="839"/>
      <c r="M1" s="839"/>
      <c r="N1" s="839"/>
      <c r="O1" s="839"/>
    </row>
    <row r="2" spans="1:18" ht="20" x14ac:dyDescent="0.4">
      <c r="B2" s="852" t="s">
        <v>265</v>
      </c>
      <c r="C2" s="852"/>
      <c r="D2" s="852"/>
      <c r="E2" s="852"/>
      <c r="F2" s="852"/>
      <c r="G2" s="852"/>
      <c r="H2" s="852"/>
      <c r="I2" s="852"/>
      <c r="J2" s="852"/>
      <c r="K2" s="852"/>
      <c r="L2" s="852"/>
      <c r="M2" s="852"/>
      <c r="N2" s="852"/>
      <c r="O2" s="852"/>
      <c r="P2" s="852"/>
    </row>
    <row r="3" spans="1:18" ht="13.5" customHeight="1" outlineLevel="1" x14ac:dyDescent="0.45">
      <c r="B3" s="30"/>
      <c r="C3" s="160"/>
      <c r="D3" s="41"/>
      <c r="E3" s="30"/>
      <c r="F3" s="30"/>
      <c r="G3" s="30"/>
      <c r="H3" s="30"/>
      <c r="I3" s="30"/>
      <c r="J3" s="30"/>
      <c r="K3" s="30"/>
      <c r="L3" s="30"/>
      <c r="M3" s="30"/>
      <c r="N3" s="30"/>
      <c r="O3" s="30"/>
      <c r="P3" s="30"/>
    </row>
    <row r="4" spans="1:18" ht="24.75" customHeight="1" outlineLevel="1" x14ac:dyDescent="0.45">
      <c r="A4" s="59"/>
      <c r="B4" s="57"/>
      <c r="C4" s="348" t="s">
        <v>377</v>
      </c>
      <c r="D4" s="370"/>
      <c r="E4" s="832" t="s">
        <v>473</v>
      </c>
      <c r="F4" s="832"/>
      <c r="G4" s="832"/>
      <c r="H4" s="832"/>
      <c r="I4" s="832"/>
      <c r="J4" s="832"/>
      <c r="K4" s="832"/>
      <c r="L4" s="832"/>
      <c r="M4" s="832"/>
      <c r="N4" s="832"/>
      <c r="O4" s="832"/>
      <c r="P4" s="832"/>
    </row>
    <row r="5" spans="1:18" ht="36" customHeight="1" outlineLevel="1" x14ac:dyDescent="0.45">
      <c r="A5" s="59"/>
      <c r="B5" s="448"/>
      <c r="C5" s="348"/>
      <c r="D5" s="370"/>
      <c r="E5" s="832" t="s">
        <v>474</v>
      </c>
      <c r="F5" s="832"/>
      <c r="G5" s="832"/>
      <c r="H5" s="832"/>
      <c r="I5" s="832"/>
      <c r="J5" s="832"/>
      <c r="K5" s="832"/>
      <c r="L5" s="832"/>
      <c r="M5" s="832"/>
      <c r="N5" s="832"/>
      <c r="O5" s="832"/>
      <c r="P5" s="832"/>
    </row>
    <row r="6" spans="1:18" ht="18.5" outlineLevel="1" x14ac:dyDescent="0.45">
      <c r="B6" s="57"/>
      <c r="C6" s="371"/>
      <c r="D6" s="370"/>
      <c r="E6" s="833" t="s">
        <v>359</v>
      </c>
      <c r="F6" s="833"/>
      <c r="G6" s="833"/>
      <c r="H6" s="833"/>
      <c r="I6" s="833"/>
      <c r="J6" s="833"/>
      <c r="K6" s="833"/>
      <c r="L6" s="833"/>
      <c r="M6" s="833"/>
      <c r="N6" s="833"/>
      <c r="O6" s="833"/>
      <c r="P6" s="833"/>
    </row>
    <row r="7" spans="1:18" ht="18.5" outlineLevel="1" x14ac:dyDescent="0.45">
      <c r="B7" s="221"/>
      <c r="C7" s="371"/>
      <c r="D7" s="370"/>
      <c r="E7" s="833" t="s">
        <v>360</v>
      </c>
      <c r="F7" s="833"/>
      <c r="G7" s="833"/>
      <c r="H7" s="833"/>
      <c r="I7" s="833"/>
      <c r="J7" s="833"/>
      <c r="K7" s="833"/>
      <c r="L7" s="833"/>
      <c r="M7" s="833"/>
      <c r="N7" s="833"/>
      <c r="O7" s="833"/>
      <c r="P7" s="833"/>
    </row>
    <row r="8" spans="1:18" ht="18.5" outlineLevel="1" x14ac:dyDescent="0.45">
      <c r="B8" s="57"/>
      <c r="C8" s="371"/>
      <c r="D8" s="370"/>
      <c r="E8" s="833" t="s">
        <v>464</v>
      </c>
      <c r="F8" s="833"/>
      <c r="G8" s="833"/>
      <c r="H8" s="833"/>
      <c r="I8" s="833"/>
      <c r="J8" s="833"/>
      <c r="K8" s="833"/>
      <c r="L8" s="833"/>
      <c r="M8" s="833"/>
      <c r="N8" s="833"/>
      <c r="O8" s="833"/>
      <c r="P8" s="833"/>
      <c r="R8" s="76"/>
    </row>
    <row r="9" spans="1:18" ht="14.25" customHeight="1" outlineLevel="1" x14ac:dyDescent="0.45">
      <c r="B9" s="221"/>
      <c r="C9" s="371"/>
      <c r="D9" s="370"/>
      <c r="E9" s="42"/>
      <c r="F9" s="370"/>
      <c r="G9" s="370"/>
      <c r="H9" s="370"/>
      <c r="I9" s="370"/>
      <c r="J9" s="370"/>
      <c r="K9" s="370"/>
      <c r="L9" s="370"/>
      <c r="M9" s="370"/>
      <c r="N9" s="370"/>
      <c r="O9" s="370"/>
      <c r="P9" s="370"/>
      <c r="R9" s="76"/>
    </row>
    <row r="10" spans="1:18" ht="9" customHeight="1" outlineLevel="1" x14ac:dyDescent="0.45">
      <c r="B10" s="57"/>
      <c r="C10" s="160"/>
      <c r="D10" s="57"/>
      <c r="E10" s="153"/>
      <c r="F10" s="57"/>
      <c r="G10" s="57"/>
      <c r="H10" s="57"/>
      <c r="I10" s="57"/>
      <c r="J10" s="57"/>
      <c r="K10" s="57"/>
      <c r="L10" s="57"/>
      <c r="M10" s="57"/>
      <c r="N10" s="57"/>
      <c r="O10" s="57"/>
      <c r="P10" s="57"/>
      <c r="R10" s="76"/>
    </row>
    <row r="11" spans="1:18" ht="15.75" customHeight="1" outlineLevel="1" x14ac:dyDescent="0.45">
      <c r="B11" s="57"/>
      <c r="C11" s="78" t="s">
        <v>337</v>
      </c>
      <c r="D11" s="57"/>
      <c r="E11" s="829" t="s">
        <v>366</v>
      </c>
      <c r="F11" s="829"/>
      <c r="G11" s="57"/>
      <c r="H11" s="57"/>
      <c r="I11" s="57"/>
      <c r="J11" s="57"/>
      <c r="K11" s="57"/>
      <c r="L11" s="57"/>
      <c r="M11" s="57"/>
      <c r="N11" s="57"/>
      <c r="O11" s="57"/>
      <c r="P11" s="57"/>
      <c r="R11" s="76"/>
    </row>
    <row r="12" spans="1:18" ht="14.25" customHeight="1" outlineLevel="1" x14ac:dyDescent="0.45">
      <c r="B12" s="57"/>
      <c r="C12" s="57"/>
      <c r="D12" s="57"/>
      <c r="E12" s="760" t="s">
        <v>338</v>
      </c>
      <c r="F12" s="760"/>
      <c r="G12" s="57"/>
      <c r="H12" s="57"/>
      <c r="I12" s="57"/>
      <c r="J12" s="57"/>
      <c r="K12" s="57"/>
      <c r="L12" s="57"/>
      <c r="M12" s="57"/>
      <c r="N12" s="57"/>
      <c r="O12" s="57"/>
      <c r="P12" s="57"/>
    </row>
    <row r="13" spans="1:18" ht="12" customHeight="1" outlineLevel="1" x14ac:dyDescent="0.45">
      <c r="B13" s="57"/>
      <c r="C13" s="57"/>
      <c r="D13" s="57"/>
      <c r="E13" s="121"/>
      <c r="G13" s="57"/>
      <c r="H13" s="57"/>
      <c r="I13" s="57"/>
      <c r="J13" s="57"/>
      <c r="K13" s="57"/>
      <c r="L13" s="57"/>
      <c r="M13" s="57"/>
      <c r="N13" s="57"/>
      <c r="O13" s="57"/>
      <c r="P13" s="57"/>
    </row>
    <row r="14" spans="1:18" ht="18" customHeight="1" x14ac:dyDescent="0.35">
      <c r="A14" s="28"/>
      <c r="B14" s="174" t="s">
        <v>452</v>
      </c>
      <c r="C14" s="44"/>
      <c r="D14" s="46"/>
      <c r="E14" s="46"/>
    </row>
    <row r="15" spans="1:18" ht="42" x14ac:dyDescent="0.35">
      <c r="B15" s="848" t="s">
        <v>54</v>
      </c>
      <c r="C15" s="840" t="s">
        <v>0</v>
      </c>
      <c r="D15" s="840" t="s">
        <v>45</v>
      </c>
      <c r="E15" s="840" t="s">
        <v>201</v>
      </c>
      <c r="F15" s="406" t="s">
        <v>198</v>
      </c>
      <c r="G15" s="406" t="s">
        <v>46</v>
      </c>
      <c r="H15" s="850" t="s">
        <v>55</v>
      </c>
      <c r="I15" s="850"/>
      <c r="J15" s="850"/>
      <c r="K15" s="850"/>
      <c r="L15" s="850"/>
      <c r="M15" s="850"/>
      <c r="N15" s="850"/>
      <c r="O15" s="850"/>
      <c r="P15" s="851"/>
    </row>
    <row r="16" spans="1:18" ht="56" x14ac:dyDescent="0.35">
      <c r="B16" s="849"/>
      <c r="C16" s="841"/>
      <c r="D16" s="841"/>
      <c r="E16" s="841"/>
      <c r="F16" s="161" t="s">
        <v>214</v>
      </c>
      <c r="G16" s="161" t="s">
        <v>215</v>
      </c>
      <c r="H16" s="123" t="s">
        <v>38</v>
      </c>
      <c r="I16" s="123" t="s">
        <v>40</v>
      </c>
      <c r="J16" s="123" t="s">
        <v>104</v>
      </c>
      <c r="K16" s="123" t="s">
        <v>105</v>
      </c>
      <c r="L16" s="123" t="s">
        <v>41</v>
      </c>
      <c r="M16" s="123" t="s">
        <v>42</v>
      </c>
      <c r="N16" s="123" t="s">
        <v>43</v>
      </c>
      <c r="O16" s="123" t="s">
        <v>101</v>
      </c>
      <c r="P16" s="407" t="s">
        <v>35</v>
      </c>
    </row>
    <row r="17" spans="1:16" ht="22.5" customHeight="1" x14ac:dyDescent="0.35">
      <c r="B17" s="845" t="s">
        <v>139</v>
      </c>
      <c r="C17" s="846"/>
      <c r="D17" s="846"/>
      <c r="E17" s="846"/>
      <c r="F17" s="846"/>
      <c r="G17" s="846"/>
      <c r="H17" s="846"/>
      <c r="I17" s="846"/>
      <c r="J17" s="846"/>
      <c r="K17" s="846"/>
      <c r="L17" s="846"/>
      <c r="M17" s="846"/>
      <c r="N17" s="846"/>
      <c r="O17" s="846"/>
      <c r="P17" s="847"/>
    </row>
    <row r="18" spans="1:16" ht="26.25" customHeight="1" x14ac:dyDescent="0.35">
      <c r="A18" s="29"/>
      <c r="B18" s="834" t="s">
        <v>140</v>
      </c>
      <c r="C18" s="835"/>
      <c r="D18" s="835"/>
      <c r="E18" s="835"/>
      <c r="F18" s="835"/>
      <c r="G18" s="835"/>
      <c r="H18" s="835"/>
      <c r="I18" s="835"/>
      <c r="J18" s="835"/>
      <c r="K18" s="835"/>
      <c r="L18" s="835"/>
      <c r="M18" s="835"/>
      <c r="N18" s="835"/>
      <c r="O18" s="835"/>
      <c r="P18" s="836"/>
    </row>
    <row r="19" spans="1:16" ht="15" customHeight="1" x14ac:dyDescent="0.35">
      <c r="A19" s="29"/>
      <c r="B19" s="408">
        <v>1</v>
      </c>
      <c r="C19" s="393" t="s">
        <v>141</v>
      </c>
      <c r="D19" s="231" t="s">
        <v>34</v>
      </c>
      <c r="E19" s="394"/>
      <c r="F19" s="275"/>
      <c r="G19" s="275"/>
      <c r="H19" s="405">
        <v>0</v>
      </c>
      <c r="I19" s="395"/>
      <c r="J19" s="395"/>
      <c r="K19" s="395"/>
      <c r="L19" s="395"/>
      <c r="M19" s="395"/>
      <c r="N19" s="395"/>
      <c r="O19" s="395"/>
      <c r="P19" s="409">
        <f>SUM(H19:O19)</f>
        <v>0</v>
      </c>
    </row>
    <row r="20" spans="1:16" x14ac:dyDescent="0.35">
      <c r="A20" s="8"/>
      <c r="B20" s="408">
        <v>2</v>
      </c>
      <c r="C20" s="393" t="s">
        <v>142</v>
      </c>
      <c r="D20" s="231" t="s">
        <v>34</v>
      </c>
      <c r="E20" s="396"/>
      <c r="F20" s="275"/>
      <c r="G20" s="275"/>
      <c r="H20" s="405">
        <v>0</v>
      </c>
      <c r="I20" s="395"/>
      <c r="J20" s="395"/>
      <c r="K20" s="395"/>
      <c r="L20" s="395"/>
      <c r="M20" s="395"/>
      <c r="N20" s="395"/>
      <c r="O20" s="395"/>
      <c r="P20" s="409">
        <f t="shared" ref="P20:P81" si="0">SUM(H20:O20)</f>
        <v>0</v>
      </c>
    </row>
    <row r="21" spans="1:16" x14ac:dyDescent="0.35">
      <c r="A21" s="29"/>
      <c r="B21" s="408">
        <v>3</v>
      </c>
      <c r="C21" s="393" t="s">
        <v>143</v>
      </c>
      <c r="D21" s="231" t="s">
        <v>34</v>
      </c>
      <c r="E21" s="396"/>
      <c r="F21" s="275"/>
      <c r="G21" s="275"/>
      <c r="H21" s="405">
        <v>0</v>
      </c>
      <c r="I21" s="395"/>
      <c r="J21" s="395"/>
      <c r="K21" s="395"/>
      <c r="L21" s="395"/>
      <c r="M21" s="395"/>
      <c r="N21" s="395"/>
      <c r="O21" s="395"/>
      <c r="P21" s="409">
        <f t="shared" si="0"/>
        <v>0</v>
      </c>
    </row>
    <row r="22" spans="1:16" x14ac:dyDescent="0.35">
      <c r="A22" s="29"/>
      <c r="B22" s="408">
        <v>4</v>
      </c>
      <c r="C22" s="393" t="s">
        <v>144</v>
      </c>
      <c r="D22" s="231" t="s">
        <v>34</v>
      </c>
      <c r="E22" s="396"/>
      <c r="F22" s="275"/>
      <c r="G22" s="275"/>
      <c r="H22" s="405">
        <v>0</v>
      </c>
      <c r="I22" s="395"/>
      <c r="J22" s="395"/>
      <c r="K22" s="395"/>
      <c r="L22" s="395"/>
      <c r="M22" s="395"/>
      <c r="N22" s="395"/>
      <c r="O22" s="395"/>
      <c r="P22" s="409">
        <f t="shared" si="0"/>
        <v>0</v>
      </c>
    </row>
    <row r="23" spans="1:16" x14ac:dyDescent="0.35">
      <c r="A23" s="29"/>
      <c r="B23" s="408">
        <v>5</v>
      </c>
      <c r="C23" s="393" t="s">
        <v>145</v>
      </c>
      <c r="D23" s="231" t="s">
        <v>34</v>
      </c>
      <c r="E23" s="396"/>
      <c r="F23" s="275"/>
      <c r="G23" s="275"/>
      <c r="H23" s="405">
        <v>0</v>
      </c>
      <c r="I23" s="395"/>
      <c r="J23" s="395"/>
      <c r="K23" s="395"/>
      <c r="L23" s="395"/>
      <c r="M23" s="395"/>
      <c r="N23" s="395"/>
      <c r="O23" s="395"/>
      <c r="P23" s="409">
        <f t="shared" si="0"/>
        <v>0</v>
      </c>
    </row>
    <row r="24" spans="1:16" ht="28" x14ac:dyDescent="0.35">
      <c r="A24" s="29"/>
      <c r="B24" s="408">
        <v>6</v>
      </c>
      <c r="C24" s="393" t="s">
        <v>146</v>
      </c>
      <c r="D24" s="231" t="s">
        <v>34</v>
      </c>
      <c r="E24" s="396"/>
      <c r="F24" s="275"/>
      <c r="G24" s="275"/>
      <c r="H24" s="405">
        <v>0</v>
      </c>
      <c r="I24" s="395"/>
      <c r="J24" s="395"/>
      <c r="K24" s="395"/>
      <c r="L24" s="395"/>
      <c r="M24" s="395"/>
      <c r="N24" s="395"/>
      <c r="O24" s="395"/>
      <c r="P24" s="409">
        <f t="shared" si="0"/>
        <v>0</v>
      </c>
    </row>
    <row r="25" spans="1:16" x14ac:dyDescent="0.35">
      <c r="A25" s="29"/>
      <c r="B25" s="410" t="s">
        <v>259</v>
      </c>
      <c r="C25" s="476"/>
      <c r="D25" s="231" t="s">
        <v>254</v>
      </c>
      <c r="E25" s="396"/>
      <c r="F25" s="275"/>
      <c r="G25" s="275"/>
      <c r="H25" s="405"/>
      <c r="I25" s="395"/>
      <c r="J25" s="395"/>
      <c r="K25" s="395"/>
      <c r="L25" s="395"/>
      <c r="M25" s="395"/>
      <c r="N25" s="395"/>
      <c r="O25" s="395"/>
      <c r="P25" s="409"/>
    </row>
    <row r="26" spans="1:16" x14ac:dyDescent="0.35">
      <c r="A26" s="29"/>
      <c r="B26" s="408"/>
      <c r="C26" s="793"/>
      <c r="D26" s="793"/>
      <c r="E26" s="246"/>
      <c r="F26" s="275"/>
      <c r="G26" s="275"/>
      <c r="H26" s="405"/>
      <c r="I26" s="395"/>
      <c r="J26" s="395"/>
      <c r="K26" s="395"/>
      <c r="L26" s="395"/>
      <c r="M26" s="395"/>
      <c r="N26" s="395"/>
      <c r="O26" s="395"/>
      <c r="P26" s="409"/>
    </row>
    <row r="27" spans="1:16" x14ac:dyDescent="0.35">
      <c r="A27" s="29"/>
      <c r="B27" s="408"/>
      <c r="C27" s="793"/>
      <c r="D27" s="793"/>
      <c r="E27" s="246"/>
      <c r="F27" s="275"/>
      <c r="G27" s="275"/>
      <c r="H27" s="405"/>
      <c r="I27" s="395"/>
      <c r="J27" s="395"/>
      <c r="K27" s="395"/>
      <c r="L27" s="395"/>
      <c r="M27" s="395"/>
      <c r="N27" s="395"/>
      <c r="O27" s="395"/>
      <c r="P27" s="409"/>
    </row>
    <row r="28" spans="1:16" x14ac:dyDescent="0.35">
      <c r="A28" s="29"/>
      <c r="B28" s="408"/>
      <c r="C28" s="793"/>
      <c r="D28" s="793"/>
      <c r="E28" s="246"/>
      <c r="F28" s="275"/>
      <c r="G28" s="275"/>
      <c r="H28" s="405"/>
      <c r="I28" s="395"/>
      <c r="J28" s="395"/>
      <c r="K28" s="395"/>
      <c r="L28" s="395"/>
      <c r="M28" s="395"/>
      <c r="N28" s="395"/>
      <c r="O28" s="395"/>
      <c r="P28" s="409"/>
    </row>
    <row r="29" spans="1:16" ht="25.5" customHeight="1" x14ac:dyDescent="0.35">
      <c r="A29" s="29"/>
      <c r="B29" s="834" t="s">
        <v>147</v>
      </c>
      <c r="C29" s="835"/>
      <c r="D29" s="835"/>
      <c r="E29" s="835"/>
      <c r="F29" s="835"/>
      <c r="G29" s="835"/>
      <c r="H29" s="835"/>
      <c r="I29" s="835"/>
      <c r="J29" s="835"/>
      <c r="K29" s="835"/>
      <c r="L29" s="835"/>
      <c r="M29" s="835"/>
      <c r="N29" s="835"/>
      <c r="O29" s="835"/>
      <c r="P29" s="836"/>
    </row>
    <row r="30" spans="1:16" x14ac:dyDescent="0.35">
      <c r="A30" s="29"/>
      <c r="B30" s="408">
        <v>7</v>
      </c>
      <c r="C30" s="393" t="s">
        <v>148</v>
      </c>
      <c r="D30" s="231" t="s">
        <v>34</v>
      </c>
      <c r="E30" s="396">
        <v>12</v>
      </c>
      <c r="F30" s="275"/>
      <c r="G30" s="275"/>
      <c r="H30" s="395"/>
      <c r="I30" s="405">
        <v>0</v>
      </c>
      <c r="J30" s="405">
        <v>0</v>
      </c>
      <c r="K30" s="405">
        <v>0</v>
      </c>
      <c r="L30" s="395"/>
      <c r="M30" s="395"/>
      <c r="N30" s="395"/>
      <c r="O30" s="395"/>
      <c r="P30" s="409">
        <f t="shared" si="0"/>
        <v>0</v>
      </c>
    </row>
    <row r="31" spans="1:16" ht="28" x14ac:dyDescent="0.35">
      <c r="A31" s="29"/>
      <c r="B31" s="408">
        <v>8</v>
      </c>
      <c r="C31" s="393" t="s">
        <v>149</v>
      </c>
      <c r="D31" s="231" t="s">
        <v>34</v>
      </c>
      <c r="E31" s="396">
        <v>12</v>
      </c>
      <c r="F31" s="275"/>
      <c r="G31" s="275"/>
      <c r="H31" s="395"/>
      <c r="I31" s="405">
        <v>0</v>
      </c>
      <c r="J31" s="405">
        <v>0</v>
      </c>
      <c r="K31" s="405">
        <v>0</v>
      </c>
      <c r="L31" s="395"/>
      <c r="M31" s="395"/>
      <c r="N31" s="395"/>
      <c r="O31" s="395"/>
      <c r="P31" s="409">
        <f t="shared" si="0"/>
        <v>0</v>
      </c>
    </row>
    <row r="32" spans="1:16" x14ac:dyDescent="0.35">
      <c r="A32" s="29"/>
      <c r="B32" s="408">
        <v>9</v>
      </c>
      <c r="C32" s="393" t="s">
        <v>150</v>
      </c>
      <c r="D32" s="231" t="s">
        <v>34</v>
      </c>
      <c r="E32" s="396">
        <v>12</v>
      </c>
      <c r="F32" s="275"/>
      <c r="G32" s="275"/>
      <c r="H32" s="395"/>
      <c r="I32" s="405">
        <v>0</v>
      </c>
      <c r="J32" s="405">
        <v>0</v>
      </c>
      <c r="K32" s="405">
        <v>0</v>
      </c>
      <c r="L32" s="395"/>
      <c r="M32" s="395"/>
      <c r="N32" s="395"/>
      <c r="O32" s="395"/>
      <c r="P32" s="409">
        <f t="shared" si="0"/>
        <v>0</v>
      </c>
    </row>
    <row r="33" spans="1:16" ht="28" x14ac:dyDescent="0.35">
      <c r="A33" s="29"/>
      <c r="B33" s="408">
        <v>10</v>
      </c>
      <c r="C33" s="393" t="s">
        <v>151</v>
      </c>
      <c r="D33" s="231" t="s">
        <v>34</v>
      </c>
      <c r="E33" s="396">
        <v>12</v>
      </c>
      <c r="F33" s="275"/>
      <c r="G33" s="275"/>
      <c r="H33" s="395"/>
      <c r="I33" s="405">
        <v>0</v>
      </c>
      <c r="J33" s="405">
        <v>0</v>
      </c>
      <c r="K33" s="405">
        <v>0</v>
      </c>
      <c r="L33" s="395"/>
      <c r="M33" s="395"/>
      <c r="N33" s="395"/>
      <c r="O33" s="395"/>
      <c r="P33" s="409">
        <f t="shared" si="0"/>
        <v>0</v>
      </c>
    </row>
    <row r="34" spans="1:16" ht="28" x14ac:dyDescent="0.35">
      <c r="A34" s="29"/>
      <c r="B34" s="408">
        <v>11</v>
      </c>
      <c r="C34" s="393" t="s">
        <v>152</v>
      </c>
      <c r="D34" s="231" t="s">
        <v>34</v>
      </c>
      <c r="E34" s="396">
        <v>3</v>
      </c>
      <c r="F34" s="275"/>
      <c r="G34" s="275"/>
      <c r="H34" s="395"/>
      <c r="I34" s="405">
        <v>0</v>
      </c>
      <c r="J34" s="405">
        <v>0</v>
      </c>
      <c r="K34" s="405">
        <v>0</v>
      </c>
      <c r="L34" s="395"/>
      <c r="M34" s="395"/>
      <c r="N34" s="395"/>
      <c r="O34" s="395"/>
      <c r="P34" s="409">
        <f t="shared" si="0"/>
        <v>0</v>
      </c>
    </row>
    <row r="35" spans="1:16" x14ac:dyDescent="0.35">
      <c r="A35" s="29"/>
      <c r="B35" s="410" t="s">
        <v>259</v>
      </c>
      <c r="C35" s="393"/>
      <c r="D35" s="231" t="s">
        <v>254</v>
      </c>
      <c r="E35" s="396"/>
      <c r="F35" s="275"/>
      <c r="G35" s="275"/>
      <c r="H35" s="395"/>
      <c r="I35" s="395"/>
      <c r="J35" s="395"/>
      <c r="K35" s="395"/>
      <c r="L35" s="395"/>
      <c r="M35" s="395"/>
      <c r="N35" s="395"/>
      <c r="O35" s="395"/>
      <c r="P35" s="409"/>
    </row>
    <row r="36" spans="1:16" x14ac:dyDescent="0.35">
      <c r="A36" s="29"/>
      <c r="B36" s="408"/>
      <c r="C36" s="793"/>
      <c r="D36" s="793"/>
      <c r="E36" s="246"/>
      <c r="F36" s="275"/>
      <c r="G36" s="275"/>
      <c r="H36" s="395"/>
      <c r="I36" s="395"/>
      <c r="J36" s="395"/>
      <c r="K36" s="395"/>
      <c r="L36" s="395"/>
      <c r="M36" s="395"/>
      <c r="N36" s="395"/>
      <c r="O36" s="395"/>
      <c r="P36" s="409"/>
    </row>
    <row r="37" spans="1:16" x14ac:dyDescent="0.35">
      <c r="A37" s="29"/>
      <c r="B37" s="408"/>
      <c r="C37" s="793"/>
      <c r="D37" s="793"/>
      <c r="E37" s="246"/>
      <c r="F37" s="275"/>
      <c r="G37" s="275"/>
      <c r="H37" s="395"/>
      <c r="I37" s="395"/>
      <c r="J37" s="395"/>
      <c r="K37" s="395"/>
      <c r="L37" s="395"/>
      <c r="M37" s="395"/>
      <c r="N37" s="395"/>
      <c r="O37" s="395"/>
      <c r="P37" s="409"/>
    </row>
    <row r="38" spans="1:16" x14ac:dyDescent="0.35">
      <c r="A38" s="29"/>
      <c r="B38" s="408"/>
      <c r="C38" s="793"/>
      <c r="D38" s="793"/>
      <c r="E38" s="246"/>
      <c r="F38" s="275"/>
      <c r="G38" s="275"/>
      <c r="H38" s="395"/>
      <c r="I38" s="395"/>
      <c r="J38" s="395"/>
      <c r="K38" s="395"/>
      <c r="L38" s="395"/>
      <c r="M38" s="395"/>
      <c r="N38" s="395"/>
      <c r="O38" s="395"/>
      <c r="P38" s="409"/>
    </row>
    <row r="39" spans="1:16" ht="26.25" customHeight="1" x14ac:dyDescent="0.35">
      <c r="A39" s="29"/>
      <c r="B39" s="834" t="s">
        <v>11</v>
      </c>
      <c r="C39" s="835"/>
      <c r="D39" s="835"/>
      <c r="E39" s="835"/>
      <c r="F39" s="835"/>
      <c r="G39" s="835"/>
      <c r="H39" s="835"/>
      <c r="I39" s="835"/>
      <c r="J39" s="835"/>
      <c r="K39" s="835"/>
      <c r="L39" s="835"/>
      <c r="M39" s="835"/>
      <c r="N39" s="835"/>
      <c r="O39" s="835"/>
      <c r="P39" s="836"/>
    </row>
    <row r="40" spans="1:16" ht="28" x14ac:dyDescent="0.35">
      <c r="A40" s="29"/>
      <c r="B40" s="408">
        <v>12</v>
      </c>
      <c r="C40" s="393" t="s">
        <v>153</v>
      </c>
      <c r="D40" s="231" t="s">
        <v>34</v>
      </c>
      <c r="E40" s="396">
        <v>12</v>
      </c>
      <c r="F40" s="275"/>
      <c r="G40" s="275"/>
      <c r="H40" s="395"/>
      <c r="I40" s="395"/>
      <c r="J40" s="405">
        <v>0</v>
      </c>
      <c r="K40" s="405">
        <v>0</v>
      </c>
      <c r="L40" s="395"/>
      <c r="M40" s="395"/>
      <c r="N40" s="395"/>
      <c r="O40" s="395"/>
      <c r="P40" s="409">
        <f t="shared" si="0"/>
        <v>0</v>
      </c>
    </row>
    <row r="41" spans="1:16" ht="28" x14ac:dyDescent="0.35">
      <c r="A41" s="29"/>
      <c r="B41" s="408">
        <v>13</v>
      </c>
      <c r="C41" s="393" t="s">
        <v>154</v>
      </c>
      <c r="D41" s="231" t="s">
        <v>34</v>
      </c>
      <c r="E41" s="396">
        <v>12</v>
      </c>
      <c r="F41" s="275"/>
      <c r="G41" s="275"/>
      <c r="H41" s="395"/>
      <c r="I41" s="395"/>
      <c r="J41" s="405">
        <v>0</v>
      </c>
      <c r="K41" s="405">
        <v>0</v>
      </c>
      <c r="L41" s="395"/>
      <c r="M41" s="395"/>
      <c r="N41" s="395"/>
      <c r="O41" s="395"/>
      <c r="P41" s="409">
        <f t="shared" si="0"/>
        <v>0</v>
      </c>
    </row>
    <row r="42" spans="1:16" ht="28" x14ac:dyDescent="0.35">
      <c r="A42" s="29"/>
      <c r="B42" s="408">
        <v>14</v>
      </c>
      <c r="C42" s="393" t="s">
        <v>155</v>
      </c>
      <c r="D42" s="231" t="s">
        <v>34</v>
      </c>
      <c r="E42" s="396">
        <v>12</v>
      </c>
      <c r="F42" s="275"/>
      <c r="G42" s="275"/>
      <c r="H42" s="395"/>
      <c r="I42" s="395"/>
      <c r="J42" s="405">
        <v>0</v>
      </c>
      <c r="K42" s="405">
        <v>0</v>
      </c>
      <c r="L42" s="395"/>
      <c r="M42" s="395"/>
      <c r="N42" s="395"/>
      <c r="O42" s="395"/>
      <c r="P42" s="409">
        <f t="shared" si="0"/>
        <v>0</v>
      </c>
    </row>
    <row r="43" spans="1:16" x14ac:dyDescent="0.35">
      <c r="A43" s="29"/>
      <c r="B43" s="410" t="s">
        <v>259</v>
      </c>
      <c r="C43" s="393"/>
      <c r="D43" s="231" t="s">
        <v>254</v>
      </c>
      <c r="E43" s="396"/>
      <c r="F43" s="275"/>
      <c r="G43" s="275"/>
      <c r="H43" s="395"/>
      <c r="I43" s="395"/>
      <c r="J43" s="395"/>
      <c r="K43" s="395"/>
      <c r="L43" s="395"/>
      <c r="M43" s="395"/>
      <c r="N43" s="395"/>
      <c r="O43" s="395"/>
      <c r="P43" s="409"/>
    </row>
    <row r="44" spans="1:16" x14ac:dyDescent="0.35">
      <c r="A44" s="29"/>
      <c r="B44" s="408"/>
      <c r="C44" s="793"/>
      <c r="D44" s="793"/>
      <c r="E44" s="246"/>
      <c r="F44" s="275"/>
      <c r="G44" s="275"/>
      <c r="H44" s="395"/>
      <c r="I44" s="395"/>
      <c r="J44" s="395"/>
      <c r="K44" s="395"/>
      <c r="L44" s="395"/>
      <c r="M44" s="395"/>
      <c r="N44" s="395"/>
      <c r="O44" s="395"/>
      <c r="P44" s="409"/>
    </row>
    <row r="45" spans="1:16" x14ac:dyDescent="0.35">
      <c r="A45" s="29"/>
      <c r="B45" s="408"/>
      <c r="C45" s="793"/>
      <c r="D45" s="793"/>
      <c r="E45" s="246"/>
      <c r="F45" s="275"/>
      <c r="G45" s="275"/>
      <c r="H45" s="395"/>
      <c r="I45" s="395"/>
      <c r="J45" s="395"/>
      <c r="K45" s="395"/>
      <c r="L45" s="395"/>
      <c r="M45" s="395"/>
      <c r="N45" s="395"/>
      <c r="O45" s="395"/>
      <c r="P45" s="409"/>
    </row>
    <row r="46" spans="1:16" x14ac:dyDescent="0.35">
      <c r="A46" s="29"/>
      <c r="B46" s="408"/>
      <c r="C46" s="793"/>
      <c r="D46" s="793"/>
      <c r="E46" s="246"/>
      <c r="F46" s="275"/>
      <c r="G46" s="275"/>
      <c r="H46" s="395"/>
      <c r="I46" s="395"/>
      <c r="J46" s="395"/>
      <c r="K46" s="395"/>
      <c r="L46" s="395"/>
      <c r="M46" s="395"/>
      <c r="N46" s="395"/>
      <c r="O46" s="395"/>
      <c r="P46" s="409"/>
    </row>
    <row r="47" spans="1:16" ht="24" customHeight="1" x14ac:dyDescent="0.35">
      <c r="A47" s="29"/>
      <c r="B47" s="834" t="s">
        <v>156</v>
      </c>
      <c r="C47" s="835"/>
      <c r="D47" s="835"/>
      <c r="E47" s="835"/>
      <c r="F47" s="835"/>
      <c r="G47" s="835"/>
      <c r="H47" s="835"/>
      <c r="I47" s="835"/>
      <c r="J47" s="835"/>
      <c r="K47" s="835"/>
      <c r="L47" s="835"/>
      <c r="M47" s="835"/>
      <c r="N47" s="835"/>
      <c r="O47" s="835"/>
      <c r="P47" s="836"/>
    </row>
    <row r="48" spans="1:16" x14ac:dyDescent="0.35">
      <c r="A48" s="29"/>
      <c r="B48" s="408">
        <v>15</v>
      </c>
      <c r="C48" s="393" t="s">
        <v>157</v>
      </c>
      <c r="D48" s="231" t="s">
        <v>34</v>
      </c>
      <c r="E48" s="396"/>
      <c r="F48" s="275"/>
      <c r="G48" s="275"/>
      <c r="H48" s="405">
        <v>0</v>
      </c>
      <c r="I48" s="395"/>
      <c r="J48" s="395"/>
      <c r="K48" s="395"/>
      <c r="L48" s="395"/>
      <c r="M48" s="395"/>
      <c r="N48" s="395"/>
      <c r="O48" s="395"/>
      <c r="P48" s="409">
        <f t="shared" si="0"/>
        <v>0</v>
      </c>
    </row>
    <row r="49" spans="1:16" x14ac:dyDescent="0.35">
      <c r="A49" s="29"/>
      <c r="B49" s="410" t="s">
        <v>259</v>
      </c>
      <c r="C49" s="393"/>
      <c r="D49" s="231" t="s">
        <v>254</v>
      </c>
      <c r="E49" s="396"/>
      <c r="F49" s="275"/>
      <c r="G49" s="275"/>
      <c r="H49" s="405"/>
      <c r="I49" s="395"/>
      <c r="J49" s="395"/>
      <c r="K49" s="395"/>
      <c r="L49" s="395"/>
      <c r="M49" s="395"/>
      <c r="N49" s="395"/>
      <c r="O49" s="395"/>
      <c r="P49" s="409">
        <f t="shared" si="0"/>
        <v>0</v>
      </c>
    </row>
    <row r="50" spans="1:16" x14ac:dyDescent="0.35">
      <c r="A50" s="29"/>
      <c r="B50" s="408"/>
      <c r="C50" s="793"/>
      <c r="D50" s="793"/>
      <c r="E50" s="246"/>
      <c r="F50" s="275"/>
      <c r="G50" s="275"/>
      <c r="H50" s="405"/>
      <c r="I50" s="395"/>
      <c r="J50" s="395"/>
      <c r="K50" s="395"/>
      <c r="L50" s="395"/>
      <c r="M50" s="395"/>
      <c r="N50" s="395"/>
      <c r="O50" s="395"/>
      <c r="P50" s="409">
        <f t="shared" si="0"/>
        <v>0</v>
      </c>
    </row>
    <row r="51" spans="1:16" x14ac:dyDescent="0.35">
      <c r="A51" s="29"/>
      <c r="B51" s="408"/>
      <c r="C51" s="793"/>
      <c r="D51" s="793"/>
      <c r="E51" s="246"/>
      <c r="F51" s="275"/>
      <c r="G51" s="275"/>
      <c r="H51" s="405"/>
      <c r="I51" s="395"/>
      <c r="J51" s="395"/>
      <c r="K51" s="395"/>
      <c r="L51" s="395"/>
      <c r="M51" s="395"/>
      <c r="N51" s="395"/>
      <c r="O51" s="395"/>
      <c r="P51" s="409"/>
    </row>
    <row r="52" spans="1:16" x14ac:dyDescent="0.35">
      <c r="A52" s="29"/>
      <c r="B52" s="408"/>
      <c r="C52" s="793"/>
      <c r="D52" s="793"/>
      <c r="E52" s="246"/>
      <c r="F52" s="275"/>
      <c r="G52" s="275"/>
      <c r="H52" s="405"/>
      <c r="I52" s="395"/>
      <c r="J52" s="395"/>
      <c r="K52" s="395"/>
      <c r="L52" s="395"/>
      <c r="M52" s="395"/>
      <c r="N52" s="395"/>
      <c r="O52" s="395"/>
      <c r="P52" s="409">
        <f t="shared" si="0"/>
        <v>0</v>
      </c>
    </row>
    <row r="53" spans="1:16" ht="21" customHeight="1" x14ac:dyDescent="0.35">
      <c r="A53" s="28"/>
      <c r="B53" s="834" t="s">
        <v>158</v>
      </c>
      <c r="C53" s="835"/>
      <c r="D53" s="835"/>
      <c r="E53" s="835"/>
      <c r="F53" s="835"/>
      <c r="G53" s="835"/>
      <c r="H53" s="835"/>
      <c r="I53" s="835"/>
      <c r="J53" s="835"/>
      <c r="K53" s="835"/>
      <c r="L53" s="835"/>
      <c r="M53" s="835"/>
      <c r="N53" s="835"/>
      <c r="O53" s="835"/>
      <c r="P53" s="836"/>
    </row>
    <row r="54" spans="1:16" x14ac:dyDescent="0.35">
      <c r="A54" s="29"/>
      <c r="B54" s="408">
        <v>16</v>
      </c>
      <c r="C54" s="393" t="s">
        <v>159</v>
      </c>
      <c r="D54" s="231" t="s">
        <v>34</v>
      </c>
      <c r="E54" s="396"/>
      <c r="F54" s="275"/>
      <c r="G54" s="275"/>
      <c r="H54" s="395"/>
      <c r="I54" s="395"/>
      <c r="J54" s="395"/>
      <c r="K54" s="395"/>
      <c r="L54" s="395"/>
      <c r="M54" s="395"/>
      <c r="N54" s="395"/>
      <c r="O54" s="395"/>
      <c r="P54" s="409">
        <f t="shared" si="0"/>
        <v>0</v>
      </c>
    </row>
    <row r="55" spans="1:16" x14ac:dyDescent="0.35">
      <c r="A55" s="29"/>
      <c r="B55" s="408">
        <v>17</v>
      </c>
      <c r="C55" s="393" t="s">
        <v>160</v>
      </c>
      <c r="D55" s="231" t="s">
        <v>34</v>
      </c>
      <c r="E55" s="396"/>
      <c r="F55" s="275"/>
      <c r="G55" s="275"/>
      <c r="H55" s="395"/>
      <c r="I55" s="395"/>
      <c r="J55" s="395"/>
      <c r="K55" s="395"/>
      <c r="L55" s="395"/>
      <c r="M55" s="395"/>
      <c r="N55" s="395"/>
      <c r="O55" s="395"/>
      <c r="P55" s="409">
        <f t="shared" si="0"/>
        <v>0</v>
      </c>
    </row>
    <row r="56" spans="1:16" x14ac:dyDescent="0.35">
      <c r="A56" s="29"/>
      <c r="B56" s="408">
        <v>18</v>
      </c>
      <c r="C56" s="393" t="s">
        <v>161</v>
      </c>
      <c r="D56" s="231" t="s">
        <v>34</v>
      </c>
      <c r="E56" s="396"/>
      <c r="F56" s="275"/>
      <c r="G56" s="275"/>
      <c r="H56" s="395"/>
      <c r="I56" s="395"/>
      <c r="J56" s="395"/>
      <c r="K56" s="395"/>
      <c r="L56" s="395"/>
      <c r="M56" s="395"/>
      <c r="N56" s="395"/>
      <c r="O56" s="395"/>
      <c r="P56" s="409">
        <f t="shared" si="0"/>
        <v>0</v>
      </c>
    </row>
    <row r="57" spans="1:16" x14ac:dyDescent="0.35">
      <c r="A57" s="29"/>
      <c r="B57" s="408">
        <v>19</v>
      </c>
      <c r="C57" s="393" t="s">
        <v>162</v>
      </c>
      <c r="D57" s="231" t="s">
        <v>34</v>
      </c>
      <c r="E57" s="396"/>
      <c r="F57" s="275"/>
      <c r="G57" s="275"/>
      <c r="H57" s="395"/>
      <c r="I57" s="395"/>
      <c r="J57" s="395"/>
      <c r="K57" s="395"/>
      <c r="L57" s="395"/>
      <c r="M57" s="395"/>
      <c r="N57" s="395"/>
      <c r="O57" s="395"/>
      <c r="P57" s="409">
        <f t="shared" si="0"/>
        <v>0</v>
      </c>
    </row>
    <row r="58" spans="1:16" x14ac:dyDescent="0.35">
      <c r="A58" s="29"/>
      <c r="B58" s="410" t="s">
        <v>259</v>
      </c>
      <c r="C58" s="393"/>
      <c r="D58" s="231" t="s">
        <v>254</v>
      </c>
      <c r="E58" s="396"/>
      <c r="F58" s="275"/>
      <c r="G58" s="275"/>
      <c r="H58" s="395"/>
      <c r="I58" s="395"/>
      <c r="J58" s="395"/>
      <c r="K58" s="395"/>
      <c r="L58" s="395"/>
      <c r="M58" s="395"/>
      <c r="N58" s="395"/>
      <c r="O58" s="395"/>
      <c r="P58" s="409">
        <f t="shared" si="0"/>
        <v>0</v>
      </c>
    </row>
    <row r="59" spans="1:16" x14ac:dyDescent="0.35">
      <c r="A59" s="29"/>
      <c r="B59" s="410"/>
      <c r="C59" s="793"/>
      <c r="D59" s="793"/>
      <c r="E59" s="246"/>
      <c r="F59" s="275"/>
      <c r="G59" s="275"/>
      <c r="H59" s="395"/>
      <c r="I59" s="395"/>
      <c r="J59" s="395"/>
      <c r="K59" s="395"/>
      <c r="L59" s="395"/>
      <c r="M59" s="395"/>
      <c r="N59" s="395"/>
      <c r="O59" s="395"/>
      <c r="P59" s="409"/>
    </row>
    <row r="60" spans="1:16" x14ac:dyDescent="0.35">
      <c r="A60" s="29"/>
      <c r="B60" s="410"/>
      <c r="C60" s="793"/>
      <c r="D60" s="793"/>
      <c r="E60" s="246"/>
      <c r="F60" s="275"/>
      <c r="G60" s="275"/>
      <c r="H60" s="395"/>
      <c r="I60" s="395"/>
      <c r="J60" s="395"/>
      <c r="K60" s="395"/>
      <c r="L60" s="395"/>
      <c r="M60" s="395"/>
      <c r="N60" s="395"/>
      <c r="O60" s="395"/>
      <c r="P60" s="409"/>
    </row>
    <row r="61" spans="1:16" x14ac:dyDescent="0.35">
      <c r="A61" s="28"/>
      <c r="B61" s="411"/>
      <c r="C61" s="793"/>
      <c r="D61" s="793"/>
      <c r="E61" s="246"/>
      <c r="F61" s="275"/>
      <c r="G61" s="275"/>
      <c r="H61" s="399"/>
      <c r="I61" s="399"/>
      <c r="J61" s="399"/>
      <c r="K61" s="399"/>
      <c r="L61" s="399"/>
      <c r="M61" s="399"/>
      <c r="N61" s="399"/>
      <c r="O61" s="399"/>
      <c r="P61" s="409"/>
    </row>
    <row r="62" spans="1:16" ht="27" customHeight="1" x14ac:dyDescent="0.35">
      <c r="B62" s="842" t="s">
        <v>163</v>
      </c>
      <c r="C62" s="843"/>
      <c r="D62" s="843"/>
      <c r="E62" s="843"/>
      <c r="F62" s="843"/>
      <c r="G62" s="843"/>
      <c r="H62" s="843"/>
      <c r="I62" s="843"/>
      <c r="J62" s="843"/>
      <c r="K62" s="843"/>
      <c r="L62" s="843"/>
      <c r="M62" s="843"/>
      <c r="N62" s="843"/>
      <c r="O62" s="843"/>
      <c r="P62" s="844"/>
    </row>
    <row r="63" spans="1:16" ht="16.5" x14ac:dyDescent="0.35">
      <c r="B63" s="412"/>
      <c r="C63" s="393"/>
      <c r="D63" s="396"/>
      <c r="E63" s="396"/>
      <c r="F63" s="392"/>
      <c r="G63" s="392"/>
      <c r="H63" s="392"/>
      <c r="I63" s="392"/>
      <c r="J63" s="392"/>
      <c r="K63" s="392"/>
      <c r="L63" s="392"/>
      <c r="M63" s="392"/>
      <c r="N63" s="392"/>
      <c r="O63" s="392"/>
      <c r="P63" s="413"/>
    </row>
    <row r="64" spans="1:16" ht="25.5" customHeight="1" x14ac:dyDescent="0.35">
      <c r="A64" s="29"/>
      <c r="B64" s="837" t="s">
        <v>164</v>
      </c>
      <c r="C64" s="806"/>
      <c r="D64" s="806"/>
      <c r="E64" s="806"/>
      <c r="F64" s="806"/>
      <c r="G64" s="806"/>
      <c r="H64" s="806"/>
      <c r="I64" s="806"/>
      <c r="J64" s="806"/>
      <c r="K64" s="806"/>
      <c r="L64" s="806"/>
      <c r="M64" s="806"/>
      <c r="N64" s="806"/>
      <c r="O64" s="806"/>
      <c r="P64" s="838"/>
    </row>
    <row r="65" spans="1:16" x14ac:dyDescent="0.35">
      <c r="A65" s="29"/>
      <c r="B65" s="408">
        <v>21</v>
      </c>
      <c r="C65" s="393" t="s">
        <v>165</v>
      </c>
      <c r="D65" s="231" t="s">
        <v>34</v>
      </c>
      <c r="E65" s="396"/>
      <c r="F65" s="275"/>
      <c r="G65" s="275"/>
      <c r="H65" s="405">
        <v>0</v>
      </c>
      <c r="I65" s="395"/>
      <c r="J65" s="395"/>
      <c r="K65" s="395"/>
      <c r="L65" s="395"/>
      <c r="M65" s="395"/>
      <c r="N65" s="395"/>
      <c r="O65" s="395"/>
      <c r="P65" s="409">
        <f t="shared" si="0"/>
        <v>0</v>
      </c>
    </row>
    <row r="66" spans="1:16" x14ac:dyDescent="0.35">
      <c r="A66" s="29"/>
      <c r="B66" s="408">
        <v>22</v>
      </c>
      <c r="C66" s="393" t="s">
        <v>166</v>
      </c>
      <c r="D66" s="231" t="s">
        <v>34</v>
      </c>
      <c r="E66" s="396"/>
      <c r="F66" s="275"/>
      <c r="G66" s="275"/>
      <c r="H66" s="405">
        <v>0</v>
      </c>
      <c r="I66" s="395"/>
      <c r="J66" s="395"/>
      <c r="K66" s="395"/>
      <c r="L66" s="395"/>
      <c r="M66" s="395"/>
      <c r="N66" s="395"/>
      <c r="O66" s="395"/>
      <c r="P66" s="409">
        <f t="shared" si="0"/>
        <v>0</v>
      </c>
    </row>
    <row r="67" spans="1:16" x14ac:dyDescent="0.35">
      <c r="A67" s="29"/>
      <c r="B67" s="408">
        <v>23</v>
      </c>
      <c r="C67" s="393" t="s">
        <v>167</v>
      </c>
      <c r="D67" s="231" t="s">
        <v>34</v>
      </c>
      <c r="E67" s="396"/>
      <c r="F67" s="275"/>
      <c r="G67" s="275"/>
      <c r="H67" s="405">
        <v>0</v>
      </c>
      <c r="I67" s="395"/>
      <c r="J67" s="395"/>
      <c r="K67" s="395"/>
      <c r="L67" s="395"/>
      <c r="M67" s="395"/>
      <c r="N67" s="395"/>
      <c r="O67" s="395"/>
      <c r="P67" s="409">
        <f t="shared" si="0"/>
        <v>0</v>
      </c>
    </row>
    <row r="68" spans="1:16" x14ac:dyDescent="0.35">
      <c r="A68" s="29"/>
      <c r="B68" s="408">
        <v>24</v>
      </c>
      <c r="C68" s="393" t="s">
        <v>168</v>
      </c>
      <c r="D68" s="231" t="s">
        <v>34</v>
      </c>
      <c r="E68" s="396"/>
      <c r="F68" s="275"/>
      <c r="G68" s="275"/>
      <c r="H68" s="405">
        <v>0</v>
      </c>
      <c r="I68" s="395"/>
      <c r="J68" s="395"/>
      <c r="K68" s="395"/>
      <c r="L68" s="395"/>
      <c r="M68" s="395"/>
      <c r="N68" s="395"/>
      <c r="O68" s="395"/>
      <c r="P68" s="409">
        <f t="shared" si="0"/>
        <v>0</v>
      </c>
    </row>
    <row r="69" spans="1:16" x14ac:dyDescent="0.35">
      <c r="A69" s="29"/>
      <c r="B69" s="410" t="s">
        <v>259</v>
      </c>
      <c r="C69" s="393"/>
      <c r="D69" s="231" t="s">
        <v>254</v>
      </c>
      <c r="E69" s="396"/>
      <c r="F69" s="275"/>
      <c r="G69" s="275"/>
      <c r="H69" s="405"/>
      <c r="I69" s="395"/>
      <c r="J69" s="395"/>
      <c r="K69" s="395"/>
      <c r="L69" s="395"/>
      <c r="M69" s="395"/>
      <c r="N69" s="395"/>
      <c r="O69" s="395"/>
      <c r="P69" s="409"/>
    </row>
    <row r="70" spans="1:16" x14ac:dyDescent="0.35">
      <c r="A70" s="29"/>
      <c r="B70" s="408"/>
      <c r="C70" s="793"/>
      <c r="D70" s="793"/>
      <c r="E70" s="246"/>
      <c r="F70" s="275"/>
      <c r="G70" s="275"/>
      <c r="H70" s="405"/>
      <c r="I70" s="395"/>
      <c r="J70" s="395"/>
      <c r="K70" s="395"/>
      <c r="L70" s="395"/>
      <c r="M70" s="395"/>
      <c r="N70" s="395"/>
      <c r="O70" s="395"/>
      <c r="P70" s="409"/>
    </row>
    <row r="71" spans="1:16" x14ac:dyDescent="0.35">
      <c r="A71" s="29"/>
      <c r="B71" s="408"/>
      <c r="C71" s="793"/>
      <c r="D71" s="793"/>
      <c r="E71" s="246"/>
      <c r="F71" s="275"/>
      <c r="G71" s="275"/>
      <c r="H71" s="405"/>
      <c r="I71" s="395"/>
      <c r="J71" s="395"/>
      <c r="K71" s="395"/>
      <c r="L71" s="395"/>
      <c r="M71" s="395"/>
      <c r="N71" s="395"/>
      <c r="O71" s="395"/>
      <c r="P71" s="409"/>
    </row>
    <row r="72" spans="1:16" x14ac:dyDescent="0.35">
      <c r="A72" s="29"/>
      <c r="B72" s="408"/>
      <c r="C72" s="793"/>
      <c r="D72" s="793"/>
      <c r="E72" s="246"/>
      <c r="F72" s="275"/>
      <c r="G72" s="275"/>
      <c r="H72" s="395"/>
      <c r="I72" s="395"/>
      <c r="J72" s="395"/>
      <c r="K72" s="395"/>
      <c r="L72" s="395"/>
      <c r="M72" s="395"/>
      <c r="N72" s="395"/>
      <c r="O72" s="395"/>
      <c r="P72" s="409"/>
    </row>
    <row r="73" spans="1:16" ht="28.5" customHeight="1" x14ac:dyDescent="0.35">
      <c r="A73" s="29"/>
      <c r="B73" s="837" t="s">
        <v>169</v>
      </c>
      <c r="C73" s="806"/>
      <c r="D73" s="806"/>
      <c r="E73" s="806"/>
      <c r="F73" s="806"/>
      <c r="G73" s="806"/>
      <c r="H73" s="806"/>
      <c r="I73" s="806"/>
      <c r="J73" s="806"/>
      <c r="K73" s="806"/>
      <c r="L73" s="806"/>
      <c r="M73" s="806"/>
      <c r="N73" s="806"/>
      <c r="O73" s="806"/>
      <c r="P73" s="838"/>
    </row>
    <row r="74" spans="1:16" x14ac:dyDescent="0.35">
      <c r="A74" s="29"/>
      <c r="B74" s="408">
        <v>25</v>
      </c>
      <c r="C74" s="393" t="s">
        <v>170</v>
      </c>
      <c r="D74" s="231" t="s">
        <v>34</v>
      </c>
      <c r="E74" s="396">
        <v>12</v>
      </c>
      <c r="F74" s="275"/>
      <c r="G74" s="275"/>
      <c r="H74" s="395"/>
      <c r="I74" s="405">
        <v>0</v>
      </c>
      <c r="J74" s="405">
        <v>0</v>
      </c>
      <c r="K74" s="405">
        <v>0</v>
      </c>
      <c r="L74" s="395"/>
      <c r="M74" s="395"/>
      <c r="N74" s="395"/>
      <c r="O74" s="395"/>
      <c r="P74" s="409">
        <f t="shared" si="0"/>
        <v>0</v>
      </c>
    </row>
    <row r="75" spans="1:16" x14ac:dyDescent="0.35">
      <c r="A75" s="29"/>
      <c r="B75" s="408">
        <v>26</v>
      </c>
      <c r="C75" s="393" t="s">
        <v>171</v>
      </c>
      <c r="D75" s="231" t="s">
        <v>34</v>
      </c>
      <c r="E75" s="396">
        <v>12</v>
      </c>
      <c r="F75" s="275"/>
      <c r="G75" s="275"/>
      <c r="H75" s="395"/>
      <c r="I75" s="405">
        <v>0</v>
      </c>
      <c r="J75" s="405">
        <v>0</v>
      </c>
      <c r="K75" s="405">
        <v>0</v>
      </c>
      <c r="L75" s="395"/>
      <c r="M75" s="395"/>
      <c r="N75" s="395"/>
      <c r="O75" s="395"/>
      <c r="P75" s="409">
        <f t="shared" si="0"/>
        <v>0</v>
      </c>
    </row>
    <row r="76" spans="1:16" ht="28" x14ac:dyDescent="0.35">
      <c r="A76" s="29"/>
      <c r="B76" s="408">
        <v>27</v>
      </c>
      <c r="C76" s="393" t="s">
        <v>172</v>
      </c>
      <c r="D76" s="231" t="s">
        <v>34</v>
      </c>
      <c r="E76" s="396">
        <v>12</v>
      </c>
      <c r="F76" s="275"/>
      <c r="G76" s="275"/>
      <c r="H76" s="395"/>
      <c r="I76" s="405">
        <v>0</v>
      </c>
      <c r="J76" s="405">
        <v>0</v>
      </c>
      <c r="K76" s="405">
        <v>0</v>
      </c>
      <c r="L76" s="395"/>
      <c r="M76" s="395"/>
      <c r="N76" s="395"/>
      <c r="O76" s="395"/>
      <c r="P76" s="409">
        <f t="shared" si="0"/>
        <v>0</v>
      </c>
    </row>
    <row r="77" spans="1:16" ht="28" x14ac:dyDescent="0.35">
      <c r="A77" s="29"/>
      <c r="B77" s="408">
        <v>28</v>
      </c>
      <c r="C77" s="393" t="s">
        <v>173</v>
      </c>
      <c r="D77" s="231" t="s">
        <v>34</v>
      </c>
      <c r="E77" s="396">
        <v>12</v>
      </c>
      <c r="F77" s="275"/>
      <c r="G77" s="275"/>
      <c r="H77" s="395"/>
      <c r="I77" s="405">
        <v>0</v>
      </c>
      <c r="J77" s="405">
        <v>0</v>
      </c>
      <c r="K77" s="405">
        <v>0</v>
      </c>
      <c r="L77" s="395"/>
      <c r="M77" s="395"/>
      <c r="N77" s="395"/>
      <c r="O77" s="395"/>
      <c r="P77" s="409">
        <f t="shared" si="0"/>
        <v>0</v>
      </c>
    </row>
    <row r="78" spans="1:16" ht="28" x14ac:dyDescent="0.35">
      <c r="A78" s="29"/>
      <c r="B78" s="408">
        <v>29</v>
      </c>
      <c r="C78" s="393" t="s">
        <v>174</v>
      </c>
      <c r="D78" s="231" t="s">
        <v>34</v>
      </c>
      <c r="E78" s="396">
        <v>3</v>
      </c>
      <c r="F78" s="275"/>
      <c r="G78" s="275"/>
      <c r="H78" s="395"/>
      <c r="I78" s="405">
        <v>0</v>
      </c>
      <c r="J78" s="405">
        <v>0</v>
      </c>
      <c r="K78" s="405">
        <v>0</v>
      </c>
      <c r="L78" s="395"/>
      <c r="M78" s="395"/>
      <c r="N78" s="395"/>
      <c r="O78" s="395"/>
      <c r="P78" s="409">
        <f t="shared" si="0"/>
        <v>0</v>
      </c>
    </row>
    <row r="79" spans="1:16" ht="28" x14ac:dyDescent="0.35">
      <c r="A79" s="29"/>
      <c r="B79" s="408">
        <v>30</v>
      </c>
      <c r="C79" s="393" t="s">
        <v>175</v>
      </c>
      <c r="D79" s="231" t="s">
        <v>34</v>
      </c>
      <c r="E79" s="396">
        <v>12</v>
      </c>
      <c r="F79" s="275"/>
      <c r="G79" s="275"/>
      <c r="H79" s="395"/>
      <c r="I79" s="405">
        <v>0</v>
      </c>
      <c r="J79" s="405">
        <v>0</v>
      </c>
      <c r="K79" s="405">
        <v>0</v>
      </c>
      <c r="L79" s="395"/>
      <c r="M79" s="395"/>
      <c r="N79" s="395"/>
      <c r="O79" s="395"/>
      <c r="P79" s="409">
        <f t="shared" si="0"/>
        <v>0</v>
      </c>
    </row>
    <row r="80" spans="1:16" x14ac:dyDescent="0.35">
      <c r="A80" s="29"/>
      <c r="B80" s="408">
        <v>31</v>
      </c>
      <c r="C80" s="393" t="s">
        <v>176</v>
      </c>
      <c r="D80" s="231" t="s">
        <v>34</v>
      </c>
      <c r="E80" s="396">
        <v>12</v>
      </c>
      <c r="F80" s="275"/>
      <c r="G80" s="275"/>
      <c r="H80" s="395"/>
      <c r="I80" s="405">
        <v>0</v>
      </c>
      <c r="J80" s="405">
        <v>0</v>
      </c>
      <c r="K80" s="405">
        <v>0</v>
      </c>
      <c r="L80" s="395"/>
      <c r="M80" s="395"/>
      <c r="N80" s="395"/>
      <c r="O80" s="395"/>
      <c r="P80" s="409">
        <f t="shared" si="0"/>
        <v>0</v>
      </c>
    </row>
    <row r="81" spans="1:16" x14ac:dyDescent="0.35">
      <c r="A81" s="29"/>
      <c r="B81" s="408">
        <v>32</v>
      </c>
      <c r="C81" s="393" t="s">
        <v>177</v>
      </c>
      <c r="D81" s="231" t="s">
        <v>34</v>
      </c>
      <c r="E81" s="396">
        <v>12</v>
      </c>
      <c r="F81" s="275"/>
      <c r="G81" s="275"/>
      <c r="H81" s="395"/>
      <c r="I81" s="405">
        <v>0</v>
      </c>
      <c r="J81" s="405">
        <v>0</v>
      </c>
      <c r="K81" s="405">
        <v>0</v>
      </c>
      <c r="L81" s="395"/>
      <c r="M81" s="395"/>
      <c r="N81" s="395"/>
      <c r="O81" s="395"/>
      <c r="P81" s="409">
        <f t="shared" si="0"/>
        <v>0</v>
      </c>
    </row>
    <row r="82" spans="1:16" x14ac:dyDescent="0.35">
      <c r="A82" s="29"/>
      <c r="B82" s="410" t="s">
        <v>259</v>
      </c>
      <c r="C82" s="393"/>
      <c r="D82" s="231" t="s">
        <v>254</v>
      </c>
      <c r="E82" s="396"/>
      <c r="F82" s="275"/>
      <c r="G82" s="275"/>
      <c r="H82" s="395"/>
      <c r="I82" s="395"/>
      <c r="J82" s="395"/>
      <c r="K82" s="395"/>
      <c r="L82" s="395"/>
      <c r="M82" s="395"/>
      <c r="N82" s="395"/>
      <c r="O82" s="395"/>
      <c r="P82" s="409"/>
    </row>
    <row r="83" spans="1:16" x14ac:dyDescent="0.35">
      <c r="A83" s="29"/>
      <c r="B83" s="408"/>
      <c r="C83" s="793"/>
      <c r="D83" s="793"/>
      <c r="E83" s="246"/>
      <c r="F83" s="275"/>
      <c r="G83" s="275"/>
      <c r="H83" s="395"/>
      <c r="I83" s="395"/>
      <c r="J83" s="395"/>
      <c r="K83" s="395"/>
      <c r="L83" s="395"/>
      <c r="M83" s="395"/>
      <c r="N83" s="395"/>
      <c r="O83" s="395"/>
      <c r="P83" s="409"/>
    </row>
    <row r="84" spans="1:16" x14ac:dyDescent="0.35">
      <c r="A84" s="29"/>
      <c r="B84" s="408"/>
      <c r="C84" s="793"/>
      <c r="D84" s="793"/>
      <c r="E84" s="246"/>
      <c r="F84" s="275"/>
      <c r="G84" s="275"/>
      <c r="H84" s="395"/>
      <c r="I84" s="395"/>
      <c r="J84" s="395"/>
      <c r="K84" s="395"/>
      <c r="L84" s="395"/>
      <c r="M84" s="395"/>
      <c r="N84" s="395"/>
      <c r="O84" s="395"/>
      <c r="P84" s="409"/>
    </row>
    <row r="85" spans="1:16" x14ac:dyDescent="0.35">
      <c r="A85" s="29"/>
      <c r="B85" s="408"/>
      <c r="C85" s="793"/>
      <c r="D85" s="793"/>
      <c r="E85" s="246"/>
      <c r="F85" s="275"/>
      <c r="G85" s="275"/>
      <c r="H85" s="395"/>
      <c r="I85" s="395"/>
      <c r="J85" s="395"/>
      <c r="K85" s="395"/>
      <c r="L85" s="395"/>
      <c r="M85" s="395"/>
      <c r="N85" s="395"/>
      <c r="O85" s="395"/>
      <c r="P85" s="409"/>
    </row>
    <row r="86" spans="1:16" ht="25.5" customHeight="1" x14ac:dyDescent="0.35">
      <c r="A86" s="29"/>
      <c r="B86" s="837" t="s">
        <v>178</v>
      </c>
      <c r="C86" s="806"/>
      <c r="D86" s="806"/>
      <c r="E86" s="806"/>
      <c r="F86" s="806"/>
      <c r="G86" s="806"/>
      <c r="H86" s="806"/>
      <c r="I86" s="806"/>
      <c r="J86" s="806"/>
      <c r="K86" s="806"/>
      <c r="L86" s="806"/>
      <c r="M86" s="806"/>
      <c r="N86" s="806"/>
      <c r="O86" s="806"/>
      <c r="P86" s="838"/>
    </row>
    <row r="87" spans="1:16" x14ac:dyDescent="0.35">
      <c r="A87" s="29"/>
      <c r="B87" s="408">
        <v>33</v>
      </c>
      <c r="C87" s="393" t="s">
        <v>179</v>
      </c>
      <c r="D87" s="231" t="s">
        <v>34</v>
      </c>
      <c r="E87" s="396">
        <v>12</v>
      </c>
      <c r="F87" s="275"/>
      <c r="G87" s="275"/>
      <c r="H87" s="401"/>
      <c r="I87" s="401"/>
      <c r="J87" s="401"/>
      <c r="K87" s="401"/>
      <c r="L87" s="401"/>
      <c r="M87" s="401"/>
      <c r="N87" s="401"/>
      <c r="O87" s="401"/>
      <c r="P87" s="409">
        <f t="shared" ref="P87:P108" si="1">SUM(H87:O87)</f>
        <v>0</v>
      </c>
    </row>
    <row r="88" spans="1:16" x14ac:dyDescent="0.35">
      <c r="A88" s="29"/>
      <c r="B88" s="408">
        <v>34</v>
      </c>
      <c r="C88" s="393" t="s">
        <v>180</v>
      </c>
      <c r="D88" s="231" t="s">
        <v>34</v>
      </c>
      <c r="E88" s="396"/>
      <c r="F88" s="275"/>
      <c r="G88" s="275"/>
      <c r="H88" s="401"/>
      <c r="I88" s="401"/>
      <c r="J88" s="401"/>
      <c r="K88" s="401"/>
      <c r="L88" s="401"/>
      <c r="M88" s="401"/>
      <c r="N88" s="401"/>
      <c r="O88" s="401"/>
      <c r="P88" s="409">
        <f t="shared" si="1"/>
        <v>0</v>
      </c>
    </row>
    <row r="89" spans="1:16" x14ac:dyDescent="0.35">
      <c r="A89" s="29"/>
      <c r="B89" s="408">
        <v>35</v>
      </c>
      <c r="C89" s="393" t="s">
        <v>181</v>
      </c>
      <c r="D89" s="231" t="s">
        <v>34</v>
      </c>
      <c r="E89" s="396"/>
      <c r="F89" s="275"/>
      <c r="G89" s="275"/>
      <c r="H89" s="401"/>
      <c r="I89" s="401"/>
      <c r="J89" s="401"/>
      <c r="K89" s="401"/>
      <c r="L89" s="401"/>
      <c r="M89" s="401"/>
      <c r="N89" s="401"/>
      <c r="O89" s="401"/>
      <c r="P89" s="409">
        <f t="shared" si="1"/>
        <v>0</v>
      </c>
    </row>
    <row r="90" spans="1:16" x14ac:dyDescent="0.35">
      <c r="A90" s="29"/>
      <c r="B90" s="410" t="s">
        <v>259</v>
      </c>
      <c r="C90" s="393"/>
      <c r="D90" s="231" t="s">
        <v>254</v>
      </c>
      <c r="E90" s="396"/>
      <c r="F90" s="275"/>
      <c r="G90" s="275"/>
      <c r="H90" s="401"/>
      <c r="I90" s="401"/>
      <c r="J90" s="401"/>
      <c r="K90" s="401"/>
      <c r="L90" s="401"/>
      <c r="M90" s="401"/>
      <c r="N90" s="401"/>
      <c r="O90" s="401"/>
      <c r="P90" s="409"/>
    </row>
    <row r="91" spans="1:16" x14ac:dyDescent="0.35">
      <c r="A91" s="29"/>
      <c r="B91" s="408"/>
      <c r="C91" s="793"/>
      <c r="D91" s="793"/>
      <c r="E91" s="246"/>
      <c r="F91" s="275"/>
      <c r="G91" s="275"/>
      <c r="H91" s="401"/>
      <c r="I91" s="401"/>
      <c r="J91" s="401"/>
      <c r="K91" s="401"/>
      <c r="L91" s="401"/>
      <c r="M91" s="401"/>
      <c r="N91" s="401"/>
      <c r="O91" s="401"/>
      <c r="P91" s="409"/>
    </row>
    <row r="92" spans="1:16" x14ac:dyDescent="0.35">
      <c r="A92" s="29"/>
      <c r="B92" s="408"/>
      <c r="C92" s="793"/>
      <c r="D92" s="793"/>
      <c r="E92" s="246"/>
      <c r="F92" s="275"/>
      <c r="G92" s="275"/>
      <c r="H92" s="401"/>
      <c r="I92" s="401"/>
      <c r="J92" s="401"/>
      <c r="K92" s="401"/>
      <c r="L92" s="401"/>
      <c r="M92" s="401"/>
      <c r="N92" s="401"/>
      <c r="O92" s="401"/>
      <c r="P92" s="409"/>
    </row>
    <row r="93" spans="1:16" x14ac:dyDescent="0.35">
      <c r="A93" s="29"/>
      <c r="B93" s="408"/>
      <c r="C93" s="793"/>
      <c r="D93" s="793"/>
      <c r="E93" s="246"/>
      <c r="F93" s="275"/>
      <c r="G93" s="275"/>
      <c r="H93" s="401"/>
      <c r="I93" s="401"/>
      <c r="J93" s="401"/>
      <c r="K93" s="401"/>
      <c r="L93" s="401"/>
      <c r="M93" s="401"/>
      <c r="N93" s="401"/>
      <c r="O93" s="401"/>
      <c r="P93" s="409"/>
    </row>
    <row r="94" spans="1:16" ht="24" customHeight="1" x14ac:dyDescent="0.35">
      <c r="A94" s="29"/>
      <c r="B94" s="837" t="s">
        <v>182</v>
      </c>
      <c r="C94" s="806"/>
      <c r="D94" s="806"/>
      <c r="E94" s="806"/>
      <c r="F94" s="806"/>
      <c r="G94" s="806"/>
      <c r="H94" s="806"/>
      <c r="I94" s="806"/>
      <c r="J94" s="806"/>
      <c r="K94" s="806"/>
      <c r="L94" s="806"/>
      <c r="M94" s="806"/>
      <c r="N94" s="806"/>
      <c r="O94" s="806"/>
      <c r="P94" s="838"/>
    </row>
    <row r="95" spans="1:16" ht="42" x14ac:dyDescent="0.35">
      <c r="A95" s="29"/>
      <c r="B95" s="408">
        <v>36</v>
      </c>
      <c r="C95" s="393" t="s">
        <v>183</v>
      </c>
      <c r="D95" s="231" t="s">
        <v>34</v>
      </c>
      <c r="E95" s="396"/>
      <c r="F95" s="275"/>
      <c r="G95" s="275"/>
      <c r="H95" s="401"/>
      <c r="I95" s="401"/>
      <c r="J95" s="401"/>
      <c r="K95" s="401"/>
      <c r="L95" s="401"/>
      <c r="M95" s="401"/>
      <c r="N95" s="401"/>
      <c r="O95" s="401"/>
      <c r="P95" s="409">
        <f t="shared" si="1"/>
        <v>0</v>
      </c>
    </row>
    <row r="96" spans="1:16" x14ac:dyDescent="0.35">
      <c r="A96" s="29"/>
      <c r="B96" s="408">
        <v>37</v>
      </c>
      <c r="C96" s="393" t="s">
        <v>184</v>
      </c>
      <c r="D96" s="231" t="s">
        <v>34</v>
      </c>
      <c r="E96" s="396"/>
      <c r="F96" s="275"/>
      <c r="G96" s="275"/>
      <c r="H96" s="401"/>
      <c r="I96" s="401"/>
      <c r="J96" s="401"/>
      <c r="K96" s="401"/>
      <c r="L96" s="401"/>
      <c r="M96" s="401"/>
      <c r="N96" s="401"/>
      <c r="O96" s="401"/>
      <c r="P96" s="409">
        <f t="shared" si="1"/>
        <v>0</v>
      </c>
    </row>
    <row r="97" spans="1:16" x14ac:dyDescent="0.35">
      <c r="A97" s="29"/>
      <c r="B97" s="408">
        <v>38</v>
      </c>
      <c r="C97" s="393" t="s">
        <v>185</v>
      </c>
      <c r="D97" s="231" t="s">
        <v>34</v>
      </c>
      <c r="E97" s="396"/>
      <c r="F97" s="275"/>
      <c r="G97" s="275"/>
      <c r="H97" s="401"/>
      <c r="I97" s="401"/>
      <c r="J97" s="401"/>
      <c r="K97" s="401"/>
      <c r="L97" s="401"/>
      <c r="M97" s="401"/>
      <c r="N97" s="401"/>
      <c r="O97" s="401"/>
      <c r="P97" s="409">
        <f t="shared" si="1"/>
        <v>0</v>
      </c>
    </row>
    <row r="98" spans="1:16" ht="28" x14ac:dyDescent="0.35">
      <c r="A98" s="29"/>
      <c r="B98" s="408">
        <v>39</v>
      </c>
      <c r="C98" s="393" t="s">
        <v>186</v>
      </c>
      <c r="D98" s="231" t="s">
        <v>34</v>
      </c>
      <c r="E98" s="396"/>
      <c r="F98" s="275"/>
      <c r="G98" s="275"/>
      <c r="H98" s="401"/>
      <c r="I98" s="401"/>
      <c r="J98" s="401"/>
      <c r="K98" s="401"/>
      <c r="L98" s="401"/>
      <c r="M98" s="401"/>
      <c r="N98" s="401"/>
      <c r="O98" s="401"/>
      <c r="P98" s="409">
        <f t="shared" si="1"/>
        <v>0</v>
      </c>
    </row>
    <row r="99" spans="1:16" ht="28" x14ac:dyDescent="0.35">
      <c r="A99" s="29"/>
      <c r="B99" s="408">
        <v>40</v>
      </c>
      <c r="C99" s="393" t="s">
        <v>187</v>
      </c>
      <c r="D99" s="231" t="s">
        <v>34</v>
      </c>
      <c r="E99" s="396"/>
      <c r="F99" s="275"/>
      <c r="G99" s="275"/>
      <c r="H99" s="401"/>
      <c r="I99" s="401"/>
      <c r="J99" s="401"/>
      <c r="K99" s="401"/>
      <c r="L99" s="401"/>
      <c r="M99" s="401"/>
      <c r="N99" s="401"/>
      <c r="O99" s="401"/>
      <c r="P99" s="409">
        <f t="shared" si="1"/>
        <v>0</v>
      </c>
    </row>
    <row r="100" spans="1:16" ht="28" x14ac:dyDescent="0.35">
      <c r="A100" s="29"/>
      <c r="B100" s="408">
        <v>41</v>
      </c>
      <c r="C100" s="393" t="s">
        <v>188</v>
      </c>
      <c r="D100" s="231" t="s">
        <v>34</v>
      </c>
      <c r="E100" s="396"/>
      <c r="F100" s="275"/>
      <c r="G100" s="275"/>
      <c r="H100" s="401"/>
      <c r="I100" s="401"/>
      <c r="J100" s="401"/>
      <c r="K100" s="401"/>
      <c r="L100" s="401"/>
      <c r="M100" s="401"/>
      <c r="N100" s="401"/>
      <c r="O100" s="401"/>
      <c r="P100" s="409">
        <f t="shared" si="1"/>
        <v>0</v>
      </c>
    </row>
    <row r="101" spans="1:16" ht="28" x14ac:dyDescent="0.35">
      <c r="A101" s="29"/>
      <c r="B101" s="408">
        <v>42</v>
      </c>
      <c r="C101" s="393" t="s">
        <v>189</v>
      </c>
      <c r="D101" s="231" t="s">
        <v>34</v>
      </c>
      <c r="E101" s="396"/>
      <c r="F101" s="275"/>
      <c r="G101" s="275"/>
      <c r="H101" s="401"/>
      <c r="I101" s="401"/>
      <c r="J101" s="401"/>
      <c r="K101" s="401"/>
      <c r="L101" s="401"/>
      <c r="M101" s="401"/>
      <c r="N101" s="401"/>
      <c r="O101" s="401"/>
      <c r="P101" s="409">
        <f t="shared" si="1"/>
        <v>0</v>
      </c>
    </row>
    <row r="102" spans="1:16" x14ac:dyDescent="0.35">
      <c r="A102" s="29"/>
      <c r="B102" s="408">
        <v>43</v>
      </c>
      <c r="C102" s="393" t="s">
        <v>190</v>
      </c>
      <c r="D102" s="231" t="s">
        <v>34</v>
      </c>
      <c r="E102" s="396"/>
      <c r="F102" s="275"/>
      <c r="G102" s="275"/>
      <c r="H102" s="401"/>
      <c r="I102" s="401"/>
      <c r="J102" s="401"/>
      <c r="K102" s="401"/>
      <c r="L102" s="401"/>
      <c r="M102" s="401"/>
      <c r="N102" s="401"/>
      <c r="O102" s="401"/>
      <c r="P102" s="409">
        <f t="shared" si="1"/>
        <v>0</v>
      </c>
    </row>
    <row r="103" spans="1:16" ht="42" x14ac:dyDescent="0.35">
      <c r="A103" s="29"/>
      <c r="B103" s="408">
        <v>44</v>
      </c>
      <c r="C103" s="393" t="s">
        <v>191</v>
      </c>
      <c r="D103" s="231" t="s">
        <v>34</v>
      </c>
      <c r="E103" s="396"/>
      <c r="F103" s="275"/>
      <c r="G103" s="275"/>
      <c r="H103" s="401"/>
      <c r="I103" s="401"/>
      <c r="J103" s="401"/>
      <c r="K103" s="401"/>
      <c r="L103" s="401"/>
      <c r="M103" s="401"/>
      <c r="N103" s="401"/>
      <c r="O103" s="401"/>
      <c r="P103" s="409">
        <f t="shared" si="1"/>
        <v>0</v>
      </c>
    </row>
    <row r="104" spans="1:16" ht="28" x14ac:dyDescent="0.35">
      <c r="A104" s="29"/>
      <c r="B104" s="408">
        <v>45</v>
      </c>
      <c r="C104" s="393" t="s">
        <v>192</v>
      </c>
      <c r="D104" s="231" t="s">
        <v>34</v>
      </c>
      <c r="E104" s="396"/>
      <c r="F104" s="275"/>
      <c r="G104" s="275"/>
      <c r="H104" s="401"/>
      <c r="I104" s="401"/>
      <c r="J104" s="401"/>
      <c r="K104" s="401"/>
      <c r="L104" s="401"/>
      <c r="M104" s="401"/>
      <c r="N104" s="401"/>
      <c r="O104" s="401"/>
      <c r="P104" s="409">
        <f t="shared" si="1"/>
        <v>0</v>
      </c>
    </row>
    <row r="105" spans="1:16" ht="28" x14ac:dyDescent="0.35">
      <c r="A105" s="29"/>
      <c r="B105" s="408">
        <v>46</v>
      </c>
      <c r="C105" s="393" t="s">
        <v>193</v>
      </c>
      <c r="D105" s="231" t="s">
        <v>34</v>
      </c>
      <c r="E105" s="396"/>
      <c r="F105" s="275"/>
      <c r="G105" s="275"/>
      <c r="H105" s="401"/>
      <c r="I105" s="401"/>
      <c r="J105" s="401"/>
      <c r="K105" s="401"/>
      <c r="L105" s="401"/>
      <c r="M105" s="401"/>
      <c r="N105" s="401"/>
      <c r="O105" s="401"/>
      <c r="P105" s="409">
        <f t="shared" si="1"/>
        <v>0</v>
      </c>
    </row>
    <row r="106" spans="1:16" ht="28" x14ac:dyDescent="0.35">
      <c r="A106" s="29"/>
      <c r="B106" s="408">
        <v>47</v>
      </c>
      <c r="C106" s="393" t="s">
        <v>194</v>
      </c>
      <c r="D106" s="231" t="s">
        <v>34</v>
      </c>
      <c r="E106" s="396"/>
      <c r="F106" s="275"/>
      <c r="G106" s="275"/>
      <c r="H106" s="401"/>
      <c r="I106" s="401"/>
      <c r="J106" s="401"/>
      <c r="K106" s="401"/>
      <c r="L106" s="401"/>
      <c r="M106" s="401"/>
      <c r="N106" s="401"/>
      <c r="O106" s="401"/>
      <c r="P106" s="409">
        <f t="shared" si="1"/>
        <v>0</v>
      </c>
    </row>
    <row r="107" spans="1:16" ht="28" x14ac:dyDescent="0.35">
      <c r="A107" s="29"/>
      <c r="B107" s="408">
        <v>48</v>
      </c>
      <c r="C107" s="393" t="s">
        <v>195</v>
      </c>
      <c r="D107" s="231" t="s">
        <v>34</v>
      </c>
      <c r="E107" s="396"/>
      <c r="F107" s="275"/>
      <c r="G107" s="275"/>
      <c r="H107" s="401"/>
      <c r="I107" s="401"/>
      <c r="J107" s="401"/>
      <c r="K107" s="401"/>
      <c r="L107" s="401"/>
      <c r="M107" s="401"/>
      <c r="N107" s="401"/>
      <c r="O107" s="401"/>
      <c r="P107" s="409">
        <f t="shared" si="1"/>
        <v>0</v>
      </c>
    </row>
    <row r="108" spans="1:16" ht="28" x14ac:dyDescent="0.35">
      <c r="A108" s="29"/>
      <c r="B108" s="408">
        <v>49</v>
      </c>
      <c r="C108" s="393" t="s">
        <v>196</v>
      </c>
      <c r="D108" s="231" t="s">
        <v>34</v>
      </c>
      <c r="E108" s="396"/>
      <c r="F108" s="275"/>
      <c r="G108" s="275"/>
      <c r="H108" s="401"/>
      <c r="I108" s="401"/>
      <c r="J108" s="401"/>
      <c r="K108" s="401"/>
      <c r="L108" s="401"/>
      <c r="M108" s="401"/>
      <c r="N108" s="401"/>
      <c r="O108" s="401"/>
      <c r="P108" s="409">
        <f t="shared" si="1"/>
        <v>0</v>
      </c>
    </row>
    <row r="109" spans="1:16" x14ac:dyDescent="0.35">
      <c r="A109" s="29"/>
      <c r="B109" s="410" t="s">
        <v>259</v>
      </c>
      <c r="C109" s="393"/>
      <c r="D109" s="231" t="s">
        <v>254</v>
      </c>
      <c r="E109" s="396"/>
      <c r="F109" s="275"/>
      <c r="G109" s="275"/>
      <c r="H109" s="401"/>
      <c r="I109" s="401"/>
      <c r="J109" s="401"/>
      <c r="K109" s="401"/>
      <c r="L109" s="401"/>
      <c r="M109" s="401"/>
      <c r="N109" s="401"/>
      <c r="O109" s="401"/>
      <c r="P109" s="409"/>
    </row>
    <row r="110" spans="1:16" x14ac:dyDescent="0.35">
      <c r="A110" s="29"/>
      <c r="B110" s="408"/>
      <c r="C110" s="793"/>
      <c r="D110" s="793"/>
      <c r="E110" s="246"/>
      <c r="F110" s="275"/>
      <c r="G110" s="275"/>
      <c r="H110" s="401"/>
      <c r="I110" s="401"/>
      <c r="J110" s="401"/>
      <c r="K110" s="401"/>
      <c r="L110" s="401"/>
      <c r="M110" s="401"/>
      <c r="N110" s="401"/>
      <c r="O110" s="401"/>
      <c r="P110" s="409"/>
    </row>
    <row r="111" spans="1:16" x14ac:dyDescent="0.35">
      <c r="A111" s="29"/>
      <c r="B111" s="408"/>
      <c r="C111" s="793"/>
      <c r="D111" s="793"/>
      <c r="E111" s="246"/>
      <c r="F111" s="275"/>
      <c r="G111" s="275"/>
      <c r="H111" s="401"/>
      <c r="I111" s="401"/>
      <c r="J111" s="401"/>
      <c r="K111" s="401"/>
      <c r="L111" s="401"/>
      <c r="M111" s="401"/>
      <c r="N111" s="401"/>
      <c r="O111" s="401"/>
      <c r="P111" s="409"/>
    </row>
    <row r="112" spans="1:16" x14ac:dyDescent="0.35">
      <c r="A112" s="29"/>
      <c r="B112" s="414"/>
      <c r="C112" s="793"/>
      <c r="D112" s="793"/>
      <c r="E112" s="246"/>
      <c r="F112" s="383"/>
      <c r="G112" s="383"/>
      <c r="H112" s="415"/>
      <c r="I112" s="415"/>
      <c r="J112" s="415"/>
      <c r="K112" s="415"/>
      <c r="L112" s="415"/>
      <c r="M112" s="415"/>
      <c r="N112" s="415"/>
      <c r="O112" s="415"/>
      <c r="P112" s="416"/>
    </row>
    <row r="113" spans="2:17" x14ac:dyDescent="0.35">
      <c r="B113" s="332"/>
      <c r="C113" s="808" t="s">
        <v>222</v>
      </c>
      <c r="D113" s="808"/>
      <c r="E113" s="333"/>
      <c r="F113" s="334"/>
      <c r="G113" s="334"/>
      <c r="H113" s="335">
        <f>SUM(F19*H19,F20*H20,F21*H21,F22*H22,F23*H23,F24*H24,F48*H48,F65*H65,F66*H66,F67*H67,F68*H68)</f>
        <v>0</v>
      </c>
      <c r="I113" s="335">
        <f>SUM(F30*I30,F31*I31,F32*I32,F33*I33,F34*I34,F74*I74,F75*I75,F76*I76,F77*I77,F78*I78,F79*I79,F80*I80,F81*I81,F87*I87,F88*I88,F89*I89)</f>
        <v>0</v>
      </c>
      <c r="J113" s="336"/>
      <c r="K113" s="333"/>
      <c r="L113" s="333"/>
      <c r="M113" s="333"/>
      <c r="N113" s="335"/>
      <c r="O113" s="333"/>
      <c r="P113" s="337">
        <f>SUM(H113:O113)</f>
        <v>0</v>
      </c>
    </row>
    <row r="114" spans="2:17" x14ac:dyDescent="0.35">
      <c r="B114" s="252"/>
      <c r="C114" s="793" t="s">
        <v>261</v>
      </c>
      <c r="D114" s="793"/>
      <c r="E114" s="247"/>
      <c r="F114" s="245"/>
      <c r="G114" s="245"/>
      <c r="H114" s="247"/>
      <c r="I114" s="247"/>
      <c r="J114" s="248">
        <f>SUM($E$30*$G$30*J30,$E$31*$G$31*J31,$E$32*$G$32*J32,$E$33*$G$33*J33,$E$34*$G$34*J34,$E$40*$G$40*J40,$E$41*$G$41*J41,$E$42*$G$42*J42,$E$74*$G$74*J74,$E$75*$G$75*J75,$E$76*$G$76*J76,$E$77*$G$77*J77,$E$78*$G$78*J78,$E$79*$G$79*J79,$E$80*$G$80*J80,$E$81*$G$81*J81)</f>
        <v>0</v>
      </c>
      <c r="K114" s="248">
        <f>SUM($E$30*$G$30*K30,$E$31*$G$31*K31,$E$32*$G$32*K32,$E$33*$G$33*K33,$E$34*$G$34*K34,$E$40*$G$40*K40,$E$41*$G$41*K41,$E$42*$G$42*K42,$E$74*$G$74*K74,$E$75*$G$75*K75,$E$76*$G$76*K76,$E$77*$G$77*K77,$E$78*$G$78*K78,$E$79*$G$79*K79,$E$80*$G$80*K80,$E$81*$G$81*K81)</f>
        <v>0</v>
      </c>
      <c r="L114" s="248"/>
      <c r="M114" s="248"/>
      <c r="N114" s="247"/>
      <c r="O114" s="247"/>
      <c r="P114" s="253">
        <f>SUM(H114:O114)</f>
        <v>0</v>
      </c>
    </row>
    <row r="115" spans="2:17" x14ac:dyDescent="0.35">
      <c r="B115" s="252"/>
      <c r="C115" s="793" t="s">
        <v>477</v>
      </c>
      <c r="D115" s="793"/>
      <c r="E115" s="247"/>
      <c r="F115" s="245"/>
      <c r="G115" s="245"/>
      <c r="H115" s="247"/>
      <c r="I115" s="247"/>
      <c r="J115" s="248">
        <f>J114-SUM($E$34*$G$34*J34,$E$78*$G$78*J78)</f>
        <v>0</v>
      </c>
      <c r="K115" s="248">
        <f>K114-SUM($E$34*$G$34*K34,$E$78*$G$78*K78)</f>
        <v>0</v>
      </c>
      <c r="L115" s="247"/>
      <c r="M115" s="247"/>
      <c r="N115" s="247"/>
      <c r="O115" s="247"/>
      <c r="P115" s="253"/>
    </row>
    <row r="116" spans="2:17" x14ac:dyDescent="0.35">
      <c r="B116" s="254"/>
      <c r="C116" s="809"/>
      <c r="D116" s="809"/>
      <c r="E116" s="240"/>
      <c r="F116" s="238"/>
      <c r="G116" s="238"/>
      <c r="H116" s="240"/>
      <c r="I116" s="240"/>
      <c r="J116" s="240"/>
      <c r="K116" s="240"/>
      <c r="L116" s="240"/>
      <c r="M116" s="240"/>
      <c r="N116" s="240"/>
      <c r="O116" s="240"/>
      <c r="P116" s="255"/>
    </row>
    <row r="117" spans="2:17" x14ac:dyDescent="0.35">
      <c r="B117" s="254"/>
      <c r="C117" s="492"/>
      <c r="D117" s="240"/>
      <c r="E117" s="240"/>
      <c r="F117" s="238"/>
      <c r="G117" s="238"/>
      <c r="H117" s="240"/>
      <c r="I117" s="240"/>
      <c r="J117" s="240"/>
      <c r="K117" s="240"/>
      <c r="L117" s="240"/>
      <c r="M117" s="240"/>
      <c r="N117" s="240"/>
      <c r="O117" s="240"/>
      <c r="P117" s="255"/>
    </row>
    <row r="118" spans="2:17" x14ac:dyDescent="0.35">
      <c r="B118" s="360"/>
      <c r="C118" s="791" t="s">
        <v>324</v>
      </c>
      <c r="D118" s="791"/>
      <c r="E118" s="231"/>
      <c r="F118" s="242"/>
      <c r="G118" s="231"/>
      <c r="H118" s="243">
        <f>'3.  Distribution Rates'!I33</f>
        <v>0</v>
      </c>
      <c r="I118" s="243">
        <f>'3.  Distribution Rates'!I34</f>
        <v>0</v>
      </c>
      <c r="J118" s="243">
        <f>'3.  Distribution Rates'!I35</f>
        <v>0</v>
      </c>
      <c r="K118" s="243">
        <f>'3.  Distribution Rates'!I36</f>
        <v>0</v>
      </c>
      <c r="L118" s="243">
        <f>'3.  Distribution Rates'!I37</f>
        <v>0</v>
      </c>
      <c r="M118" s="243">
        <f>'3.  Distribution Rates'!I38</f>
        <v>0</v>
      </c>
      <c r="N118" s="243">
        <f>'3.  Distribution Rates'!I39</f>
        <v>0</v>
      </c>
      <c r="O118" s="243"/>
      <c r="P118" s="361"/>
    </row>
    <row r="119" spans="2:17" x14ac:dyDescent="0.35">
      <c r="B119" s="360"/>
      <c r="C119" s="791" t="s">
        <v>229</v>
      </c>
      <c r="D119" s="791"/>
      <c r="E119" s="240"/>
      <c r="F119" s="242"/>
      <c r="G119" s="242"/>
      <c r="H119" s="357">
        <f>'4.  2011-14 LRAM'!H$77*H118</f>
        <v>0</v>
      </c>
      <c r="I119" s="357">
        <f>'4.  2011-14 LRAM'!J$77*I118</f>
        <v>0</v>
      </c>
      <c r="J119" s="357">
        <f>'4.  2011-14 LRAM'!K$77*J118</f>
        <v>0</v>
      </c>
      <c r="K119" s="357">
        <f>'4.  2011-14 LRAM'!L$77*K118</f>
        <v>0</v>
      </c>
      <c r="L119" s="357">
        <f>'4.  2011-14 LRAM'!I$77*L118</f>
        <v>0</v>
      </c>
      <c r="M119" s="357" t="e">
        <f>'4.  2011-14 LRAM'!#REF!*M118</f>
        <v>#REF!</v>
      </c>
      <c r="N119" s="357" t="e">
        <f>'4.  2011-14 LRAM'!#REF!*N118</f>
        <v>#REF!</v>
      </c>
      <c r="O119" s="231"/>
      <c r="P119" s="256" t="e">
        <f>SUM(H119:O119)</f>
        <v>#REF!</v>
      </c>
      <c r="Q119" s="14"/>
    </row>
    <row r="120" spans="2:17" x14ac:dyDescent="0.35">
      <c r="B120" s="360"/>
      <c r="C120" s="791" t="s">
        <v>230</v>
      </c>
      <c r="D120" s="791"/>
      <c r="E120" s="240"/>
      <c r="F120" s="242"/>
      <c r="G120" s="242"/>
      <c r="H120" s="357">
        <f>'4.  2011-14 LRAM'!H$156*H118</f>
        <v>0</v>
      </c>
      <c r="I120" s="357">
        <f>'4.  2011-14 LRAM'!J$156*I118</f>
        <v>0</v>
      </c>
      <c r="J120" s="357">
        <f>'4.  2011-14 LRAM'!K$156*J118</f>
        <v>0</v>
      </c>
      <c r="K120" s="357">
        <f>'4.  2011-14 LRAM'!L$156*K118</f>
        <v>0</v>
      </c>
      <c r="L120" s="357">
        <f>'4.  2011-14 LRAM'!I$156*L118</f>
        <v>0</v>
      </c>
      <c r="M120" s="357" t="e">
        <f>'4.  2011-14 LRAM'!#REF!*M118</f>
        <v>#REF!</v>
      </c>
      <c r="N120" s="357" t="e">
        <f>'4.  2011-14 LRAM'!#REF!*N118</f>
        <v>#REF!</v>
      </c>
      <c r="O120" s="231"/>
      <c r="P120" s="256" t="e">
        <f>SUM(H120:O120)</f>
        <v>#REF!</v>
      </c>
    </row>
    <row r="121" spans="2:17" x14ac:dyDescent="0.35">
      <c r="B121" s="360"/>
      <c r="C121" s="791" t="s">
        <v>231</v>
      </c>
      <c r="D121" s="791"/>
      <c r="E121" s="240"/>
      <c r="F121" s="242"/>
      <c r="G121" s="242"/>
      <c r="H121" s="357">
        <f>'4.  2011-14 LRAM'!H$236*H118</f>
        <v>0</v>
      </c>
      <c r="I121" s="357">
        <f>'4.  2011-14 LRAM'!J$236*I118</f>
        <v>0</v>
      </c>
      <c r="J121" s="357">
        <f>'4.  2011-14 LRAM'!K$236*J118</f>
        <v>0</v>
      </c>
      <c r="K121" s="357">
        <f>'4.  2011-14 LRAM'!L$236*K118</f>
        <v>0</v>
      </c>
      <c r="L121" s="357">
        <f>'4.  2011-14 LRAM'!I$236*L118</f>
        <v>0</v>
      </c>
      <c r="M121" s="357" t="e">
        <f>'4.  2011-14 LRAM'!#REF!*M118</f>
        <v>#REF!</v>
      </c>
      <c r="N121" s="357" t="e">
        <f>'4.  2011-14 LRAM'!#REF!*N118</f>
        <v>#REF!</v>
      </c>
      <c r="O121" s="231"/>
      <c r="P121" s="256" t="e">
        <f t="shared" ref="P121" si="2">SUM(H121:O121)</f>
        <v>#REF!</v>
      </c>
    </row>
    <row r="122" spans="2:17" x14ac:dyDescent="0.35">
      <c r="B122" s="360"/>
      <c r="C122" s="791" t="s">
        <v>232</v>
      </c>
      <c r="D122" s="791"/>
      <c r="E122" s="240"/>
      <c r="F122" s="242"/>
      <c r="G122" s="242"/>
      <c r="H122" s="357">
        <f>'4.  2011-14 LRAM'!H$317*H118</f>
        <v>0</v>
      </c>
      <c r="I122" s="357">
        <f>'4.  2011-14 LRAM'!J$317*I118</f>
        <v>0</v>
      </c>
      <c r="J122" s="357">
        <f>'4.  2011-14 LRAM'!K$317*J118</f>
        <v>0</v>
      </c>
      <c r="K122" s="357">
        <f>'4.  2011-14 LRAM'!L$317*K118</f>
        <v>0</v>
      </c>
      <c r="L122" s="357" t="e">
        <f>'4.  2011-14 LRAM'!#REF!*L118</f>
        <v>#REF!</v>
      </c>
      <c r="M122" s="357" t="e">
        <f>'4.  2011-14 LRAM'!#REF!*M118</f>
        <v>#REF!</v>
      </c>
      <c r="N122" s="357" t="e">
        <f>'4.  2011-14 LRAM'!#REF!*N118</f>
        <v>#REF!</v>
      </c>
      <c r="O122" s="231"/>
      <c r="P122" s="256" t="e">
        <f>SUM(H122:O122)</f>
        <v>#REF!</v>
      </c>
    </row>
    <row r="123" spans="2:17" x14ac:dyDescent="0.35">
      <c r="B123" s="360"/>
      <c r="C123" s="791" t="s">
        <v>233</v>
      </c>
      <c r="D123" s="791"/>
      <c r="E123" s="240"/>
      <c r="F123" s="242"/>
      <c r="G123" s="242"/>
      <c r="H123" s="357">
        <f>H113*H118</f>
        <v>0</v>
      </c>
      <c r="I123" s="357">
        <f>I113*I118</f>
        <v>0</v>
      </c>
      <c r="J123" s="357">
        <f>J114*J118</f>
        <v>0</v>
      </c>
      <c r="K123" s="357">
        <f>K114*K118</f>
        <v>0</v>
      </c>
      <c r="L123" s="357">
        <f>L114*L118</f>
        <v>0</v>
      </c>
      <c r="M123" s="357">
        <f>M114*M118</f>
        <v>0</v>
      </c>
      <c r="N123" s="357">
        <f>N113*N118</f>
        <v>0</v>
      </c>
      <c r="O123" s="231"/>
      <c r="P123" s="256">
        <f>SUM(H123:O123)</f>
        <v>0</v>
      </c>
    </row>
    <row r="124" spans="2:17" x14ac:dyDescent="0.35">
      <c r="B124" s="254"/>
      <c r="C124" s="358" t="s">
        <v>223</v>
      </c>
      <c r="D124" s="240"/>
      <c r="E124" s="240"/>
      <c r="F124" s="238"/>
      <c r="G124" s="238"/>
      <c r="H124" s="244">
        <f>SUM(H119:H123)</f>
        <v>0</v>
      </c>
      <c r="I124" s="244">
        <f>SUM(I119:I123)</f>
        <v>0</v>
      </c>
      <c r="J124" s="244">
        <f t="shared" ref="J124:N124" si="3">SUM(J119:J123)</f>
        <v>0</v>
      </c>
      <c r="K124" s="244">
        <f t="shared" si="3"/>
        <v>0</v>
      </c>
      <c r="L124" s="244" t="e">
        <f t="shared" si="3"/>
        <v>#REF!</v>
      </c>
      <c r="M124" s="244" t="e">
        <f t="shared" si="3"/>
        <v>#REF!</v>
      </c>
      <c r="N124" s="244" t="e">
        <f t="shared" si="3"/>
        <v>#REF!</v>
      </c>
      <c r="O124" s="240"/>
      <c r="P124" s="257" t="e">
        <f>SUM(P119:P123)</f>
        <v>#REF!</v>
      </c>
    </row>
    <row r="125" spans="2:17" x14ac:dyDescent="0.35">
      <c r="B125" s="258"/>
      <c r="C125" s="432"/>
      <c r="D125" s="259"/>
      <c r="E125" s="259"/>
      <c r="F125" s="260"/>
      <c r="G125" s="260"/>
      <c r="H125" s="433"/>
      <c r="I125" s="433"/>
      <c r="J125" s="433"/>
      <c r="K125" s="433"/>
      <c r="L125" s="433"/>
      <c r="M125" s="433"/>
      <c r="N125" s="433"/>
      <c r="O125" s="259"/>
      <c r="P125" s="434"/>
    </row>
    <row r="126" spans="2:17" hidden="1" x14ac:dyDescent="0.35">
      <c r="B126" s="402"/>
      <c r="C126" s="791" t="s">
        <v>224</v>
      </c>
      <c r="D126" s="791"/>
      <c r="E126" s="394"/>
      <c r="F126" s="142"/>
      <c r="G126" s="142"/>
      <c r="H126" s="477" t="e">
        <f>$H$113*'6.  Persistence Rates'!$E$44</f>
        <v>#DIV/0!</v>
      </c>
      <c r="I126" s="477" t="e">
        <f>I113*'6.  Persistence Rates'!$E$44</f>
        <v>#DIV/0!</v>
      </c>
      <c r="J126" s="477" t="e">
        <f>$J$115*'6.  Persistence Rates'!$R$44</f>
        <v>#DIV/0!</v>
      </c>
      <c r="K126" s="477" t="e">
        <f>$K$115*'6.  Persistence Rates'!$R$44</f>
        <v>#DIV/0!</v>
      </c>
      <c r="L126" s="477" t="e">
        <f>$L$114*'6.  Persistence Rates'!$R$44</f>
        <v>#DIV/0!</v>
      </c>
      <c r="M126" s="477" t="e">
        <f>$M$114*'6.  Persistence Rates'!$R$44</f>
        <v>#DIV/0!</v>
      </c>
      <c r="N126" s="477" t="e">
        <f>$N$113*'6.  Persistence Rates'!$E$44</f>
        <v>#DIV/0!</v>
      </c>
      <c r="O126" s="142"/>
      <c r="P126" s="329"/>
      <c r="Q126" s="14"/>
    </row>
    <row r="127" spans="2:17" hidden="1" x14ac:dyDescent="0.35">
      <c r="B127" s="402"/>
      <c r="C127" s="791" t="s">
        <v>225</v>
      </c>
      <c r="D127" s="791"/>
      <c r="E127" s="394"/>
      <c r="F127" s="142"/>
      <c r="G127" s="142"/>
      <c r="H127" s="477" t="e">
        <f>H113*'6.  Persistence Rates'!F$44</f>
        <v>#DIV/0!</v>
      </c>
      <c r="I127" s="477" t="e">
        <f>I113*'6.  Persistence Rates'!F$44</f>
        <v>#DIV/0!</v>
      </c>
      <c r="J127" s="477" t="e">
        <f>$J$115*'6.  Persistence Rates'!$S$44</f>
        <v>#DIV/0!</v>
      </c>
      <c r="K127" s="477" t="e">
        <f>$K$115*'6.  Persistence Rates'!$S$44</f>
        <v>#DIV/0!</v>
      </c>
      <c r="L127" s="477" t="e">
        <f>$L$114*'6.  Persistence Rates'!$S$44</f>
        <v>#DIV/0!</v>
      </c>
      <c r="M127" s="477" t="e">
        <f>$M$114*'6.  Persistence Rates'!$S$44</f>
        <v>#DIV/0!</v>
      </c>
      <c r="N127" s="477" t="e">
        <f>$N$113*'6.  Persistence Rates'!$F$44</f>
        <v>#DIV/0!</v>
      </c>
      <c r="O127" s="142"/>
      <c r="P127" s="329"/>
    </row>
    <row r="128" spans="2:17" hidden="1" x14ac:dyDescent="0.35">
      <c r="B128" s="402"/>
      <c r="C128" s="791" t="s">
        <v>226</v>
      </c>
      <c r="D128" s="791"/>
      <c r="E128" s="394"/>
      <c r="F128" s="142"/>
      <c r="G128" s="142"/>
      <c r="H128" s="477" t="e">
        <f>H113*'6.  Persistence Rates'!G$44</f>
        <v>#DIV/0!</v>
      </c>
      <c r="I128" s="477" t="e">
        <f>I113*'6.  Persistence Rates'!G$44</f>
        <v>#DIV/0!</v>
      </c>
      <c r="J128" s="477" t="e">
        <f>$J$115*'6.  Persistence Rates'!$T$44</f>
        <v>#DIV/0!</v>
      </c>
      <c r="K128" s="477" t="e">
        <f>$K$115*'6.  Persistence Rates'!$T$44</f>
        <v>#DIV/0!</v>
      </c>
      <c r="L128" s="477" t="e">
        <f>$L$114*'6.  Persistence Rates'!$T$44</f>
        <v>#DIV/0!</v>
      </c>
      <c r="M128" s="477" t="e">
        <f>$M$114*'6.  Persistence Rates'!$T$44</f>
        <v>#DIV/0!</v>
      </c>
      <c r="N128" s="477" t="e">
        <f>$N$113*'6.  Persistence Rates'!$G$44</f>
        <v>#DIV/0!</v>
      </c>
      <c r="O128" s="142"/>
      <c r="P128" s="329"/>
    </row>
    <row r="129" spans="2:16" hidden="1" x14ac:dyDescent="0.35">
      <c r="B129" s="402"/>
      <c r="C129" s="791" t="s">
        <v>227</v>
      </c>
      <c r="D129" s="791"/>
      <c r="E129" s="394"/>
      <c r="F129" s="142"/>
      <c r="G129" s="142"/>
      <c r="H129" s="477" t="e">
        <f>H113*'6.  Persistence Rates'!H$44</f>
        <v>#DIV/0!</v>
      </c>
      <c r="I129" s="477" t="e">
        <f>I113*'6.  Persistence Rates'!H$44</f>
        <v>#DIV/0!</v>
      </c>
      <c r="J129" s="477" t="e">
        <f>$J$115*'6.  Persistence Rates'!$U$44</f>
        <v>#DIV/0!</v>
      </c>
      <c r="K129" s="477" t="e">
        <f>$K$115*'6.  Persistence Rates'!$U$44</f>
        <v>#DIV/0!</v>
      </c>
      <c r="L129" s="477" t="e">
        <f>$L$114*'6.  Persistence Rates'!$U$44</f>
        <v>#DIV/0!</v>
      </c>
      <c r="M129" s="477" t="e">
        <f>$M$114*'6.  Persistence Rates'!$U$44</f>
        <v>#DIV/0!</v>
      </c>
      <c r="N129" s="477" t="e">
        <f>$N$113*'6.  Persistence Rates'!$H$44</f>
        <v>#DIV/0!</v>
      </c>
      <c r="O129" s="142"/>
      <c r="P129" s="329"/>
    </row>
    <row r="130" spans="2:16" hidden="1" x14ac:dyDescent="0.35">
      <c r="B130" s="403"/>
      <c r="C130" s="792" t="s">
        <v>228</v>
      </c>
      <c r="D130" s="792"/>
      <c r="E130" s="404"/>
      <c r="F130" s="309"/>
      <c r="G130" s="309"/>
      <c r="H130" s="477" t="e">
        <f>H113*'6.  Persistence Rates'!I$44</f>
        <v>#DIV/0!</v>
      </c>
      <c r="I130" s="477" t="e">
        <f>I113*'6.  Persistence Rates'!I$44</f>
        <v>#DIV/0!</v>
      </c>
      <c r="J130" s="477" t="e">
        <f>$J$115*'6.  Persistence Rates'!$V$44</f>
        <v>#DIV/0!</v>
      </c>
      <c r="K130" s="477" t="e">
        <f>$K$115*'6.  Persistence Rates'!$V$44</f>
        <v>#DIV/0!</v>
      </c>
      <c r="L130" s="477" t="e">
        <f>$L$114*'6.  Persistence Rates'!$V$44</f>
        <v>#DIV/0!</v>
      </c>
      <c r="M130" s="477" t="e">
        <f>$M$114*'6.  Persistence Rates'!$V$44</f>
        <v>#DIV/0!</v>
      </c>
      <c r="N130" s="477" t="e">
        <f>$N$113*'6.  Persistence Rates'!$I$44</f>
        <v>#DIV/0!</v>
      </c>
      <c r="O130" s="309"/>
      <c r="P130" s="379"/>
    </row>
  </sheetData>
  <mergeCells count="67">
    <mergeCell ref="C113:D113"/>
    <mergeCell ref="A1:O1"/>
    <mergeCell ref="D15:D16"/>
    <mergeCell ref="E15:E16"/>
    <mergeCell ref="B62:P62"/>
    <mergeCell ref="E4:P4"/>
    <mergeCell ref="B17:P17"/>
    <mergeCell ref="B15:B16"/>
    <mergeCell ref="C15:C16"/>
    <mergeCell ref="H15:P15"/>
    <mergeCell ref="B2:P2"/>
    <mergeCell ref="E11:F11"/>
    <mergeCell ref="E12:F12"/>
    <mergeCell ref="B18:P18"/>
    <mergeCell ref="B29:P29"/>
    <mergeCell ref="B39:P39"/>
    <mergeCell ref="C130:D130"/>
    <mergeCell ref="C114:D114"/>
    <mergeCell ref="C115:D115"/>
    <mergeCell ref="C123:D123"/>
    <mergeCell ref="C119:D119"/>
    <mergeCell ref="C126:D126"/>
    <mergeCell ref="C127:D127"/>
    <mergeCell ref="C128:D128"/>
    <mergeCell ref="C129:D129"/>
    <mergeCell ref="C116:D116"/>
    <mergeCell ref="C118:D118"/>
    <mergeCell ref="C122:D122"/>
    <mergeCell ref="C121:D121"/>
    <mergeCell ref="C120:D120"/>
    <mergeCell ref="B53:P53"/>
    <mergeCell ref="B64:P64"/>
    <mergeCell ref="B73:P73"/>
    <mergeCell ref="B86:P86"/>
    <mergeCell ref="C83:D83"/>
    <mergeCell ref="C84:D84"/>
    <mergeCell ref="C85:D85"/>
    <mergeCell ref="C70:D70"/>
    <mergeCell ref="C71:D71"/>
    <mergeCell ref="C72:D72"/>
    <mergeCell ref="C59:D59"/>
    <mergeCell ref="C60:D60"/>
    <mergeCell ref="B94:P94"/>
    <mergeCell ref="C110:D110"/>
    <mergeCell ref="C111:D111"/>
    <mergeCell ref="C61:D61"/>
    <mergeCell ref="C112:D112"/>
    <mergeCell ref="C91:D91"/>
    <mergeCell ref="C92:D92"/>
    <mergeCell ref="C93:D93"/>
    <mergeCell ref="C27:D27"/>
    <mergeCell ref="C28:D28"/>
    <mergeCell ref="C52:D52"/>
    <mergeCell ref="C44:D44"/>
    <mergeCell ref="C45:D45"/>
    <mergeCell ref="C46:D46"/>
    <mergeCell ref="C36:D36"/>
    <mergeCell ref="C37:D37"/>
    <mergeCell ref="C38:D38"/>
    <mergeCell ref="B47:P47"/>
    <mergeCell ref="C50:D50"/>
    <mergeCell ref="C51:D51"/>
    <mergeCell ref="E5:P5"/>
    <mergeCell ref="E6:P6"/>
    <mergeCell ref="E7:P7"/>
    <mergeCell ref="E8:P8"/>
    <mergeCell ref="C26:D26"/>
  </mergeCells>
  <pageMargins left="0.7" right="0.7" top="0.75" bottom="0.75" header="0.3" footer="0.3"/>
  <pageSetup scale="53"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1:R129"/>
  <sheetViews>
    <sheetView zoomScale="90" zoomScaleNormal="90" workbookViewId="0">
      <pane ySplit="16" topLeftCell="A17" activePane="bottomLeft" state="frozen"/>
      <selection pane="bottomLeft" activeCell="B13" sqref="B13:B14"/>
    </sheetView>
  </sheetViews>
  <sheetFormatPr defaultColWidth="9.08984375" defaultRowHeight="14.5" outlineLevelRow="1" x14ac:dyDescent="0.35"/>
  <cols>
    <col min="1" max="1" width="6.54296875" style="20" customWidth="1"/>
    <col min="2" max="2" width="5.08984375" style="20" customWidth="1"/>
    <col min="3" max="3" width="44.36328125" style="31" customWidth="1"/>
    <col min="4" max="4" width="12.36328125" style="36" customWidth="1"/>
    <col min="5" max="5" width="13.36328125" style="36" customWidth="1"/>
    <col min="6" max="7" width="19.453125" style="20" customWidth="1"/>
    <col min="8" max="14" width="12.6328125" style="20" customWidth="1"/>
    <col min="15" max="15" width="8.08984375" style="20" customWidth="1"/>
    <col min="16" max="16" width="11.36328125" style="20" customWidth="1"/>
    <col min="17" max="17" width="13.08984375" style="20" customWidth="1"/>
    <col min="18" max="16384" width="9.08984375" style="20"/>
  </cols>
  <sheetData>
    <row r="1" spans="1:18" ht="19.5" customHeight="1" x14ac:dyDescent="0.35"/>
    <row r="2" spans="1:18" ht="18.75" customHeight="1" x14ac:dyDescent="0.4">
      <c r="B2" s="852" t="s">
        <v>266</v>
      </c>
      <c r="C2" s="852"/>
      <c r="D2" s="852"/>
      <c r="E2" s="852"/>
      <c r="F2" s="852"/>
      <c r="G2" s="852"/>
      <c r="H2" s="852"/>
      <c r="I2" s="852"/>
      <c r="J2" s="852"/>
      <c r="K2" s="852"/>
      <c r="L2" s="852"/>
      <c r="M2" s="852"/>
      <c r="N2" s="852"/>
      <c r="O2" s="852"/>
      <c r="P2" s="852"/>
    </row>
    <row r="3" spans="1:18" ht="18.75" customHeight="1" outlineLevel="1" x14ac:dyDescent="0.45">
      <c r="B3" s="57"/>
      <c r="C3" s="160"/>
      <c r="D3" s="57"/>
      <c r="E3" s="57"/>
      <c r="F3" s="57"/>
      <c r="G3" s="57"/>
      <c r="H3" s="57"/>
      <c r="I3" s="57"/>
      <c r="J3" s="57"/>
      <c r="K3" s="57"/>
      <c r="L3" s="57"/>
      <c r="M3" s="57"/>
      <c r="N3" s="57"/>
      <c r="O3" s="57"/>
      <c r="P3" s="57"/>
    </row>
    <row r="4" spans="1:18" ht="35.25" customHeight="1" outlineLevel="1" x14ac:dyDescent="0.45">
      <c r="A4" s="222"/>
      <c r="B4" s="370"/>
      <c r="C4" s="348" t="s">
        <v>377</v>
      </c>
      <c r="D4" s="370"/>
      <c r="E4" s="778" t="s">
        <v>365</v>
      </c>
      <c r="F4" s="778"/>
      <c r="G4" s="778"/>
      <c r="H4" s="778"/>
      <c r="I4" s="778"/>
      <c r="J4" s="778"/>
      <c r="K4" s="778"/>
      <c r="L4" s="778"/>
      <c r="M4" s="778"/>
      <c r="N4" s="778"/>
      <c r="O4" s="778"/>
      <c r="P4" s="778"/>
    </row>
    <row r="5" spans="1:18" ht="18.75" customHeight="1" outlineLevel="1" x14ac:dyDescent="0.45">
      <c r="A5" s="42"/>
      <c r="B5" s="370"/>
      <c r="C5" s="371"/>
      <c r="D5" s="370"/>
      <c r="E5" s="351" t="s">
        <v>359</v>
      </c>
      <c r="F5" s="370"/>
      <c r="G5" s="370"/>
      <c r="H5" s="370"/>
      <c r="I5" s="370"/>
      <c r="J5" s="370"/>
      <c r="K5" s="370"/>
      <c r="L5" s="370"/>
      <c r="M5" s="370"/>
      <c r="N5" s="370"/>
      <c r="O5" s="370"/>
      <c r="P5" s="370"/>
    </row>
    <row r="6" spans="1:18" ht="18.75" customHeight="1" outlineLevel="1" x14ac:dyDescent="0.45">
      <c r="A6" s="42"/>
      <c r="B6" s="370"/>
      <c r="C6" s="371"/>
      <c r="D6" s="370"/>
      <c r="E6" s="351" t="s">
        <v>360</v>
      </c>
      <c r="F6" s="370"/>
      <c r="G6" s="370"/>
      <c r="H6" s="370"/>
      <c r="I6" s="370"/>
      <c r="J6" s="370"/>
      <c r="K6" s="370"/>
      <c r="L6" s="370"/>
      <c r="M6" s="370"/>
      <c r="N6" s="370"/>
      <c r="O6" s="370"/>
      <c r="P6" s="370"/>
    </row>
    <row r="7" spans="1:18" ht="18.75" customHeight="1" outlineLevel="1" x14ac:dyDescent="0.45">
      <c r="A7" s="42"/>
      <c r="B7" s="370"/>
      <c r="C7" s="371"/>
      <c r="D7" s="370"/>
      <c r="E7" s="351" t="s">
        <v>395</v>
      </c>
      <c r="F7" s="370"/>
      <c r="G7" s="370"/>
      <c r="H7" s="370"/>
      <c r="I7" s="370"/>
      <c r="J7" s="370"/>
      <c r="K7" s="370"/>
      <c r="L7" s="370"/>
      <c r="M7" s="370"/>
      <c r="N7" s="370"/>
      <c r="O7" s="370"/>
      <c r="P7" s="370"/>
    </row>
    <row r="8" spans="1:18" ht="18.75" customHeight="1" outlineLevel="1" x14ac:dyDescent="0.45">
      <c r="A8" s="42"/>
      <c r="B8" s="370"/>
      <c r="C8" s="371"/>
      <c r="D8" s="370"/>
      <c r="E8" s="351"/>
      <c r="F8" s="370"/>
      <c r="G8" s="370"/>
      <c r="H8" s="370"/>
      <c r="I8" s="370"/>
      <c r="J8" s="370"/>
      <c r="K8" s="370"/>
      <c r="L8" s="370"/>
      <c r="M8" s="370"/>
      <c r="N8" s="370"/>
      <c r="O8" s="370"/>
      <c r="P8" s="370"/>
    </row>
    <row r="9" spans="1:18" ht="18.75" customHeight="1" outlineLevel="1" x14ac:dyDescent="0.45">
      <c r="A9" s="42"/>
      <c r="B9" s="370"/>
      <c r="C9" s="372" t="s">
        <v>337</v>
      </c>
      <c r="D9" s="370"/>
      <c r="E9" s="855" t="s">
        <v>366</v>
      </c>
      <c r="F9" s="855"/>
      <c r="G9" s="370"/>
      <c r="H9" s="370"/>
      <c r="I9" s="370"/>
      <c r="J9" s="370"/>
      <c r="K9" s="370"/>
      <c r="L9" s="370"/>
      <c r="M9" s="370"/>
      <c r="N9" s="370"/>
      <c r="O9" s="370"/>
      <c r="P9" s="370"/>
      <c r="R9" s="76"/>
    </row>
    <row r="10" spans="1:18" ht="18.75" customHeight="1" outlineLevel="1" x14ac:dyDescent="0.45">
      <c r="A10" s="42"/>
      <c r="B10" s="370"/>
      <c r="C10" s="371"/>
      <c r="D10" s="370"/>
      <c r="E10" s="856" t="s">
        <v>338</v>
      </c>
      <c r="F10" s="856"/>
      <c r="G10" s="370"/>
      <c r="H10" s="370"/>
      <c r="I10" s="370"/>
      <c r="J10" s="370"/>
      <c r="K10" s="370"/>
      <c r="L10" s="370"/>
      <c r="M10" s="370"/>
      <c r="N10" s="370"/>
      <c r="O10" s="370"/>
      <c r="P10" s="370"/>
    </row>
    <row r="11" spans="1:18" ht="18.75" customHeight="1" x14ac:dyDescent="0.45">
      <c r="B11" s="57"/>
      <c r="C11" s="57"/>
      <c r="D11" s="57"/>
      <c r="E11" s="121"/>
      <c r="G11" s="57"/>
      <c r="H11" s="57"/>
      <c r="I11" s="57"/>
      <c r="J11" s="57"/>
      <c r="K11" s="57"/>
      <c r="L11" s="57"/>
      <c r="M11" s="57"/>
      <c r="N11" s="57"/>
      <c r="O11" s="57"/>
      <c r="P11" s="57"/>
    </row>
    <row r="12" spans="1:18" ht="18.75" customHeight="1" x14ac:dyDescent="0.45">
      <c r="B12" s="174" t="s">
        <v>453</v>
      </c>
      <c r="C12" s="57"/>
      <c r="D12" s="57"/>
      <c r="E12" s="153"/>
      <c r="F12" s="57"/>
      <c r="G12" s="57"/>
      <c r="H12" s="57"/>
      <c r="I12" s="57"/>
      <c r="J12" s="57"/>
      <c r="K12" s="57"/>
      <c r="L12" s="57"/>
      <c r="M12" s="57"/>
      <c r="N12" s="57"/>
      <c r="O12" s="57"/>
      <c r="P12" s="57"/>
    </row>
    <row r="13" spans="1:18" ht="42" x14ac:dyDescent="0.35">
      <c r="B13" s="813" t="s">
        <v>54</v>
      </c>
      <c r="C13" s="814" t="s">
        <v>0</v>
      </c>
      <c r="D13" s="814" t="s">
        <v>45</v>
      </c>
      <c r="E13" s="814" t="s">
        <v>201</v>
      </c>
      <c r="F13" s="219" t="s">
        <v>198</v>
      </c>
      <c r="G13" s="219" t="s">
        <v>46</v>
      </c>
      <c r="H13" s="853" t="s">
        <v>55</v>
      </c>
      <c r="I13" s="853"/>
      <c r="J13" s="853"/>
      <c r="K13" s="853"/>
      <c r="L13" s="853"/>
      <c r="M13" s="853"/>
      <c r="N13" s="853"/>
      <c r="O13" s="853"/>
      <c r="P13" s="854"/>
    </row>
    <row r="14" spans="1:18" ht="56" x14ac:dyDescent="0.35">
      <c r="B14" s="827"/>
      <c r="C14" s="828"/>
      <c r="D14" s="828"/>
      <c r="E14" s="828"/>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42" t="s">
        <v>139</v>
      </c>
      <c r="C15" s="843"/>
      <c r="D15" s="843"/>
      <c r="E15" s="843"/>
      <c r="F15" s="843"/>
      <c r="G15" s="843"/>
      <c r="H15" s="843"/>
      <c r="I15" s="843"/>
      <c r="J15" s="843"/>
      <c r="K15" s="843"/>
      <c r="L15" s="843"/>
      <c r="M15" s="843"/>
      <c r="N15" s="843"/>
      <c r="O15" s="843"/>
      <c r="P15" s="844"/>
    </row>
    <row r="16" spans="1:18" ht="26.25" customHeight="1" x14ac:dyDescent="0.35">
      <c r="A16" s="45"/>
      <c r="B16" s="834" t="s">
        <v>140</v>
      </c>
      <c r="C16" s="835"/>
      <c r="D16" s="835"/>
      <c r="E16" s="835"/>
      <c r="F16" s="835"/>
      <c r="G16" s="835"/>
      <c r="H16" s="835"/>
      <c r="I16" s="835"/>
      <c r="J16" s="835"/>
      <c r="K16" s="835"/>
      <c r="L16" s="835"/>
      <c r="M16" s="835"/>
      <c r="N16" s="835"/>
      <c r="O16" s="835"/>
      <c r="P16" s="836"/>
    </row>
    <row r="17" spans="1:16" x14ac:dyDescent="0.35">
      <c r="A17" s="29"/>
      <c r="B17" s="408">
        <v>1</v>
      </c>
      <c r="C17" s="393" t="s">
        <v>141</v>
      </c>
      <c r="D17" s="231" t="s">
        <v>34</v>
      </c>
      <c r="E17" s="394"/>
      <c r="F17" s="275"/>
      <c r="G17" s="275"/>
      <c r="H17" s="405">
        <v>1</v>
      </c>
      <c r="I17" s="395"/>
      <c r="J17" s="395"/>
      <c r="K17" s="395"/>
      <c r="L17" s="395"/>
      <c r="M17" s="395"/>
      <c r="N17" s="395"/>
      <c r="O17" s="395"/>
      <c r="P17" s="409">
        <f>SUM(H17:O17)</f>
        <v>1</v>
      </c>
    </row>
    <row r="18" spans="1:16" x14ac:dyDescent="0.35">
      <c r="A18" s="8"/>
      <c r="B18" s="408">
        <v>2</v>
      </c>
      <c r="C18" s="393" t="s">
        <v>142</v>
      </c>
      <c r="D18" s="231" t="s">
        <v>34</v>
      </c>
      <c r="E18" s="396"/>
      <c r="F18" s="275"/>
      <c r="G18" s="275"/>
      <c r="H18" s="405">
        <v>1</v>
      </c>
      <c r="I18" s="395"/>
      <c r="J18" s="395"/>
      <c r="K18" s="395"/>
      <c r="L18" s="395"/>
      <c r="M18" s="395"/>
      <c r="N18" s="395"/>
      <c r="O18" s="395"/>
      <c r="P18" s="409">
        <f t="shared" ref="P18:P79" si="0">SUM(H18:O18)</f>
        <v>1</v>
      </c>
    </row>
    <row r="19" spans="1:16" x14ac:dyDescent="0.35">
      <c r="A19" s="29"/>
      <c r="B19" s="408">
        <v>3</v>
      </c>
      <c r="C19" s="393" t="s">
        <v>143</v>
      </c>
      <c r="D19" s="231" t="s">
        <v>34</v>
      </c>
      <c r="E19" s="396"/>
      <c r="F19" s="275"/>
      <c r="G19" s="275"/>
      <c r="H19" s="405">
        <v>1</v>
      </c>
      <c r="I19" s="395"/>
      <c r="J19" s="395"/>
      <c r="K19" s="395"/>
      <c r="L19" s="395"/>
      <c r="M19" s="395"/>
      <c r="N19" s="395"/>
      <c r="O19" s="395"/>
      <c r="P19" s="409">
        <f t="shared" si="0"/>
        <v>1</v>
      </c>
    </row>
    <row r="20" spans="1:16" x14ac:dyDescent="0.35">
      <c r="A20" s="29"/>
      <c r="B20" s="408">
        <v>4</v>
      </c>
      <c r="C20" s="393" t="s">
        <v>144</v>
      </c>
      <c r="D20" s="231" t="s">
        <v>34</v>
      </c>
      <c r="E20" s="396"/>
      <c r="F20" s="275"/>
      <c r="G20" s="275"/>
      <c r="H20" s="405">
        <v>1</v>
      </c>
      <c r="I20" s="395"/>
      <c r="J20" s="395"/>
      <c r="K20" s="395"/>
      <c r="L20" s="395"/>
      <c r="M20" s="395"/>
      <c r="N20" s="395"/>
      <c r="O20" s="395"/>
      <c r="P20" s="409">
        <f t="shared" si="0"/>
        <v>1</v>
      </c>
    </row>
    <row r="21" spans="1:16" x14ac:dyDescent="0.35">
      <c r="A21" s="29"/>
      <c r="B21" s="408">
        <v>5</v>
      </c>
      <c r="C21" s="393" t="s">
        <v>145</v>
      </c>
      <c r="D21" s="231" t="s">
        <v>34</v>
      </c>
      <c r="E21" s="396"/>
      <c r="F21" s="275"/>
      <c r="G21" s="275"/>
      <c r="H21" s="405">
        <v>1</v>
      </c>
      <c r="I21" s="395"/>
      <c r="J21" s="395"/>
      <c r="K21" s="395"/>
      <c r="L21" s="395"/>
      <c r="M21" s="395"/>
      <c r="N21" s="395"/>
      <c r="O21" s="395"/>
      <c r="P21" s="409">
        <f t="shared" si="0"/>
        <v>1</v>
      </c>
    </row>
    <row r="22" spans="1:16" ht="28" x14ac:dyDescent="0.35">
      <c r="A22" s="29"/>
      <c r="B22" s="408">
        <v>6</v>
      </c>
      <c r="C22" s="393" t="s">
        <v>146</v>
      </c>
      <c r="D22" s="231" t="s">
        <v>34</v>
      </c>
      <c r="E22" s="396"/>
      <c r="F22" s="275"/>
      <c r="G22" s="275"/>
      <c r="H22" s="405">
        <v>1</v>
      </c>
      <c r="I22" s="395"/>
      <c r="J22" s="395"/>
      <c r="K22" s="395"/>
      <c r="L22" s="395"/>
      <c r="M22" s="395"/>
      <c r="N22" s="395"/>
      <c r="O22" s="395"/>
      <c r="P22" s="409">
        <f t="shared" si="0"/>
        <v>1</v>
      </c>
    </row>
    <row r="23" spans="1:16" x14ac:dyDescent="0.35">
      <c r="A23" s="29"/>
      <c r="B23" s="410" t="s">
        <v>264</v>
      </c>
      <c r="C23" s="393"/>
      <c r="D23" s="231" t="s">
        <v>254</v>
      </c>
      <c r="E23" s="396"/>
      <c r="F23" s="275"/>
      <c r="G23" s="275"/>
      <c r="H23" s="405"/>
      <c r="I23" s="395"/>
      <c r="J23" s="395"/>
      <c r="K23" s="395"/>
      <c r="L23" s="395"/>
      <c r="M23" s="395"/>
      <c r="N23" s="395"/>
      <c r="O23" s="395"/>
      <c r="P23" s="409">
        <f t="shared" si="0"/>
        <v>0</v>
      </c>
    </row>
    <row r="24" spans="1:16" x14ac:dyDescent="0.35">
      <c r="A24" s="29"/>
      <c r="B24" s="408"/>
      <c r="C24" s="793"/>
      <c r="D24" s="793"/>
      <c r="E24" s="246"/>
      <c r="F24" s="275"/>
      <c r="G24" s="275"/>
      <c r="H24" s="405"/>
      <c r="I24" s="395"/>
      <c r="J24" s="395"/>
      <c r="K24" s="395"/>
      <c r="L24" s="395"/>
      <c r="M24" s="395"/>
      <c r="N24" s="395"/>
      <c r="O24" s="395"/>
      <c r="P24" s="409">
        <f t="shared" si="0"/>
        <v>0</v>
      </c>
    </row>
    <row r="25" spans="1:16" x14ac:dyDescent="0.35">
      <c r="A25" s="29"/>
      <c r="B25" s="408"/>
      <c r="C25" s="793"/>
      <c r="D25" s="793"/>
      <c r="E25" s="246"/>
      <c r="F25" s="275"/>
      <c r="G25" s="275"/>
      <c r="H25" s="405"/>
      <c r="I25" s="395"/>
      <c r="J25" s="395"/>
      <c r="K25" s="395"/>
      <c r="L25" s="395"/>
      <c r="M25" s="395"/>
      <c r="N25" s="395"/>
      <c r="O25" s="395"/>
      <c r="P25" s="409">
        <f t="shared" si="0"/>
        <v>0</v>
      </c>
    </row>
    <row r="26" spans="1:16" x14ac:dyDescent="0.35">
      <c r="A26" s="29"/>
      <c r="B26" s="408"/>
      <c r="C26" s="793"/>
      <c r="D26" s="793"/>
      <c r="E26" s="246"/>
      <c r="F26" s="275"/>
      <c r="G26" s="275"/>
      <c r="H26" s="405"/>
      <c r="I26" s="395"/>
      <c r="J26" s="395"/>
      <c r="K26" s="395"/>
      <c r="L26" s="395"/>
      <c r="M26" s="395"/>
      <c r="N26" s="395"/>
      <c r="O26" s="395"/>
      <c r="P26" s="409">
        <f t="shared" si="0"/>
        <v>0</v>
      </c>
    </row>
    <row r="27" spans="1:16" ht="25.5" customHeight="1" x14ac:dyDescent="0.35">
      <c r="A27" s="45"/>
      <c r="B27" s="834" t="s">
        <v>147</v>
      </c>
      <c r="C27" s="835"/>
      <c r="D27" s="835"/>
      <c r="E27" s="835"/>
      <c r="F27" s="835"/>
      <c r="G27" s="835"/>
      <c r="H27" s="835"/>
      <c r="I27" s="835"/>
      <c r="J27" s="835"/>
      <c r="K27" s="835"/>
      <c r="L27" s="835"/>
      <c r="M27" s="835"/>
      <c r="N27" s="835"/>
      <c r="O27" s="835"/>
      <c r="P27" s="836"/>
    </row>
    <row r="28" spans="1:16" x14ac:dyDescent="0.35">
      <c r="A28" s="29"/>
      <c r="B28" s="408">
        <v>7</v>
      </c>
      <c r="C28" s="393" t="s">
        <v>148</v>
      </c>
      <c r="D28" s="231" t="s">
        <v>34</v>
      </c>
      <c r="E28" s="396">
        <v>12</v>
      </c>
      <c r="F28" s="275"/>
      <c r="G28" s="275">
        <v>50</v>
      </c>
      <c r="H28" s="395"/>
      <c r="I28" s="405">
        <v>0.2</v>
      </c>
      <c r="J28" s="405">
        <v>0.5</v>
      </c>
      <c r="K28" s="405">
        <v>0.3</v>
      </c>
      <c r="L28" s="395"/>
      <c r="M28" s="395"/>
      <c r="N28" s="395"/>
      <c r="O28" s="395"/>
      <c r="P28" s="409">
        <f t="shared" si="0"/>
        <v>1</v>
      </c>
    </row>
    <row r="29" spans="1:16" ht="28" x14ac:dyDescent="0.35">
      <c r="A29" s="29"/>
      <c r="B29" s="408">
        <v>8</v>
      </c>
      <c r="C29" s="393" t="s">
        <v>149</v>
      </c>
      <c r="D29" s="231" t="s">
        <v>34</v>
      </c>
      <c r="E29" s="396">
        <v>12</v>
      </c>
      <c r="F29" s="275"/>
      <c r="G29" s="275"/>
      <c r="H29" s="395"/>
      <c r="I29" s="405">
        <v>0.8</v>
      </c>
      <c r="J29" s="405">
        <v>0.2</v>
      </c>
      <c r="K29" s="395"/>
      <c r="L29" s="395"/>
      <c r="M29" s="395"/>
      <c r="N29" s="395"/>
      <c r="O29" s="395"/>
      <c r="P29" s="409">
        <f t="shared" si="0"/>
        <v>1</v>
      </c>
    </row>
    <row r="30" spans="1:16" x14ac:dyDescent="0.35">
      <c r="A30" s="29"/>
      <c r="B30" s="408">
        <v>9</v>
      </c>
      <c r="C30" s="393" t="s">
        <v>150</v>
      </c>
      <c r="D30" s="231" t="s">
        <v>34</v>
      </c>
      <c r="E30" s="396">
        <v>12</v>
      </c>
      <c r="F30" s="275"/>
      <c r="G30" s="275"/>
      <c r="H30" s="395"/>
      <c r="I30" s="405">
        <v>0.5</v>
      </c>
      <c r="J30" s="405">
        <v>0.5</v>
      </c>
      <c r="K30" s="395"/>
      <c r="L30" s="395"/>
      <c r="M30" s="395"/>
      <c r="N30" s="395"/>
      <c r="O30" s="395"/>
      <c r="P30" s="409">
        <f t="shared" si="0"/>
        <v>1</v>
      </c>
    </row>
    <row r="31" spans="1:16" ht="28" x14ac:dyDescent="0.35">
      <c r="A31" s="29"/>
      <c r="B31" s="408">
        <v>10</v>
      </c>
      <c r="C31" s="393" t="s">
        <v>151</v>
      </c>
      <c r="D31" s="231" t="s">
        <v>34</v>
      </c>
      <c r="E31" s="396">
        <v>12</v>
      </c>
      <c r="F31" s="275"/>
      <c r="G31" s="275"/>
      <c r="H31" s="395"/>
      <c r="I31" s="405">
        <v>1</v>
      </c>
      <c r="J31" s="395"/>
      <c r="K31" s="395"/>
      <c r="L31" s="395"/>
      <c r="M31" s="395"/>
      <c r="N31" s="395"/>
      <c r="O31" s="395"/>
      <c r="P31" s="409">
        <f t="shared" si="0"/>
        <v>1</v>
      </c>
    </row>
    <row r="32" spans="1:16" ht="28" x14ac:dyDescent="0.35">
      <c r="A32" s="29"/>
      <c r="B32" s="408">
        <v>11</v>
      </c>
      <c r="C32" s="393" t="s">
        <v>152</v>
      </c>
      <c r="D32" s="231" t="s">
        <v>34</v>
      </c>
      <c r="E32" s="396">
        <v>3</v>
      </c>
      <c r="F32" s="275"/>
      <c r="G32" s="275"/>
      <c r="H32" s="395"/>
      <c r="I32" s="395"/>
      <c r="J32" s="405">
        <v>0.9</v>
      </c>
      <c r="K32" s="405">
        <v>0.1</v>
      </c>
      <c r="L32" s="395"/>
      <c r="M32" s="395"/>
      <c r="N32" s="395"/>
      <c r="O32" s="395"/>
      <c r="P32" s="409">
        <f t="shared" si="0"/>
        <v>1</v>
      </c>
    </row>
    <row r="33" spans="1:16" x14ac:dyDescent="0.35">
      <c r="A33" s="29"/>
      <c r="B33" s="410" t="s">
        <v>264</v>
      </c>
      <c r="C33" s="393"/>
      <c r="D33" s="231" t="s">
        <v>254</v>
      </c>
      <c r="E33" s="396"/>
      <c r="F33" s="275"/>
      <c r="G33" s="275"/>
      <c r="H33" s="395"/>
      <c r="I33" s="395"/>
      <c r="J33" s="395"/>
      <c r="K33" s="395"/>
      <c r="L33" s="395"/>
      <c r="M33" s="395"/>
      <c r="N33" s="395"/>
      <c r="O33" s="395"/>
      <c r="P33" s="409">
        <f t="shared" si="0"/>
        <v>0</v>
      </c>
    </row>
    <row r="34" spans="1:16" x14ac:dyDescent="0.35">
      <c r="A34" s="29"/>
      <c r="B34" s="408"/>
      <c r="C34" s="793"/>
      <c r="D34" s="793"/>
      <c r="E34" s="246"/>
      <c r="F34" s="275"/>
      <c r="G34" s="275"/>
      <c r="H34" s="395"/>
      <c r="I34" s="395"/>
      <c r="J34" s="395"/>
      <c r="K34" s="395"/>
      <c r="L34" s="395"/>
      <c r="M34" s="395"/>
      <c r="N34" s="395"/>
      <c r="O34" s="395"/>
      <c r="P34" s="409">
        <f t="shared" si="0"/>
        <v>0</v>
      </c>
    </row>
    <row r="35" spans="1:16" x14ac:dyDescent="0.35">
      <c r="A35" s="29"/>
      <c r="B35" s="408"/>
      <c r="C35" s="793"/>
      <c r="D35" s="793"/>
      <c r="E35" s="246"/>
      <c r="F35" s="275"/>
      <c r="G35" s="275"/>
      <c r="H35" s="395"/>
      <c r="I35" s="395"/>
      <c r="J35" s="395"/>
      <c r="K35" s="395"/>
      <c r="L35" s="395"/>
      <c r="M35" s="395"/>
      <c r="N35" s="395"/>
      <c r="O35" s="395"/>
      <c r="P35" s="409">
        <f t="shared" si="0"/>
        <v>0</v>
      </c>
    </row>
    <row r="36" spans="1:16" x14ac:dyDescent="0.35">
      <c r="A36" s="29"/>
      <c r="B36" s="408"/>
      <c r="C36" s="793"/>
      <c r="D36" s="793"/>
      <c r="E36" s="246"/>
      <c r="F36" s="275"/>
      <c r="G36" s="275"/>
      <c r="H36" s="395"/>
      <c r="I36" s="395"/>
      <c r="J36" s="395"/>
      <c r="K36" s="395"/>
      <c r="L36" s="395"/>
      <c r="M36" s="395"/>
      <c r="N36" s="395"/>
      <c r="O36" s="395"/>
      <c r="P36" s="409">
        <f t="shared" si="0"/>
        <v>0</v>
      </c>
    </row>
    <row r="37" spans="1:16" ht="26.25" customHeight="1" x14ac:dyDescent="0.35">
      <c r="A37" s="45"/>
      <c r="B37" s="834" t="s">
        <v>11</v>
      </c>
      <c r="C37" s="835"/>
      <c r="D37" s="835"/>
      <c r="E37" s="835"/>
      <c r="F37" s="835"/>
      <c r="G37" s="835"/>
      <c r="H37" s="835"/>
      <c r="I37" s="835"/>
      <c r="J37" s="835"/>
      <c r="K37" s="835"/>
      <c r="L37" s="835"/>
      <c r="M37" s="835"/>
      <c r="N37" s="835"/>
      <c r="O37" s="835"/>
      <c r="P37" s="836"/>
    </row>
    <row r="38" spans="1:16" ht="28" x14ac:dyDescent="0.35">
      <c r="A38" s="29"/>
      <c r="B38" s="408">
        <v>12</v>
      </c>
      <c r="C38" s="393" t="s">
        <v>153</v>
      </c>
      <c r="D38" s="231" t="s">
        <v>34</v>
      </c>
      <c r="E38" s="396">
        <v>12</v>
      </c>
      <c r="F38" s="275"/>
      <c r="G38" s="275"/>
      <c r="H38" s="395"/>
      <c r="I38" s="395"/>
      <c r="J38" s="405">
        <v>1</v>
      </c>
      <c r="K38" s="395"/>
      <c r="L38" s="395"/>
      <c r="M38" s="395"/>
      <c r="N38" s="395"/>
      <c r="O38" s="395"/>
      <c r="P38" s="409">
        <f t="shared" si="0"/>
        <v>1</v>
      </c>
    </row>
    <row r="39" spans="1:16" ht="28" x14ac:dyDescent="0.35">
      <c r="A39" s="29"/>
      <c r="B39" s="408">
        <v>13</v>
      </c>
      <c r="C39" s="393" t="s">
        <v>154</v>
      </c>
      <c r="D39" s="231" t="s">
        <v>34</v>
      </c>
      <c r="E39" s="396">
        <v>12</v>
      </c>
      <c r="F39" s="275"/>
      <c r="G39" s="275"/>
      <c r="H39" s="395"/>
      <c r="I39" s="395"/>
      <c r="J39" s="405">
        <v>1</v>
      </c>
      <c r="K39" s="395"/>
      <c r="L39" s="395"/>
      <c r="M39" s="395"/>
      <c r="N39" s="395"/>
      <c r="O39" s="395"/>
      <c r="P39" s="409">
        <f t="shared" si="0"/>
        <v>1</v>
      </c>
    </row>
    <row r="40" spans="1:16" ht="28" x14ac:dyDescent="0.35">
      <c r="A40" s="29"/>
      <c r="B40" s="408">
        <v>14</v>
      </c>
      <c r="C40" s="393" t="s">
        <v>155</v>
      </c>
      <c r="D40" s="231" t="s">
        <v>34</v>
      </c>
      <c r="E40" s="396">
        <v>12</v>
      </c>
      <c r="F40" s="275"/>
      <c r="G40" s="275"/>
      <c r="H40" s="395"/>
      <c r="I40" s="395"/>
      <c r="J40" s="405">
        <v>1</v>
      </c>
      <c r="K40" s="395"/>
      <c r="L40" s="395"/>
      <c r="M40" s="395"/>
      <c r="N40" s="395"/>
      <c r="O40" s="395"/>
      <c r="P40" s="409">
        <f t="shared" si="0"/>
        <v>1</v>
      </c>
    </row>
    <row r="41" spans="1:16" x14ac:dyDescent="0.35">
      <c r="A41" s="29"/>
      <c r="B41" s="410" t="s">
        <v>264</v>
      </c>
      <c r="C41" s="393"/>
      <c r="D41" s="231" t="s">
        <v>254</v>
      </c>
      <c r="E41" s="396"/>
      <c r="F41" s="275"/>
      <c r="G41" s="275"/>
      <c r="H41" s="395"/>
      <c r="I41" s="395"/>
      <c r="J41" s="395"/>
      <c r="K41" s="395"/>
      <c r="L41" s="395"/>
      <c r="M41" s="395"/>
      <c r="N41" s="395"/>
      <c r="O41" s="395"/>
      <c r="P41" s="409">
        <f t="shared" si="0"/>
        <v>0</v>
      </c>
    </row>
    <row r="42" spans="1:16" x14ac:dyDescent="0.35">
      <c r="A42" s="29"/>
      <c r="B42" s="408"/>
      <c r="C42" s="793"/>
      <c r="D42" s="793"/>
      <c r="E42" s="246"/>
      <c r="F42" s="275"/>
      <c r="G42" s="275"/>
      <c r="H42" s="395"/>
      <c r="I42" s="395"/>
      <c r="J42" s="395"/>
      <c r="K42" s="395"/>
      <c r="L42" s="395"/>
      <c r="M42" s="395"/>
      <c r="N42" s="395"/>
      <c r="O42" s="395"/>
      <c r="P42" s="409">
        <f t="shared" si="0"/>
        <v>0</v>
      </c>
    </row>
    <row r="43" spans="1:16" x14ac:dyDescent="0.35">
      <c r="A43" s="29"/>
      <c r="B43" s="408"/>
      <c r="C43" s="793"/>
      <c r="D43" s="793"/>
      <c r="E43" s="246"/>
      <c r="F43" s="275"/>
      <c r="G43" s="275"/>
      <c r="H43" s="395"/>
      <c r="I43" s="395"/>
      <c r="J43" s="395"/>
      <c r="K43" s="395"/>
      <c r="L43" s="395"/>
      <c r="M43" s="395"/>
      <c r="N43" s="395"/>
      <c r="O43" s="395"/>
      <c r="P43" s="409">
        <f t="shared" si="0"/>
        <v>0</v>
      </c>
    </row>
    <row r="44" spans="1:16" x14ac:dyDescent="0.35">
      <c r="A44" s="29"/>
      <c r="B44" s="408"/>
      <c r="C44" s="793"/>
      <c r="D44" s="793"/>
      <c r="E44" s="246"/>
      <c r="F44" s="275"/>
      <c r="G44" s="275"/>
      <c r="H44" s="395"/>
      <c r="I44" s="395"/>
      <c r="J44" s="395"/>
      <c r="K44" s="395"/>
      <c r="L44" s="395"/>
      <c r="M44" s="395"/>
      <c r="N44" s="395"/>
      <c r="O44" s="395"/>
      <c r="P44" s="409">
        <f t="shared" si="0"/>
        <v>0</v>
      </c>
    </row>
    <row r="45" spans="1:16" ht="24" customHeight="1" x14ac:dyDescent="0.35">
      <c r="A45" s="45"/>
      <c r="B45" s="834" t="s">
        <v>156</v>
      </c>
      <c r="C45" s="835"/>
      <c r="D45" s="835"/>
      <c r="E45" s="835"/>
      <c r="F45" s="835"/>
      <c r="G45" s="835"/>
      <c r="H45" s="835"/>
      <c r="I45" s="835"/>
      <c r="J45" s="835"/>
      <c r="K45" s="835"/>
      <c r="L45" s="835"/>
      <c r="M45" s="835"/>
      <c r="N45" s="835"/>
      <c r="O45" s="835"/>
      <c r="P45" s="836"/>
    </row>
    <row r="46" spans="1:16" x14ac:dyDescent="0.35">
      <c r="A46" s="29"/>
      <c r="B46" s="408">
        <v>15</v>
      </c>
      <c r="C46" s="393" t="s">
        <v>157</v>
      </c>
      <c r="D46" s="231" t="s">
        <v>34</v>
      </c>
      <c r="E46" s="396"/>
      <c r="F46" s="275"/>
      <c r="G46" s="275"/>
      <c r="H46" s="405">
        <v>1</v>
      </c>
      <c r="I46" s="395"/>
      <c r="J46" s="395"/>
      <c r="K46" s="395"/>
      <c r="L46" s="395"/>
      <c r="M46" s="395"/>
      <c r="N46" s="395"/>
      <c r="O46" s="395"/>
      <c r="P46" s="409">
        <f t="shared" si="0"/>
        <v>1</v>
      </c>
    </row>
    <row r="47" spans="1:16" x14ac:dyDescent="0.35">
      <c r="A47" s="29"/>
      <c r="B47" s="410" t="s">
        <v>264</v>
      </c>
      <c r="C47" s="393"/>
      <c r="D47" s="231" t="s">
        <v>254</v>
      </c>
      <c r="E47" s="396"/>
      <c r="F47" s="275"/>
      <c r="G47" s="275"/>
      <c r="H47" s="405"/>
      <c r="I47" s="395"/>
      <c r="J47" s="395"/>
      <c r="K47" s="395"/>
      <c r="L47" s="395"/>
      <c r="M47" s="395"/>
      <c r="N47" s="395"/>
      <c r="O47" s="395"/>
      <c r="P47" s="409">
        <f t="shared" si="0"/>
        <v>0</v>
      </c>
    </row>
    <row r="48" spans="1:16" x14ac:dyDescent="0.35">
      <c r="A48" s="29"/>
      <c r="B48" s="408"/>
      <c r="C48" s="793"/>
      <c r="D48" s="793"/>
      <c r="E48" s="246"/>
      <c r="F48" s="275"/>
      <c r="G48" s="275"/>
      <c r="H48" s="405"/>
      <c r="I48" s="395"/>
      <c r="J48" s="395"/>
      <c r="K48" s="395"/>
      <c r="L48" s="395"/>
      <c r="M48" s="395"/>
      <c r="N48" s="395"/>
      <c r="O48" s="395"/>
      <c r="P48" s="409">
        <f t="shared" si="0"/>
        <v>0</v>
      </c>
    </row>
    <row r="49" spans="1:16" x14ac:dyDescent="0.35">
      <c r="A49" s="29"/>
      <c r="B49" s="408"/>
      <c r="C49" s="793"/>
      <c r="D49" s="793"/>
      <c r="E49" s="246"/>
      <c r="F49" s="275"/>
      <c r="G49" s="275"/>
      <c r="H49" s="405"/>
      <c r="I49" s="395"/>
      <c r="J49" s="395"/>
      <c r="K49" s="395"/>
      <c r="L49" s="395"/>
      <c r="M49" s="395"/>
      <c r="N49" s="395"/>
      <c r="O49" s="395"/>
      <c r="P49" s="409"/>
    </row>
    <row r="50" spans="1:16" x14ac:dyDescent="0.35">
      <c r="A50" s="29"/>
      <c r="B50" s="408"/>
      <c r="C50" s="793"/>
      <c r="D50" s="793"/>
      <c r="E50" s="246"/>
      <c r="F50" s="275"/>
      <c r="G50" s="275"/>
      <c r="H50" s="405"/>
      <c r="I50" s="395"/>
      <c r="J50" s="395"/>
      <c r="K50" s="395"/>
      <c r="L50" s="395"/>
      <c r="M50" s="395"/>
      <c r="N50" s="395"/>
      <c r="O50" s="395"/>
      <c r="P50" s="409">
        <f t="shared" si="0"/>
        <v>0</v>
      </c>
    </row>
    <row r="51" spans="1:16" ht="21" customHeight="1" x14ac:dyDescent="0.35">
      <c r="A51" s="43"/>
      <c r="B51" s="834" t="s">
        <v>158</v>
      </c>
      <c r="C51" s="835"/>
      <c r="D51" s="835"/>
      <c r="E51" s="835"/>
      <c r="F51" s="835"/>
      <c r="G51" s="835"/>
      <c r="H51" s="835"/>
      <c r="I51" s="835"/>
      <c r="J51" s="835"/>
      <c r="K51" s="835"/>
      <c r="L51" s="835"/>
      <c r="M51" s="835"/>
      <c r="N51" s="835"/>
      <c r="O51" s="835"/>
      <c r="P51" s="836"/>
    </row>
    <row r="52" spans="1:16" x14ac:dyDescent="0.35">
      <c r="A52" s="29"/>
      <c r="B52" s="408">
        <v>16</v>
      </c>
      <c r="C52" s="393" t="s">
        <v>159</v>
      </c>
      <c r="D52" s="231" t="s">
        <v>34</v>
      </c>
      <c r="E52" s="396"/>
      <c r="F52" s="275"/>
      <c r="G52" s="275"/>
      <c r="H52" s="395"/>
      <c r="I52" s="395"/>
      <c r="J52" s="395"/>
      <c r="K52" s="395"/>
      <c r="L52" s="395"/>
      <c r="M52" s="395"/>
      <c r="N52" s="395"/>
      <c r="O52" s="395"/>
      <c r="P52" s="409">
        <f t="shared" si="0"/>
        <v>0</v>
      </c>
    </row>
    <row r="53" spans="1:16" x14ac:dyDescent="0.35">
      <c r="A53" s="29"/>
      <c r="B53" s="408">
        <v>17</v>
      </c>
      <c r="C53" s="393" t="s">
        <v>160</v>
      </c>
      <c r="D53" s="231" t="s">
        <v>34</v>
      </c>
      <c r="E53" s="396"/>
      <c r="F53" s="275"/>
      <c r="G53" s="275"/>
      <c r="H53" s="395"/>
      <c r="I53" s="395"/>
      <c r="J53" s="395"/>
      <c r="K53" s="395"/>
      <c r="L53" s="395"/>
      <c r="M53" s="395"/>
      <c r="N53" s="395"/>
      <c r="O53" s="395"/>
      <c r="P53" s="409">
        <f t="shared" si="0"/>
        <v>0</v>
      </c>
    </row>
    <row r="54" spans="1:16" x14ac:dyDescent="0.35">
      <c r="A54" s="29"/>
      <c r="B54" s="408">
        <v>18</v>
      </c>
      <c r="C54" s="393" t="s">
        <v>161</v>
      </c>
      <c r="D54" s="231" t="s">
        <v>34</v>
      </c>
      <c r="E54" s="396"/>
      <c r="F54" s="275"/>
      <c r="G54" s="275"/>
      <c r="H54" s="395"/>
      <c r="I54" s="395"/>
      <c r="J54" s="395"/>
      <c r="K54" s="395"/>
      <c r="L54" s="395"/>
      <c r="M54" s="395"/>
      <c r="N54" s="395"/>
      <c r="O54" s="395"/>
      <c r="P54" s="409">
        <f t="shared" si="0"/>
        <v>0</v>
      </c>
    </row>
    <row r="55" spans="1:16" x14ac:dyDescent="0.35">
      <c r="A55" s="29"/>
      <c r="B55" s="408">
        <v>19</v>
      </c>
      <c r="C55" s="393" t="s">
        <v>162</v>
      </c>
      <c r="D55" s="231" t="s">
        <v>34</v>
      </c>
      <c r="E55" s="396"/>
      <c r="F55" s="275"/>
      <c r="G55" s="275"/>
      <c r="H55" s="395"/>
      <c r="I55" s="395"/>
      <c r="J55" s="395"/>
      <c r="K55" s="395"/>
      <c r="L55" s="395"/>
      <c r="M55" s="395"/>
      <c r="N55" s="395"/>
      <c r="O55" s="395"/>
      <c r="P55" s="409">
        <f t="shared" si="0"/>
        <v>0</v>
      </c>
    </row>
    <row r="56" spans="1:16" x14ac:dyDescent="0.35">
      <c r="A56" s="29"/>
      <c r="B56" s="410" t="s">
        <v>264</v>
      </c>
      <c r="C56" s="393"/>
      <c r="D56" s="231" t="s">
        <v>254</v>
      </c>
      <c r="E56" s="396"/>
      <c r="F56" s="275"/>
      <c r="G56" s="275"/>
      <c r="H56" s="395"/>
      <c r="I56" s="395"/>
      <c r="J56" s="395"/>
      <c r="K56" s="395"/>
      <c r="L56" s="395"/>
      <c r="M56" s="395"/>
      <c r="N56" s="395"/>
      <c r="O56" s="395"/>
      <c r="P56" s="409">
        <f t="shared" si="0"/>
        <v>0</v>
      </c>
    </row>
    <row r="57" spans="1:16" x14ac:dyDescent="0.35">
      <c r="A57" s="29"/>
      <c r="B57" s="410"/>
      <c r="C57" s="793"/>
      <c r="D57" s="793"/>
      <c r="E57" s="246"/>
      <c r="F57" s="275"/>
      <c r="G57" s="275"/>
      <c r="H57" s="395"/>
      <c r="I57" s="395"/>
      <c r="J57" s="395"/>
      <c r="K57" s="395"/>
      <c r="L57" s="395"/>
      <c r="M57" s="395"/>
      <c r="N57" s="395"/>
      <c r="O57" s="395"/>
      <c r="P57" s="409"/>
    </row>
    <row r="58" spans="1:16" x14ac:dyDescent="0.35">
      <c r="A58" s="29"/>
      <c r="B58" s="410"/>
      <c r="C58" s="793"/>
      <c r="D58" s="793"/>
      <c r="E58" s="246"/>
      <c r="F58" s="275"/>
      <c r="G58" s="275"/>
      <c r="H58" s="395"/>
      <c r="I58" s="395"/>
      <c r="J58" s="395"/>
      <c r="K58" s="395"/>
      <c r="L58" s="395"/>
      <c r="M58" s="395"/>
      <c r="N58" s="395"/>
      <c r="O58" s="395"/>
      <c r="P58" s="409"/>
    </row>
    <row r="59" spans="1:16" x14ac:dyDescent="0.35">
      <c r="A59" s="28"/>
      <c r="B59" s="411"/>
      <c r="C59" s="793"/>
      <c r="D59" s="793"/>
      <c r="E59" s="246"/>
      <c r="F59" s="275"/>
      <c r="G59" s="275"/>
      <c r="H59" s="399"/>
      <c r="I59" s="399"/>
      <c r="J59" s="399"/>
      <c r="K59" s="399"/>
      <c r="L59" s="399"/>
      <c r="M59" s="399"/>
      <c r="N59" s="399"/>
      <c r="O59" s="399"/>
      <c r="P59" s="409"/>
    </row>
    <row r="60" spans="1:16" ht="27" customHeight="1" x14ac:dyDescent="0.35">
      <c r="B60" s="842" t="s">
        <v>163</v>
      </c>
      <c r="C60" s="843"/>
      <c r="D60" s="843"/>
      <c r="E60" s="843"/>
      <c r="F60" s="843"/>
      <c r="G60" s="843"/>
      <c r="H60" s="843"/>
      <c r="I60" s="843"/>
      <c r="J60" s="843"/>
      <c r="K60" s="843"/>
      <c r="L60" s="843"/>
      <c r="M60" s="843"/>
      <c r="N60" s="843"/>
      <c r="O60" s="843"/>
      <c r="P60" s="844"/>
    </row>
    <row r="61" spans="1:16" ht="16.5" x14ac:dyDescent="0.35">
      <c r="B61" s="412"/>
      <c r="C61" s="393"/>
      <c r="D61" s="396"/>
      <c r="E61" s="396"/>
      <c r="F61" s="392"/>
      <c r="G61" s="392"/>
      <c r="H61" s="392"/>
      <c r="I61" s="392"/>
      <c r="J61" s="392"/>
      <c r="K61" s="392"/>
      <c r="L61" s="392"/>
      <c r="M61" s="392"/>
      <c r="N61" s="392"/>
      <c r="O61" s="392"/>
      <c r="P61" s="413"/>
    </row>
    <row r="62" spans="1:16" ht="25.5" customHeight="1" x14ac:dyDescent="0.35">
      <c r="A62" s="45"/>
      <c r="B62" s="837" t="s">
        <v>164</v>
      </c>
      <c r="C62" s="806"/>
      <c r="D62" s="806"/>
      <c r="E62" s="806"/>
      <c r="F62" s="806"/>
      <c r="G62" s="806"/>
      <c r="H62" s="806"/>
      <c r="I62" s="806"/>
      <c r="J62" s="806"/>
      <c r="K62" s="806"/>
      <c r="L62" s="806"/>
      <c r="M62" s="806"/>
      <c r="N62" s="806"/>
      <c r="O62" s="806"/>
      <c r="P62" s="838"/>
    </row>
    <row r="63" spans="1:16" x14ac:dyDescent="0.35">
      <c r="A63" s="29"/>
      <c r="B63" s="408">
        <v>21</v>
      </c>
      <c r="C63" s="393" t="s">
        <v>165</v>
      </c>
      <c r="D63" s="231" t="s">
        <v>34</v>
      </c>
      <c r="E63" s="396"/>
      <c r="F63" s="275"/>
      <c r="G63" s="275"/>
      <c r="H63" s="405">
        <v>1</v>
      </c>
      <c r="I63" s="395"/>
      <c r="J63" s="395"/>
      <c r="K63" s="395"/>
      <c r="L63" s="395"/>
      <c r="M63" s="395"/>
      <c r="N63" s="395"/>
      <c r="O63" s="395"/>
      <c r="P63" s="409">
        <f t="shared" si="0"/>
        <v>1</v>
      </c>
    </row>
    <row r="64" spans="1:16" x14ac:dyDescent="0.35">
      <c r="A64" s="29"/>
      <c r="B64" s="408">
        <v>22</v>
      </c>
      <c r="C64" s="393" t="s">
        <v>166</v>
      </c>
      <c r="D64" s="231" t="s">
        <v>34</v>
      </c>
      <c r="E64" s="396"/>
      <c r="F64" s="275"/>
      <c r="G64" s="275"/>
      <c r="H64" s="405">
        <v>1</v>
      </c>
      <c r="I64" s="395"/>
      <c r="J64" s="395"/>
      <c r="K64" s="395"/>
      <c r="L64" s="395"/>
      <c r="M64" s="395"/>
      <c r="N64" s="395"/>
      <c r="O64" s="395"/>
      <c r="P64" s="409">
        <f t="shared" si="0"/>
        <v>1</v>
      </c>
    </row>
    <row r="65" spans="1:16" x14ac:dyDescent="0.35">
      <c r="A65" s="29"/>
      <c r="B65" s="408">
        <v>23</v>
      </c>
      <c r="C65" s="393" t="s">
        <v>167</v>
      </c>
      <c r="D65" s="231" t="s">
        <v>34</v>
      </c>
      <c r="E65" s="396"/>
      <c r="F65" s="275"/>
      <c r="G65" s="275"/>
      <c r="H65" s="405">
        <v>1</v>
      </c>
      <c r="I65" s="395"/>
      <c r="J65" s="395"/>
      <c r="K65" s="395"/>
      <c r="L65" s="395"/>
      <c r="M65" s="395"/>
      <c r="N65" s="395"/>
      <c r="O65" s="395"/>
      <c r="P65" s="409">
        <f t="shared" si="0"/>
        <v>1</v>
      </c>
    </row>
    <row r="66" spans="1:16" x14ac:dyDescent="0.35">
      <c r="A66" s="29"/>
      <c r="B66" s="408">
        <v>24</v>
      </c>
      <c r="C66" s="393" t="s">
        <v>168</v>
      </c>
      <c r="D66" s="231" t="s">
        <v>34</v>
      </c>
      <c r="E66" s="396"/>
      <c r="F66" s="275"/>
      <c r="G66" s="275"/>
      <c r="H66" s="405">
        <v>1</v>
      </c>
      <c r="I66" s="395"/>
      <c r="J66" s="395"/>
      <c r="K66" s="395"/>
      <c r="L66" s="395"/>
      <c r="M66" s="395"/>
      <c r="N66" s="395"/>
      <c r="O66" s="395"/>
      <c r="P66" s="409">
        <f t="shared" si="0"/>
        <v>1</v>
      </c>
    </row>
    <row r="67" spans="1:16" x14ac:dyDescent="0.35">
      <c r="A67" s="29"/>
      <c r="B67" s="410" t="s">
        <v>264</v>
      </c>
      <c r="C67" s="393"/>
      <c r="D67" s="231" t="s">
        <v>254</v>
      </c>
      <c r="E67" s="396"/>
      <c r="F67" s="275"/>
      <c r="G67" s="275"/>
      <c r="H67" s="405"/>
      <c r="I67" s="395"/>
      <c r="J67" s="395"/>
      <c r="K67" s="395"/>
      <c r="L67" s="395"/>
      <c r="M67" s="395"/>
      <c r="N67" s="395"/>
      <c r="O67" s="395"/>
      <c r="P67" s="409"/>
    </row>
    <row r="68" spans="1:16" x14ac:dyDescent="0.35">
      <c r="A68" s="29"/>
      <c r="B68" s="408"/>
      <c r="C68" s="793"/>
      <c r="D68" s="793"/>
      <c r="E68" s="246"/>
      <c r="F68" s="275"/>
      <c r="G68" s="275"/>
      <c r="H68" s="405"/>
      <c r="I68" s="395"/>
      <c r="J68" s="395"/>
      <c r="K68" s="395"/>
      <c r="L68" s="395"/>
      <c r="M68" s="395"/>
      <c r="N68" s="395"/>
      <c r="O68" s="395"/>
      <c r="P68" s="409"/>
    </row>
    <row r="69" spans="1:16" x14ac:dyDescent="0.35">
      <c r="A69" s="29"/>
      <c r="B69" s="408"/>
      <c r="C69" s="793"/>
      <c r="D69" s="793"/>
      <c r="E69" s="246"/>
      <c r="F69" s="275"/>
      <c r="G69" s="275"/>
      <c r="H69" s="405"/>
      <c r="I69" s="395"/>
      <c r="J69" s="395"/>
      <c r="K69" s="395"/>
      <c r="L69" s="395"/>
      <c r="M69" s="395"/>
      <c r="N69" s="395"/>
      <c r="O69" s="395"/>
      <c r="P69" s="409"/>
    </row>
    <row r="70" spans="1:16" x14ac:dyDescent="0.35">
      <c r="A70" s="29"/>
      <c r="B70" s="408"/>
      <c r="C70" s="793"/>
      <c r="D70" s="793"/>
      <c r="E70" s="246"/>
      <c r="F70" s="275"/>
      <c r="G70" s="275"/>
      <c r="H70" s="395"/>
      <c r="I70" s="395"/>
      <c r="J70" s="395"/>
      <c r="K70" s="395"/>
      <c r="L70" s="395"/>
      <c r="M70" s="395"/>
      <c r="N70" s="395"/>
      <c r="O70" s="395"/>
      <c r="P70" s="409">
        <f t="shared" si="0"/>
        <v>0</v>
      </c>
    </row>
    <row r="71" spans="1:16" ht="28.5" customHeight="1" x14ac:dyDescent="0.35">
      <c r="A71" s="45"/>
      <c r="B71" s="837" t="s">
        <v>169</v>
      </c>
      <c r="C71" s="806"/>
      <c r="D71" s="806"/>
      <c r="E71" s="806"/>
      <c r="F71" s="806"/>
      <c r="G71" s="806"/>
      <c r="H71" s="806"/>
      <c r="I71" s="806"/>
      <c r="J71" s="806"/>
      <c r="K71" s="806"/>
      <c r="L71" s="806"/>
      <c r="M71" s="806"/>
      <c r="N71" s="806"/>
      <c r="O71" s="806"/>
      <c r="P71" s="838"/>
    </row>
    <row r="72" spans="1:16" x14ac:dyDescent="0.35">
      <c r="A72" s="29"/>
      <c r="B72" s="408">
        <v>25</v>
      </c>
      <c r="C72" s="393" t="s">
        <v>170</v>
      </c>
      <c r="D72" s="231" t="s">
        <v>34</v>
      </c>
      <c r="E72" s="396"/>
      <c r="F72" s="275"/>
      <c r="G72" s="275"/>
      <c r="H72" s="395"/>
      <c r="I72" s="405">
        <v>1</v>
      </c>
      <c r="J72" s="395"/>
      <c r="K72" s="395"/>
      <c r="L72" s="395"/>
      <c r="M72" s="395"/>
      <c r="N72" s="395"/>
      <c r="O72" s="395"/>
      <c r="P72" s="409">
        <f t="shared" si="0"/>
        <v>1</v>
      </c>
    </row>
    <row r="73" spans="1:16" x14ac:dyDescent="0.35">
      <c r="A73" s="29"/>
      <c r="B73" s="408">
        <v>26</v>
      </c>
      <c r="C73" s="393" t="s">
        <v>171</v>
      </c>
      <c r="D73" s="231" t="s">
        <v>34</v>
      </c>
      <c r="E73" s="396"/>
      <c r="F73" s="275"/>
      <c r="G73" s="275"/>
      <c r="H73" s="395"/>
      <c r="I73" s="405">
        <v>1</v>
      </c>
      <c r="J73" s="395"/>
      <c r="K73" s="395"/>
      <c r="L73" s="395"/>
      <c r="M73" s="395"/>
      <c r="N73" s="395"/>
      <c r="O73" s="395"/>
      <c r="P73" s="409">
        <f t="shared" si="0"/>
        <v>1</v>
      </c>
    </row>
    <row r="74" spans="1:16" ht="28" x14ac:dyDescent="0.35">
      <c r="A74" s="29"/>
      <c r="B74" s="408">
        <v>27</v>
      </c>
      <c r="C74" s="393" t="s">
        <v>172</v>
      </c>
      <c r="D74" s="231" t="s">
        <v>34</v>
      </c>
      <c r="E74" s="396"/>
      <c r="F74" s="275"/>
      <c r="G74" s="275"/>
      <c r="H74" s="395"/>
      <c r="I74" s="405">
        <v>0.8</v>
      </c>
      <c r="J74" s="405">
        <v>0.2</v>
      </c>
      <c r="K74" s="395"/>
      <c r="L74" s="395"/>
      <c r="M74" s="395"/>
      <c r="N74" s="395"/>
      <c r="O74" s="395"/>
      <c r="P74" s="409">
        <f t="shared" si="0"/>
        <v>1</v>
      </c>
    </row>
    <row r="75" spans="1:16" ht="28" x14ac:dyDescent="0.35">
      <c r="A75" s="29"/>
      <c r="B75" s="408">
        <v>28</v>
      </c>
      <c r="C75" s="393" t="s">
        <v>173</v>
      </c>
      <c r="D75" s="231" t="s">
        <v>34</v>
      </c>
      <c r="E75" s="396"/>
      <c r="F75" s="275"/>
      <c r="G75" s="275"/>
      <c r="H75" s="395"/>
      <c r="I75" s="395"/>
      <c r="J75" s="395"/>
      <c r="K75" s="395"/>
      <c r="L75" s="395"/>
      <c r="M75" s="395"/>
      <c r="N75" s="395"/>
      <c r="O75" s="395"/>
      <c r="P75" s="409">
        <f t="shared" si="0"/>
        <v>0</v>
      </c>
    </row>
    <row r="76" spans="1:16" ht="28" x14ac:dyDescent="0.35">
      <c r="A76" s="29"/>
      <c r="B76" s="408">
        <v>29</v>
      </c>
      <c r="C76" s="393" t="s">
        <v>174</v>
      </c>
      <c r="D76" s="231" t="s">
        <v>34</v>
      </c>
      <c r="E76" s="396"/>
      <c r="F76" s="275"/>
      <c r="G76" s="275"/>
      <c r="H76" s="395"/>
      <c r="I76" s="395"/>
      <c r="J76" s="395"/>
      <c r="K76" s="395"/>
      <c r="L76" s="395"/>
      <c r="M76" s="395"/>
      <c r="N76" s="395"/>
      <c r="O76" s="395"/>
      <c r="P76" s="409">
        <f t="shared" si="0"/>
        <v>0</v>
      </c>
    </row>
    <row r="77" spans="1:16" ht="28" x14ac:dyDescent="0.35">
      <c r="A77" s="29"/>
      <c r="B77" s="408">
        <v>30</v>
      </c>
      <c r="C77" s="393" t="s">
        <v>175</v>
      </c>
      <c r="D77" s="231" t="s">
        <v>34</v>
      </c>
      <c r="E77" s="396"/>
      <c r="F77" s="275"/>
      <c r="G77" s="275"/>
      <c r="H77" s="395"/>
      <c r="I77" s="395"/>
      <c r="J77" s="395"/>
      <c r="K77" s="395"/>
      <c r="L77" s="395"/>
      <c r="M77" s="395"/>
      <c r="N77" s="395"/>
      <c r="O77" s="395"/>
      <c r="P77" s="409">
        <f t="shared" si="0"/>
        <v>0</v>
      </c>
    </row>
    <row r="78" spans="1:16" x14ac:dyDescent="0.35">
      <c r="A78" s="29"/>
      <c r="B78" s="408">
        <v>31</v>
      </c>
      <c r="C78" s="393" t="s">
        <v>176</v>
      </c>
      <c r="D78" s="231" t="s">
        <v>34</v>
      </c>
      <c r="E78" s="396"/>
      <c r="F78" s="275"/>
      <c r="G78" s="275"/>
      <c r="H78" s="395"/>
      <c r="I78" s="395"/>
      <c r="J78" s="395"/>
      <c r="K78" s="395"/>
      <c r="L78" s="395"/>
      <c r="M78" s="395"/>
      <c r="N78" s="395"/>
      <c r="O78" s="395"/>
      <c r="P78" s="409">
        <f t="shared" si="0"/>
        <v>0</v>
      </c>
    </row>
    <row r="79" spans="1:16" x14ac:dyDescent="0.35">
      <c r="A79" s="29"/>
      <c r="B79" s="408">
        <v>32</v>
      </c>
      <c r="C79" s="393" t="s">
        <v>177</v>
      </c>
      <c r="D79" s="231" t="s">
        <v>34</v>
      </c>
      <c r="E79" s="396"/>
      <c r="F79" s="275"/>
      <c r="G79" s="275"/>
      <c r="H79" s="395"/>
      <c r="I79" s="395"/>
      <c r="J79" s="395"/>
      <c r="K79" s="395"/>
      <c r="L79" s="395"/>
      <c r="M79" s="395"/>
      <c r="N79" s="395"/>
      <c r="O79" s="395"/>
      <c r="P79" s="409">
        <f t="shared" si="0"/>
        <v>0</v>
      </c>
    </row>
    <row r="80" spans="1:16" x14ac:dyDescent="0.35">
      <c r="A80" s="29"/>
      <c r="B80" s="410" t="s">
        <v>264</v>
      </c>
      <c r="C80" s="393"/>
      <c r="D80" s="231" t="s">
        <v>254</v>
      </c>
      <c r="E80" s="396"/>
      <c r="F80" s="275"/>
      <c r="G80" s="275"/>
      <c r="H80" s="395"/>
      <c r="I80" s="395"/>
      <c r="J80" s="395"/>
      <c r="K80" s="395"/>
      <c r="L80" s="395"/>
      <c r="M80" s="395"/>
      <c r="N80" s="395"/>
      <c r="O80" s="395"/>
      <c r="P80" s="409"/>
    </row>
    <row r="81" spans="1:16" x14ac:dyDescent="0.35">
      <c r="A81" s="29"/>
      <c r="B81" s="408"/>
      <c r="C81" s="793"/>
      <c r="D81" s="793"/>
      <c r="E81" s="246"/>
      <c r="F81" s="275"/>
      <c r="G81" s="275"/>
      <c r="H81" s="395"/>
      <c r="I81" s="395"/>
      <c r="J81" s="395"/>
      <c r="K81" s="395"/>
      <c r="L81" s="395"/>
      <c r="M81" s="395"/>
      <c r="N81" s="395"/>
      <c r="O81" s="395"/>
      <c r="P81" s="409"/>
    </row>
    <row r="82" spans="1:16" x14ac:dyDescent="0.35">
      <c r="A82" s="29"/>
      <c r="B82" s="408"/>
      <c r="C82" s="793"/>
      <c r="D82" s="793"/>
      <c r="E82" s="246"/>
      <c r="F82" s="275"/>
      <c r="G82" s="275"/>
      <c r="H82" s="395"/>
      <c r="I82" s="395"/>
      <c r="J82" s="395"/>
      <c r="K82" s="395"/>
      <c r="L82" s="395"/>
      <c r="M82" s="395"/>
      <c r="N82" s="395"/>
      <c r="O82" s="395"/>
      <c r="P82" s="409"/>
    </row>
    <row r="83" spans="1:16" x14ac:dyDescent="0.35">
      <c r="A83" s="29"/>
      <c r="B83" s="408"/>
      <c r="C83" s="793"/>
      <c r="D83" s="793"/>
      <c r="E83" s="246"/>
      <c r="F83" s="275"/>
      <c r="G83" s="275"/>
      <c r="H83" s="395"/>
      <c r="I83" s="395"/>
      <c r="J83" s="395"/>
      <c r="K83" s="395"/>
      <c r="L83" s="395"/>
      <c r="M83" s="395"/>
      <c r="N83" s="395"/>
      <c r="O83" s="395"/>
      <c r="P83" s="409">
        <f t="shared" ref="P83:P106" si="1">SUM(H83:O83)</f>
        <v>0</v>
      </c>
    </row>
    <row r="84" spans="1:16" ht="25.5" customHeight="1" x14ac:dyDescent="0.35">
      <c r="A84" s="45"/>
      <c r="B84" s="837" t="s">
        <v>178</v>
      </c>
      <c r="C84" s="806"/>
      <c r="D84" s="806"/>
      <c r="E84" s="806"/>
      <c r="F84" s="806"/>
      <c r="G84" s="806"/>
      <c r="H84" s="806"/>
      <c r="I84" s="806"/>
      <c r="J84" s="806"/>
      <c r="K84" s="806"/>
      <c r="L84" s="806"/>
      <c r="M84" s="806"/>
      <c r="N84" s="806"/>
      <c r="O84" s="806"/>
      <c r="P84" s="838"/>
    </row>
    <row r="85" spans="1:16" x14ac:dyDescent="0.35">
      <c r="A85" s="29"/>
      <c r="B85" s="408">
        <v>33</v>
      </c>
      <c r="C85" s="393" t="s">
        <v>179</v>
      </c>
      <c r="D85" s="231" t="s">
        <v>34</v>
      </c>
      <c r="E85" s="396"/>
      <c r="F85" s="275"/>
      <c r="G85" s="275"/>
      <c r="H85" s="401"/>
      <c r="I85" s="401"/>
      <c r="J85" s="401"/>
      <c r="K85" s="401"/>
      <c r="L85" s="401"/>
      <c r="M85" s="401"/>
      <c r="N85" s="401"/>
      <c r="O85" s="401"/>
      <c r="P85" s="409">
        <f t="shared" si="1"/>
        <v>0</v>
      </c>
    </row>
    <row r="86" spans="1:16" x14ac:dyDescent="0.35">
      <c r="A86" s="29"/>
      <c r="B86" s="408">
        <v>34</v>
      </c>
      <c r="C86" s="393" t="s">
        <v>180</v>
      </c>
      <c r="D86" s="231" t="s">
        <v>34</v>
      </c>
      <c r="E86" s="396"/>
      <c r="F86" s="275"/>
      <c r="G86" s="275"/>
      <c r="H86" s="401"/>
      <c r="I86" s="401"/>
      <c r="J86" s="401"/>
      <c r="K86" s="401"/>
      <c r="L86" s="401"/>
      <c r="M86" s="401"/>
      <c r="N86" s="401"/>
      <c r="O86" s="401"/>
      <c r="P86" s="409">
        <f t="shared" si="1"/>
        <v>0</v>
      </c>
    </row>
    <row r="87" spans="1:16" x14ac:dyDescent="0.35">
      <c r="A87" s="29"/>
      <c r="B87" s="408">
        <v>35</v>
      </c>
      <c r="C87" s="393" t="s">
        <v>181</v>
      </c>
      <c r="D87" s="231" t="s">
        <v>34</v>
      </c>
      <c r="E87" s="396"/>
      <c r="F87" s="275"/>
      <c r="G87" s="275"/>
      <c r="H87" s="401"/>
      <c r="I87" s="401"/>
      <c r="J87" s="401"/>
      <c r="K87" s="401"/>
      <c r="L87" s="401"/>
      <c r="M87" s="401"/>
      <c r="N87" s="401"/>
      <c r="O87" s="401"/>
      <c r="P87" s="409">
        <f t="shared" si="1"/>
        <v>0</v>
      </c>
    </row>
    <row r="88" spans="1:16" x14ac:dyDescent="0.35">
      <c r="A88" s="29"/>
      <c r="B88" s="410" t="s">
        <v>264</v>
      </c>
      <c r="C88" s="393"/>
      <c r="D88" s="231" t="s">
        <v>254</v>
      </c>
      <c r="E88" s="396"/>
      <c r="F88" s="275"/>
      <c r="G88" s="275"/>
      <c r="H88" s="401"/>
      <c r="I88" s="401"/>
      <c r="J88" s="401"/>
      <c r="K88" s="401"/>
      <c r="L88" s="401"/>
      <c r="M88" s="401"/>
      <c r="N88" s="401"/>
      <c r="O88" s="401"/>
      <c r="P88" s="409"/>
    </row>
    <row r="89" spans="1:16" x14ac:dyDescent="0.35">
      <c r="A89" s="29"/>
      <c r="B89" s="408"/>
      <c r="C89" s="793"/>
      <c r="D89" s="793"/>
      <c r="E89" s="246"/>
      <c r="F89" s="275"/>
      <c r="G89" s="275"/>
      <c r="H89" s="401"/>
      <c r="I89" s="401"/>
      <c r="J89" s="401"/>
      <c r="K89" s="401"/>
      <c r="L89" s="401"/>
      <c r="M89" s="401"/>
      <c r="N89" s="401"/>
      <c r="O89" s="401"/>
      <c r="P89" s="409"/>
    </row>
    <row r="90" spans="1:16" x14ac:dyDescent="0.35">
      <c r="A90" s="29"/>
      <c r="B90" s="408"/>
      <c r="C90" s="793"/>
      <c r="D90" s="793"/>
      <c r="E90" s="246"/>
      <c r="F90" s="275"/>
      <c r="G90" s="275"/>
      <c r="H90" s="401"/>
      <c r="I90" s="401"/>
      <c r="J90" s="401"/>
      <c r="K90" s="401"/>
      <c r="L90" s="401"/>
      <c r="M90" s="401"/>
      <c r="N90" s="401"/>
      <c r="O90" s="401"/>
      <c r="P90" s="409"/>
    </row>
    <row r="91" spans="1:16" x14ac:dyDescent="0.35">
      <c r="A91" s="29"/>
      <c r="B91" s="408"/>
      <c r="C91" s="793"/>
      <c r="D91" s="793"/>
      <c r="E91" s="246"/>
      <c r="F91" s="275"/>
      <c r="G91" s="275"/>
      <c r="H91" s="401"/>
      <c r="I91" s="401"/>
      <c r="J91" s="401"/>
      <c r="K91" s="401"/>
      <c r="L91" s="401"/>
      <c r="M91" s="401"/>
      <c r="N91" s="401"/>
      <c r="O91" s="401"/>
      <c r="P91" s="409">
        <f t="shared" si="1"/>
        <v>0</v>
      </c>
    </row>
    <row r="92" spans="1:16" ht="24" customHeight="1" x14ac:dyDescent="0.35">
      <c r="A92" s="45"/>
      <c r="B92" s="837" t="s">
        <v>182</v>
      </c>
      <c r="C92" s="806"/>
      <c r="D92" s="806"/>
      <c r="E92" s="806"/>
      <c r="F92" s="806"/>
      <c r="G92" s="806"/>
      <c r="H92" s="806"/>
      <c r="I92" s="806"/>
      <c r="J92" s="806"/>
      <c r="K92" s="806"/>
      <c r="L92" s="806"/>
      <c r="M92" s="806"/>
      <c r="N92" s="806"/>
      <c r="O92" s="806"/>
      <c r="P92" s="838"/>
    </row>
    <row r="93" spans="1:16" ht="42" x14ac:dyDescent="0.35">
      <c r="A93" s="29"/>
      <c r="B93" s="408">
        <v>36</v>
      </c>
      <c r="C93" s="393" t="s">
        <v>183</v>
      </c>
      <c r="D93" s="231" t="s">
        <v>34</v>
      </c>
      <c r="E93" s="396"/>
      <c r="F93" s="275"/>
      <c r="G93" s="275"/>
      <c r="H93" s="401"/>
      <c r="I93" s="401"/>
      <c r="J93" s="401"/>
      <c r="K93" s="401"/>
      <c r="L93" s="401"/>
      <c r="M93" s="401"/>
      <c r="N93" s="401"/>
      <c r="O93" s="401"/>
      <c r="P93" s="409">
        <f t="shared" si="1"/>
        <v>0</v>
      </c>
    </row>
    <row r="94" spans="1:16" x14ac:dyDescent="0.35">
      <c r="A94" s="29"/>
      <c r="B94" s="408">
        <v>37</v>
      </c>
      <c r="C94" s="393" t="s">
        <v>184</v>
      </c>
      <c r="D94" s="231" t="s">
        <v>34</v>
      </c>
      <c r="E94" s="396"/>
      <c r="F94" s="275"/>
      <c r="G94" s="275"/>
      <c r="H94" s="401"/>
      <c r="I94" s="401"/>
      <c r="J94" s="401"/>
      <c r="K94" s="401"/>
      <c r="L94" s="401"/>
      <c r="M94" s="401"/>
      <c r="N94" s="401"/>
      <c r="O94" s="401"/>
      <c r="P94" s="409">
        <f t="shared" si="1"/>
        <v>0</v>
      </c>
    </row>
    <row r="95" spans="1:16" x14ac:dyDescent="0.35">
      <c r="A95" s="29"/>
      <c r="B95" s="408">
        <v>38</v>
      </c>
      <c r="C95" s="393" t="s">
        <v>185</v>
      </c>
      <c r="D95" s="231" t="s">
        <v>34</v>
      </c>
      <c r="E95" s="396"/>
      <c r="F95" s="275"/>
      <c r="G95" s="275"/>
      <c r="H95" s="401"/>
      <c r="I95" s="401"/>
      <c r="J95" s="401"/>
      <c r="K95" s="401"/>
      <c r="L95" s="401"/>
      <c r="M95" s="401"/>
      <c r="N95" s="401"/>
      <c r="O95" s="401"/>
      <c r="P95" s="409">
        <f t="shared" si="1"/>
        <v>0</v>
      </c>
    </row>
    <row r="96" spans="1:16" ht="28" x14ac:dyDescent="0.35">
      <c r="A96" s="29"/>
      <c r="B96" s="408">
        <v>39</v>
      </c>
      <c r="C96" s="393" t="s">
        <v>186</v>
      </c>
      <c r="D96" s="231" t="s">
        <v>34</v>
      </c>
      <c r="E96" s="396"/>
      <c r="F96" s="275"/>
      <c r="G96" s="275"/>
      <c r="H96" s="401"/>
      <c r="I96" s="401"/>
      <c r="J96" s="401"/>
      <c r="K96" s="401"/>
      <c r="L96" s="401"/>
      <c r="M96" s="401"/>
      <c r="N96" s="401"/>
      <c r="O96" s="401"/>
      <c r="P96" s="409">
        <f t="shared" si="1"/>
        <v>0</v>
      </c>
    </row>
    <row r="97" spans="1:16" ht="28" x14ac:dyDescent="0.35">
      <c r="A97" s="29"/>
      <c r="B97" s="408">
        <v>40</v>
      </c>
      <c r="C97" s="393" t="s">
        <v>187</v>
      </c>
      <c r="D97" s="231" t="s">
        <v>34</v>
      </c>
      <c r="E97" s="396"/>
      <c r="F97" s="275"/>
      <c r="G97" s="275"/>
      <c r="H97" s="401"/>
      <c r="I97" s="401"/>
      <c r="J97" s="401"/>
      <c r="K97" s="401"/>
      <c r="L97" s="401"/>
      <c r="M97" s="401"/>
      <c r="N97" s="401"/>
      <c r="O97" s="401"/>
      <c r="P97" s="409">
        <f t="shared" si="1"/>
        <v>0</v>
      </c>
    </row>
    <row r="98" spans="1:16" ht="28" x14ac:dyDescent="0.35">
      <c r="A98" s="29"/>
      <c r="B98" s="408">
        <v>41</v>
      </c>
      <c r="C98" s="393" t="s">
        <v>188</v>
      </c>
      <c r="D98" s="231" t="s">
        <v>34</v>
      </c>
      <c r="E98" s="396"/>
      <c r="F98" s="275"/>
      <c r="G98" s="275"/>
      <c r="H98" s="401"/>
      <c r="I98" s="401"/>
      <c r="J98" s="401"/>
      <c r="K98" s="401"/>
      <c r="L98" s="401"/>
      <c r="M98" s="401"/>
      <c r="N98" s="401"/>
      <c r="O98" s="401"/>
      <c r="P98" s="409">
        <f t="shared" si="1"/>
        <v>0</v>
      </c>
    </row>
    <row r="99" spans="1:16" ht="28" x14ac:dyDescent="0.35">
      <c r="A99" s="29"/>
      <c r="B99" s="408">
        <v>42</v>
      </c>
      <c r="C99" s="393" t="s">
        <v>189</v>
      </c>
      <c r="D99" s="231" t="s">
        <v>34</v>
      </c>
      <c r="E99" s="396"/>
      <c r="F99" s="275"/>
      <c r="G99" s="275"/>
      <c r="H99" s="401"/>
      <c r="I99" s="401"/>
      <c r="J99" s="401"/>
      <c r="K99" s="401"/>
      <c r="L99" s="401"/>
      <c r="M99" s="401"/>
      <c r="N99" s="401"/>
      <c r="O99" s="401"/>
      <c r="P99" s="409">
        <f t="shared" si="1"/>
        <v>0</v>
      </c>
    </row>
    <row r="100" spans="1:16" x14ac:dyDescent="0.35">
      <c r="A100" s="29"/>
      <c r="B100" s="408">
        <v>43</v>
      </c>
      <c r="C100" s="393" t="s">
        <v>190</v>
      </c>
      <c r="D100" s="231" t="s">
        <v>34</v>
      </c>
      <c r="E100" s="396"/>
      <c r="F100" s="275"/>
      <c r="G100" s="275"/>
      <c r="H100" s="401"/>
      <c r="I100" s="401"/>
      <c r="J100" s="401"/>
      <c r="K100" s="401"/>
      <c r="L100" s="401"/>
      <c r="M100" s="401"/>
      <c r="N100" s="401"/>
      <c r="O100" s="401"/>
      <c r="P100" s="409">
        <f t="shared" si="1"/>
        <v>0</v>
      </c>
    </row>
    <row r="101" spans="1:16" ht="42" x14ac:dyDescent="0.35">
      <c r="A101" s="29"/>
      <c r="B101" s="408">
        <v>44</v>
      </c>
      <c r="C101" s="393" t="s">
        <v>191</v>
      </c>
      <c r="D101" s="231" t="s">
        <v>34</v>
      </c>
      <c r="E101" s="396"/>
      <c r="F101" s="275"/>
      <c r="G101" s="275"/>
      <c r="H101" s="401"/>
      <c r="I101" s="401"/>
      <c r="J101" s="401"/>
      <c r="K101" s="401"/>
      <c r="L101" s="401"/>
      <c r="M101" s="401"/>
      <c r="N101" s="401"/>
      <c r="O101" s="401"/>
      <c r="P101" s="409">
        <f t="shared" si="1"/>
        <v>0</v>
      </c>
    </row>
    <row r="102" spans="1:16" ht="28" x14ac:dyDescent="0.35">
      <c r="A102" s="29"/>
      <c r="B102" s="408">
        <v>45</v>
      </c>
      <c r="C102" s="393" t="s">
        <v>192</v>
      </c>
      <c r="D102" s="231" t="s">
        <v>34</v>
      </c>
      <c r="E102" s="396"/>
      <c r="F102" s="275"/>
      <c r="G102" s="275"/>
      <c r="H102" s="401"/>
      <c r="I102" s="401"/>
      <c r="J102" s="401"/>
      <c r="K102" s="401"/>
      <c r="L102" s="401"/>
      <c r="M102" s="401"/>
      <c r="N102" s="401"/>
      <c r="O102" s="401"/>
      <c r="P102" s="409">
        <f t="shared" si="1"/>
        <v>0</v>
      </c>
    </row>
    <row r="103" spans="1:16" ht="28" x14ac:dyDescent="0.35">
      <c r="A103" s="29"/>
      <c r="B103" s="408">
        <v>46</v>
      </c>
      <c r="C103" s="393" t="s">
        <v>193</v>
      </c>
      <c r="D103" s="231" t="s">
        <v>34</v>
      </c>
      <c r="E103" s="396"/>
      <c r="F103" s="275"/>
      <c r="G103" s="275"/>
      <c r="H103" s="401"/>
      <c r="I103" s="401"/>
      <c r="J103" s="401"/>
      <c r="K103" s="401"/>
      <c r="L103" s="401"/>
      <c r="M103" s="401"/>
      <c r="N103" s="401"/>
      <c r="O103" s="401"/>
      <c r="P103" s="409">
        <f t="shared" si="1"/>
        <v>0</v>
      </c>
    </row>
    <row r="104" spans="1:16" ht="28" x14ac:dyDescent="0.35">
      <c r="A104" s="29"/>
      <c r="B104" s="408">
        <v>47</v>
      </c>
      <c r="C104" s="393" t="s">
        <v>194</v>
      </c>
      <c r="D104" s="231" t="s">
        <v>34</v>
      </c>
      <c r="E104" s="396"/>
      <c r="F104" s="275"/>
      <c r="G104" s="275"/>
      <c r="H104" s="401"/>
      <c r="I104" s="401"/>
      <c r="J104" s="401"/>
      <c r="K104" s="401"/>
      <c r="L104" s="401"/>
      <c r="M104" s="401"/>
      <c r="N104" s="401"/>
      <c r="O104" s="401"/>
      <c r="P104" s="409">
        <f t="shared" si="1"/>
        <v>0</v>
      </c>
    </row>
    <row r="105" spans="1:16" ht="28" x14ac:dyDescent="0.35">
      <c r="A105" s="29"/>
      <c r="B105" s="408">
        <v>48</v>
      </c>
      <c r="C105" s="393" t="s">
        <v>195</v>
      </c>
      <c r="D105" s="231" t="s">
        <v>34</v>
      </c>
      <c r="E105" s="396"/>
      <c r="F105" s="275"/>
      <c r="G105" s="275"/>
      <c r="H105" s="401"/>
      <c r="I105" s="401"/>
      <c r="J105" s="401"/>
      <c r="K105" s="401"/>
      <c r="L105" s="401"/>
      <c r="M105" s="401"/>
      <c r="N105" s="401"/>
      <c r="O105" s="401"/>
      <c r="P105" s="409">
        <f t="shared" si="1"/>
        <v>0</v>
      </c>
    </row>
    <row r="106" spans="1:16" ht="28" x14ac:dyDescent="0.35">
      <c r="A106" s="29"/>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35">
      <c r="A107" s="29"/>
      <c r="B107" s="410" t="s">
        <v>264</v>
      </c>
      <c r="C107" s="393"/>
      <c r="D107" s="231" t="s">
        <v>254</v>
      </c>
      <c r="E107" s="396"/>
      <c r="F107" s="275"/>
      <c r="G107" s="275"/>
      <c r="H107" s="401"/>
      <c r="I107" s="401"/>
      <c r="J107" s="401"/>
      <c r="K107" s="401"/>
      <c r="L107" s="401"/>
      <c r="M107" s="401"/>
      <c r="N107" s="401"/>
      <c r="O107" s="401"/>
      <c r="P107" s="409"/>
    </row>
    <row r="108" spans="1:16" x14ac:dyDescent="0.35">
      <c r="A108" s="29"/>
      <c r="B108" s="408"/>
      <c r="C108" s="793"/>
      <c r="D108" s="793"/>
      <c r="E108" s="246"/>
      <c r="F108" s="275"/>
      <c r="G108" s="275"/>
      <c r="H108" s="401"/>
      <c r="I108" s="401"/>
      <c r="J108" s="401"/>
      <c r="K108" s="401"/>
      <c r="L108" s="401"/>
      <c r="M108" s="401"/>
      <c r="N108" s="401"/>
      <c r="O108" s="401"/>
      <c r="P108" s="409"/>
    </row>
    <row r="109" spans="1:16" x14ac:dyDescent="0.35">
      <c r="A109" s="29"/>
      <c r="B109" s="408"/>
      <c r="C109" s="793"/>
      <c r="D109" s="793"/>
      <c r="E109" s="246"/>
      <c r="F109" s="275"/>
      <c r="G109" s="275"/>
      <c r="H109" s="401"/>
      <c r="I109" s="401"/>
      <c r="J109" s="401"/>
      <c r="K109" s="401"/>
      <c r="L109" s="401"/>
      <c r="M109" s="401"/>
      <c r="N109" s="401"/>
      <c r="O109" s="401"/>
      <c r="P109" s="409"/>
    </row>
    <row r="110" spans="1:16" x14ac:dyDescent="0.35">
      <c r="A110" s="29"/>
      <c r="B110" s="408"/>
      <c r="C110" s="793"/>
      <c r="D110" s="793"/>
      <c r="E110" s="246"/>
      <c r="F110" s="275"/>
      <c r="G110" s="275"/>
      <c r="H110" s="401"/>
      <c r="I110" s="401"/>
      <c r="J110" s="401"/>
      <c r="K110" s="401"/>
      <c r="L110" s="401"/>
      <c r="M110" s="401"/>
      <c r="N110" s="401"/>
      <c r="O110" s="401"/>
      <c r="P110" s="409"/>
    </row>
    <row r="111" spans="1:16" x14ac:dyDescent="0.35">
      <c r="B111" s="332"/>
      <c r="C111" s="808" t="s">
        <v>222</v>
      </c>
      <c r="D111" s="808"/>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35">
      <c r="B112" s="252"/>
      <c r="C112" s="793" t="s">
        <v>261</v>
      </c>
      <c r="D112" s="793"/>
      <c r="E112" s="247"/>
      <c r="F112" s="245"/>
      <c r="G112" s="245"/>
      <c r="H112" s="247"/>
      <c r="I112" s="247"/>
      <c r="J112" s="248">
        <f>SUM(E28*G28*J28,E29*G29*J29,E30*G30*J30,E31*G31,J31*E32*G32*J32,E38*G38*J38,E39*G39*J39,E40*G40*J40)</f>
        <v>300</v>
      </c>
      <c r="K112" s="248">
        <f>SUM(E28*G28*K28,E29*G29*K29,E30*G30*K30,E31*G31*K31,E32*G32*K32,E38*G38*K38,E39*G39*K39,E40*G40*K40)</f>
        <v>180</v>
      </c>
      <c r="L112" s="248"/>
      <c r="M112" s="248"/>
      <c r="N112" s="247"/>
      <c r="O112" s="247"/>
      <c r="P112" s="253">
        <f>SUM(H112:O112)</f>
        <v>480</v>
      </c>
    </row>
    <row r="113" spans="2:16" x14ac:dyDescent="0.35">
      <c r="B113" s="252"/>
      <c r="C113" s="793" t="s">
        <v>262</v>
      </c>
      <c r="D113" s="793"/>
      <c r="E113" s="247"/>
      <c r="F113" s="245"/>
      <c r="G113" s="245"/>
      <c r="H113" s="247"/>
      <c r="I113" s="247"/>
      <c r="J113" s="248">
        <f>J112-(E32*G32*J32)</f>
        <v>300</v>
      </c>
      <c r="K113" s="247">
        <f>K112-(E32*G32*K32)</f>
        <v>180</v>
      </c>
      <c r="L113" s="247"/>
      <c r="M113" s="247"/>
      <c r="N113" s="247"/>
      <c r="O113" s="247"/>
      <c r="P113" s="253"/>
    </row>
    <row r="114" spans="2:16" x14ac:dyDescent="0.35">
      <c r="B114" s="254"/>
      <c r="C114" s="809"/>
      <c r="D114" s="809"/>
      <c r="E114" s="240"/>
      <c r="F114" s="238"/>
      <c r="G114" s="238"/>
      <c r="H114" s="240"/>
      <c r="I114" s="240"/>
      <c r="J114" s="240"/>
      <c r="K114" s="240"/>
      <c r="L114" s="240"/>
      <c r="M114" s="240"/>
      <c r="N114" s="240"/>
      <c r="O114" s="240"/>
      <c r="P114" s="255"/>
    </row>
    <row r="115" spans="2:16" x14ac:dyDescent="0.35">
      <c r="B115" s="254"/>
      <c r="C115" s="239"/>
      <c r="D115" s="240"/>
      <c r="E115" s="240"/>
      <c r="F115" s="238"/>
      <c r="G115" s="238"/>
      <c r="H115" s="240"/>
      <c r="I115" s="240"/>
      <c r="J115" s="240"/>
      <c r="K115" s="240"/>
      <c r="L115" s="240"/>
      <c r="M115" s="240"/>
      <c r="N115" s="240"/>
      <c r="O115" s="240"/>
      <c r="P115" s="255"/>
    </row>
    <row r="116" spans="2:16" x14ac:dyDescent="0.35">
      <c r="B116" s="360"/>
      <c r="C116" s="791" t="s">
        <v>325</v>
      </c>
      <c r="D116" s="791"/>
      <c r="E116" s="231"/>
      <c r="F116" s="242"/>
      <c r="G116" s="231"/>
      <c r="H116" s="243">
        <f>'3.  Distribution Rates'!$J33</f>
        <v>0</v>
      </c>
      <c r="I116" s="243">
        <f>'3.  Distribution Rates'!J34</f>
        <v>0</v>
      </c>
      <c r="J116" s="243">
        <f>'3.  Distribution Rates'!J35</f>
        <v>0</v>
      </c>
      <c r="K116" s="243">
        <f>'3.  Distribution Rates'!J36</f>
        <v>0</v>
      </c>
      <c r="L116" s="243">
        <f>'3.  Distribution Rates'!J37</f>
        <v>0</v>
      </c>
      <c r="M116" s="243">
        <f>'3.  Distribution Rates'!J38</f>
        <v>0</v>
      </c>
      <c r="N116" s="243">
        <f>'3.  Distribution Rates'!J39</f>
        <v>0</v>
      </c>
      <c r="O116" s="243"/>
      <c r="P116" s="361"/>
    </row>
    <row r="117" spans="2:16" x14ac:dyDescent="0.35">
      <c r="B117" s="360"/>
      <c r="C117" s="791" t="s">
        <v>243</v>
      </c>
      <c r="D117" s="791"/>
      <c r="E117" s="240"/>
      <c r="F117" s="242"/>
      <c r="G117" s="242"/>
      <c r="H117" s="275"/>
      <c r="I117" s="275"/>
      <c r="J117" s="275"/>
      <c r="K117" s="275"/>
      <c r="L117" s="275"/>
      <c r="M117" s="275"/>
      <c r="N117" s="275"/>
      <c r="O117" s="231"/>
      <c r="P117" s="256">
        <f>SUM(H117:O117)</f>
        <v>0</v>
      </c>
    </row>
    <row r="118" spans="2:16" x14ac:dyDescent="0.35">
      <c r="B118" s="360"/>
      <c r="C118" s="791" t="s">
        <v>244</v>
      </c>
      <c r="D118" s="791"/>
      <c r="E118" s="240"/>
      <c r="F118" s="242"/>
      <c r="G118" s="242"/>
      <c r="H118" s="275"/>
      <c r="I118" s="275"/>
      <c r="J118" s="275"/>
      <c r="K118" s="275"/>
      <c r="L118" s="275"/>
      <c r="M118" s="275"/>
      <c r="N118" s="275"/>
      <c r="O118" s="231"/>
      <c r="P118" s="256">
        <f>SUM(H118:O118)</f>
        <v>0</v>
      </c>
    </row>
    <row r="119" spans="2:16" x14ac:dyDescent="0.35">
      <c r="B119" s="360"/>
      <c r="C119" s="791" t="s">
        <v>245</v>
      </c>
      <c r="D119" s="791"/>
      <c r="E119" s="240"/>
      <c r="F119" s="242"/>
      <c r="G119" s="242"/>
      <c r="H119" s="275"/>
      <c r="I119" s="275"/>
      <c r="J119" s="275"/>
      <c r="K119" s="275"/>
      <c r="L119" s="275"/>
      <c r="M119" s="275"/>
      <c r="N119" s="275"/>
      <c r="O119" s="231"/>
      <c r="P119" s="256">
        <f>SUM(H119:O119)</f>
        <v>0</v>
      </c>
    </row>
    <row r="120" spans="2:16" x14ac:dyDescent="0.35">
      <c r="B120" s="360"/>
      <c r="C120" s="791" t="s">
        <v>246</v>
      </c>
      <c r="D120" s="791"/>
      <c r="E120" s="240"/>
      <c r="F120" s="242"/>
      <c r="G120" s="242"/>
      <c r="H120" s="275"/>
      <c r="I120" s="275"/>
      <c r="J120" s="275"/>
      <c r="K120" s="275"/>
      <c r="L120" s="275"/>
      <c r="M120" s="275"/>
      <c r="N120" s="275"/>
      <c r="O120" s="231"/>
      <c r="P120" s="256">
        <f>SUM(H120:O120)</f>
        <v>0</v>
      </c>
    </row>
    <row r="121" spans="2:16" x14ac:dyDescent="0.35">
      <c r="B121" s="360"/>
      <c r="C121" s="791" t="s">
        <v>247</v>
      </c>
      <c r="D121" s="791"/>
      <c r="E121" s="240"/>
      <c r="F121" s="242"/>
      <c r="G121" s="242"/>
      <c r="H121" s="357" t="e">
        <f>'5.  2015 LRAM'!H126*H116</f>
        <v>#DIV/0!</v>
      </c>
      <c r="I121" s="357" t="e">
        <f>'5.  2015 LRAM'!I126*I116</f>
        <v>#DIV/0!</v>
      </c>
      <c r="J121" s="357" t="e">
        <f>'5.  2015 LRAM'!J126*J116</f>
        <v>#DIV/0!</v>
      </c>
      <c r="K121" s="357" t="e">
        <f>'5.  2015 LRAM'!K126*K116</f>
        <v>#DIV/0!</v>
      </c>
      <c r="L121" s="357" t="e">
        <f>'5.  2015 LRAM'!L126*L116</f>
        <v>#DIV/0!</v>
      </c>
      <c r="M121" s="357" t="e">
        <f>'5.  2015 LRAM'!M126*M116</f>
        <v>#DIV/0!</v>
      </c>
      <c r="N121" s="357" t="e">
        <f>'5.  2015 LRAM'!N126*N116</f>
        <v>#DIV/0!</v>
      </c>
      <c r="O121" s="231"/>
      <c r="P121" s="256" t="e">
        <f t="shared" ref="P121:P122" si="2">SUM(H121:O121)</f>
        <v>#DIV/0!</v>
      </c>
    </row>
    <row r="122" spans="2:16" x14ac:dyDescent="0.35">
      <c r="B122" s="360"/>
      <c r="C122" s="791" t="s">
        <v>253</v>
      </c>
      <c r="D122" s="791"/>
      <c r="E122" s="240"/>
      <c r="F122" s="242"/>
      <c r="G122" s="242"/>
      <c r="H122" s="357">
        <f>H111*H116</f>
        <v>0</v>
      </c>
      <c r="I122" s="357">
        <f>I111*I116</f>
        <v>0</v>
      </c>
      <c r="J122" s="357">
        <f>J112*J116</f>
        <v>0</v>
      </c>
      <c r="K122" s="357">
        <f>K112*K116</f>
        <v>0</v>
      </c>
      <c r="L122" s="357">
        <f>L112*L116</f>
        <v>0</v>
      </c>
      <c r="M122" s="357">
        <f>M112*M116</f>
        <v>0</v>
      </c>
      <c r="N122" s="357">
        <f>N111*N116</f>
        <v>0</v>
      </c>
      <c r="O122" s="231"/>
      <c r="P122" s="256">
        <f t="shared" si="2"/>
        <v>0</v>
      </c>
    </row>
    <row r="123" spans="2:16" x14ac:dyDescent="0.35">
      <c r="B123" s="254"/>
      <c r="C123" s="358" t="s">
        <v>248</v>
      </c>
      <c r="D123" s="240"/>
      <c r="E123" s="240"/>
      <c r="F123" s="238"/>
      <c r="G123" s="238"/>
      <c r="H123" s="244" t="e">
        <f t="shared" ref="H123:N123" si="3">SUM(H117:H122)</f>
        <v>#DIV/0!</v>
      </c>
      <c r="I123" s="244" t="e">
        <f t="shared" si="3"/>
        <v>#DIV/0!</v>
      </c>
      <c r="J123" s="244" t="e">
        <f t="shared" si="3"/>
        <v>#DIV/0!</v>
      </c>
      <c r="K123" s="244" t="e">
        <f t="shared" si="3"/>
        <v>#DIV/0!</v>
      </c>
      <c r="L123" s="244" t="e">
        <f t="shared" si="3"/>
        <v>#DIV/0!</v>
      </c>
      <c r="M123" s="244" t="e">
        <f t="shared" si="3"/>
        <v>#DIV/0!</v>
      </c>
      <c r="N123" s="244" t="e">
        <f t="shared" si="3"/>
        <v>#DIV/0!</v>
      </c>
      <c r="O123" s="240"/>
      <c r="P123" s="257" t="e">
        <f>SUM(P117:P122)</f>
        <v>#DIV/0!</v>
      </c>
    </row>
    <row r="124" spans="2:16" x14ac:dyDescent="0.35">
      <c r="B124" s="254"/>
      <c r="C124" s="358"/>
      <c r="D124" s="240"/>
      <c r="E124" s="240"/>
      <c r="F124" s="238"/>
      <c r="G124" s="238"/>
      <c r="H124" s="244"/>
      <c r="I124" s="244"/>
      <c r="J124" s="244"/>
      <c r="K124" s="244"/>
      <c r="L124" s="244"/>
      <c r="M124" s="244"/>
      <c r="N124" s="244"/>
      <c r="O124" s="240"/>
      <c r="P124" s="257"/>
    </row>
    <row r="125" spans="2:16" x14ac:dyDescent="0.35">
      <c r="B125" s="402"/>
      <c r="C125" s="791" t="s">
        <v>249</v>
      </c>
      <c r="D125" s="791"/>
      <c r="E125" s="394"/>
      <c r="F125" s="142"/>
      <c r="G125" s="142"/>
      <c r="H125" s="275" t="e">
        <f>H111*'6.  Persistence Rates'!$F$45</f>
        <v>#DIV/0!</v>
      </c>
      <c r="I125" s="275" t="e">
        <f>I111*'6.  Persistence Rates'!$F$45</f>
        <v>#DIV/0!</v>
      </c>
      <c r="J125" s="275" t="e">
        <f>J112*'6.  Persistence Rates'!S$45</f>
        <v>#DIV/0!</v>
      </c>
      <c r="K125" s="275" t="e">
        <f>K112*'6.  Persistence Rates'!$S$45</f>
        <v>#DIV/0!</v>
      </c>
      <c r="L125" s="275" t="e">
        <f>L112*'6.  Persistence Rates'!$R$44</f>
        <v>#DIV/0!</v>
      </c>
      <c r="M125" s="275" t="e">
        <f>M112*'6.  Persistence Rates'!$R$44</f>
        <v>#DIV/0!</v>
      </c>
      <c r="N125" s="275" t="e">
        <f>N111*'6.  Persistence Rates'!$F$45</f>
        <v>#DIV/0!</v>
      </c>
      <c r="O125" s="142"/>
      <c r="P125" s="329"/>
    </row>
    <row r="126" spans="2:16" x14ac:dyDescent="0.35">
      <c r="B126" s="402"/>
      <c r="C126" s="791" t="s">
        <v>250</v>
      </c>
      <c r="D126" s="791"/>
      <c r="E126" s="394"/>
      <c r="F126" s="142"/>
      <c r="G126" s="142"/>
      <c r="H126" s="275" t="e">
        <f>H111*'6.  Persistence Rates'!$G$45</f>
        <v>#DIV/0!</v>
      </c>
      <c r="I126" s="275" t="e">
        <f>I111*'6.  Persistence Rates'!$G$45</f>
        <v>#DIV/0!</v>
      </c>
      <c r="J126" s="275" t="e">
        <f>$J$113*'6.  Persistence Rates'!$T$45</f>
        <v>#DIV/0!</v>
      </c>
      <c r="K126" s="275" t="e">
        <f>$K$113*'6.  Persistence Rates'!$T$45</f>
        <v>#DIV/0!</v>
      </c>
      <c r="L126" s="275"/>
      <c r="M126" s="275"/>
      <c r="N126" s="275"/>
      <c r="O126" s="142"/>
      <c r="P126" s="329"/>
    </row>
    <row r="127" spans="2:16" x14ac:dyDescent="0.35">
      <c r="B127" s="402"/>
      <c r="C127" s="791" t="s">
        <v>251</v>
      </c>
      <c r="D127" s="791"/>
      <c r="E127" s="394"/>
      <c r="F127" s="142"/>
      <c r="G127" s="142"/>
      <c r="H127" s="275" t="e">
        <f>H111*'6.  Persistence Rates'!$H$45</f>
        <v>#DIV/0!</v>
      </c>
      <c r="I127" s="275" t="e">
        <f>I111*'6.  Persistence Rates'!$H$45</f>
        <v>#DIV/0!</v>
      </c>
      <c r="J127" s="275" t="e">
        <f>$J$113*'6.  Persistence Rates'!$U$45</f>
        <v>#DIV/0!</v>
      </c>
      <c r="K127" s="275" t="e">
        <f>$K$113*'6.  Persistence Rates'!$U$45</f>
        <v>#DIV/0!</v>
      </c>
      <c r="L127" s="275"/>
      <c r="M127" s="275"/>
      <c r="N127" s="275"/>
      <c r="O127" s="142"/>
      <c r="P127" s="329"/>
    </row>
    <row r="128" spans="2:16" x14ac:dyDescent="0.35">
      <c r="B128" s="403"/>
      <c r="C128" s="792" t="s">
        <v>252</v>
      </c>
      <c r="D128" s="792"/>
      <c r="E128" s="404"/>
      <c r="F128" s="309"/>
      <c r="G128" s="309"/>
      <c r="H128" s="275" t="e">
        <f>H111*'6.  Persistence Rates'!$I$45</f>
        <v>#DIV/0!</v>
      </c>
      <c r="I128" s="275" t="e">
        <f>I111*'6.  Persistence Rates'!$I$45</f>
        <v>#DIV/0!</v>
      </c>
      <c r="J128" s="275" t="e">
        <f>$J$113*'6.  Persistence Rates'!$V$45</f>
        <v>#DIV/0!</v>
      </c>
      <c r="K128" s="275" t="e">
        <f>$K$113*'6.  Persistence Rates'!$V$45</f>
        <v>#DIV/0!</v>
      </c>
      <c r="L128" s="275"/>
      <c r="M128" s="275"/>
      <c r="N128" s="275"/>
      <c r="O128" s="309"/>
      <c r="P128" s="379"/>
    </row>
    <row r="129" spans="2:16" x14ac:dyDescent="0.35">
      <c r="B129" s="62"/>
      <c r="C129" s="419"/>
      <c r="D129" s="420"/>
      <c r="E129" s="420"/>
      <c r="F129" s="62"/>
      <c r="G129" s="62"/>
      <c r="H129" s="62"/>
      <c r="I129" s="62"/>
      <c r="J129" s="62"/>
      <c r="K129" s="62"/>
      <c r="L129" s="62"/>
      <c r="M129" s="62"/>
      <c r="N129" s="62"/>
      <c r="O129" s="62"/>
      <c r="P129" s="62"/>
    </row>
  </sheetData>
  <mergeCells count="62">
    <mergeCell ref="B2:P2"/>
    <mergeCell ref="C111:D111"/>
    <mergeCell ref="E4:P4"/>
    <mergeCell ref="B13:B14"/>
    <mergeCell ref="C13:C14"/>
    <mergeCell ref="D13:D14"/>
    <mergeCell ref="E13:E14"/>
    <mergeCell ref="H13:P13"/>
    <mergeCell ref="E9:F9"/>
    <mergeCell ref="E10:F10"/>
    <mergeCell ref="B15:P15"/>
    <mergeCell ref="B16:P16"/>
    <mergeCell ref="B27:P27"/>
    <mergeCell ref="B37:P37"/>
    <mergeCell ref="B60:P60"/>
    <mergeCell ref="B62:P62"/>
    <mergeCell ref="C127:D127"/>
    <mergeCell ref="C128:D128"/>
    <mergeCell ref="C122:D122"/>
    <mergeCell ref="C112:D112"/>
    <mergeCell ref="C118:D118"/>
    <mergeCell ref="C119:D119"/>
    <mergeCell ref="C120:D120"/>
    <mergeCell ref="C125:D125"/>
    <mergeCell ref="C121:D121"/>
    <mergeCell ref="C114:D114"/>
    <mergeCell ref="C116:D116"/>
    <mergeCell ref="C117:D117"/>
    <mergeCell ref="C113:D113"/>
    <mergeCell ref="C126:D126"/>
    <mergeCell ref="B71:P71"/>
    <mergeCell ref="C58:D58"/>
    <mergeCell ref="C59:D59"/>
    <mergeCell ref="C68:D68"/>
    <mergeCell ref="C69:D69"/>
    <mergeCell ref="C70:D70"/>
    <mergeCell ref="C49:D49"/>
    <mergeCell ref="C50:D50"/>
    <mergeCell ref="C57:D57"/>
    <mergeCell ref="B45:P45"/>
    <mergeCell ref="B51:P51"/>
    <mergeCell ref="C36:D36"/>
    <mergeCell ref="C42:D42"/>
    <mergeCell ref="C43:D43"/>
    <mergeCell ref="C44:D44"/>
    <mergeCell ref="C48:D48"/>
    <mergeCell ref="C24:D24"/>
    <mergeCell ref="C25:D25"/>
    <mergeCell ref="C26:D26"/>
    <mergeCell ref="C34:D34"/>
    <mergeCell ref="C35:D35"/>
    <mergeCell ref="C91:D91"/>
    <mergeCell ref="C108:D108"/>
    <mergeCell ref="C109:D109"/>
    <mergeCell ref="C110:D110"/>
    <mergeCell ref="C81:D81"/>
    <mergeCell ref="C82:D82"/>
    <mergeCell ref="C83:D83"/>
    <mergeCell ref="C89:D89"/>
    <mergeCell ref="C90:D90"/>
    <mergeCell ref="B84:P84"/>
    <mergeCell ref="B92:P92"/>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2:R129"/>
  <sheetViews>
    <sheetView zoomScale="85" zoomScaleNormal="85" workbookViewId="0">
      <pane ySplit="14" topLeftCell="A15" activePane="bottomLeft" state="frozen"/>
      <selection pane="bottomLeft" activeCell="B13" sqref="B13:B14"/>
    </sheetView>
  </sheetViews>
  <sheetFormatPr defaultColWidth="9.08984375" defaultRowHeight="14.5" outlineLevelRow="1" x14ac:dyDescent="0.35"/>
  <cols>
    <col min="1" max="1" width="6.453125" style="20" customWidth="1"/>
    <col min="2" max="2" width="5.08984375" style="20" customWidth="1"/>
    <col min="3" max="3" width="44.36328125" style="31" customWidth="1"/>
    <col min="4" max="4" width="12.36328125" style="36" customWidth="1"/>
    <col min="5" max="5" width="13.36328125" style="36" customWidth="1"/>
    <col min="6" max="7" width="19.453125" style="20" customWidth="1"/>
    <col min="8" max="14" width="12.6328125" style="20" customWidth="1"/>
    <col min="15" max="15" width="8.08984375" style="20" customWidth="1"/>
    <col min="16" max="16" width="11.36328125" style="20" customWidth="1"/>
    <col min="17" max="17" width="13.08984375" style="20" customWidth="1"/>
    <col min="18" max="16384" width="9.08984375" style="20"/>
  </cols>
  <sheetData>
    <row r="2" spans="1:18" ht="20" x14ac:dyDescent="0.4">
      <c r="B2" s="852" t="s">
        <v>267</v>
      </c>
      <c r="C2" s="852"/>
      <c r="D2" s="852"/>
      <c r="E2" s="852"/>
      <c r="F2" s="852"/>
      <c r="G2" s="852"/>
      <c r="H2" s="852"/>
      <c r="I2" s="852"/>
      <c r="J2" s="852"/>
      <c r="K2" s="852"/>
      <c r="L2" s="852"/>
      <c r="M2" s="852"/>
      <c r="N2" s="852"/>
      <c r="O2" s="852"/>
      <c r="P2" s="852"/>
    </row>
    <row r="3" spans="1:18" ht="18.5" outlineLevel="1" x14ac:dyDescent="0.45">
      <c r="B3" s="370"/>
      <c r="C3" s="370"/>
      <c r="D3" s="370"/>
      <c r="E3" s="370"/>
      <c r="F3" s="370"/>
      <c r="G3" s="370"/>
      <c r="H3" s="370"/>
      <c r="I3" s="370"/>
      <c r="J3" s="370"/>
      <c r="K3" s="370"/>
      <c r="L3" s="370"/>
      <c r="M3" s="370"/>
      <c r="N3" s="370"/>
      <c r="O3" s="370"/>
      <c r="P3" s="370"/>
    </row>
    <row r="4" spans="1:18" ht="35.25" customHeight="1" outlineLevel="1" x14ac:dyDescent="0.45">
      <c r="A4" s="59"/>
      <c r="B4" s="370"/>
      <c r="C4" s="348" t="s">
        <v>377</v>
      </c>
      <c r="D4" s="370"/>
      <c r="E4" s="778" t="s">
        <v>365</v>
      </c>
      <c r="F4" s="778"/>
      <c r="G4" s="778"/>
      <c r="H4" s="778"/>
      <c r="I4" s="778"/>
      <c r="J4" s="778"/>
      <c r="K4" s="778"/>
      <c r="L4" s="778"/>
      <c r="M4" s="778"/>
      <c r="N4" s="778"/>
      <c r="O4" s="778"/>
      <c r="P4" s="778"/>
    </row>
    <row r="5" spans="1:18" ht="18.75" customHeight="1" outlineLevel="1" x14ac:dyDescent="0.45">
      <c r="B5" s="370"/>
      <c r="C5" s="371"/>
      <c r="D5" s="370"/>
      <c r="E5" s="351" t="s">
        <v>359</v>
      </c>
      <c r="F5" s="370"/>
      <c r="G5" s="370"/>
      <c r="H5" s="370"/>
      <c r="I5" s="370"/>
      <c r="J5" s="370"/>
      <c r="K5" s="370"/>
      <c r="L5" s="370"/>
      <c r="M5" s="370"/>
      <c r="N5" s="370"/>
      <c r="O5" s="370"/>
      <c r="P5" s="370"/>
    </row>
    <row r="6" spans="1:18" ht="18.75" customHeight="1" outlineLevel="1" x14ac:dyDescent="0.45">
      <c r="B6" s="370"/>
      <c r="C6" s="371"/>
      <c r="D6" s="370"/>
      <c r="E6" s="351" t="s">
        <v>360</v>
      </c>
      <c r="F6" s="370"/>
      <c r="G6" s="370"/>
      <c r="H6" s="370"/>
      <c r="I6" s="370"/>
      <c r="J6" s="370"/>
      <c r="K6" s="370"/>
      <c r="L6" s="370"/>
      <c r="M6" s="370"/>
      <c r="N6" s="370"/>
      <c r="O6" s="370"/>
      <c r="P6" s="370"/>
    </row>
    <row r="7" spans="1:18" ht="18.75" customHeight="1" outlineLevel="1" x14ac:dyDescent="0.45">
      <c r="B7" s="370"/>
      <c r="C7" s="371"/>
      <c r="D7" s="370"/>
      <c r="E7" s="351" t="s">
        <v>395</v>
      </c>
      <c r="F7" s="370"/>
      <c r="G7" s="370"/>
      <c r="H7" s="370"/>
      <c r="I7" s="370"/>
      <c r="J7" s="370"/>
      <c r="K7" s="370"/>
      <c r="L7" s="370"/>
      <c r="M7" s="370"/>
      <c r="N7" s="370"/>
      <c r="O7" s="370"/>
      <c r="P7" s="370"/>
    </row>
    <row r="8" spans="1:18" ht="18.75" customHeight="1" outlineLevel="1" x14ac:dyDescent="0.45">
      <c r="B8" s="370"/>
      <c r="C8" s="371"/>
      <c r="D8" s="370"/>
      <c r="E8" s="351"/>
      <c r="F8" s="370"/>
      <c r="G8" s="370"/>
      <c r="H8" s="370"/>
      <c r="I8" s="370"/>
      <c r="J8" s="370"/>
      <c r="K8" s="370"/>
      <c r="L8" s="370"/>
      <c r="M8" s="370"/>
      <c r="N8" s="370"/>
      <c r="O8" s="370"/>
      <c r="P8" s="370"/>
    </row>
    <row r="9" spans="1:18" ht="18.75" customHeight="1" outlineLevel="1" x14ac:dyDescent="0.45">
      <c r="B9" s="57"/>
      <c r="C9" s="78" t="s">
        <v>337</v>
      </c>
      <c r="D9" s="57"/>
      <c r="E9" s="829" t="s">
        <v>366</v>
      </c>
      <c r="F9" s="829"/>
      <c r="G9" s="57"/>
      <c r="H9" s="57"/>
      <c r="I9" s="57"/>
      <c r="J9" s="57"/>
      <c r="K9" s="57"/>
      <c r="L9" s="57"/>
      <c r="M9" s="57"/>
      <c r="N9" s="57"/>
      <c r="O9" s="57"/>
      <c r="P9" s="57"/>
      <c r="R9" s="76"/>
    </row>
    <row r="10" spans="1:18" ht="18.75" customHeight="1" outlineLevel="1" x14ac:dyDescent="0.45">
      <c r="B10" s="57"/>
      <c r="C10" s="57"/>
      <c r="D10" s="57"/>
      <c r="E10" s="760" t="s">
        <v>338</v>
      </c>
      <c r="F10" s="760"/>
      <c r="G10" s="57"/>
      <c r="H10" s="57"/>
      <c r="I10" s="57"/>
      <c r="J10" s="57"/>
      <c r="K10" s="57"/>
      <c r="L10" s="57"/>
      <c r="M10" s="57"/>
      <c r="N10" s="57"/>
      <c r="O10" s="57"/>
      <c r="P10" s="57"/>
    </row>
    <row r="11" spans="1:18" ht="18.75" customHeight="1" x14ac:dyDescent="0.45">
      <c r="B11" s="57"/>
      <c r="C11" s="57"/>
      <c r="D11" s="57"/>
      <c r="E11" s="121"/>
      <c r="G11" s="57"/>
      <c r="H11" s="57"/>
      <c r="I11" s="57"/>
      <c r="J11" s="57"/>
      <c r="K11" s="57"/>
      <c r="L11" s="57"/>
      <c r="M11" s="57"/>
      <c r="N11" s="57"/>
      <c r="O11" s="57"/>
      <c r="P11" s="57"/>
    </row>
    <row r="12" spans="1:18" ht="18.5" x14ac:dyDescent="0.45">
      <c r="B12" s="174" t="s">
        <v>454</v>
      </c>
      <c r="C12" s="41"/>
      <c r="D12" s="41"/>
      <c r="E12" s="41"/>
      <c r="F12" s="41"/>
      <c r="G12" s="41"/>
      <c r="H12" s="41"/>
      <c r="I12" s="41"/>
      <c r="J12" s="41"/>
      <c r="K12" s="41"/>
      <c r="L12" s="41"/>
      <c r="M12" s="41"/>
      <c r="N12" s="41"/>
      <c r="O12" s="41"/>
      <c r="P12" s="41"/>
    </row>
    <row r="13" spans="1:18" ht="42" x14ac:dyDescent="0.35">
      <c r="B13" s="813" t="s">
        <v>54</v>
      </c>
      <c r="C13" s="814" t="s">
        <v>0</v>
      </c>
      <c r="D13" s="814" t="s">
        <v>45</v>
      </c>
      <c r="E13" s="814" t="s">
        <v>201</v>
      </c>
      <c r="F13" s="219" t="s">
        <v>198</v>
      </c>
      <c r="G13" s="219" t="s">
        <v>46</v>
      </c>
      <c r="H13" s="853" t="s">
        <v>55</v>
      </c>
      <c r="I13" s="853"/>
      <c r="J13" s="853"/>
      <c r="K13" s="853"/>
      <c r="L13" s="853"/>
      <c r="M13" s="853"/>
      <c r="N13" s="853"/>
      <c r="O13" s="853"/>
      <c r="P13" s="854"/>
    </row>
    <row r="14" spans="1:18" ht="56" x14ac:dyDescent="0.35">
      <c r="B14" s="827"/>
      <c r="C14" s="828"/>
      <c r="D14" s="828"/>
      <c r="E14" s="828"/>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42" t="s">
        <v>139</v>
      </c>
      <c r="C15" s="843"/>
      <c r="D15" s="843"/>
      <c r="E15" s="843"/>
      <c r="F15" s="843"/>
      <c r="G15" s="843"/>
      <c r="H15" s="843"/>
      <c r="I15" s="843"/>
      <c r="J15" s="843"/>
      <c r="K15" s="843"/>
      <c r="L15" s="843"/>
      <c r="M15" s="843"/>
      <c r="N15" s="843"/>
      <c r="O15" s="843"/>
      <c r="P15" s="844"/>
    </row>
    <row r="16" spans="1:18" ht="26.25" customHeight="1" x14ac:dyDescent="0.35">
      <c r="A16" s="45"/>
      <c r="B16" s="834" t="s">
        <v>140</v>
      </c>
      <c r="C16" s="835"/>
      <c r="D16" s="835"/>
      <c r="E16" s="835"/>
      <c r="F16" s="835"/>
      <c r="G16" s="835"/>
      <c r="H16" s="835"/>
      <c r="I16" s="835"/>
      <c r="J16" s="835"/>
      <c r="K16" s="835"/>
      <c r="L16" s="835"/>
      <c r="M16" s="835"/>
      <c r="N16" s="835"/>
      <c r="O16" s="835"/>
      <c r="P16" s="836"/>
    </row>
    <row r="17" spans="1:16" x14ac:dyDescent="0.35">
      <c r="A17" s="45"/>
      <c r="B17" s="408">
        <v>1</v>
      </c>
      <c r="C17" s="393" t="s">
        <v>141</v>
      </c>
      <c r="D17" s="231" t="s">
        <v>34</v>
      </c>
      <c r="E17" s="394"/>
      <c r="F17" s="275"/>
      <c r="G17" s="275"/>
      <c r="H17" s="405">
        <v>1</v>
      </c>
      <c r="I17" s="395"/>
      <c r="J17" s="395"/>
      <c r="K17" s="395"/>
      <c r="L17" s="395"/>
      <c r="M17" s="395"/>
      <c r="N17" s="395"/>
      <c r="O17" s="395"/>
      <c r="P17" s="409">
        <f>SUM(H17:O17)</f>
        <v>1</v>
      </c>
    </row>
    <row r="18" spans="1:16" x14ac:dyDescent="0.35">
      <c r="A18" s="42"/>
      <c r="B18" s="408">
        <v>2</v>
      </c>
      <c r="C18" s="393" t="s">
        <v>142</v>
      </c>
      <c r="D18" s="231" t="s">
        <v>34</v>
      </c>
      <c r="E18" s="396"/>
      <c r="F18" s="275"/>
      <c r="G18" s="275"/>
      <c r="H18" s="405">
        <v>1</v>
      </c>
      <c r="I18" s="395"/>
      <c r="J18" s="395"/>
      <c r="K18" s="395"/>
      <c r="L18" s="395"/>
      <c r="M18" s="395"/>
      <c r="N18" s="395"/>
      <c r="O18" s="395"/>
      <c r="P18" s="409">
        <f t="shared" ref="P18:P80" si="0">SUM(H18:O18)</f>
        <v>1</v>
      </c>
    </row>
    <row r="19" spans="1:16" x14ac:dyDescent="0.35">
      <c r="A19" s="45"/>
      <c r="B19" s="408">
        <v>3</v>
      </c>
      <c r="C19" s="393" t="s">
        <v>143</v>
      </c>
      <c r="D19" s="231" t="s">
        <v>34</v>
      </c>
      <c r="E19" s="396"/>
      <c r="F19" s="275"/>
      <c r="G19" s="275"/>
      <c r="H19" s="405">
        <v>1</v>
      </c>
      <c r="I19" s="395"/>
      <c r="J19" s="395"/>
      <c r="K19" s="395"/>
      <c r="L19" s="395"/>
      <c r="M19" s="395"/>
      <c r="N19" s="395"/>
      <c r="O19" s="395"/>
      <c r="P19" s="409">
        <f t="shared" si="0"/>
        <v>1</v>
      </c>
    </row>
    <row r="20" spans="1:16" x14ac:dyDescent="0.35">
      <c r="A20" s="45"/>
      <c r="B20" s="408">
        <v>4</v>
      </c>
      <c r="C20" s="393" t="s">
        <v>144</v>
      </c>
      <c r="D20" s="231" t="s">
        <v>34</v>
      </c>
      <c r="E20" s="396"/>
      <c r="F20" s="275"/>
      <c r="G20" s="275"/>
      <c r="H20" s="405">
        <v>1</v>
      </c>
      <c r="I20" s="395"/>
      <c r="J20" s="395"/>
      <c r="K20" s="395"/>
      <c r="L20" s="395"/>
      <c r="M20" s="395"/>
      <c r="N20" s="395"/>
      <c r="O20" s="395"/>
      <c r="P20" s="409">
        <f t="shared" si="0"/>
        <v>1</v>
      </c>
    </row>
    <row r="21" spans="1:16" x14ac:dyDescent="0.35">
      <c r="A21" s="45"/>
      <c r="B21" s="408">
        <v>5</v>
      </c>
      <c r="C21" s="393" t="s">
        <v>145</v>
      </c>
      <c r="D21" s="231" t="s">
        <v>34</v>
      </c>
      <c r="E21" s="396"/>
      <c r="F21" s="275"/>
      <c r="G21" s="275"/>
      <c r="H21" s="405">
        <v>1</v>
      </c>
      <c r="I21" s="395"/>
      <c r="J21" s="395"/>
      <c r="K21" s="395"/>
      <c r="L21" s="395"/>
      <c r="M21" s="395"/>
      <c r="N21" s="395"/>
      <c r="O21" s="395"/>
      <c r="P21" s="409">
        <f t="shared" si="0"/>
        <v>1</v>
      </c>
    </row>
    <row r="22" spans="1:16" ht="28" x14ac:dyDescent="0.35">
      <c r="A22" s="45"/>
      <c r="B22" s="408">
        <v>6</v>
      </c>
      <c r="C22" s="393" t="s">
        <v>146</v>
      </c>
      <c r="D22" s="231" t="s">
        <v>34</v>
      </c>
      <c r="E22" s="396"/>
      <c r="F22" s="275"/>
      <c r="G22" s="275"/>
      <c r="H22" s="405">
        <v>1</v>
      </c>
      <c r="I22" s="395"/>
      <c r="J22" s="395"/>
      <c r="K22" s="395"/>
      <c r="L22" s="395"/>
      <c r="M22" s="395"/>
      <c r="N22" s="395"/>
      <c r="O22" s="395"/>
      <c r="P22" s="409">
        <f t="shared" si="0"/>
        <v>1</v>
      </c>
    </row>
    <row r="23" spans="1:16" x14ac:dyDescent="0.35">
      <c r="A23" s="45"/>
      <c r="B23" s="410" t="s">
        <v>268</v>
      </c>
      <c r="C23" s="393"/>
      <c r="D23" s="231" t="s">
        <v>254</v>
      </c>
      <c r="E23" s="396"/>
      <c r="F23" s="275"/>
      <c r="G23" s="275"/>
      <c r="H23" s="405"/>
      <c r="I23" s="395"/>
      <c r="J23" s="395"/>
      <c r="K23" s="395"/>
      <c r="L23" s="395"/>
      <c r="M23" s="395"/>
      <c r="N23" s="395"/>
      <c r="O23" s="395"/>
      <c r="P23" s="409">
        <f t="shared" si="0"/>
        <v>0</v>
      </c>
    </row>
    <row r="24" spans="1:16" x14ac:dyDescent="0.35">
      <c r="A24" s="45"/>
      <c r="B24" s="408"/>
      <c r="C24" s="793"/>
      <c r="D24" s="793"/>
      <c r="E24" s="246"/>
      <c r="F24" s="275"/>
      <c r="G24" s="275"/>
      <c r="H24" s="405"/>
      <c r="I24" s="395"/>
      <c r="J24" s="395"/>
      <c r="K24" s="395"/>
      <c r="L24" s="395"/>
      <c r="M24" s="395"/>
      <c r="N24" s="395"/>
      <c r="O24" s="395"/>
      <c r="P24" s="409">
        <f t="shared" si="0"/>
        <v>0</v>
      </c>
    </row>
    <row r="25" spans="1:16" x14ac:dyDescent="0.35">
      <c r="A25" s="45"/>
      <c r="B25" s="408"/>
      <c r="C25" s="793"/>
      <c r="D25" s="793"/>
      <c r="E25" s="246"/>
      <c r="F25" s="275"/>
      <c r="G25" s="275"/>
      <c r="H25" s="405"/>
      <c r="I25" s="395"/>
      <c r="J25" s="395"/>
      <c r="K25" s="395"/>
      <c r="L25" s="395"/>
      <c r="M25" s="395"/>
      <c r="N25" s="395"/>
      <c r="O25" s="395"/>
      <c r="P25" s="409">
        <f t="shared" si="0"/>
        <v>0</v>
      </c>
    </row>
    <row r="26" spans="1:16" x14ac:dyDescent="0.35">
      <c r="A26" s="45"/>
      <c r="B26" s="408"/>
      <c r="C26" s="793"/>
      <c r="D26" s="793"/>
      <c r="E26" s="246"/>
      <c r="F26" s="275"/>
      <c r="G26" s="275"/>
      <c r="H26" s="405"/>
      <c r="I26" s="395"/>
      <c r="J26" s="395"/>
      <c r="K26" s="395"/>
      <c r="L26" s="395"/>
      <c r="M26" s="395"/>
      <c r="N26" s="395"/>
      <c r="O26" s="395"/>
      <c r="P26" s="409">
        <f t="shared" si="0"/>
        <v>0</v>
      </c>
    </row>
    <row r="27" spans="1:16" ht="25.5" customHeight="1" x14ac:dyDescent="0.35">
      <c r="A27" s="45"/>
      <c r="B27" s="834" t="s">
        <v>147</v>
      </c>
      <c r="C27" s="835"/>
      <c r="D27" s="835"/>
      <c r="E27" s="835"/>
      <c r="F27" s="835"/>
      <c r="G27" s="835"/>
      <c r="H27" s="835"/>
      <c r="I27" s="835"/>
      <c r="J27" s="835"/>
      <c r="K27" s="835"/>
      <c r="L27" s="835"/>
      <c r="M27" s="835"/>
      <c r="N27" s="835"/>
      <c r="O27" s="835"/>
      <c r="P27" s="836"/>
    </row>
    <row r="28" spans="1:16" x14ac:dyDescent="0.35">
      <c r="A28" s="45"/>
      <c r="B28" s="408">
        <v>7</v>
      </c>
      <c r="C28" s="393" t="s">
        <v>148</v>
      </c>
      <c r="D28" s="231" t="s">
        <v>34</v>
      </c>
      <c r="E28" s="396">
        <v>12</v>
      </c>
      <c r="F28" s="275"/>
      <c r="G28" s="275">
        <v>50</v>
      </c>
      <c r="H28" s="395"/>
      <c r="I28" s="405">
        <v>0.2</v>
      </c>
      <c r="J28" s="405">
        <v>0.5</v>
      </c>
      <c r="K28" s="405">
        <v>0.3</v>
      </c>
      <c r="L28" s="395"/>
      <c r="M28" s="395"/>
      <c r="N28" s="395"/>
      <c r="O28" s="395"/>
      <c r="P28" s="409">
        <f t="shared" si="0"/>
        <v>1</v>
      </c>
    </row>
    <row r="29" spans="1:16" ht="28" x14ac:dyDescent="0.35">
      <c r="A29" s="45"/>
      <c r="B29" s="408">
        <v>8</v>
      </c>
      <c r="C29" s="393" t="s">
        <v>149</v>
      </c>
      <c r="D29" s="231" t="s">
        <v>34</v>
      </c>
      <c r="E29" s="396">
        <v>12</v>
      </c>
      <c r="F29" s="275"/>
      <c r="G29" s="275"/>
      <c r="H29" s="395"/>
      <c r="I29" s="405">
        <v>0.8</v>
      </c>
      <c r="J29" s="405">
        <v>0.2</v>
      </c>
      <c r="K29" s="395"/>
      <c r="L29" s="395"/>
      <c r="M29" s="395"/>
      <c r="N29" s="395"/>
      <c r="O29" s="395"/>
      <c r="P29" s="409">
        <f t="shared" si="0"/>
        <v>1</v>
      </c>
    </row>
    <row r="30" spans="1:16" x14ac:dyDescent="0.35">
      <c r="A30" s="45"/>
      <c r="B30" s="408">
        <v>9</v>
      </c>
      <c r="C30" s="393" t="s">
        <v>150</v>
      </c>
      <c r="D30" s="231" t="s">
        <v>34</v>
      </c>
      <c r="E30" s="396">
        <v>12</v>
      </c>
      <c r="F30" s="275"/>
      <c r="G30" s="275"/>
      <c r="H30" s="395"/>
      <c r="I30" s="405">
        <v>0.5</v>
      </c>
      <c r="J30" s="405">
        <v>0.5</v>
      </c>
      <c r="K30" s="395"/>
      <c r="L30" s="395"/>
      <c r="M30" s="395"/>
      <c r="N30" s="395"/>
      <c r="O30" s="395"/>
      <c r="P30" s="409">
        <f t="shared" si="0"/>
        <v>1</v>
      </c>
    </row>
    <row r="31" spans="1:16" ht="28" x14ac:dyDescent="0.35">
      <c r="A31" s="45"/>
      <c r="B31" s="408">
        <v>10</v>
      </c>
      <c r="C31" s="393" t="s">
        <v>151</v>
      </c>
      <c r="D31" s="231" t="s">
        <v>34</v>
      </c>
      <c r="E31" s="396">
        <v>12</v>
      </c>
      <c r="F31" s="275"/>
      <c r="G31" s="275"/>
      <c r="H31" s="395"/>
      <c r="I31" s="405">
        <v>1</v>
      </c>
      <c r="J31" s="395"/>
      <c r="K31" s="395"/>
      <c r="L31" s="395"/>
      <c r="M31" s="395"/>
      <c r="N31" s="395"/>
      <c r="O31" s="395"/>
      <c r="P31" s="409">
        <f t="shared" si="0"/>
        <v>1</v>
      </c>
    </row>
    <row r="32" spans="1:16" ht="28" x14ac:dyDescent="0.35">
      <c r="A32" s="45"/>
      <c r="B32" s="408">
        <v>11</v>
      </c>
      <c r="C32" s="393" t="s">
        <v>152</v>
      </c>
      <c r="D32" s="231" t="s">
        <v>34</v>
      </c>
      <c r="E32" s="396">
        <v>3</v>
      </c>
      <c r="F32" s="275"/>
      <c r="G32" s="275"/>
      <c r="H32" s="395"/>
      <c r="I32" s="395"/>
      <c r="J32" s="405">
        <v>1</v>
      </c>
      <c r="K32" s="395"/>
      <c r="L32" s="395"/>
      <c r="M32" s="395"/>
      <c r="N32" s="395"/>
      <c r="O32" s="395"/>
      <c r="P32" s="409">
        <f t="shared" si="0"/>
        <v>1</v>
      </c>
    </row>
    <row r="33" spans="1:16" x14ac:dyDescent="0.35">
      <c r="A33" s="45"/>
      <c r="B33" s="410" t="s">
        <v>268</v>
      </c>
      <c r="C33" s="393"/>
      <c r="D33" s="231" t="s">
        <v>254</v>
      </c>
      <c r="E33" s="396"/>
      <c r="F33" s="275"/>
      <c r="G33" s="275"/>
      <c r="H33" s="395"/>
      <c r="I33" s="395"/>
      <c r="J33" s="395"/>
      <c r="K33" s="395"/>
      <c r="L33" s="395"/>
      <c r="M33" s="395"/>
      <c r="N33" s="395"/>
      <c r="O33" s="395"/>
      <c r="P33" s="409">
        <f t="shared" si="0"/>
        <v>0</v>
      </c>
    </row>
    <row r="34" spans="1:16" x14ac:dyDescent="0.35">
      <c r="A34" s="45"/>
      <c r="B34" s="408"/>
      <c r="C34" s="793"/>
      <c r="D34" s="793"/>
      <c r="E34" s="246"/>
      <c r="F34" s="275"/>
      <c r="G34" s="275"/>
      <c r="H34" s="395"/>
      <c r="I34" s="395"/>
      <c r="J34" s="395"/>
      <c r="K34" s="395"/>
      <c r="L34" s="395"/>
      <c r="M34" s="395"/>
      <c r="N34" s="395"/>
      <c r="O34" s="395"/>
      <c r="P34" s="409">
        <f t="shared" si="0"/>
        <v>0</v>
      </c>
    </row>
    <row r="35" spans="1:16" x14ac:dyDescent="0.35">
      <c r="A35" s="45"/>
      <c r="B35" s="408"/>
      <c r="C35" s="793"/>
      <c r="D35" s="793"/>
      <c r="E35" s="246"/>
      <c r="F35" s="275"/>
      <c r="G35" s="275"/>
      <c r="H35" s="395"/>
      <c r="I35" s="395"/>
      <c r="J35" s="395"/>
      <c r="K35" s="395"/>
      <c r="L35" s="395"/>
      <c r="M35" s="395"/>
      <c r="N35" s="395"/>
      <c r="O35" s="395"/>
      <c r="P35" s="409">
        <f t="shared" si="0"/>
        <v>0</v>
      </c>
    </row>
    <row r="36" spans="1:16" x14ac:dyDescent="0.35">
      <c r="A36" s="45"/>
      <c r="B36" s="408"/>
      <c r="C36" s="793"/>
      <c r="D36" s="793"/>
      <c r="E36" s="246"/>
      <c r="F36" s="275"/>
      <c r="G36" s="275"/>
      <c r="H36" s="395"/>
      <c r="I36" s="395"/>
      <c r="J36" s="395"/>
      <c r="K36" s="395"/>
      <c r="L36" s="395"/>
      <c r="M36" s="395"/>
      <c r="N36" s="395"/>
      <c r="O36" s="395"/>
      <c r="P36" s="409">
        <f t="shared" si="0"/>
        <v>0</v>
      </c>
    </row>
    <row r="37" spans="1:16" ht="26.25" customHeight="1" x14ac:dyDescent="0.35">
      <c r="A37" s="45"/>
      <c r="B37" s="834" t="s">
        <v>11</v>
      </c>
      <c r="C37" s="835"/>
      <c r="D37" s="835"/>
      <c r="E37" s="835"/>
      <c r="F37" s="835"/>
      <c r="G37" s="835"/>
      <c r="H37" s="835"/>
      <c r="I37" s="835"/>
      <c r="J37" s="835"/>
      <c r="K37" s="835"/>
      <c r="L37" s="835"/>
      <c r="M37" s="835"/>
      <c r="N37" s="835"/>
      <c r="O37" s="835"/>
      <c r="P37" s="836"/>
    </row>
    <row r="38" spans="1:16" x14ac:dyDescent="0.35">
      <c r="A38" s="45"/>
      <c r="B38" s="410" t="s">
        <v>11</v>
      </c>
      <c r="C38" s="393"/>
      <c r="D38" s="396"/>
      <c r="E38" s="396"/>
      <c r="F38" s="275"/>
      <c r="G38" s="275"/>
      <c r="H38" s="400"/>
      <c r="I38" s="400"/>
      <c r="J38" s="400"/>
      <c r="K38" s="400"/>
      <c r="L38" s="400"/>
      <c r="M38" s="400"/>
      <c r="N38" s="400"/>
      <c r="O38" s="400"/>
      <c r="P38" s="409">
        <f t="shared" si="0"/>
        <v>0</v>
      </c>
    </row>
    <row r="39" spans="1:16" ht="28" x14ac:dyDescent="0.35">
      <c r="A39" s="45"/>
      <c r="B39" s="408">
        <v>12</v>
      </c>
      <c r="C39" s="393" t="s">
        <v>153</v>
      </c>
      <c r="D39" s="231" t="s">
        <v>34</v>
      </c>
      <c r="E39" s="396">
        <v>12</v>
      </c>
      <c r="F39" s="275"/>
      <c r="G39" s="275"/>
      <c r="H39" s="395"/>
      <c r="I39" s="395"/>
      <c r="J39" s="405">
        <v>1</v>
      </c>
      <c r="K39" s="395"/>
      <c r="L39" s="395"/>
      <c r="M39" s="395"/>
      <c r="N39" s="395"/>
      <c r="O39" s="395"/>
      <c r="P39" s="409">
        <f t="shared" si="0"/>
        <v>1</v>
      </c>
    </row>
    <row r="40" spans="1:16" ht="28" x14ac:dyDescent="0.35">
      <c r="A40" s="45"/>
      <c r="B40" s="408">
        <v>13</v>
      </c>
      <c r="C40" s="393" t="s">
        <v>154</v>
      </c>
      <c r="D40" s="231" t="s">
        <v>34</v>
      </c>
      <c r="E40" s="396">
        <v>12</v>
      </c>
      <c r="F40" s="275"/>
      <c r="G40" s="275"/>
      <c r="H40" s="395"/>
      <c r="I40" s="395"/>
      <c r="J40" s="405">
        <v>1</v>
      </c>
      <c r="K40" s="395"/>
      <c r="L40" s="395"/>
      <c r="M40" s="395"/>
      <c r="N40" s="395"/>
      <c r="O40" s="395"/>
      <c r="P40" s="409">
        <f t="shared" si="0"/>
        <v>1</v>
      </c>
    </row>
    <row r="41" spans="1:16" ht="28" x14ac:dyDescent="0.35">
      <c r="A41" s="45"/>
      <c r="B41" s="408">
        <v>14</v>
      </c>
      <c r="C41" s="393" t="s">
        <v>155</v>
      </c>
      <c r="D41" s="231" t="s">
        <v>34</v>
      </c>
      <c r="E41" s="396">
        <v>12</v>
      </c>
      <c r="F41" s="275"/>
      <c r="G41" s="275"/>
      <c r="H41" s="395"/>
      <c r="I41" s="395"/>
      <c r="J41" s="405">
        <v>1</v>
      </c>
      <c r="K41" s="395"/>
      <c r="L41" s="395"/>
      <c r="M41" s="395"/>
      <c r="N41" s="395"/>
      <c r="O41" s="395"/>
      <c r="P41" s="409">
        <f t="shared" si="0"/>
        <v>1</v>
      </c>
    </row>
    <row r="42" spans="1:16" x14ac:dyDescent="0.35">
      <c r="A42" s="45"/>
      <c r="B42" s="410" t="s">
        <v>268</v>
      </c>
      <c r="C42" s="393"/>
      <c r="D42" s="231" t="s">
        <v>254</v>
      </c>
      <c r="E42" s="396"/>
      <c r="F42" s="275"/>
      <c r="G42" s="275"/>
      <c r="H42" s="395"/>
      <c r="I42" s="395"/>
      <c r="J42" s="395"/>
      <c r="K42" s="395"/>
      <c r="L42" s="395"/>
      <c r="M42" s="395"/>
      <c r="N42" s="395"/>
      <c r="O42" s="395"/>
      <c r="P42" s="409">
        <f t="shared" si="0"/>
        <v>0</v>
      </c>
    </row>
    <row r="43" spans="1:16" x14ac:dyDescent="0.35">
      <c r="A43" s="45"/>
      <c r="B43" s="408"/>
      <c r="C43" s="793"/>
      <c r="D43" s="793"/>
      <c r="E43" s="246"/>
      <c r="F43" s="275"/>
      <c r="G43" s="275"/>
      <c r="H43" s="395"/>
      <c r="I43" s="395"/>
      <c r="J43" s="395"/>
      <c r="K43" s="395"/>
      <c r="L43" s="395"/>
      <c r="M43" s="395"/>
      <c r="N43" s="395"/>
      <c r="O43" s="395"/>
      <c r="P43" s="409">
        <f t="shared" si="0"/>
        <v>0</v>
      </c>
    </row>
    <row r="44" spans="1:16" x14ac:dyDescent="0.35">
      <c r="A44" s="45"/>
      <c r="B44" s="408"/>
      <c r="C44" s="793"/>
      <c r="D44" s="793"/>
      <c r="E44" s="246"/>
      <c r="F44" s="275"/>
      <c r="G44" s="275"/>
      <c r="H44" s="395"/>
      <c r="I44" s="395"/>
      <c r="J44" s="395"/>
      <c r="K44" s="395"/>
      <c r="L44" s="395"/>
      <c r="M44" s="395"/>
      <c r="N44" s="395"/>
      <c r="O44" s="395"/>
      <c r="P44" s="409">
        <f t="shared" si="0"/>
        <v>0</v>
      </c>
    </row>
    <row r="45" spans="1:16" x14ac:dyDescent="0.35">
      <c r="A45" s="45"/>
      <c r="B45" s="408"/>
      <c r="C45" s="793"/>
      <c r="D45" s="793"/>
      <c r="E45" s="246"/>
      <c r="F45" s="275"/>
      <c r="G45" s="275"/>
      <c r="H45" s="395"/>
      <c r="I45" s="395"/>
      <c r="J45" s="395"/>
      <c r="K45" s="395"/>
      <c r="L45" s="395"/>
      <c r="M45" s="395"/>
      <c r="N45" s="395"/>
      <c r="O45" s="395"/>
      <c r="P45" s="409">
        <f t="shared" si="0"/>
        <v>0</v>
      </c>
    </row>
    <row r="46" spans="1:16" ht="24" customHeight="1" x14ac:dyDescent="0.35">
      <c r="A46" s="45"/>
      <c r="B46" s="834" t="s">
        <v>156</v>
      </c>
      <c r="C46" s="835"/>
      <c r="D46" s="835"/>
      <c r="E46" s="835"/>
      <c r="F46" s="835"/>
      <c r="G46" s="835"/>
      <c r="H46" s="835"/>
      <c r="I46" s="835"/>
      <c r="J46" s="835"/>
      <c r="K46" s="835"/>
      <c r="L46" s="835"/>
      <c r="M46" s="835"/>
      <c r="N46" s="835"/>
      <c r="O46" s="835"/>
      <c r="P46" s="836"/>
    </row>
    <row r="47" spans="1:16" x14ac:dyDescent="0.35">
      <c r="A47" s="45"/>
      <c r="B47" s="408">
        <v>15</v>
      </c>
      <c r="C47" s="393" t="s">
        <v>157</v>
      </c>
      <c r="D47" s="231" t="s">
        <v>34</v>
      </c>
      <c r="E47" s="396"/>
      <c r="F47" s="275"/>
      <c r="G47" s="275"/>
      <c r="H47" s="405">
        <v>1</v>
      </c>
      <c r="I47" s="395"/>
      <c r="J47" s="395"/>
      <c r="K47" s="395"/>
      <c r="L47" s="395"/>
      <c r="M47" s="395"/>
      <c r="N47" s="395"/>
      <c r="O47" s="395"/>
      <c r="P47" s="409">
        <f t="shared" si="0"/>
        <v>1</v>
      </c>
    </row>
    <row r="48" spans="1:16" x14ac:dyDescent="0.35">
      <c r="A48" s="45"/>
      <c r="B48" s="410" t="s">
        <v>268</v>
      </c>
      <c r="C48" s="393"/>
      <c r="D48" s="231" t="s">
        <v>254</v>
      </c>
      <c r="E48" s="396"/>
      <c r="F48" s="275"/>
      <c r="G48" s="275"/>
      <c r="H48" s="405"/>
      <c r="I48" s="395"/>
      <c r="J48" s="395"/>
      <c r="K48" s="395"/>
      <c r="L48" s="395"/>
      <c r="M48" s="395"/>
      <c r="N48" s="395"/>
      <c r="O48" s="395"/>
      <c r="P48" s="409">
        <f t="shared" si="0"/>
        <v>0</v>
      </c>
    </row>
    <row r="49" spans="1:16" x14ac:dyDescent="0.35">
      <c r="A49" s="45"/>
      <c r="B49" s="408"/>
      <c r="C49" s="793"/>
      <c r="D49" s="793"/>
      <c r="E49" s="246"/>
      <c r="F49" s="275"/>
      <c r="G49" s="275"/>
      <c r="H49" s="405"/>
      <c r="I49" s="395"/>
      <c r="J49" s="395"/>
      <c r="K49" s="395"/>
      <c r="L49" s="395"/>
      <c r="M49" s="395"/>
      <c r="N49" s="395"/>
      <c r="O49" s="395"/>
      <c r="P49" s="409">
        <f t="shared" si="0"/>
        <v>0</v>
      </c>
    </row>
    <row r="50" spans="1:16" x14ac:dyDescent="0.35">
      <c r="A50" s="45"/>
      <c r="B50" s="408"/>
      <c r="C50" s="793"/>
      <c r="D50" s="793"/>
      <c r="E50" s="246"/>
      <c r="F50" s="275"/>
      <c r="G50" s="275"/>
      <c r="H50" s="405"/>
      <c r="I50" s="395"/>
      <c r="J50" s="395"/>
      <c r="K50" s="395"/>
      <c r="L50" s="395"/>
      <c r="M50" s="395"/>
      <c r="N50" s="395"/>
      <c r="O50" s="395"/>
      <c r="P50" s="409"/>
    </row>
    <row r="51" spans="1:16" x14ac:dyDescent="0.35">
      <c r="A51" s="45"/>
      <c r="B51" s="408"/>
      <c r="C51" s="793"/>
      <c r="D51" s="793"/>
      <c r="E51" s="246"/>
      <c r="F51" s="275"/>
      <c r="G51" s="275"/>
      <c r="H51" s="405"/>
      <c r="I51" s="395"/>
      <c r="J51" s="395"/>
      <c r="K51" s="395"/>
      <c r="L51" s="395"/>
      <c r="M51" s="395"/>
      <c r="N51" s="395"/>
      <c r="O51" s="395"/>
      <c r="P51" s="409">
        <f t="shared" si="0"/>
        <v>0</v>
      </c>
    </row>
    <row r="52" spans="1:16" ht="21" customHeight="1" x14ac:dyDescent="0.35">
      <c r="A52" s="43"/>
      <c r="B52" s="834" t="s">
        <v>158</v>
      </c>
      <c r="C52" s="835"/>
      <c r="D52" s="835"/>
      <c r="E52" s="835"/>
      <c r="F52" s="835"/>
      <c r="G52" s="835"/>
      <c r="H52" s="835"/>
      <c r="I52" s="835"/>
      <c r="J52" s="835"/>
      <c r="K52" s="835"/>
      <c r="L52" s="835"/>
      <c r="M52" s="835"/>
      <c r="N52" s="835"/>
      <c r="O52" s="835"/>
      <c r="P52" s="836"/>
    </row>
    <row r="53" spans="1:16" x14ac:dyDescent="0.35">
      <c r="A53" s="45"/>
      <c r="B53" s="408">
        <v>16</v>
      </c>
      <c r="C53" s="393" t="s">
        <v>159</v>
      </c>
      <c r="D53" s="231" t="s">
        <v>34</v>
      </c>
      <c r="E53" s="396"/>
      <c r="F53" s="275"/>
      <c r="G53" s="275"/>
      <c r="H53" s="395"/>
      <c r="I53" s="395"/>
      <c r="J53" s="395"/>
      <c r="K53" s="395"/>
      <c r="L53" s="395"/>
      <c r="M53" s="395"/>
      <c r="N53" s="395"/>
      <c r="O53" s="395"/>
      <c r="P53" s="409">
        <f t="shared" si="0"/>
        <v>0</v>
      </c>
    </row>
    <row r="54" spans="1:16" x14ac:dyDescent="0.35">
      <c r="A54" s="45"/>
      <c r="B54" s="408">
        <v>17</v>
      </c>
      <c r="C54" s="393" t="s">
        <v>160</v>
      </c>
      <c r="D54" s="231" t="s">
        <v>34</v>
      </c>
      <c r="E54" s="396"/>
      <c r="F54" s="275"/>
      <c r="G54" s="275"/>
      <c r="H54" s="395"/>
      <c r="I54" s="395"/>
      <c r="J54" s="395"/>
      <c r="K54" s="395"/>
      <c r="L54" s="395"/>
      <c r="M54" s="395"/>
      <c r="N54" s="395"/>
      <c r="O54" s="395"/>
      <c r="P54" s="409">
        <f t="shared" si="0"/>
        <v>0</v>
      </c>
    </row>
    <row r="55" spans="1:16" x14ac:dyDescent="0.35">
      <c r="A55" s="45"/>
      <c r="B55" s="408">
        <v>18</v>
      </c>
      <c r="C55" s="393" t="s">
        <v>161</v>
      </c>
      <c r="D55" s="231" t="s">
        <v>34</v>
      </c>
      <c r="E55" s="396"/>
      <c r="F55" s="275"/>
      <c r="G55" s="275"/>
      <c r="H55" s="395"/>
      <c r="I55" s="395"/>
      <c r="J55" s="395"/>
      <c r="K55" s="395"/>
      <c r="L55" s="395"/>
      <c r="M55" s="395"/>
      <c r="N55" s="395"/>
      <c r="O55" s="395"/>
      <c r="P55" s="409">
        <f t="shared" si="0"/>
        <v>0</v>
      </c>
    </row>
    <row r="56" spans="1:16" x14ac:dyDescent="0.35">
      <c r="A56" s="45"/>
      <c r="B56" s="408">
        <v>19</v>
      </c>
      <c r="C56" s="393" t="s">
        <v>162</v>
      </c>
      <c r="D56" s="231" t="s">
        <v>34</v>
      </c>
      <c r="E56" s="396"/>
      <c r="F56" s="275"/>
      <c r="G56" s="275"/>
      <c r="H56" s="395"/>
      <c r="I56" s="395"/>
      <c r="J56" s="395"/>
      <c r="K56" s="395"/>
      <c r="L56" s="395"/>
      <c r="M56" s="395"/>
      <c r="N56" s="395"/>
      <c r="O56" s="395"/>
      <c r="P56" s="409">
        <f t="shared" si="0"/>
        <v>0</v>
      </c>
    </row>
    <row r="57" spans="1:16" x14ac:dyDescent="0.35">
      <c r="A57" s="45"/>
      <c r="B57" s="410" t="s">
        <v>268</v>
      </c>
      <c r="C57" s="393"/>
      <c r="D57" s="231" t="s">
        <v>254</v>
      </c>
      <c r="E57" s="396"/>
      <c r="F57" s="275"/>
      <c r="G57" s="275"/>
      <c r="H57" s="395"/>
      <c r="I57" s="395"/>
      <c r="J57" s="395"/>
      <c r="K57" s="395"/>
      <c r="L57" s="395"/>
      <c r="M57" s="395"/>
      <c r="N57" s="395"/>
      <c r="O57" s="395"/>
      <c r="P57" s="409">
        <f t="shared" si="0"/>
        <v>0</v>
      </c>
    </row>
    <row r="58" spans="1:16" x14ac:dyDescent="0.35">
      <c r="A58" s="45"/>
      <c r="B58" s="410"/>
      <c r="C58" s="793"/>
      <c r="D58" s="793"/>
      <c r="E58" s="246"/>
      <c r="F58" s="275"/>
      <c r="G58" s="275"/>
      <c r="H58" s="395"/>
      <c r="I58" s="395"/>
      <c r="J58" s="395"/>
      <c r="K58" s="395"/>
      <c r="L58" s="395"/>
      <c r="M58" s="395"/>
      <c r="N58" s="395"/>
      <c r="O58" s="395"/>
      <c r="P58" s="409"/>
    </row>
    <row r="59" spans="1:16" x14ac:dyDescent="0.35">
      <c r="A59" s="45"/>
      <c r="B59" s="410"/>
      <c r="C59" s="793"/>
      <c r="D59" s="793"/>
      <c r="E59" s="246"/>
      <c r="F59" s="275"/>
      <c r="G59" s="275"/>
      <c r="H59" s="395"/>
      <c r="I59" s="395"/>
      <c r="J59" s="395"/>
      <c r="K59" s="395"/>
      <c r="L59" s="395"/>
      <c r="M59" s="395"/>
      <c r="N59" s="395"/>
      <c r="O59" s="395"/>
      <c r="P59" s="409"/>
    </row>
    <row r="60" spans="1:16" x14ac:dyDescent="0.35">
      <c r="A60" s="43"/>
      <c r="B60" s="411"/>
      <c r="C60" s="793"/>
      <c r="D60" s="793"/>
      <c r="E60" s="246"/>
      <c r="F60" s="275"/>
      <c r="G60" s="275"/>
      <c r="H60" s="399"/>
      <c r="I60" s="399"/>
      <c r="J60" s="399"/>
      <c r="K60" s="399"/>
      <c r="L60" s="399"/>
      <c r="M60" s="399"/>
      <c r="N60" s="399"/>
      <c r="O60" s="399"/>
      <c r="P60" s="409"/>
    </row>
    <row r="61" spans="1:16" ht="27" customHeight="1" x14ac:dyDescent="0.35">
      <c r="B61" s="842" t="s">
        <v>163</v>
      </c>
      <c r="C61" s="843"/>
      <c r="D61" s="843"/>
      <c r="E61" s="843"/>
      <c r="F61" s="843"/>
      <c r="G61" s="843"/>
      <c r="H61" s="843"/>
      <c r="I61" s="843"/>
      <c r="J61" s="843"/>
      <c r="K61" s="843"/>
      <c r="L61" s="843"/>
      <c r="M61" s="843"/>
      <c r="N61" s="843"/>
      <c r="O61" s="843"/>
      <c r="P61" s="844"/>
    </row>
    <row r="62" spans="1:16" ht="16.5" x14ac:dyDescent="0.35">
      <c r="B62" s="412"/>
      <c r="C62" s="393"/>
      <c r="D62" s="396"/>
      <c r="E62" s="396"/>
      <c r="F62" s="392"/>
      <c r="G62" s="392"/>
      <c r="H62" s="392"/>
      <c r="I62" s="392"/>
      <c r="J62" s="392"/>
      <c r="K62" s="392"/>
      <c r="L62" s="392"/>
      <c r="M62" s="392"/>
      <c r="N62" s="392"/>
      <c r="O62" s="392"/>
      <c r="P62" s="413"/>
    </row>
    <row r="63" spans="1:16" ht="25.5" customHeight="1" x14ac:dyDescent="0.35">
      <c r="A63" s="45"/>
      <c r="B63" s="837" t="s">
        <v>164</v>
      </c>
      <c r="C63" s="806"/>
      <c r="D63" s="806"/>
      <c r="E63" s="806"/>
      <c r="F63" s="806"/>
      <c r="G63" s="806"/>
      <c r="H63" s="806"/>
      <c r="I63" s="806"/>
      <c r="J63" s="806"/>
      <c r="K63" s="806"/>
      <c r="L63" s="806"/>
      <c r="M63" s="806"/>
      <c r="N63" s="806"/>
      <c r="O63" s="806"/>
      <c r="P63" s="838"/>
    </row>
    <row r="64" spans="1:16" x14ac:dyDescent="0.35">
      <c r="A64" s="45"/>
      <c r="B64" s="408">
        <v>21</v>
      </c>
      <c r="C64" s="393" t="s">
        <v>165</v>
      </c>
      <c r="D64" s="231" t="s">
        <v>34</v>
      </c>
      <c r="E64" s="396"/>
      <c r="F64" s="275"/>
      <c r="G64" s="275"/>
      <c r="H64" s="405">
        <v>1</v>
      </c>
      <c r="I64" s="395"/>
      <c r="J64" s="395"/>
      <c r="K64" s="395"/>
      <c r="L64" s="395"/>
      <c r="M64" s="395"/>
      <c r="N64" s="395"/>
      <c r="O64" s="395"/>
      <c r="P64" s="409">
        <f t="shared" si="0"/>
        <v>1</v>
      </c>
    </row>
    <row r="65" spans="1:16" x14ac:dyDescent="0.35">
      <c r="A65" s="45"/>
      <c r="B65" s="408">
        <v>22</v>
      </c>
      <c r="C65" s="393" t="s">
        <v>166</v>
      </c>
      <c r="D65" s="231" t="s">
        <v>34</v>
      </c>
      <c r="E65" s="396"/>
      <c r="F65" s="275"/>
      <c r="G65" s="275"/>
      <c r="H65" s="405">
        <v>1</v>
      </c>
      <c r="I65" s="395"/>
      <c r="J65" s="395"/>
      <c r="K65" s="395"/>
      <c r="L65" s="395"/>
      <c r="M65" s="395"/>
      <c r="N65" s="395"/>
      <c r="O65" s="395"/>
      <c r="P65" s="409">
        <f t="shared" si="0"/>
        <v>1</v>
      </c>
    </row>
    <row r="66" spans="1:16" x14ac:dyDescent="0.35">
      <c r="A66" s="45"/>
      <c r="B66" s="408">
        <v>23</v>
      </c>
      <c r="C66" s="393" t="s">
        <v>167</v>
      </c>
      <c r="D66" s="231" t="s">
        <v>34</v>
      </c>
      <c r="E66" s="396"/>
      <c r="F66" s="275"/>
      <c r="G66" s="275"/>
      <c r="H66" s="405">
        <v>1</v>
      </c>
      <c r="I66" s="395"/>
      <c r="J66" s="395"/>
      <c r="K66" s="395"/>
      <c r="L66" s="395"/>
      <c r="M66" s="395"/>
      <c r="N66" s="395"/>
      <c r="O66" s="395"/>
      <c r="P66" s="409">
        <f t="shared" si="0"/>
        <v>1</v>
      </c>
    </row>
    <row r="67" spans="1:16" x14ac:dyDescent="0.35">
      <c r="A67" s="45"/>
      <c r="B67" s="408">
        <v>24</v>
      </c>
      <c r="C67" s="393" t="s">
        <v>168</v>
      </c>
      <c r="D67" s="231" t="s">
        <v>34</v>
      </c>
      <c r="E67" s="396"/>
      <c r="F67" s="275"/>
      <c r="G67" s="275"/>
      <c r="H67" s="405">
        <v>1</v>
      </c>
      <c r="I67" s="395"/>
      <c r="J67" s="395"/>
      <c r="K67" s="395"/>
      <c r="L67" s="395"/>
      <c r="M67" s="395"/>
      <c r="N67" s="395"/>
      <c r="O67" s="395"/>
      <c r="P67" s="409">
        <f t="shared" si="0"/>
        <v>1</v>
      </c>
    </row>
    <row r="68" spans="1:16" x14ac:dyDescent="0.35">
      <c r="A68" s="45"/>
      <c r="B68" s="410" t="s">
        <v>268</v>
      </c>
      <c r="C68" s="393"/>
      <c r="D68" s="231" t="s">
        <v>254</v>
      </c>
      <c r="E68" s="396"/>
      <c r="F68" s="275"/>
      <c r="G68" s="275"/>
      <c r="H68" s="405"/>
      <c r="I68" s="395"/>
      <c r="J68" s="395"/>
      <c r="K68" s="395"/>
      <c r="L68" s="395"/>
      <c r="M68" s="395"/>
      <c r="N68" s="395"/>
      <c r="O68" s="395"/>
      <c r="P68" s="409"/>
    </row>
    <row r="69" spans="1:16" x14ac:dyDescent="0.35">
      <c r="A69" s="45"/>
      <c r="B69" s="408"/>
      <c r="C69" s="793"/>
      <c r="D69" s="793"/>
      <c r="E69" s="246"/>
      <c r="F69" s="275"/>
      <c r="G69" s="275"/>
      <c r="H69" s="405"/>
      <c r="I69" s="395"/>
      <c r="J69" s="395"/>
      <c r="K69" s="395"/>
      <c r="L69" s="395"/>
      <c r="M69" s="395"/>
      <c r="N69" s="395"/>
      <c r="O69" s="395"/>
      <c r="P69" s="409"/>
    </row>
    <row r="70" spans="1:16" x14ac:dyDescent="0.35">
      <c r="A70" s="45"/>
      <c r="B70" s="408"/>
      <c r="C70" s="793"/>
      <c r="D70" s="793"/>
      <c r="E70" s="246"/>
      <c r="F70" s="275"/>
      <c r="G70" s="275"/>
      <c r="H70" s="405"/>
      <c r="I70" s="395"/>
      <c r="J70" s="395"/>
      <c r="K70" s="395"/>
      <c r="L70" s="395"/>
      <c r="M70" s="395"/>
      <c r="N70" s="395"/>
      <c r="O70" s="395"/>
      <c r="P70" s="409"/>
    </row>
    <row r="71" spans="1:16" x14ac:dyDescent="0.35">
      <c r="A71" s="45"/>
      <c r="B71" s="408"/>
      <c r="C71" s="793"/>
      <c r="D71" s="793"/>
      <c r="E71" s="246"/>
      <c r="F71" s="275"/>
      <c r="G71" s="275"/>
      <c r="H71" s="395"/>
      <c r="I71" s="395"/>
      <c r="J71" s="395"/>
      <c r="K71" s="395"/>
      <c r="L71" s="395"/>
      <c r="M71" s="395"/>
      <c r="N71" s="395"/>
      <c r="O71" s="395"/>
      <c r="P71" s="409">
        <f t="shared" si="0"/>
        <v>0</v>
      </c>
    </row>
    <row r="72" spans="1:16" ht="28.5" customHeight="1" x14ac:dyDescent="0.35">
      <c r="A72" s="45"/>
      <c r="B72" s="837" t="s">
        <v>169</v>
      </c>
      <c r="C72" s="806"/>
      <c r="D72" s="806"/>
      <c r="E72" s="806"/>
      <c r="F72" s="806"/>
      <c r="G72" s="806"/>
      <c r="H72" s="806"/>
      <c r="I72" s="806"/>
      <c r="J72" s="806"/>
      <c r="K72" s="806"/>
      <c r="L72" s="806"/>
      <c r="M72" s="806"/>
      <c r="N72" s="806"/>
      <c r="O72" s="806"/>
      <c r="P72" s="838"/>
    </row>
    <row r="73" spans="1:16" x14ac:dyDescent="0.35">
      <c r="A73" s="45"/>
      <c r="B73" s="408">
        <v>25</v>
      </c>
      <c r="C73" s="393" t="s">
        <v>170</v>
      </c>
      <c r="D73" s="231" t="s">
        <v>34</v>
      </c>
      <c r="E73" s="396"/>
      <c r="F73" s="275"/>
      <c r="G73" s="275"/>
      <c r="H73" s="395"/>
      <c r="I73" s="405">
        <v>1</v>
      </c>
      <c r="J73" s="395"/>
      <c r="K73" s="395"/>
      <c r="L73" s="395"/>
      <c r="M73" s="395"/>
      <c r="N73" s="395"/>
      <c r="O73" s="395"/>
      <c r="P73" s="409">
        <f t="shared" si="0"/>
        <v>1</v>
      </c>
    </row>
    <row r="74" spans="1:16" x14ac:dyDescent="0.35">
      <c r="A74" s="45"/>
      <c r="B74" s="408">
        <v>26</v>
      </c>
      <c r="C74" s="393" t="s">
        <v>171</v>
      </c>
      <c r="D74" s="231" t="s">
        <v>34</v>
      </c>
      <c r="E74" s="396"/>
      <c r="F74" s="275"/>
      <c r="G74" s="275"/>
      <c r="H74" s="395"/>
      <c r="I74" s="405">
        <v>1</v>
      </c>
      <c r="J74" s="395"/>
      <c r="K74" s="395"/>
      <c r="L74" s="395"/>
      <c r="M74" s="395"/>
      <c r="N74" s="395"/>
      <c r="O74" s="395"/>
      <c r="P74" s="409">
        <f t="shared" si="0"/>
        <v>1</v>
      </c>
    </row>
    <row r="75" spans="1:16" ht="28" x14ac:dyDescent="0.35">
      <c r="A75" s="45"/>
      <c r="B75" s="408">
        <v>27</v>
      </c>
      <c r="C75" s="393" t="s">
        <v>172</v>
      </c>
      <c r="D75" s="231" t="s">
        <v>34</v>
      </c>
      <c r="E75" s="396"/>
      <c r="F75" s="275"/>
      <c r="G75" s="275"/>
      <c r="H75" s="395"/>
      <c r="I75" s="405">
        <v>0.8</v>
      </c>
      <c r="J75" s="405">
        <v>0.2</v>
      </c>
      <c r="K75" s="395"/>
      <c r="L75" s="395"/>
      <c r="M75" s="395"/>
      <c r="N75" s="395"/>
      <c r="O75" s="395"/>
      <c r="P75" s="409">
        <f t="shared" si="0"/>
        <v>1</v>
      </c>
    </row>
    <row r="76" spans="1:16" ht="28" x14ac:dyDescent="0.35">
      <c r="A76" s="45"/>
      <c r="B76" s="408">
        <v>28</v>
      </c>
      <c r="C76" s="393" t="s">
        <v>173</v>
      </c>
      <c r="D76" s="231" t="s">
        <v>34</v>
      </c>
      <c r="E76" s="396"/>
      <c r="F76" s="275"/>
      <c r="G76" s="275"/>
      <c r="H76" s="395"/>
      <c r="I76" s="395"/>
      <c r="J76" s="395"/>
      <c r="K76" s="395"/>
      <c r="L76" s="395"/>
      <c r="M76" s="395"/>
      <c r="N76" s="395"/>
      <c r="O76" s="395"/>
      <c r="P76" s="409">
        <f t="shared" si="0"/>
        <v>0</v>
      </c>
    </row>
    <row r="77" spans="1:16" ht="28" x14ac:dyDescent="0.35">
      <c r="A77" s="45"/>
      <c r="B77" s="408">
        <v>29</v>
      </c>
      <c r="C77" s="393" t="s">
        <v>174</v>
      </c>
      <c r="D77" s="231" t="s">
        <v>34</v>
      </c>
      <c r="E77" s="396"/>
      <c r="F77" s="275"/>
      <c r="G77" s="275"/>
      <c r="H77" s="395"/>
      <c r="I77" s="395"/>
      <c r="J77" s="395"/>
      <c r="K77" s="395"/>
      <c r="L77" s="395"/>
      <c r="M77" s="395"/>
      <c r="N77" s="395"/>
      <c r="O77" s="395"/>
      <c r="P77" s="409">
        <f t="shared" si="0"/>
        <v>0</v>
      </c>
    </row>
    <row r="78" spans="1:16" ht="28" x14ac:dyDescent="0.35">
      <c r="A78" s="45"/>
      <c r="B78" s="408">
        <v>30</v>
      </c>
      <c r="C78" s="393" t="s">
        <v>175</v>
      </c>
      <c r="D78" s="231" t="s">
        <v>34</v>
      </c>
      <c r="E78" s="396"/>
      <c r="F78" s="275"/>
      <c r="G78" s="275"/>
      <c r="H78" s="395"/>
      <c r="I78" s="395"/>
      <c r="J78" s="395"/>
      <c r="K78" s="395"/>
      <c r="L78" s="395"/>
      <c r="M78" s="395"/>
      <c r="N78" s="395"/>
      <c r="O78" s="395"/>
      <c r="P78" s="409">
        <f t="shared" si="0"/>
        <v>0</v>
      </c>
    </row>
    <row r="79" spans="1:16" x14ac:dyDescent="0.35">
      <c r="A79" s="45"/>
      <c r="B79" s="408">
        <v>31</v>
      </c>
      <c r="C79" s="393" t="s">
        <v>176</v>
      </c>
      <c r="D79" s="231" t="s">
        <v>34</v>
      </c>
      <c r="E79" s="396"/>
      <c r="F79" s="275"/>
      <c r="G79" s="275"/>
      <c r="H79" s="395"/>
      <c r="I79" s="395"/>
      <c r="J79" s="395"/>
      <c r="K79" s="395"/>
      <c r="L79" s="395"/>
      <c r="M79" s="395"/>
      <c r="N79" s="395"/>
      <c r="O79" s="395"/>
      <c r="P79" s="409">
        <f t="shared" si="0"/>
        <v>0</v>
      </c>
    </row>
    <row r="80" spans="1:16" x14ac:dyDescent="0.35">
      <c r="A80" s="45"/>
      <c r="B80" s="408">
        <v>32</v>
      </c>
      <c r="C80" s="393" t="s">
        <v>177</v>
      </c>
      <c r="D80" s="231" t="s">
        <v>34</v>
      </c>
      <c r="E80" s="396"/>
      <c r="F80" s="275"/>
      <c r="G80" s="275"/>
      <c r="H80" s="395"/>
      <c r="I80" s="395"/>
      <c r="J80" s="395"/>
      <c r="K80" s="395"/>
      <c r="L80" s="395"/>
      <c r="M80" s="395"/>
      <c r="N80" s="395"/>
      <c r="O80" s="395"/>
      <c r="P80" s="409">
        <f t="shared" si="0"/>
        <v>0</v>
      </c>
    </row>
    <row r="81" spans="1:16" x14ac:dyDescent="0.35">
      <c r="A81" s="45"/>
      <c r="B81" s="410" t="s">
        <v>268</v>
      </c>
      <c r="C81" s="393"/>
      <c r="D81" s="231" t="s">
        <v>254</v>
      </c>
      <c r="E81" s="396"/>
      <c r="F81" s="275"/>
      <c r="G81" s="275"/>
      <c r="H81" s="395"/>
      <c r="I81" s="395"/>
      <c r="J81" s="395"/>
      <c r="K81" s="395"/>
      <c r="L81" s="395"/>
      <c r="M81" s="395"/>
      <c r="N81" s="395"/>
      <c r="O81" s="395"/>
      <c r="P81" s="409"/>
    </row>
    <row r="82" spans="1:16" x14ac:dyDescent="0.35">
      <c r="A82" s="45"/>
      <c r="B82" s="408"/>
      <c r="C82" s="793"/>
      <c r="D82" s="793"/>
      <c r="E82" s="246"/>
      <c r="F82" s="275"/>
      <c r="G82" s="275"/>
      <c r="H82" s="395"/>
      <c r="I82" s="395"/>
      <c r="J82" s="395"/>
      <c r="K82" s="395"/>
      <c r="L82" s="395"/>
      <c r="M82" s="395"/>
      <c r="N82" s="395"/>
      <c r="O82" s="395"/>
      <c r="P82" s="409"/>
    </row>
    <row r="83" spans="1:16" x14ac:dyDescent="0.35">
      <c r="A83" s="45"/>
      <c r="B83" s="408"/>
      <c r="C83" s="793"/>
      <c r="D83" s="793"/>
      <c r="E83" s="246"/>
      <c r="F83" s="275"/>
      <c r="G83" s="275"/>
      <c r="H83" s="395"/>
      <c r="I83" s="395"/>
      <c r="J83" s="395"/>
      <c r="K83" s="395"/>
      <c r="L83" s="395"/>
      <c r="M83" s="395"/>
      <c r="N83" s="395"/>
      <c r="O83" s="395"/>
      <c r="P83" s="409"/>
    </row>
    <row r="84" spans="1:16" x14ac:dyDescent="0.35">
      <c r="A84" s="45"/>
      <c r="B84" s="408"/>
      <c r="C84" s="793"/>
      <c r="D84" s="793"/>
      <c r="E84" s="246"/>
      <c r="F84" s="275"/>
      <c r="G84" s="275"/>
      <c r="H84" s="395"/>
      <c r="I84" s="395"/>
      <c r="J84" s="395"/>
      <c r="K84" s="395"/>
      <c r="L84" s="395"/>
      <c r="M84" s="395"/>
      <c r="N84" s="395"/>
      <c r="O84" s="395"/>
      <c r="P84" s="409">
        <f t="shared" ref="P84:P107" si="1">SUM(H84:O84)</f>
        <v>0</v>
      </c>
    </row>
    <row r="85" spans="1:16" ht="25.5" customHeight="1" x14ac:dyDescent="0.35">
      <c r="A85" s="45"/>
      <c r="B85" s="837" t="s">
        <v>178</v>
      </c>
      <c r="C85" s="806"/>
      <c r="D85" s="806"/>
      <c r="E85" s="806"/>
      <c r="F85" s="806"/>
      <c r="G85" s="806"/>
      <c r="H85" s="806"/>
      <c r="I85" s="806"/>
      <c r="J85" s="806"/>
      <c r="K85" s="806"/>
      <c r="L85" s="806"/>
      <c r="M85" s="806"/>
      <c r="N85" s="806"/>
      <c r="O85" s="806"/>
      <c r="P85" s="838"/>
    </row>
    <row r="86" spans="1:16" x14ac:dyDescent="0.35">
      <c r="A86" s="45"/>
      <c r="B86" s="408">
        <v>33</v>
      </c>
      <c r="C86" s="393" t="s">
        <v>179</v>
      </c>
      <c r="D86" s="231" t="s">
        <v>34</v>
      </c>
      <c r="E86" s="396"/>
      <c r="F86" s="275"/>
      <c r="G86" s="275"/>
      <c r="H86" s="401"/>
      <c r="I86" s="401"/>
      <c r="J86" s="401"/>
      <c r="K86" s="401"/>
      <c r="L86" s="401"/>
      <c r="M86" s="401"/>
      <c r="N86" s="401"/>
      <c r="O86" s="401"/>
      <c r="P86" s="409">
        <f t="shared" si="1"/>
        <v>0</v>
      </c>
    </row>
    <row r="87" spans="1:16" x14ac:dyDescent="0.35">
      <c r="A87" s="45"/>
      <c r="B87" s="408">
        <v>34</v>
      </c>
      <c r="C87" s="393" t="s">
        <v>180</v>
      </c>
      <c r="D87" s="231" t="s">
        <v>34</v>
      </c>
      <c r="E87" s="396"/>
      <c r="F87" s="275"/>
      <c r="G87" s="275"/>
      <c r="H87" s="401"/>
      <c r="I87" s="401"/>
      <c r="J87" s="401"/>
      <c r="K87" s="401"/>
      <c r="L87" s="401"/>
      <c r="M87" s="401"/>
      <c r="N87" s="401"/>
      <c r="O87" s="401"/>
      <c r="P87" s="409">
        <f t="shared" si="1"/>
        <v>0</v>
      </c>
    </row>
    <row r="88" spans="1:16" x14ac:dyDescent="0.35">
      <c r="A88" s="45"/>
      <c r="B88" s="408">
        <v>35</v>
      </c>
      <c r="C88" s="393" t="s">
        <v>181</v>
      </c>
      <c r="D88" s="231" t="s">
        <v>34</v>
      </c>
      <c r="E88" s="396"/>
      <c r="F88" s="275"/>
      <c r="G88" s="275"/>
      <c r="H88" s="401"/>
      <c r="I88" s="401"/>
      <c r="J88" s="401"/>
      <c r="K88" s="401"/>
      <c r="L88" s="401"/>
      <c r="M88" s="401"/>
      <c r="N88" s="401"/>
      <c r="O88" s="401"/>
      <c r="P88" s="409">
        <f t="shared" si="1"/>
        <v>0</v>
      </c>
    </row>
    <row r="89" spans="1:16" x14ac:dyDescent="0.35">
      <c r="A89" s="45"/>
      <c r="B89" s="410" t="s">
        <v>268</v>
      </c>
      <c r="C89" s="393"/>
      <c r="D89" s="231" t="s">
        <v>254</v>
      </c>
      <c r="E89" s="396"/>
      <c r="F89" s="275"/>
      <c r="G89" s="275"/>
      <c r="H89" s="401"/>
      <c r="I89" s="401"/>
      <c r="J89" s="401"/>
      <c r="K89" s="401"/>
      <c r="L89" s="401"/>
      <c r="M89" s="401"/>
      <c r="N89" s="401"/>
      <c r="O89" s="401"/>
      <c r="P89" s="409"/>
    </row>
    <row r="90" spans="1:16" x14ac:dyDescent="0.35">
      <c r="A90" s="45"/>
      <c r="B90" s="408"/>
      <c r="C90" s="793"/>
      <c r="D90" s="793"/>
      <c r="E90" s="246"/>
      <c r="F90" s="275"/>
      <c r="G90" s="275"/>
      <c r="H90" s="401"/>
      <c r="I90" s="401"/>
      <c r="J90" s="401"/>
      <c r="K90" s="401"/>
      <c r="L90" s="401"/>
      <c r="M90" s="401"/>
      <c r="N90" s="401"/>
      <c r="O90" s="401"/>
      <c r="P90" s="409"/>
    </row>
    <row r="91" spans="1:16" x14ac:dyDescent="0.35">
      <c r="A91" s="45"/>
      <c r="B91" s="408"/>
      <c r="C91" s="793"/>
      <c r="D91" s="793"/>
      <c r="E91" s="246"/>
      <c r="F91" s="275"/>
      <c r="G91" s="275"/>
      <c r="H91" s="401"/>
      <c r="I91" s="401"/>
      <c r="J91" s="401"/>
      <c r="K91" s="401"/>
      <c r="L91" s="401"/>
      <c r="M91" s="401"/>
      <c r="N91" s="401"/>
      <c r="O91" s="401"/>
      <c r="P91" s="409"/>
    </row>
    <row r="92" spans="1:16" x14ac:dyDescent="0.35">
      <c r="A92" s="45"/>
      <c r="B92" s="408"/>
      <c r="C92" s="793"/>
      <c r="D92" s="793"/>
      <c r="E92" s="246"/>
      <c r="F92" s="275"/>
      <c r="G92" s="275"/>
      <c r="H92" s="401"/>
      <c r="I92" s="401"/>
      <c r="J92" s="401"/>
      <c r="K92" s="401"/>
      <c r="L92" s="401"/>
      <c r="M92" s="401"/>
      <c r="N92" s="401"/>
      <c r="O92" s="401"/>
      <c r="P92" s="409">
        <f t="shared" si="1"/>
        <v>0</v>
      </c>
    </row>
    <row r="93" spans="1:16" ht="24" customHeight="1" x14ac:dyDescent="0.35">
      <c r="A93" s="45"/>
      <c r="B93" s="837" t="s">
        <v>182</v>
      </c>
      <c r="C93" s="806"/>
      <c r="D93" s="806"/>
      <c r="E93" s="806"/>
      <c r="F93" s="806"/>
      <c r="G93" s="806"/>
      <c r="H93" s="806"/>
      <c r="I93" s="806"/>
      <c r="J93" s="806"/>
      <c r="K93" s="806"/>
      <c r="L93" s="806"/>
      <c r="M93" s="806"/>
      <c r="N93" s="806"/>
      <c r="O93" s="806"/>
      <c r="P93" s="838"/>
    </row>
    <row r="94" spans="1:16" ht="42" x14ac:dyDescent="0.35">
      <c r="A94" s="45"/>
      <c r="B94" s="408">
        <v>36</v>
      </c>
      <c r="C94" s="393" t="s">
        <v>183</v>
      </c>
      <c r="D94" s="231" t="s">
        <v>34</v>
      </c>
      <c r="E94" s="396"/>
      <c r="F94" s="275"/>
      <c r="G94" s="275"/>
      <c r="H94" s="401"/>
      <c r="I94" s="401"/>
      <c r="J94" s="401"/>
      <c r="K94" s="401"/>
      <c r="L94" s="401"/>
      <c r="M94" s="401"/>
      <c r="N94" s="401"/>
      <c r="O94" s="401"/>
      <c r="P94" s="409">
        <f t="shared" si="1"/>
        <v>0</v>
      </c>
    </row>
    <row r="95" spans="1:16" x14ac:dyDescent="0.35">
      <c r="A95" s="45"/>
      <c r="B95" s="408">
        <v>37</v>
      </c>
      <c r="C95" s="393" t="s">
        <v>184</v>
      </c>
      <c r="D95" s="231" t="s">
        <v>34</v>
      </c>
      <c r="E95" s="396"/>
      <c r="F95" s="275"/>
      <c r="G95" s="275"/>
      <c r="H95" s="401"/>
      <c r="I95" s="401"/>
      <c r="J95" s="401"/>
      <c r="K95" s="401"/>
      <c r="L95" s="401"/>
      <c r="M95" s="401"/>
      <c r="N95" s="401"/>
      <c r="O95" s="401"/>
      <c r="P95" s="409">
        <f t="shared" si="1"/>
        <v>0</v>
      </c>
    </row>
    <row r="96" spans="1:16" x14ac:dyDescent="0.35">
      <c r="A96" s="45"/>
      <c r="B96" s="408">
        <v>38</v>
      </c>
      <c r="C96" s="393" t="s">
        <v>185</v>
      </c>
      <c r="D96" s="231" t="s">
        <v>34</v>
      </c>
      <c r="E96" s="396"/>
      <c r="F96" s="275"/>
      <c r="G96" s="275"/>
      <c r="H96" s="401"/>
      <c r="I96" s="401"/>
      <c r="J96" s="401"/>
      <c r="K96" s="401"/>
      <c r="L96" s="401"/>
      <c r="M96" s="401"/>
      <c r="N96" s="401"/>
      <c r="O96" s="401"/>
      <c r="P96" s="409">
        <f t="shared" si="1"/>
        <v>0</v>
      </c>
    </row>
    <row r="97" spans="1:16" ht="28" x14ac:dyDescent="0.35">
      <c r="A97" s="45"/>
      <c r="B97" s="408">
        <v>39</v>
      </c>
      <c r="C97" s="393" t="s">
        <v>186</v>
      </c>
      <c r="D97" s="231" t="s">
        <v>34</v>
      </c>
      <c r="E97" s="396"/>
      <c r="F97" s="275"/>
      <c r="G97" s="275"/>
      <c r="H97" s="401"/>
      <c r="I97" s="401"/>
      <c r="J97" s="401"/>
      <c r="K97" s="401"/>
      <c r="L97" s="401"/>
      <c r="M97" s="401"/>
      <c r="N97" s="401"/>
      <c r="O97" s="401"/>
      <c r="P97" s="409">
        <f t="shared" si="1"/>
        <v>0</v>
      </c>
    </row>
    <row r="98" spans="1:16" ht="28" x14ac:dyDescent="0.35">
      <c r="A98" s="45"/>
      <c r="B98" s="408">
        <v>40</v>
      </c>
      <c r="C98" s="393" t="s">
        <v>187</v>
      </c>
      <c r="D98" s="231" t="s">
        <v>34</v>
      </c>
      <c r="E98" s="396"/>
      <c r="F98" s="275"/>
      <c r="G98" s="275"/>
      <c r="H98" s="401"/>
      <c r="I98" s="401"/>
      <c r="J98" s="401"/>
      <c r="K98" s="401"/>
      <c r="L98" s="401"/>
      <c r="M98" s="401"/>
      <c r="N98" s="401"/>
      <c r="O98" s="401"/>
      <c r="P98" s="409">
        <f t="shared" si="1"/>
        <v>0</v>
      </c>
    </row>
    <row r="99" spans="1:16" ht="28" x14ac:dyDescent="0.35">
      <c r="A99" s="45"/>
      <c r="B99" s="408">
        <v>41</v>
      </c>
      <c r="C99" s="393" t="s">
        <v>188</v>
      </c>
      <c r="D99" s="231" t="s">
        <v>34</v>
      </c>
      <c r="E99" s="396"/>
      <c r="F99" s="275"/>
      <c r="G99" s="275"/>
      <c r="H99" s="401"/>
      <c r="I99" s="401"/>
      <c r="J99" s="401"/>
      <c r="K99" s="401"/>
      <c r="L99" s="401"/>
      <c r="M99" s="401"/>
      <c r="N99" s="401"/>
      <c r="O99" s="401"/>
      <c r="P99" s="409">
        <f t="shared" si="1"/>
        <v>0</v>
      </c>
    </row>
    <row r="100" spans="1:16" ht="28" x14ac:dyDescent="0.35">
      <c r="A100" s="45"/>
      <c r="B100" s="408">
        <v>42</v>
      </c>
      <c r="C100" s="393" t="s">
        <v>189</v>
      </c>
      <c r="D100" s="231" t="s">
        <v>34</v>
      </c>
      <c r="E100" s="396"/>
      <c r="F100" s="275"/>
      <c r="G100" s="275"/>
      <c r="H100" s="401"/>
      <c r="I100" s="401"/>
      <c r="J100" s="401"/>
      <c r="K100" s="401"/>
      <c r="L100" s="401"/>
      <c r="M100" s="401"/>
      <c r="N100" s="401"/>
      <c r="O100" s="401"/>
      <c r="P100" s="409">
        <f t="shared" si="1"/>
        <v>0</v>
      </c>
    </row>
    <row r="101" spans="1:16" x14ac:dyDescent="0.35">
      <c r="A101" s="45"/>
      <c r="B101" s="408">
        <v>43</v>
      </c>
      <c r="C101" s="393" t="s">
        <v>190</v>
      </c>
      <c r="D101" s="231" t="s">
        <v>34</v>
      </c>
      <c r="E101" s="396"/>
      <c r="F101" s="275"/>
      <c r="G101" s="275"/>
      <c r="H101" s="401"/>
      <c r="I101" s="401"/>
      <c r="J101" s="401"/>
      <c r="K101" s="401"/>
      <c r="L101" s="401"/>
      <c r="M101" s="401"/>
      <c r="N101" s="401"/>
      <c r="O101" s="401"/>
      <c r="P101" s="409">
        <f t="shared" si="1"/>
        <v>0</v>
      </c>
    </row>
    <row r="102" spans="1:16" ht="42" x14ac:dyDescent="0.35">
      <c r="A102" s="45"/>
      <c r="B102" s="408">
        <v>44</v>
      </c>
      <c r="C102" s="393" t="s">
        <v>191</v>
      </c>
      <c r="D102" s="231" t="s">
        <v>34</v>
      </c>
      <c r="E102" s="396"/>
      <c r="F102" s="275"/>
      <c r="G102" s="275"/>
      <c r="H102" s="401"/>
      <c r="I102" s="401"/>
      <c r="J102" s="401"/>
      <c r="K102" s="401"/>
      <c r="L102" s="401"/>
      <c r="M102" s="401"/>
      <c r="N102" s="401"/>
      <c r="O102" s="401"/>
      <c r="P102" s="409">
        <f t="shared" si="1"/>
        <v>0</v>
      </c>
    </row>
    <row r="103" spans="1:16" ht="28" x14ac:dyDescent="0.35">
      <c r="A103" s="45"/>
      <c r="B103" s="408">
        <v>45</v>
      </c>
      <c r="C103" s="393" t="s">
        <v>192</v>
      </c>
      <c r="D103" s="231" t="s">
        <v>34</v>
      </c>
      <c r="E103" s="396"/>
      <c r="F103" s="275"/>
      <c r="G103" s="275"/>
      <c r="H103" s="401"/>
      <c r="I103" s="401"/>
      <c r="J103" s="401"/>
      <c r="K103" s="401"/>
      <c r="L103" s="401"/>
      <c r="M103" s="401"/>
      <c r="N103" s="401"/>
      <c r="O103" s="401"/>
      <c r="P103" s="409">
        <f t="shared" si="1"/>
        <v>0</v>
      </c>
    </row>
    <row r="104" spans="1:16" ht="28" x14ac:dyDescent="0.35">
      <c r="A104" s="45"/>
      <c r="B104" s="408">
        <v>46</v>
      </c>
      <c r="C104" s="393" t="s">
        <v>193</v>
      </c>
      <c r="D104" s="231" t="s">
        <v>34</v>
      </c>
      <c r="E104" s="396"/>
      <c r="F104" s="275"/>
      <c r="G104" s="275"/>
      <c r="H104" s="401"/>
      <c r="I104" s="401"/>
      <c r="J104" s="401"/>
      <c r="K104" s="401"/>
      <c r="L104" s="401"/>
      <c r="M104" s="401"/>
      <c r="N104" s="401"/>
      <c r="O104" s="401"/>
      <c r="P104" s="409">
        <f t="shared" si="1"/>
        <v>0</v>
      </c>
    </row>
    <row r="105" spans="1:16" ht="28" x14ac:dyDescent="0.35">
      <c r="A105" s="45"/>
      <c r="B105" s="408">
        <v>47</v>
      </c>
      <c r="C105" s="393" t="s">
        <v>194</v>
      </c>
      <c r="D105" s="231" t="s">
        <v>34</v>
      </c>
      <c r="E105" s="396"/>
      <c r="F105" s="275"/>
      <c r="G105" s="275"/>
      <c r="H105" s="401"/>
      <c r="I105" s="401"/>
      <c r="J105" s="401"/>
      <c r="K105" s="401"/>
      <c r="L105" s="401"/>
      <c r="M105" s="401"/>
      <c r="N105" s="401"/>
      <c r="O105" s="401"/>
      <c r="P105" s="409">
        <f t="shared" si="1"/>
        <v>0</v>
      </c>
    </row>
    <row r="106" spans="1:16" ht="28" x14ac:dyDescent="0.35">
      <c r="A106" s="45"/>
      <c r="B106" s="408">
        <v>48</v>
      </c>
      <c r="C106" s="393" t="s">
        <v>195</v>
      </c>
      <c r="D106" s="231" t="s">
        <v>34</v>
      </c>
      <c r="E106" s="396"/>
      <c r="F106" s="275"/>
      <c r="G106" s="275"/>
      <c r="H106" s="401"/>
      <c r="I106" s="401"/>
      <c r="J106" s="401"/>
      <c r="K106" s="401"/>
      <c r="L106" s="401"/>
      <c r="M106" s="401"/>
      <c r="N106" s="401"/>
      <c r="O106" s="401"/>
      <c r="P106" s="409">
        <f t="shared" si="1"/>
        <v>0</v>
      </c>
    </row>
    <row r="107" spans="1:16" ht="28" x14ac:dyDescent="0.35">
      <c r="A107" s="45"/>
      <c r="B107" s="408">
        <v>49</v>
      </c>
      <c r="C107" s="393" t="s">
        <v>196</v>
      </c>
      <c r="D107" s="231" t="s">
        <v>34</v>
      </c>
      <c r="E107" s="396"/>
      <c r="F107" s="275"/>
      <c r="G107" s="275"/>
      <c r="H107" s="401"/>
      <c r="I107" s="401"/>
      <c r="J107" s="401"/>
      <c r="K107" s="401"/>
      <c r="L107" s="401"/>
      <c r="M107" s="401"/>
      <c r="N107" s="401"/>
      <c r="O107" s="401"/>
      <c r="P107" s="409">
        <f t="shared" si="1"/>
        <v>0</v>
      </c>
    </row>
    <row r="108" spans="1:16" x14ac:dyDescent="0.35">
      <c r="A108" s="45"/>
      <c r="B108" s="410" t="s">
        <v>268</v>
      </c>
      <c r="C108" s="393"/>
      <c r="D108" s="231" t="s">
        <v>254</v>
      </c>
      <c r="E108" s="396"/>
      <c r="F108" s="275"/>
      <c r="G108" s="275"/>
      <c r="H108" s="401"/>
      <c r="I108" s="401"/>
      <c r="J108" s="401"/>
      <c r="K108" s="401"/>
      <c r="L108" s="401"/>
      <c r="M108" s="401"/>
      <c r="N108" s="401"/>
      <c r="O108" s="401"/>
      <c r="P108" s="409"/>
    </row>
    <row r="109" spans="1:16" x14ac:dyDescent="0.35">
      <c r="A109" s="45"/>
      <c r="B109" s="408"/>
      <c r="C109" s="793"/>
      <c r="D109" s="793"/>
      <c r="E109" s="246"/>
      <c r="F109" s="275"/>
      <c r="G109" s="275"/>
      <c r="H109" s="401"/>
      <c r="I109" s="401"/>
      <c r="J109" s="401"/>
      <c r="K109" s="401"/>
      <c r="L109" s="401"/>
      <c r="M109" s="401"/>
      <c r="N109" s="401"/>
      <c r="O109" s="401"/>
      <c r="P109" s="409"/>
    </row>
    <row r="110" spans="1:16" x14ac:dyDescent="0.35">
      <c r="A110" s="45"/>
      <c r="B110" s="408"/>
      <c r="C110" s="793"/>
      <c r="D110" s="793"/>
      <c r="E110" s="246"/>
      <c r="F110" s="275"/>
      <c r="G110" s="275"/>
      <c r="H110" s="401"/>
      <c r="I110" s="401"/>
      <c r="J110" s="401"/>
      <c r="K110" s="401"/>
      <c r="L110" s="401"/>
      <c r="M110" s="401"/>
      <c r="N110" s="401"/>
      <c r="O110" s="401"/>
      <c r="P110" s="409"/>
    </row>
    <row r="111" spans="1:16" x14ac:dyDescent="0.35">
      <c r="A111" s="45"/>
      <c r="B111" s="408"/>
      <c r="C111" s="793"/>
      <c r="D111" s="793"/>
      <c r="E111" s="246"/>
      <c r="F111" s="275"/>
      <c r="G111" s="275"/>
      <c r="H111" s="401"/>
      <c r="I111" s="401"/>
      <c r="J111" s="401"/>
      <c r="K111" s="401"/>
      <c r="L111" s="401"/>
      <c r="M111" s="401"/>
      <c r="N111" s="401"/>
      <c r="O111" s="401"/>
      <c r="P111" s="409"/>
    </row>
    <row r="112" spans="1:16" x14ac:dyDescent="0.35">
      <c r="B112" s="332"/>
      <c r="C112" s="808" t="s">
        <v>222</v>
      </c>
      <c r="D112" s="808"/>
      <c r="E112" s="333"/>
      <c r="F112" s="334"/>
      <c r="G112" s="334"/>
      <c r="H112" s="335">
        <f>SUM(F17*H17,F18*H18,F19*H19,F20*H20,F21*H21,F22*H22,F47*H47,F64*H64,F65*H65,F66*H66,F67*H67)</f>
        <v>0</v>
      </c>
      <c r="I112" s="335">
        <f>SUM(F28*I28,F29*I29,F30*I30,F31*I31,F32*I32,F73*I73,F74*I74,F75*I75,F76*I76,F77*I77,F78*I78,F79*I79,F80*I80,F86*I86,F87*I87,F88*I88)</f>
        <v>0</v>
      </c>
      <c r="J112" s="336"/>
      <c r="K112" s="333"/>
      <c r="L112" s="333"/>
      <c r="M112" s="333"/>
      <c r="N112" s="335"/>
      <c r="O112" s="333"/>
      <c r="P112" s="337">
        <f>SUM(H112:O112)</f>
        <v>0</v>
      </c>
    </row>
    <row r="113" spans="2:16" x14ac:dyDescent="0.35">
      <c r="B113" s="252"/>
      <c r="C113" s="793" t="s">
        <v>261</v>
      </c>
      <c r="D113" s="793"/>
      <c r="E113" s="247"/>
      <c r="F113" s="245"/>
      <c r="G113" s="245"/>
      <c r="H113" s="247"/>
      <c r="I113" s="247"/>
      <c r="J113" s="248">
        <f>SUM(E28*G28*J28,E29*G29*J29,E30*G30*J30,E31*G31,J31*E32*G32*J32,E39*G39*J39,E40*G40*J40,E41*G41*J41)</f>
        <v>300</v>
      </c>
      <c r="K113" s="248">
        <f>SUM(E28*G28*K28,E29*G29*K29,E30*G30*K30,E31*G31*K31,E32*G32*K32,E39*G39*K39,E40*G40*K40,E41*G41*K41)</f>
        <v>180</v>
      </c>
      <c r="L113" s="248"/>
      <c r="M113" s="248"/>
      <c r="N113" s="247"/>
      <c r="O113" s="247"/>
      <c r="P113" s="253">
        <f>SUM(H113:O113)</f>
        <v>480</v>
      </c>
    </row>
    <row r="114" spans="2:16" x14ac:dyDescent="0.35">
      <c r="B114" s="252"/>
      <c r="C114" s="793" t="s">
        <v>262</v>
      </c>
      <c r="D114" s="793"/>
      <c r="E114" s="247"/>
      <c r="F114" s="245"/>
      <c r="G114" s="245"/>
      <c r="H114" s="247"/>
      <c r="I114" s="247"/>
      <c r="J114" s="248">
        <f>J113-(E32*G32*J32)</f>
        <v>300</v>
      </c>
      <c r="K114" s="247">
        <f>K113-(E32*G32*K32)</f>
        <v>180</v>
      </c>
      <c r="L114" s="247"/>
      <c r="M114" s="247"/>
      <c r="N114" s="247"/>
      <c r="O114" s="247"/>
      <c r="P114" s="253"/>
    </row>
    <row r="115" spans="2:16" x14ac:dyDescent="0.35">
      <c r="B115" s="254"/>
      <c r="C115" s="809"/>
      <c r="D115" s="809"/>
      <c r="E115" s="240"/>
      <c r="F115" s="238"/>
      <c r="G115" s="238"/>
      <c r="H115" s="240"/>
      <c r="I115" s="240"/>
      <c r="J115" s="240"/>
      <c r="K115" s="240"/>
      <c r="L115" s="240"/>
      <c r="M115" s="240"/>
      <c r="N115" s="240"/>
      <c r="O115" s="240"/>
      <c r="P115" s="255"/>
    </row>
    <row r="116" spans="2:16" x14ac:dyDescent="0.35">
      <c r="B116" s="254"/>
      <c r="C116" s="239"/>
      <c r="D116" s="240"/>
      <c r="E116" s="240"/>
      <c r="F116" s="238"/>
      <c r="G116" s="238"/>
      <c r="H116" s="240"/>
      <c r="I116" s="240"/>
      <c r="J116" s="240"/>
      <c r="K116" s="240"/>
      <c r="L116" s="240"/>
      <c r="M116" s="240"/>
      <c r="N116" s="240"/>
      <c r="O116" s="240"/>
      <c r="P116" s="255"/>
    </row>
    <row r="117" spans="2:16" x14ac:dyDescent="0.35">
      <c r="B117" s="360"/>
      <c r="C117" s="791" t="s">
        <v>326</v>
      </c>
      <c r="D117" s="791"/>
      <c r="E117" s="231"/>
      <c r="F117" s="242"/>
      <c r="G117" s="231"/>
      <c r="H117" s="243">
        <f>'3.  Distribution Rates'!$K33</f>
        <v>0</v>
      </c>
      <c r="I117" s="243">
        <f>'3.  Distribution Rates'!K34</f>
        <v>0</v>
      </c>
      <c r="J117" s="243">
        <f>'3.  Distribution Rates'!K35</f>
        <v>0</v>
      </c>
      <c r="K117" s="243">
        <f>'3.  Distribution Rates'!K36</f>
        <v>0</v>
      </c>
      <c r="L117" s="243">
        <f>'3.  Distribution Rates'!K37</f>
        <v>0</v>
      </c>
      <c r="M117" s="243">
        <f>'3.  Distribution Rates'!K38</f>
        <v>0</v>
      </c>
      <c r="N117" s="243">
        <f>'3.  Distribution Rates'!K39</f>
        <v>0</v>
      </c>
      <c r="O117" s="243"/>
      <c r="P117" s="361"/>
    </row>
    <row r="118" spans="2:16" x14ac:dyDescent="0.35">
      <c r="B118" s="360"/>
      <c r="C118" s="791" t="s">
        <v>269</v>
      </c>
      <c r="D118" s="791"/>
      <c r="E118" s="240"/>
      <c r="F118" s="242"/>
      <c r="G118" s="242"/>
      <c r="H118" s="275"/>
      <c r="I118" s="275"/>
      <c r="J118" s="275"/>
      <c r="K118" s="275"/>
      <c r="L118" s="275"/>
      <c r="M118" s="275"/>
      <c r="N118" s="275"/>
      <c r="O118" s="231"/>
      <c r="P118" s="256">
        <f>SUM(H118:O118)</f>
        <v>0</v>
      </c>
    </row>
    <row r="119" spans="2:16" x14ac:dyDescent="0.35">
      <c r="B119" s="360"/>
      <c r="C119" s="791" t="s">
        <v>270</v>
      </c>
      <c r="D119" s="791"/>
      <c r="E119" s="240"/>
      <c r="F119" s="242"/>
      <c r="G119" s="242"/>
      <c r="H119" s="275"/>
      <c r="I119" s="275"/>
      <c r="J119" s="275"/>
      <c r="K119" s="275"/>
      <c r="L119" s="275"/>
      <c r="M119" s="275"/>
      <c r="N119" s="275"/>
      <c r="O119" s="231"/>
      <c r="P119" s="256">
        <f>SUM(H119:O119)</f>
        <v>0</v>
      </c>
    </row>
    <row r="120" spans="2:16" x14ac:dyDescent="0.35">
      <c r="B120" s="360"/>
      <c r="C120" s="791" t="s">
        <v>271</v>
      </c>
      <c r="D120" s="791"/>
      <c r="E120" s="240"/>
      <c r="F120" s="242"/>
      <c r="G120" s="242"/>
      <c r="H120" s="275"/>
      <c r="I120" s="275"/>
      <c r="J120" s="275"/>
      <c r="K120" s="275"/>
      <c r="L120" s="275"/>
      <c r="M120" s="275"/>
      <c r="N120" s="275"/>
      <c r="O120" s="231"/>
      <c r="P120" s="256">
        <f t="shared" ref="P120" si="2">SUM(H120:O120)</f>
        <v>0</v>
      </c>
    </row>
    <row r="121" spans="2:16" x14ac:dyDescent="0.35">
      <c r="B121" s="360"/>
      <c r="C121" s="791" t="s">
        <v>272</v>
      </c>
      <c r="D121" s="791"/>
      <c r="E121" s="240"/>
      <c r="F121" s="242"/>
      <c r="G121" s="242"/>
      <c r="H121" s="275"/>
      <c r="I121" s="275"/>
      <c r="J121" s="275"/>
      <c r="K121" s="275"/>
      <c r="L121" s="275"/>
      <c r="M121" s="275"/>
      <c r="N121" s="275"/>
      <c r="O121" s="231"/>
      <c r="P121" s="256">
        <f>SUM(H121:O121)</f>
        <v>0</v>
      </c>
    </row>
    <row r="122" spans="2:16" x14ac:dyDescent="0.35">
      <c r="B122" s="360"/>
      <c r="C122" s="791" t="s">
        <v>273</v>
      </c>
      <c r="D122" s="791"/>
      <c r="E122" s="240"/>
      <c r="F122" s="242"/>
      <c r="G122" s="242"/>
      <c r="H122" s="357" t="e">
        <f>'5.  2015 LRAM'!H127*H117</f>
        <v>#DIV/0!</v>
      </c>
      <c r="I122" s="357" t="e">
        <f>'5.  2015 LRAM'!I127*I117</f>
        <v>#DIV/0!</v>
      </c>
      <c r="J122" s="357" t="e">
        <f>'5.  2015 LRAM'!J126*J117</f>
        <v>#DIV/0!</v>
      </c>
      <c r="K122" s="357" t="e">
        <f>'5.  2015 LRAM'!K126*K117</f>
        <v>#DIV/0!</v>
      </c>
      <c r="L122" s="357" t="e">
        <f>'5.  2015 LRAM'!L126*L117</f>
        <v>#DIV/0!</v>
      </c>
      <c r="M122" s="357" t="e">
        <f>'5.  2015 LRAM'!M126*M117</f>
        <v>#DIV/0!</v>
      </c>
      <c r="N122" s="357" t="e">
        <f>'5.  2015 LRAM'!N126*N117</f>
        <v>#DIV/0!</v>
      </c>
      <c r="O122" s="231"/>
      <c r="P122" s="256" t="e">
        <f t="shared" ref="P122:P123" si="3">SUM(H122:O122)</f>
        <v>#DIV/0!</v>
      </c>
    </row>
    <row r="123" spans="2:16" x14ac:dyDescent="0.35">
      <c r="B123" s="360"/>
      <c r="C123" s="791" t="s">
        <v>274</v>
      </c>
      <c r="D123" s="791"/>
      <c r="E123" s="240"/>
      <c r="F123" s="242"/>
      <c r="G123" s="242"/>
      <c r="H123" s="357" t="e">
        <f>'5-b. 2016 LRAM'!H125*H117</f>
        <v>#DIV/0!</v>
      </c>
      <c r="I123" s="357" t="e">
        <f>'5-b. 2016 LRAM'!I125*I117</f>
        <v>#DIV/0!</v>
      </c>
      <c r="J123" s="357" t="e">
        <f>'5-b. 2016 LRAM'!J125*J117</f>
        <v>#DIV/0!</v>
      </c>
      <c r="K123" s="357" t="e">
        <f>'5-b. 2016 LRAM'!K125*K117</f>
        <v>#DIV/0!</v>
      </c>
      <c r="L123" s="357" t="e">
        <f>'5-b. 2016 LRAM'!L125*L117</f>
        <v>#DIV/0!</v>
      </c>
      <c r="M123" s="357" t="e">
        <f>'5-b. 2016 LRAM'!M125*M117</f>
        <v>#DIV/0!</v>
      </c>
      <c r="N123" s="357" t="e">
        <f>'5-b. 2016 LRAM'!N125*N117</f>
        <v>#DIV/0!</v>
      </c>
      <c r="O123" s="231"/>
      <c r="P123" s="256" t="e">
        <f t="shared" si="3"/>
        <v>#DIV/0!</v>
      </c>
    </row>
    <row r="124" spans="2:16" x14ac:dyDescent="0.35">
      <c r="B124" s="360"/>
      <c r="C124" s="791" t="s">
        <v>279</v>
      </c>
      <c r="D124" s="791"/>
      <c r="E124" s="240"/>
      <c r="F124" s="242"/>
      <c r="G124" s="242"/>
      <c r="H124" s="357">
        <f>H112*H117</f>
        <v>0</v>
      </c>
      <c r="I124" s="357">
        <f>I112*I117</f>
        <v>0</v>
      </c>
      <c r="J124" s="357">
        <f>J113*J117</f>
        <v>0</v>
      </c>
      <c r="K124" s="357">
        <f>K113*K117</f>
        <v>0</v>
      </c>
      <c r="L124" s="357">
        <f>L113*L117</f>
        <v>0</v>
      </c>
      <c r="M124" s="357">
        <f>M113*M117</f>
        <v>0</v>
      </c>
      <c r="N124" s="357">
        <f>N112*N117</f>
        <v>0</v>
      </c>
      <c r="O124" s="231"/>
      <c r="P124" s="256">
        <f>SUM(H124:O124)</f>
        <v>0</v>
      </c>
    </row>
    <row r="125" spans="2:16" x14ac:dyDescent="0.35">
      <c r="B125" s="254"/>
      <c r="C125" s="358" t="s">
        <v>275</v>
      </c>
      <c r="D125" s="240"/>
      <c r="E125" s="240"/>
      <c r="F125" s="238"/>
      <c r="G125" s="238"/>
      <c r="H125" s="244" t="e">
        <f>SUM(H118:H124)</f>
        <v>#DIV/0!</v>
      </c>
      <c r="I125" s="244" t="e">
        <f>SUM(I118:I124)</f>
        <v>#DIV/0!</v>
      </c>
      <c r="J125" s="244" t="e">
        <f t="shared" ref="J125:N125" si="4">SUM(J118:J124)</f>
        <v>#DIV/0!</v>
      </c>
      <c r="K125" s="244" t="e">
        <f t="shared" si="4"/>
        <v>#DIV/0!</v>
      </c>
      <c r="L125" s="244" t="e">
        <f t="shared" si="4"/>
        <v>#DIV/0!</v>
      </c>
      <c r="M125" s="244" t="e">
        <f t="shared" si="4"/>
        <v>#DIV/0!</v>
      </c>
      <c r="N125" s="244" t="e">
        <f t="shared" si="4"/>
        <v>#DIV/0!</v>
      </c>
      <c r="O125" s="240"/>
      <c r="P125" s="257" t="e">
        <f>SUM(P118:P124)</f>
        <v>#DIV/0!</v>
      </c>
    </row>
    <row r="126" spans="2:16" x14ac:dyDescent="0.35">
      <c r="B126" s="254"/>
      <c r="C126" s="358"/>
      <c r="D126" s="240"/>
      <c r="E126" s="240"/>
      <c r="F126" s="238"/>
      <c r="G126" s="238"/>
      <c r="H126" s="244"/>
      <c r="I126" s="244"/>
      <c r="J126" s="244"/>
      <c r="K126" s="244"/>
      <c r="L126" s="244"/>
      <c r="M126" s="244"/>
      <c r="N126" s="244"/>
      <c r="O126" s="240"/>
      <c r="P126" s="257"/>
    </row>
    <row r="127" spans="2:16" x14ac:dyDescent="0.35">
      <c r="B127" s="402"/>
      <c r="C127" s="791" t="s">
        <v>276</v>
      </c>
      <c r="D127" s="791"/>
      <c r="E127" s="394"/>
      <c r="F127" s="142"/>
      <c r="G127" s="142"/>
      <c r="H127" s="275" t="e">
        <f>H112*'6.  Persistence Rates'!$G$46</f>
        <v>#DIV/0!</v>
      </c>
      <c r="I127" s="275" t="e">
        <f>I112*'6.  Persistence Rates'!$G$46</f>
        <v>#DIV/0!</v>
      </c>
      <c r="J127" s="275" t="e">
        <f>J113*'6.  Persistence Rates'!$T$46</f>
        <v>#DIV/0!</v>
      </c>
      <c r="K127" s="275" t="e">
        <f>K113*'6.  Persistence Rates'!$T$46</f>
        <v>#DIV/0!</v>
      </c>
      <c r="L127" s="275"/>
      <c r="M127" s="275"/>
      <c r="N127" s="275" t="e">
        <f>N112*'6.  Persistence Rates'!$G$46</f>
        <v>#DIV/0!</v>
      </c>
      <c r="O127" s="142"/>
      <c r="P127" s="329"/>
    </row>
    <row r="128" spans="2:16" x14ac:dyDescent="0.35">
      <c r="B128" s="402"/>
      <c r="C128" s="791" t="s">
        <v>277</v>
      </c>
      <c r="D128" s="791"/>
      <c r="E128" s="394"/>
      <c r="F128" s="142"/>
      <c r="G128" s="142"/>
      <c r="H128" s="275" t="e">
        <f>H112*'6.  Persistence Rates'!$H$46</f>
        <v>#DIV/0!</v>
      </c>
      <c r="I128" s="275" t="e">
        <f>I112*'6.  Persistence Rates'!$H$46</f>
        <v>#DIV/0!</v>
      </c>
      <c r="J128" s="275" t="e">
        <f>$J$114*'6.  Persistence Rates'!$U$46</f>
        <v>#DIV/0!</v>
      </c>
      <c r="K128" s="275" t="e">
        <f>$K$114*'6.  Persistence Rates'!$U$46</f>
        <v>#DIV/0!</v>
      </c>
      <c r="L128" s="275"/>
      <c r="M128" s="275"/>
      <c r="N128" s="275" t="e">
        <f>N112*'6.  Persistence Rates'!$H$46</f>
        <v>#DIV/0!</v>
      </c>
      <c r="O128" s="142"/>
      <c r="P128" s="329"/>
    </row>
    <row r="129" spans="2:16" x14ac:dyDescent="0.35">
      <c r="B129" s="403"/>
      <c r="C129" s="792" t="s">
        <v>278</v>
      </c>
      <c r="D129" s="792"/>
      <c r="E129" s="404"/>
      <c r="F129" s="309"/>
      <c r="G129" s="309"/>
      <c r="H129" s="383" t="e">
        <f>H112*'6.  Persistence Rates'!$I$46</f>
        <v>#DIV/0!</v>
      </c>
      <c r="I129" s="383" t="e">
        <f>I112*'6.  Persistence Rates'!$I$46</f>
        <v>#DIV/0!</v>
      </c>
      <c r="J129" s="383" t="e">
        <f>$J$114*'6.  Persistence Rates'!$V$46</f>
        <v>#DIV/0!</v>
      </c>
      <c r="K129" s="383" t="e">
        <f>$K$114*'6.  Persistence Rates'!$V$46</f>
        <v>#DIV/0!</v>
      </c>
      <c r="L129" s="383"/>
      <c r="M129" s="383"/>
      <c r="N129" s="383" t="e">
        <f>N112*'6.  Persistence Rates'!$I$46</f>
        <v>#DIV/0!</v>
      </c>
      <c r="O129" s="309"/>
      <c r="P129" s="379"/>
    </row>
  </sheetData>
  <mergeCells count="62">
    <mergeCell ref="C121:D121"/>
    <mergeCell ref="C112:D112"/>
    <mergeCell ref="C113:D113"/>
    <mergeCell ref="C114:D114"/>
    <mergeCell ref="C120:D120"/>
    <mergeCell ref="B2:P2"/>
    <mergeCell ref="C115:D115"/>
    <mergeCell ref="C117:D117"/>
    <mergeCell ref="C118:D118"/>
    <mergeCell ref="C119:D119"/>
    <mergeCell ref="E4:P4"/>
    <mergeCell ref="B13:B14"/>
    <mergeCell ref="C13:C14"/>
    <mergeCell ref="D13:D14"/>
    <mergeCell ref="E13:E14"/>
    <mergeCell ref="H13:P13"/>
    <mergeCell ref="E9:F9"/>
    <mergeCell ref="E10:F10"/>
    <mergeCell ref="B15:P15"/>
    <mergeCell ref="B16:P16"/>
    <mergeCell ref="B27:P27"/>
    <mergeCell ref="C122:D122"/>
    <mergeCell ref="C123:D123"/>
    <mergeCell ref="C127:D127"/>
    <mergeCell ref="C128:D128"/>
    <mergeCell ref="C129:D129"/>
    <mergeCell ref="C124:D124"/>
    <mergeCell ref="B37:P37"/>
    <mergeCell ref="B46:P46"/>
    <mergeCell ref="B52:P52"/>
    <mergeCell ref="B61:P61"/>
    <mergeCell ref="C58:D58"/>
    <mergeCell ref="C59:D59"/>
    <mergeCell ref="C60:D60"/>
    <mergeCell ref="B63:P63"/>
    <mergeCell ref="B72:P72"/>
    <mergeCell ref="B85:P85"/>
    <mergeCell ref="B93:P93"/>
    <mergeCell ref="C24:D24"/>
    <mergeCell ref="C25:D25"/>
    <mergeCell ref="C26:D26"/>
    <mergeCell ref="C34:D34"/>
    <mergeCell ref="C35:D35"/>
    <mergeCell ref="C36:D36"/>
    <mergeCell ref="C43:D43"/>
    <mergeCell ref="C44:D44"/>
    <mergeCell ref="C45:D45"/>
    <mergeCell ref="C49:D49"/>
    <mergeCell ref="C50:D50"/>
    <mergeCell ref="C51:D51"/>
    <mergeCell ref="C69:D69"/>
    <mergeCell ref="C70:D70"/>
    <mergeCell ref="C71:D71"/>
    <mergeCell ref="C82:D82"/>
    <mergeCell ref="C83:D83"/>
    <mergeCell ref="C110:D110"/>
    <mergeCell ref="C111:D111"/>
    <mergeCell ref="C84:D84"/>
    <mergeCell ref="C90:D90"/>
    <mergeCell ref="C91:D91"/>
    <mergeCell ref="C92:D92"/>
    <mergeCell ref="C109:D109"/>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2:R128"/>
  <sheetViews>
    <sheetView zoomScale="85" zoomScaleNormal="85" workbookViewId="0">
      <pane ySplit="14" topLeftCell="A96" activePane="bottomLeft" state="frozen"/>
      <selection pane="bottomLeft" activeCell="B13" sqref="B13:B14"/>
    </sheetView>
  </sheetViews>
  <sheetFormatPr defaultColWidth="9.08984375" defaultRowHeight="14.5" outlineLevelRow="1" x14ac:dyDescent="0.35"/>
  <cols>
    <col min="1" max="1" width="6.54296875" style="20" customWidth="1"/>
    <col min="2" max="2" width="5.08984375" style="62" customWidth="1"/>
    <col min="3" max="3" width="44.36328125" style="419" customWidth="1"/>
    <col min="4" max="4" width="12.36328125" style="420" customWidth="1"/>
    <col min="5" max="5" width="13.36328125" style="420" customWidth="1"/>
    <col min="6" max="7" width="19.453125" style="62" customWidth="1"/>
    <col min="8" max="14" width="12.6328125" style="62" customWidth="1"/>
    <col min="15" max="15" width="8.08984375" style="62" customWidth="1"/>
    <col min="16" max="16" width="11.36328125" style="62" customWidth="1"/>
    <col min="17" max="17" width="13.08984375" style="20" customWidth="1"/>
    <col min="18" max="16384" width="9.08984375" style="20"/>
  </cols>
  <sheetData>
    <row r="2" spans="1:18" ht="18.75" customHeight="1" x14ac:dyDescent="0.4">
      <c r="B2" s="857" t="s">
        <v>280</v>
      </c>
      <c r="C2" s="857"/>
      <c r="D2" s="857"/>
      <c r="E2" s="857"/>
      <c r="F2" s="857"/>
      <c r="G2" s="857"/>
      <c r="H2" s="857"/>
      <c r="I2" s="857"/>
      <c r="J2" s="857"/>
      <c r="K2" s="857"/>
      <c r="L2" s="857"/>
      <c r="M2" s="857"/>
      <c r="N2" s="857"/>
      <c r="O2" s="857"/>
      <c r="P2" s="857"/>
    </row>
    <row r="3" spans="1:18" ht="18.5" outlineLevel="1" x14ac:dyDescent="0.45">
      <c r="B3" s="422"/>
      <c r="C3" s="423"/>
      <c r="D3" s="423"/>
      <c r="E3" s="423"/>
      <c r="F3" s="423"/>
      <c r="G3" s="423"/>
      <c r="H3" s="423"/>
      <c r="I3" s="423"/>
      <c r="J3" s="423"/>
      <c r="K3" s="423"/>
      <c r="L3" s="423"/>
      <c r="M3" s="423"/>
      <c r="N3" s="423"/>
      <c r="O3" s="423"/>
      <c r="P3" s="423"/>
    </row>
    <row r="4" spans="1:18" ht="35.25" customHeight="1" outlineLevel="1" x14ac:dyDescent="0.45">
      <c r="A4" s="59"/>
      <c r="B4" s="422"/>
      <c r="C4" s="348" t="s">
        <v>377</v>
      </c>
      <c r="D4" s="423"/>
      <c r="E4" s="858" t="s">
        <v>365</v>
      </c>
      <c r="F4" s="858"/>
      <c r="G4" s="858"/>
      <c r="H4" s="858"/>
      <c r="I4" s="858"/>
      <c r="J4" s="858"/>
      <c r="K4" s="858"/>
      <c r="L4" s="858"/>
      <c r="M4" s="858"/>
      <c r="N4" s="858"/>
      <c r="O4" s="858"/>
      <c r="P4" s="858"/>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4"/>
      <c r="D8" s="423"/>
      <c r="E8" s="351"/>
      <c r="F8" s="423"/>
      <c r="G8" s="423"/>
      <c r="H8" s="423"/>
      <c r="I8" s="423"/>
      <c r="J8" s="423"/>
      <c r="K8" s="423"/>
      <c r="L8" s="423"/>
      <c r="M8" s="423"/>
      <c r="N8" s="423"/>
      <c r="O8" s="423"/>
      <c r="P8" s="423"/>
    </row>
    <row r="9" spans="1:18" ht="18.75" customHeight="1" outlineLevel="1" x14ac:dyDescent="0.45">
      <c r="B9" s="422"/>
      <c r="C9" s="216" t="s">
        <v>337</v>
      </c>
      <c r="D9" s="422"/>
      <c r="E9" s="829" t="s">
        <v>366</v>
      </c>
      <c r="F9" s="829"/>
      <c r="G9" s="422"/>
      <c r="H9" s="422"/>
      <c r="I9" s="422"/>
      <c r="J9" s="422"/>
      <c r="K9" s="422"/>
      <c r="L9" s="422"/>
      <c r="M9" s="422"/>
      <c r="N9" s="422"/>
      <c r="O9" s="422"/>
      <c r="P9" s="422"/>
      <c r="R9" s="76"/>
    </row>
    <row r="10" spans="1:18" ht="18.75" customHeight="1" outlineLevel="1" x14ac:dyDescent="0.45">
      <c r="B10" s="422"/>
      <c r="C10" s="422"/>
      <c r="D10" s="422"/>
      <c r="E10" s="760" t="s">
        <v>338</v>
      </c>
      <c r="F10" s="760"/>
      <c r="G10" s="422"/>
      <c r="H10" s="422"/>
      <c r="I10" s="422"/>
      <c r="J10" s="422"/>
      <c r="K10" s="422"/>
      <c r="L10" s="422"/>
      <c r="M10" s="422"/>
      <c r="N10" s="422"/>
      <c r="O10" s="422"/>
      <c r="P10" s="422"/>
    </row>
    <row r="11" spans="1:18" ht="18.75" customHeight="1" x14ac:dyDescent="0.45">
      <c r="B11" s="422"/>
      <c r="C11" s="422"/>
      <c r="D11" s="422"/>
      <c r="E11" s="121"/>
      <c r="G11" s="422"/>
      <c r="H11" s="422"/>
      <c r="I11" s="422"/>
      <c r="J11" s="422"/>
      <c r="K11" s="422"/>
      <c r="L11" s="422"/>
      <c r="M11" s="422"/>
      <c r="N11" s="422"/>
      <c r="O11" s="422"/>
      <c r="P11" s="422"/>
    </row>
    <row r="12" spans="1:18" ht="15.5" x14ac:dyDescent="0.35">
      <c r="A12" s="43"/>
      <c r="B12" s="425" t="s">
        <v>455</v>
      </c>
      <c r="C12" s="426"/>
      <c r="D12" s="427"/>
      <c r="E12" s="427"/>
    </row>
    <row r="13" spans="1:18" ht="42" x14ac:dyDescent="0.35">
      <c r="B13" s="813" t="s">
        <v>54</v>
      </c>
      <c r="C13" s="814" t="s">
        <v>0</v>
      </c>
      <c r="D13" s="814" t="s">
        <v>45</v>
      </c>
      <c r="E13" s="814" t="s">
        <v>201</v>
      </c>
      <c r="F13" s="219" t="s">
        <v>198</v>
      </c>
      <c r="G13" s="219" t="s">
        <v>46</v>
      </c>
      <c r="H13" s="853" t="s">
        <v>55</v>
      </c>
      <c r="I13" s="853"/>
      <c r="J13" s="853"/>
      <c r="K13" s="853"/>
      <c r="L13" s="853"/>
      <c r="M13" s="853"/>
      <c r="N13" s="853"/>
      <c r="O13" s="853"/>
      <c r="P13" s="854"/>
    </row>
    <row r="14" spans="1:18" ht="56" x14ac:dyDescent="0.35">
      <c r="B14" s="827"/>
      <c r="C14" s="828"/>
      <c r="D14" s="828"/>
      <c r="E14" s="828"/>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42" t="s">
        <v>139</v>
      </c>
      <c r="C15" s="843"/>
      <c r="D15" s="843"/>
      <c r="E15" s="843"/>
      <c r="F15" s="843"/>
      <c r="G15" s="843"/>
      <c r="H15" s="843"/>
      <c r="I15" s="843"/>
      <c r="J15" s="843"/>
      <c r="K15" s="843"/>
      <c r="L15" s="843"/>
      <c r="M15" s="843"/>
      <c r="N15" s="843"/>
      <c r="O15" s="843"/>
      <c r="P15" s="844"/>
    </row>
    <row r="16" spans="1:18" ht="26.25" customHeight="1" x14ac:dyDescent="0.35">
      <c r="A16" s="45"/>
      <c r="B16" s="834" t="s">
        <v>140</v>
      </c>
      <c r="C16" s="835"/>
      <c r="D16" s="835"/>
      <c r="E16" s="835"/>
      <c r="F16" s="835"/>
      <c r="G16" s="835"/>
      <c r="H16" s="835"/>
      <c r="I16" s="835"/>
      <c r="J16" s="835"/>
      <c r="K16" s="835"/>
      <c r="L16" s="835"/>
      <c r="M16" s="835"/>
      <c r="N16" s="835"/>
      <c r="O16" s="835"/>
      <c r="P16" s="836"/>
    </row>
    <row r="17" spans="1:16" x14ac:dyDescent="0.35">
      <c r="A17" s="45"/>
      <c r="B17" s="408">
        <v>1</v>
      </c>
      <c r="C17" s="393" t="s">
        <v>141</v>
      </c>
      <c r="D17" s="231" t="s">
        <v>34</v>
      </c>
      <c r="E17" s="394"/>
      <c r="F17" s="275"/>
      <c r="G17" s="275"/>
      <c r="H17" s="405">
        <v>1</v>
      </c>
      <c r="I17" s="395"/>
      <c r="J17" s="395"/>
      <c r="K17" s="395"/>
      <c r="L17" s="395"/>
      <c r="M17" s="395"/>
      <c r="N17" s="395"/>
      <c r="O17" s="395"/>
      <c r="P17" s="409">
        <f>SUM(H17:O17)</f>
        <v>1</v>
      </c>
    </row>
    <row r="18" spans="1:16" x14ac:dyDescent="0.35">
      <c r="A18" s="42"/>
      <c r="B18" s="408">
        <v>2</v>
      </c>
      <c r="C18" s="393" t="s">
        <v>142</v>
      </c>
      <c r="D18" s="231" t="s">
        <v>34</v>
      </c>
      <c r="E18" s="396"/>
      <c r="F18" s="275"/>
      <c r="G18" s="275"/>
      <c r="H18" s="405">
        <v>1</v>
      </c>
      <c r="I18" s="395"/>
      <c r="J18" s="395"/>
      <c r="K18" s="395"/>
      <c r="L18" s="395"/>
      <c r="M18" s="395"/>
      <c r="N18" s="395"/>
      <c r="O18" s="395"/>
      <c r="P18" s="409">
        <f t="shared" ref="P18:P79" si="0">SUM(H18:O18)</f>
        <v>1</v>
      </c>
    </row>
    <row r="19" spans="1:16" x14ac:dyDescent="0.35">
      <c r="A19" s="45"/>
      <c r="B19" s="408">
        <v>3</v>
      </c>
      <c r="C19" s="393" t="s">
        <v>143</v>
      </c>
      <c r="D19" s="231" t="s">
        <v>34</v>
      </c>
      <c r="E19" s="396"/>
      <c r="F19" s="275"/>
      <c r="G19" s="275"/>
      <c r="H19" s="405">
        <v>1</v>
      </c>
      <c r="I19" s="395"/>
      <c r="J19" s="395"/>
      <c r="K19" s="395"/>
      <c r="L19" s="395"/>
      <c r="M19" s="395"/>
      <c r="N19" s="395"/>
      <c r="O19" s="395"/>
      <c r="P19" s="409">
        <f t="shared" si="0"/>
        <v>1</v>
      </c>
    </row>
    <row r="20" spans="1:16" x14ac:dyDescent="0.35">
      <c r="A20" s="45"/>
      <c r="B20" s="408">
        <v>4</v>
      </c>
      <c r="C20" s="393" t="s">
        <v>144</v>
      </c>
      <c r="D20" s="231" t="s">
        <v>34</v>
      </c>
      <c r="E20" s="396"/>
      <c r="F20" s="275"/>
      <c r="G20" s="275"/>
      <c r="H20" s="405">
        <v>1</v>
      </c>
      <c r="I20" s="395"/>
      <c r="J20" s="395"/>
      <c r="K20" s="395"/>
      <c r="L20" s="395"/>
      <c r="M20" s="395"/>
      <c r="N20" s="395"/>
      <c r="O20" s="395"/>
      <c r="P20" s="409">
        <f t="shared" si="0"/>
        <v>1</v>
      </c>
    </row>
    <row r="21" spans="1:16" x14ac:dyDescent="0.35">
      <c r="A21" s="45"/>
      <c r="B21" s="408">
        <v>5</v>
      </c>
      <c r="C21" s="393" t="s">
        <v>145</v>
      </c>
      <c r="D21" s="231" t="s">
        <v>34</v>
      </c>
      <c r="E21" s="396"/>
      <c r="F21" s="275"/>
      <c r="G21" s="275"/>
      <c r="H21" s="405">
        <v>1</v>
      </c>
      <c r="I21" s="395"/>
      <c r="J21" s="395"/>
      <c r="K21" s="395"/>
      <c r="L21" s="395"/>
      <c r="M21" s="395"/>
      <c r="N21" s="395"/>
      <c r="O21" s="395"/>
      <c r="P21" s="409">
        <f t="shared" si="0"/>
        <v>1</v>
      </c>
    </row>
    <row r="22" spans="1:16" ht="28" x14ac:dyDescent="0.35">
      <c r="A22" s="45"/>
      <c r="B22" s="408">
        <v>6</v>
      </c>
      <c r="C22" s="393" t="s">
        <v>146</v>
      </c>
      <c r="D22" s="231" t="s">
        <v>34</v>
      </c>
      <c r="E22" s="396"/>
      <c r="F22" s="275"/>
      <c r="G22" s="275"/>
      <c r="H22" s="405">
        <v>1</v>
      </c>
      <c r="I22" s="395"/>
      <c r="J22" s="395"/>
      <c r="K22" s="395"/>
      <c r="L22" s="395"/>
      <c r="M22" s="395"/>
      <c r="N22" s="395"/>
      <c r="O22" s="395"/>
      <c r="P22" s="409">
        <f t="shared" si="0"/>
        <v>1</v>
      </c>
    </row>
    <row r="23" spans="1:16" x14ac:dyDescent="0.35">
      <c r="A23" s="45"/>
      <c r="B23" s="410" t="s">
        <v>281</v>
      </c>
      <c r="C23" s="393"/>
      <c r="D23" s="231" t="s">
        <v>254</v>
      </c>
      <c r="E23" s="396"/>
      <c r="F23" s="275"/>
      <c r="G23" s="275"/>
      <c r="H23" s="405"/>
      <c r="I23" s="395"/>
      <c r="J23" s="395"/>
      <c r="K23" s="395"/>
      <c r="L23" s="395"/>
      <c r="M23" s="395"/>
      <c r="N23" s="395"/>
      <c r="O23" s="395"/>
      <c r="P23" s="409">
        <f t="shared" si="0"/>
        <v>0</v>
      </c>
    </row>
    <row r="24" spans="1:16" x14ac:dyDescent="0.35">
      <c r="A24" s="45"/>
      <c r="B24" s="408"/>
      <c r="C24" s="393"/>
      <c r="D24" s="231"/>
      <c r="E24" s="396"/>
      <c r="F24" s="275"/>
      <c r="G24" s="275"/>
      <c r="H24" s="405"/>
      <c r="I24" s="395"/>
      <c r="J24" s="395"/>
      <c r="K24" s="395"/>
      <c r="L24" s="395"/>
      <c r="M24" s="395"/>
      <c r="N24" s="395"/>
      <c r="O24" s="395"/>
      <c r="P24" s="409">
        <f t="shared" si="0"/>
        <v>0</v>
      </c>
    </row>
    <row r="25" spans="1:16" x14ac:dyDescent="0.35">
      <c r="A25" s="45"/>
      <c r="B25" s="408"/>
      <c r="C25" s="393"/>
      <c r="D25" s="231"/>
      <c r="E25" s="396"/>
      <c r="F25" s="275"/>
      <c r="G25" s="275"/>
      <c r="H25" s="405"/>
      <c r="I25" s="395"/>
      <c r="J25" s="395"/>
      <c r="K25" s="395"/>
      <c r="L25" s="395"/>
      <c r="M25" s="395"/>
      <c r="N25" s="395"/>
      <c r="O25" s="395"/>
      <c r="P25" s="409">
        <f t="shared" si="0"/>
        <v>0</v>
      </c>
    </row>
    <row r="26" spans="1:16" x14ac:dyDescent="0.35">
      <c r="A26" s="45"/>
      <c r="B26" s="408"/>
      <c r="C26" s="393"/>
      <c r="D26" s="231"/>
      <c r="E26" s="396"/>
      <c r="F26" s="275"/>
      <c r="G26" s="275"/>
      <c r="H26" s="405"/>
      <c r="I26" s="395"/>
      <c r="J26" s="395"/>
      <c r="K26" s="395"/>
      <c r="L26" s="395"/>
      <c r="M26" s="395"/>
      <c r="N26" s="395"/>
      <c r="O26" s="395"/>
      <c r="P26" s="409">
        <f t="shared" si="0"/>
        <v>0</v>
      </c>
    </row>
    <row r="27" spans="1:16" ht="25.5" customHeight="1" x14ac:dyDescent="0.35">
      <c r="A27" s="45"/>
      <c r="B27" s="834" t="s">
        <v>147</v>
      </c>
      <c r="C27" s="835"/>
      <c r="D27" s="835"/>
      <c r="E27" s="835"/>
      <c r="F27" s="835"/>
      <c r="G27" s="835"/>
      <c r="H27" s="835"/>
      <c r="I27" s="835"/>
      <c r="J27" s="835"/>
      <c r="K27" s="835"/>
      <c r="L27" s="835"/>
      <c r="M27" s="835"/>
      <c r="N27" s="835"/>
      <c r="O27" s="835"/>
      <c r="P27" s="836"/>
    </row>
    <row r="28" spans="1:16" x14ac:dyDescent="0.35">
      <c r="A28" s="45"/>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8" x14ac:dyDescent="0.35">
      <c r="A29" s="45"/>
      <c r="B29" s="408">
        <v>8</v>
      </c>
      <c r="C29" s="393" t="s">
        <v>149</v>
      </c>
      <c r="D29" s="231" t="s">
        <v>34</v>
      </c>
      <c r="E29" s="396">
        <v>12</v>
      </c>
      <c r="F29" s="275"/>
      <c r="G29" s="275"/>
      <c r="H29" s="395"/>
      <c r="I29" s="405">
        <v>0.8</v>
      </c>
      <c r="J29" s="405">
        <v>0.2</v>
      </c>
      <c r="K29" s="395"/>
      <c r="L29" s="395"/>
      <c r="M29" s="395"/>
      <c r="N29" s="395"/>
      <c r="O29" s="395"/>
      <c r="P29" s="409">
        <f t="shared" si="0"/>
        <v>1</v>
      </c>
    </row>
    <row r="30" spans="1:16" x14ac:dyDescent="0.35">
      <c r="A30" s="45"/>
      <c r="B30" s="408">
        <v>9</v>
      </c>
      <c r="C30" s="393" t="s">
        <v>150</v>
      </c>
      <c r="D30" s="231" t="s">
        <v>34</v>
      </c>
      <c r="E30" s="396">
        <v>12</v>
      </c>
      <c r="F30" s="275"/>
      <c r="G30" s="275"/>
      <c r="H30" s="395"/>
      <c r="I30" s="405">
        <v>0.5</v>
      </c>
      <c r="J30" s="405">
        <v>0.5</v>
      </c>
      <c r="K30" s="395"/>
      <c r="L30" s="395"/>
      <c r="M30" s="395"/>
      <c r="N30" s="395"/>
      <c r="O30" s="395"/>
      <c r="P30" s="409">
        <f t="shared" si="0"/>
        <v>1</v>
      </c>
    </row>
    <row r="31" spans="1:16" ht="28" x14ac:dyDescent="0.35">
      <c r="A31" s="45"/>
      <c r="B31" s="408">
        <v>10</v>
      </c>
      <c r="C31" s="393" t="s">
        <v>151</v>
      </c>
      <c r="D31" s="231" t="s">
        <v>34</v>
      </c>
      <c r="E31" s="396">
        <v>12</v>
      </c>
      <c r="F31" s="275"/>
      <c r="G31" s="275"/>
      <c r="H31" s="395"/>
      <c r="I31" s="405">
        <v>1</v>
      </c>
      <c r="J31" s="395"/>
      <c r="K31" s="395"/>
      <c r="L31" s="395"/>
      <c r="M31" s="395"/>
      <c r="N31" s="395"/>
      <c r="O31" s="395"/>
      <c r="P31" s="409">
        <f t="shared" si="0"/>
        <v>1</v>
      </c>
    </row>
    <row r="32" spans="1:16" ht="28" x14ac:dyDescent="0.35">
      <c r="A32" s="45"/>
      <c r="B32" s="408">
        <v>11</v>
      </c>
      <c r="C32" s="393" t="s">
        <v>152</v>
      </c>
      <c r="D32" s="231" t="s">
        <v>34</v>
      </c>
      <c r="E32" s="396">
        <v>3</v>
      </c>
      <c r="F32" s="275"/>
      <c r="G32" s="275"/>
      <c r="H32" s="395"/>
      <c r="I32" s="395"/>
      <c r="J32" s="405">
        <v>1</v>
      </c>
      <c r="K32" s="395"/>
      <c r="L32" s="395"/>
      <c r="M32" s="395"/>
      <c r="N32" s="395"/>
      <c r="O32" s="395"/>
      <c r="P32" s="409">
        <f t="shared" si="0"/>
        <v>1</v>
      </c>
    </row>
    <row r="33" spans="1:16" x14ac:dyDescent="0.35">
      <c r="A33" s="45"/>
      <c r="B33" s="410" t="s">
        <v>281</v>
      </c>
      <c r="C33" s="393"/>
      <c r="D33" s="231" t="s">
        <v>254</v>
      </c>
      <c r="E33" s="396"/>
      <c r="F33" s="275"/>
      <c r="G33" s="275"/>
      <c r="H33" s="395"/>
      <c r="I33" s="395"/>
      <c r="J33" s="395"/>
      <c r="K33" s="395"/>
      <c r="L33" s="395"/>
      <c r="M33" s="395"/>
      <c r="N33" s="395"/>
      <c r="O33" s="395"/>
      <c r="P33" s="409">
        <f t="shared" si="0"/>
        <v>0</v>
      </c>
    </row>
    <row r="34" spans="1:16" x14ac:dyDescent="0.35">
      <c r="A34" s="45"/>
      <c r="B34" s="408"/>
      <c r="C34" s="393"/>
      <c r="D34" s="231"/>
      <c r="E34" s="396"/>
      <c r="F34" s="275"/>
      <c r="G34" s="275"/>
      <c r="H34" s="395"/>
      <c r="I34" s="395"/>
      <c r="J34" s="395"/>
      <c r="K34" s="395"/>
      <c r="L34" s="395"/>
      <c r="M34" s="395"/>
      <c r="N34" s="395"/>
      <c r="O34" s="395"/>
      <c r="P34" s="409">
        <f t="shared" si="0"/>
        <v>0</v>
      </c>
    </row>
    <row r="35" spans="1:16" x14ac:dyDescent="0.35">
      <c r="A35" s="45"/>
      <c r="B35" s="408"/>
      <c r="C35" s="393"/>
      <c r="D35" s="231"/>
      <c r="E35" s="396"/>
      <c r="F35" s="275"/>
      <c r="G35" s="275"/>
      <c r="H35" s="395"/>
      <c r="I35" s="395"/>
      <c r="J35" s="395"/>
      <c r="K35" s="395"/>
      <c r="L35" s="395"/>
      <c r="M35" s="395"/>
      <c r="N35" s="395"/>
      <c r="O35" s="395"/>
      <c r="P35" s="409">
        <f t="shared" si="0"/>
        <v>0</v>
      </c>
    </row>
    <row r="36" spans="1:16" x14ac:dyDescent="0.35">
      <c r="A36" s="45"/>
      <c r="B36" s="408"/>
      <c r="C36" s="393"/>
      <c r="D36" s="231"/>
      <c r="E36" s="396"/>
      <c r="F36" s="275"/>
      <c r="G36" s="275"/>
      <c r="H36" s="395"/>
      <c r="I36" s="395"/>
      <c r="J36" s="395"/>
      <c r="K36" s="395"/>
      <c r="L36" s="395"/>
      <c r="M36" s="395"/>
      <c r="N36" s="395"/>
      <c r="O36" s="395"/>
      <c r="P36" s="409">
        <f t="shared" si="0"/>
        <v>0</v>
      </c>
    </row>
    <row r="37" spans="1:16" ht="26.25" customHeight="1" x14ac:dyDescent="0.35">
      <c r="A37" s="45"/>
      <c r="B37" s="834" t="s">
        <v>11</v>
      </c>
      <c r="C37" s="835"/>
      <c r="D37" s="835"/>
      <c r="E37" s="835"/>
      <c r="F37" s="835"/>
      <c r="G37" s="835"/>
      <c r="H37" s="835"/>
      <c r="I37" s="835"/>
      <c r="J37" s="835"/>
      <c r="K37" s="835"/>
      <c r="L37" s="835"/>
      <c r="M37" s="835"/>
      <c r="N37" s="835"/>
      <c r="O37" s="835"/>
      <c r="P37" s="836"/>
    </row>
    <row r="38" spans="1:16" ht="28" x14ac:dyDescent="0.35">
      <c r="A38" s="45"/>
      <c r="B38" s="408">
        <v>12</v>
      </c>
      <c r="C38" s="393" t="s">
        <v>153</v>
      </c>
      <c r="D38" s="231" t="s">
        <v>34</v>
      </c>
      <c r="E38" s="396">
        <v>12</v>
      </c>
      <c r="F38" s="275"/>
      <c r="G38" s="275"/>
      <c r="H38" s="395"/>
      <c r="I38" s="395"/>
      <c r="J38" s="405">
        <v>1</v>
      </c>
      <c r="K38" s="395"/>
      <c r="L38" s="395"/>
      <c r="M38" s="395"/>
      <c r="N38" s="395"/>
      <c r="O38" s="395"/>
      <c r="P38" s="409">
        <f t="shared" si="0"/>
        <v>1</v>
      </c>
    </row>
    <row r="39" spans="1:16" ht="28" x14ac:dyDescent="0.35">
      <c r="A39" s="45"/>
      <c r="B39" s="408">
        <v>13</v>
      </c>
      <c r="C39" s="393" t="s">
        <v>154</v>
      </c>
      <c r="D39" s="231" t="s">
        <v>34</v>
      </c>
      <c r="E39" s="396">
        <v>12</v>
      </c>
      <c r="F39" s="275"/>
      <c r="G39" s="275"/>
      <c r="H39" s="395"/>
      <c r="I39" s="395"/>
      <c r="J39" s="405">
        <v>1</v>
      </c>
      <c r="K39" s="395"/>
      <c r="L39" s="395"/>
      <c r="M39" s="395"/>
      <c r="N39" s="395"/>
      <c r="O39" s="395"/>
      <c r="P39" s="409">
        <f t="shared" si="0"/>
        <v>1</v>
      </c>
    </row>
    <row r="40" spans="1:16" ht="28" x14ac:dyDescent="0.35">
      <c r="A40" s="45"/>
      <c r="B40" s="408">
        <v>14</v>
      </c>
      <c r="C40" s="393" t="s">
        <v>155</v>
      </c>
      <c r="D40" s="231" t="s">
        <v>34</v>
      </c>
      <c r="E40" s="396">
        <v>12</v>
      </c>
      <c r="F40" s="275"/>
      <c r="G40" s="275"/>
      <c r="H40" s="395"/>
      <c r="I40" s="395"/>
      <c r="J40" s="405">
        <v>1</v>
      </c>
      <c r="K40" s="395"/>
      <c r="L40" s="395"/>
      <c r="M40" s="395"/>
      <c r="N40" s="395"/>
      <c r="O40" s="395"/>
      <c r="P40" s="409">
        <f t="shared" si="0"/>
        <v>1</v>
      </c>
    </row>
    <row r="41" spans="1:16" x14ac:dyDescent="0.35">
      <c r="A41" s="45"/>
      <c r="B41" s="410" t="s">
        <v>281</v>
      </c>
      <c r="C41" s="393"/>
      <c r="D41" s="231" t="s">
        <v>254</v>
      </c>
      <c r="E41" s="396"/>
      <c r="F41" s="275"/>
      <c r="G41" s="275"/>
      <c r="H41" s="395"/>
      <c r="I41" s="395"/>
      <c r="J41" s="395"/>
      <c r="K41" s="395"/>
      <c r="L41" s="395"/>
      <c r="M41" s="395"/>
      <c r="N41" s="395"/>
      <c r="O41" s="395"/>
      <c r="P41" s="409">
        <f t="shared" si="0"/>
        <v>0</v>
      </c>
    </row>
    <row r="42" spans="1:16" x14ac:dyDescent="0.35">
      <c r="A42" s="45"/>
      <c r="B42" s="408"/>
      <c r="C42" s="393"/>
      <c r="D42" s="231"/>
      <c r="E42" s="396"/>
      <c r="F42" s="275"/>
      <c r="G42" s="275"/>
      <c r="H42" s="395"/>
      <c r="I42" s="395"/>
      <c r="J42" s="395"/>
      <c r="K42" s="395"/>
      <c r="L42" s="395"/>
      <c r="M42" s="395"/>
      <c r="N42" s="395"/>
      <c r="O42" s="395"/>
      <c r="P42" s="409">
        <f t="shared" si="0"/>
        <v>0</v>
      </c>
    </row>
    <row r="43" spans="1:16" x14ac:dyDescent="0.35">
      <c r="A43" s="45"/>
      <c r="B43" s="408"/>
      <c r="C43" s="393"/>
      <c r="D43" s="231"/>
      <c r="E43" s="396"/>
      <c r="F43" s="275"/>
      <c r="G43" s="275"/>
      <c r="H43" s="395"/>
      <c r="I43" s="395"/>
      <c r="J43" s="395"/>
      <c r="K43" s="395"/>
      <c r="L43" s="395"/>
      <c r="M43" s="395"/>
      <c r="N43" s="395"/>
      <c r="O43" s="395"/>
      <c r="P43" s="409">
        <f t="shared" si="0"/>
        <v>0</v>
      </c>
    </row>
    <row r="44" spans="1:16" x14ac:dyDescent="0.35">
      <c r="A44" s="45"/>
      <c r="B44" s="408"/>
      <c r="C44" s="393"/>
      <c r="D44" s="231"/>
      <c r="E44" s="396"/>
      <c r="F44" s="275"/>
      <c r="G44" s="275"/>
      <c r="H44" s="395"/>
      <c r="I44" s="395"/>
      <c r="J44" s="395"/>
      <c r="K44" s="395"/>
      <c r="L44" s="395"/>
      <c r="M44" s="395"/>
      <c r="N44" s="395"/>
      <c r="O44" s="395"/>
      <c r="P44" s="409">
        <f t="shared" si="0"/>
        <v>0</v>
      </c>
    </row>
    <row r="45" spans="1:16" ht="24" customHeight="1" x14ac:dyDescent="0.35">
      <c r="A45" s="45"/>
      <c r="B45" s="834" t="s">
        <v>156</v>
      </c>
      <c r="C45" s="835"/>
      <c r="D45" s="835"/>
      <c r="E45" s="835"/>
      <c r="F45" s="835"/>
      <c r="G45" s="835"/>
      <c r="H45" s="835"/>
      <c r="I45" s="835"/>
      <c r="J45" s="835"/>
      <c r="K45" s="835"/>
      <c r="L45" s="835"/>
      <c r="M45" s="835"/>
      <c r="N45" s="835"/>
      <c r="O45" s="835"/>
      <c r="P45" s="836"/>
    </row>
    <row r="46" spans="1:16" x14ac:dyDescent="0.35">
      <c r="A46" s="45"/>
      <c r="B46" s="408">
        <v>15</v>
      </c>
      <c r="C46" s="393" t="s">
        <v>157</v>
      </c>
      <c r="D46" s="231" t="s">
        <v>34</v>
      </c>
      <c r="E46" s="396"/>
      <c r="F46" s="275"/>
      <c r="G46" s="275"/>
      <c r="H46" s="405">
        <v>1</v>
      </c>
      <c r="I46" s="395"/>
      <c r="J46" s="395"/>
      <c r="K46" s="395"/>
      <c r="L46" s="395"/>
      <c r="M46" s="395"/>
      <c r="N46" s="395"/>
      <c r="O46" s="395"/>
      <c r="P46" s="409">
        <f t="shared" si="0"/>
        <v>1</v>
      </c>
    </row>
    <row r="47" spans="1:16" x14ac:dyDescent="0.35">
      <c r="A47" s="45"/>
      <c r="B47" s="410" t="s">
        <v>281</v>
      </c>
      <c r="C47" s="393"/>
      <c r="D47" s="231" t="s">
        <v>254</v>
      </c>
      <c r="E47" s="396"/>
      <c r="F47" s="275"/>
      <c r="G47" s="275"/>
      <c r="H47" s="405"/>
      <c r="I47" s="395"/>
      <c r="J47" s="395"/>
      <c r="K47" s="395"/>
      <c r="L47" s="395"/>
      <c r="M47" s="395"/>
      <c r="N47" s="395"/>
      <c r="O47" s="395"/>
      <c r="P47" s="409">
        <f t="shared" si="0"/>
        <v>0</v>
      </c>
    </row>
    <row r="48" spans="1:16" x14ac:dyDescent="0.35">
      <c r="A48" s="45"/>
      <c r="B48" s="408"/>
      <c r="C48" s="393"/>
      <c r="D48" s="231"/>
      <c r="E48" s="396"/>
      <c r="F48" s="275"/>
      <c r="G48" s="275"/>
      <c r="H48" s="405"/>
      <c r="I48" s="395"/>
      <c r="J48" s="395"/>
      <c r="K48" s="395"/>
      <c r="L48" s="395"/>
      <c r="M48" s="395"/>
      <c r="N48" s="395"/>
      <c r="O48" s="395"/>
      <c r="P48" s="409">
        <f t="shared" si="0"/>
        <v>0</v>
      </c>
    </row>
    <row r="49" spans="1:16" x14ac:dyDescent="0.35">
      <c r="A49" s="45"/>
      <c r="B49" s="408"/>
      <c r="C49" s="393"/>
      <c r="D49" s="231"/>
      <c r="E49" s="396"/>
      <c r="F49" s="275"/>
      <c r="G49" s="275"/>
      <c r="H49" s="405"/>
      <c r="I49" s="395"/>
      <c r="J49" s="395"/>
      <c r="K49" s="395"/>
      <c r="L49" s="395"/>
      <c r="M49" s="395"/>
      <c r="N49" s="395"/>
      <c r="O49" s="395"/>
      <c r="P49" s="409"/>
    </row>
    <row r="50" spans="1:16" x14ac:dyDescent="0.35">
      <c r="A50" s="45"/>
      <c r="B50" s="408"/>
      <c r="C50" s="393"/>
      <c r="D50" s="231"/>
      <c r="E50" s="396"/>
      <c r="F50" s="275"/>
      <c r="G50" s="275"/>
      <c r="H50" s="405"/>
      <c r="I50" s="395"/>
      <c r="J50" s="395"/>
      <c r="K50" s="395"/>
      <c r="L50" s="395"/>
      <c r="M50" s="395"/>
      <c r="N50" s="395"/>
      <c r="O50" s="395"/>
      <c r="P50" s="409">
        <f t="shared" si="0"/>
        <v>0</v>
      </c>
    </row>
    <row r="51" spans="1:16" ht="21" customHeight="1" x14ac:dyDescent="0.35">
      <c r="A51" s="43"/>
      <c r="B51" s="834" t="s">
        <v>158</v>
      </c>
      <c r="C51" s="835"/>
      <c r="D51" s="835"/>
      <c r="E51" s="835"/>
      <c r="F51" s="835"/>
      <c r="G51" s="835"/>
      <c r="H51" s="835"/>
      <c r="I51" s="835"/>
      <c r="J51" s="835"/>
      <c r="K51" s="835"/>
      <c r="L51" s="835"/>
      <c r="M51" s="835"/>
      <c r="N51" s="835"/>
      <c r="O51" s="835"/>
      <c r="P51" s="836"/>
    </row>
    <row r="52" spans="1:16" x14ac:dyDescent="0.35">
      <c r="A52" s="45"/>
      <c r="B52" s="408">
        <v>16</v>
      </c>
      <c r="C52" s="393" t="s">
        <v>159</v>
      </c>
      <c r="D52" s="231" t="s">
        <v>34</v>
      </c>
      <c r="E52" s="396"/>
      <c r="F52" s="275"/>
      <c r="G52" s="275"/>
      <c r="H52" s="395"/>
      <c r="I52" s="395"/>
      <c r="J52" s="395"/>
      <c r="K52" s="395"/>
      <c r="L52" s="395"/>
      <c r="M52" s="395"/>
      <c r="N52" s="395"/>
      <c r="O52" s="395"/>
      <c r="P52" s="409">
        <f t="shared" si="0"/>
        <v>0</v>
      </c>
    </row>
    <row r="53" spans="1:16" x14ac:dyDescent="0.35">
      <c r="A53" s="45"/>
      <c r="B53" s="408">
        <v>17</v>
      </c>
      <c r="C53" s="393" t="s">
        <v>160</v>
      </c>
      <c r="D53" s="231" t="s">
        <v>34</v>
      </c>
      <c r="E53" s="396"/>
      <c r="F53" s="275"/>
      <c r="G53" s="275"/>
      <c r="H53" s="395"/>
      <c r="I53" s="395"/>
      <c r="J53" s="395"/>
      <c r="K53" s="395"/>
      <c r="L53" s="395"/>
      <c r="M53" s="395"/>
      <c r="N53" s="395"/>
      <c r="O53" s="395"/>
      <c r="P53" s="409">
        <f t="shared" si="0"/>
        <v>0</v>
      </c>
    </row>
    <row r="54" spans="1:16" x14ac:dyDescent="0.35">
      <c r="A54" s="45"/>
      <c r="B54" s="408">
        <v>18</v>
      </c>
      <c r="C54" s="393" t="s">
        <v>161</v>
      </c>
      <c r="D54" s="231" t="s">
        <v>34</v>
      </c>
      <c r="E54" s="396"/>
      <c r="F54" s="275"/>
      <c r="G54" s="275"/>
      <c r="H54" s="395"/>
      <c r="I54" s="395"/>
      <c r="J54" s="395"/>
      <c r="K54" s="395"/>
      <c r="L54" s="395"/>
      <c r="M54" s="395"/>
      <c r="N54" s="395"/>
      <c r="O54" s="395"/>
      <c r="P54" s="409">
        <f t="shared" si="0"/>
        <v>0</v>
      </c>
    </row>
    <row r="55" spans="1:16" x14ac:dyDescent="0.35">
      <c r="A55" s="45"/>
      <c r="B55" s="408">
        <v>19</v>
      </c>
      <c r="C55" s="393" t="s">
        <v>162</v>
      </c>
      <c r="D55" s="231" t="s">
        <v>34</v>
      </c>
      <c r="E55" s="396"/>
      <c r="F55" s="275"/>
      <c r="G55" s="275"/>
      <c r="H55" s="395"/>
      <c r="I55" s="395"/>
      <c r="J55" s="395"/>
      <c r="K55" s="395"/>
      <c r="L55" s="395"/>
      <c r="M55" s="395"/>
      <c r="N55" s="395"/>
      <c r="O55" s="395"/>
      <c r="P55" s="409">
        <f t="shared" si="0"/>
        <v>0</v>
      </c>
    </row>
    <row r="56" spans="1:16" x14ac:dyDescent="0.35">
      <c r="A56" s="45"/>
      <c r="B56" s="410" t="s">
        <v>281</v>
      </c>
      <c r="C56" s="393"/>
      <c r="D56" s="231" t="s">
        <v>254</v>
      </c>
      <c r="E56" s="396"/>
      <c r="F56" s="275"/>
      <c r="G56" s="275"/>
      <c r="H56" s="395"/>
      <c r="I56" s="395"/>
      <c r="J56" s="395"/>
      <c r="K56" s="395"/>
      <c r="L56" s="395"/>
      <c r="M56" s="395"/>
      <c r="N56" s="395"/>
      <c r="O56" s="395"/>
      <c r="P56" s="409">
        <f t="shared" si="0"/>
        <v>0</v>
      </c>
    </row>
    <row r="57" spans="1:16" x14ac:dyDescent="0.35">
      <c r="A57" s="45"/>
      <c r="B57" s="410"/>
      <c r="C57" s="393"/>
      <c r="D57" s="231"/>
      <c r="E57" s="396"/>
      <c r="F57" s="275"/>
      <c r="G57" s="275"/>
      <c r="H57" s="395"/>
      <c r="I57" s="395"/>
      <c r="J57" s="395"/>
      <c r="K57" s="395"/>
      <c r="L57" s="395"/>
      <c r="M57" s="395"/>
      <c r="N57" s="395"/>
      <c r="O57" s="395"/>
      <c r="P57" s="409"/>
    </row>
    <row r="58" spans="1:16" x14ac:dyDescent="0.35">
      <c r="A58" s="45"/>
      <c r="B58" s="410"/>
      <c r="C58" s="393"/>
      <c r="D58" s="231"/>
      <c r="E58" s="396"/>
      <c r="F58" s="275"/>
      <c r="G58" s="275"/>
      <c r="H58" s="395"/>
      <c r="I58" s="395"/>
      <c r="J58" s="395"/>
      <c r="K58" s="395"/>
      <c r="L58" s="395"/>
      <c r="M58" s="395"/>
      <c r="N58" s="395"/>
      <c r="O58" s="395"/>
      <c r="P58" s="409"/>
    </row>
    <row r="59" spans="1:16" x14ac:dyDescent="0.35">
      <c r="A59" s="43"/>
      <c r="B59" s="411"/>
      <c r="C59" s="397"/>
      <c r="D59" s="398"/>
      <c r="E59" s="398"/>
      <c r="F59" s="275"/>
      <c r="G59" s="275"/>
      <c r="H59" s="399"/>
      <c r="I59" s="399"/>
      <c r="J59" s="399"/>
      <c r="K59" s="399"/>
      <c r="L59" s="399"/>
      <c r="M59" s="399"/>
      <c r="N59" s="399"/>
      <c r="O59" s="399"/>
      <c r="P59" s="409"/>
    </row>
    <row r="60" spans="1:16" ht="27" customHeight="1" x14ac:dyDescent="0.35">
      <c r="B60" s="842" t="s">
        <v>163</v>
      </c>
      <c r="C60" s="843"/>
      <c r="D60" s="843"/>
      <c r="E60" s="843"/>
      <c r="F60" s="843"/>
      <c r="G60" s="843"/>
      <c r="H60" s="843"/>
      <c r="I60" s="843"/>
      <c r="J60" s="843"/>
      <c r="K60" s="843"/>
      <c r="L60" s="843"/>
      <c r="M60" s="843"/>
      <c r="N60" s="843"/>
      <c r="O60" s="843"/>
      <c r="P60" s="844"/>
    </row>
    <row r="61" spans="1:16" ht="16.5" x14ac:dyDescent="0.35">
      <c r="B61" s="412"/>
      <c r="C61" s="393"/>
      <c r="D61" s="396"/>
      <c r="E61" s="396"/>
      <c r="F61" s="392"/>
      <c r="G61" s="392"/>
      <c r="H61" s="392"/>
      <c r="I61" s="392"/>
      <c r="J61" s="392"/>
      <c r="K61" s="392"/>
      <c r="L61" s="392"/>
      <c r="M61" s="392"/>
      <c r="N61" s="392"/>
      <c r="O61" s="392"/>
      <c r="P61" s="413"/>
    </row>
    <row r="62" spans="1:16" ht="25.5" customHeight="1" x14ac:dyDescent="0.35">
      <c r="A62" s="45"/>
      <c r="B62" s="837" t="s">
        <v>164</v>
      </c>
      <c r="C62" s="806"/>
      <c r="D62" s="806"/>
      <c r="E62" s="806"/>
      <c r="F62" s="806"/>
      <c r="G62" s="806"/>
      <c r="H62" s="806"/>
      <c r="I62" s="806"/>
      <c r="J62" s="806"/>
      <c r="K62" s="806"/>
      <c r="L62" s="806"/>
      <c r="M62" s="806"/>
      <c r="N62" s="806"/>
      <c r="O62" s="806"/>
      <c r="P62" s="838"/>
    </row>
    <row r="63" spans="1:16" x14ac:dyDescent="0.35">
      <c r="A63" s="45"/>
      <c r="B63" s="408">
        <v>21</v>
      </c>
      <c r="C63" s="393" t="s">
        <v>165</v>
      </c>
      <c r="D63" s="231" t="s">
        <v>34</v>
      </c>
      <c r="E63" s="396"/>
      <c r="F63" s="275"/>
      <c r="G63" s="275"/>
      <c r="H63" s="405">
        <v>1</v>
      </c>
      <c r="I63" s="395"/>
      <c r="J63" s="395"/>
      <c r="K63" s="395"/>
      <c r="L63" s="395"/>
      <c r="M63" s="395"/>
      <c r="N63" s="395"/>
      <c r="O63" s="395"/>
      <c r="P63" s="409">
        <f t="shared" si="0"/>
        <v>1</v>
      </c>
    </row>
    <row r="64" spans="1:16" x14ac:dyDescent="0.35">
      <c r="A64" s="45"/>
      <c r="B64" s="408">
        <v>22</v>
      </c>
      <c r="C64" s="393" t="s">
        <v>166</v>
      </c>
      <c r="D64" s="231" t="s">
        <v>34</v>
      </c>
      <c r="E64" s="396"/>
      <c r="F64" s="275"/>
      <c r="G64" s="275"/>
      <c r="H64" s="405">
        <v>1</v>
      </c>
      <c r="I64" s="395"/>
      <c r="J64" s="395"/>
      <c r="K64" s="395"/>
      <c r="L64" s="395"/>
      <c r="M64" s="395"/>
      <c r="N64" s="395"/>
      <c r="O64" s="395"/>
      <c r="P64" s="409">
        <f t="shared" si="0"/>
        <v>1</v>
      </c>
    </row>
    <row r="65" spans="1:16" x14ac:dyDescent="0.35">
      <c r="A65" s="45"/>
      <c r="B65" s="408">
        <v>23</v>
      </c>
      <c r="C65" s="393" t="s">
        <v>167</v>
      </c>
      <c r="D65" s="231" t="s">
        <v>34</v>
      </c>
      <c r="E65" s="396"/>
      <c r="F65" s="275"/>
      <c r="G65" s="275"/>
      <c r="H65" s="405">
        <v>1</v>
      </c>
      <c r="I65" s="395"/>
      <c r="J65" s="395"/>
      <c r="K65" s="395"/>
      <c r="L65" s="395"/>
      <c r="M65" s="395"/>
      <c r="N65" s="395"/>
      <c r="O65" s="395"/>
      <c r="P65" s="409">
        <f t="shared" si="0"/>
        <v>1</v>
      </c>
    </row>
    <row r="66" spans="1:16" x14ac:dyDescent="0.35">
      <c r="A66" s="45"/>
      <c r="B66" s="408">
        <v>24</v>
      </c>
      <c r="C66" s="393" t="s">
        <v>168</v>
      </c>
      <c r="D66" s="231" t="s">
        <v>34</v>
      </c>
      <c r="E66" s="396"/>
      <c r="F66" s="275"/>
      <c r="G66" s="275"/>
      <c r="H66" s="405">
        <v>1</v>
      </c>
      <c r="I66" s="395"/>
      <c r="J66" s="395"/>
      <c r="K66" s="395"/>
      <c r="L66" s="395"/>
      <c r="M66" s="395"/>
      <c r="N66" s="395"/>
      <c r="O66" s="395"/>
      <c r="P66" s="409">
        <f t="shared" si="0"/>
        <v>1</v>
      </c>
    </row>
    <row r="67" spans="1:16" x14ac:dyDescent="0.35">
      <c r="A67" s="45"/>
      <c r="B67" s="410" t="s">
        <v>281</v>
      </c>
      <c r="C67" s="393"/>
      <c r="D67" s="231" t="s">
        <v>254</v>
      </c>
      <c r="E67" s="396"/>
      <c r="F67" s="275"/>
      <c r="G67" s="275"/>
      <c r="H67" s="405"/>
      <c r="I67" s="395"/>
      <c r="J67" s="395"/>
      <c r="K67" s="395"/>
      <c r="L67" s="395"/>
      <c r="M67" s="395"/>
      <c r="N67" s="395"/>
      <c r="O67" s="395"/>
      <c r="P67" s="409"/>
    </row>
    <row r="68" spans="1:16" x14ac:dyDescent="0.35">
      <c r="A68" s="45"/>
      <c r="B68" s="408"/>
      <c r="C68" s="393"/>
      <c r="D68" s="231"/>
      <c r="E68" s="396"/>
      <c r="F68" s="275"/>
      <c r="G68" s="275"/>
      <c r="H68" s="405"/>
      <c r="I68" s="395"/>
      <c r="J68" s="395"/>
      <c r="K68" s="395"/>
      <c r="L68" s="395"/>
      <c r="M68" s="395"/>
      <c r="N68" s="395"/>
      <c r="O68" s="395"/>
      <c r="P68" s="409"/>
    </row>
    <row r="69" spans="1:16" x14ac:dyDescent="0.35">
      <c r="A69" s="45"/>
      <c r="B69" s="408"/>
      <c r="C69" s="393"/>
      <c r="D69" s="231"/>
      <c r="E69" s="396"/>
      <c r="F69" s="275"/>
      <c r="G69" s="275"/>
      <c r="H69" s="405"/>
      <c r="I69" s="395"/>
      <c r="J69" s="395"/>
      <c r="K69" s="395"/>
      <c r="L69" s="395"/>
      <c r="M69" s="395"/>
      <c r="N69" s="395"/>
      <c r="O69" s="395"/>
      <c r="P69" s="409"/>
    </row>
    <row r="70" spans="1:16" x14ac:dyDescent="0.35">
      <c r="A70" s="45"/>
      <c r="B70" s="408"/>
      <c r="C70" s="393"/>
      <c r="D70" s="231"/>
      <c r="E70" s="396"/>
      <c r="F70" s="275"/>
      <c r="G70" s="275"/>
      <c r="H70" s="395"/>
      <c r="I70" s="395"/>
      <c r="J70" s="395"/>
      <c r="K70" s="395"/>
      <c r="L70" s="395"/>
      <c r="M70" s="395"/>
      <c r="N70" s="395"/>
      <c r="O70" s="395"/>
      <c r="P70" s="409">
        <f t="shared" si="0"/>
        <v>0</v>
      </c>
    </row>
    <row r="71" spans="1:16" ht="28.5" customHeight="1" x14ac:dyDescent="0.35">
      <c r="A71" s="45"/>
      <c r="B71" s="837" t="s">
        <v>169</v>
      </c>
      <c r="C71" s="806"/>
      <c r="D71" s="806"/>
      <c r="E71" s="806"/>
      <c r="F71" s="806"/>
      <c r="G71" s="806"/>
      <c r="H71" s="806"/>
      <c r="I71" s="806"/>
      <c r="J71" s="806"/>
      <c r="K71" s="806"/>
      <c r="L71" s="806"/>
      <c r="M71" s="806"/>
      <c r="N71" s="806"/>
      <c r="O71" s="806"/>
      <c r="P71" s="838"/>
    </row>
    <row r="72" spans="1:16" x14ac:dyDescent="0.35">
      <c r="A72" s="45"/>
      <c r="B72" s="408">
        <v>25</v>
      </c>
      <c r="C72" s="393" t="s">
        <v>170</v>
      </c>
      <c r="D72" s="231" t="s">
        <v>34</v>
      </c>
      <c r="E72" s="396"/>
      <c r="F72" s="275"/>
      <c r="G72" s="275"/>
      <c r="H72" s="395"/>
      <c r="I72" s="405">
        <v>1</v>
      </c>
      <c r="J72" s="395"/>
      <c r="K72" s="395"/>
      <c r="L72" s="395"/>
      <c r="M72" s="395"/>
      <c r="N72" s="395"/>
      <c r="O72" s="395"/>
      <c r="P72" s="409">
        <f t="shared" si="0"/>
        <v>1</v>
      </c>
    </row>
    <row r="73" spans="1:16" x14ac:dyDescent="0.35">
      <c r="A73" s="45"/>
      <c r="B73" s="408">
        <v>26</v>
      </c>
      <c r="C73" s="393" t="s">
        <v>171</v>
      </c>
      <c r="D73" s="231" t="s">
        <v>34</v>
      </c>
      <c r="E73" s="396"/>
      <c r="F73" s="275"/>
      <c r="G73" s="275"/>
      <c r="H73" s="395"/>
      <c r="I73" s="405">
        <v>1</v>
      </c>
      <c r="J73" s="395"/>
      <c r="K73" s="395"/>
      <c r="L73" s="395"/>
      <c r="M73" s="395"/>
      <c r="N73" s="395"/>
      <c r="O73" s="395"/>
      <c r="P73" s="409">
        <f t="shared" si="0"/>
        <v>1</v>
      </c>
    </row>
    <row r="74" spans="1:16" ht="28" x14ac:dyDescent="0.35">
      <c r="A74" s="45"/>
      <c r="B74" s="408">
        <v>27</v>
      </c>
      <c r="C74" s="393" t="s">
        <v>172</v>
      </c>
      <c r="D74" s="231" t="s">
        <v>34</v>
      </c>
      <c r="E74" s="396"/>
      <c r="F74" s="275"/>
      <c r="G74" s="275"/>
      <c r="H74" s="395"/>
      <c r="I74" s="405">
        <v>0.8</v>
      </c>
      <c r="J74" s="405">
        <v>0.2</v>
      </c>
      <c r="K74" s="395"/>
      <c r="L74" s="395"/>
      <c r="M74" s="395"/>
      <c r="N74" s="395"/>
      <c r="O74" s="395"/>
      <c r="P74" s="409">
        <f t="shared" si="0"/>
        <v>1</v>
      </c>
    </row>
    <row r="75" spans="1:16" ht="28" x14ac:dyDescent="0.35">
      <c r="A75" s="45"/>
      <c r="B75" s="408">
        <v>28</v>
      </c>
      <c r="C75" s="393" t="s">
        <v>173</v>
      </c>
      <c r="D75" s="231" t="s">
        <v>34</v>
      </c>
      <c r="E75" s="396"/>
      <c r="F75" s="275"/>
      <c r="G75" s="275"/>
      <c r="H75" s="395"/>
      <c r="I75" s="395"/>
      <c r="J75" s="395"/>
      <c r="K75" s="395"/>
      <c r="L75" s="395"/>
      <c r="M75" s="395"/>
      <c r="N75" s="395"/>
      <c r="O75" s="395"/>
      <c r="P75" s="409">
        <f t="shared" si="0"/>
        <v>0</v>
      </c>
    </row>
    <row r="76" spans="1:16" ht="28" x14ac:dyDescent="0.35">
      <c r="A76" s="45"/>
      <c r="B76" s="408">
        <v>29</v>
      </c>
      <c r="C76" s="393" t="s">
        <v>174</v>
      </c>
      <c r="D76" s="231" t="s">
        <v>34</v>
      </c>
      <c r="E76" s="396"/>
      <c r="F76" s="275"/>
      <c r="G76" s="275"/>
      <c r="H76" s="395"/>
      <c r="I76" s="395"/>
      <c r="J76" s="395"/>
      <c r="K76" s="395"/>
      <c r="L76" s="395"/>
      <c r="M76" s="395"/>
      <c r="N76" s="395"/>
      <c r="O76" s="395"/>
      <c r="P76" s="409">
        <f t="shared" si="0"/>
        <v>0</v>
      </c>
    </row>
    <row r="77" spans="1:16" ht="28" x14ac:dyDescent="0.35">
      <c r="A77" s="45"/>
      <c r="B77" s="408">
        <v>30</v>
      </c>
      <c r="C77" s="393" t="s">
        <v>175</v>
      </c>
      <c r="D77" s="231" t="s">
        <v>34</v>
      </c>
      <c r="E77" s="396"/>
      <c r="F77" s="275"/>
      <c r="G77" s="275"/>
      <c r="H77" s="395"/>
      <c r="I77" s="395"/>
      <c r="J77" s="395"/>
      <c r="K77" s="395"/>
      <c r="L77" s="395"/>
      <c r="M77" s="395"/>
      <c r="N77" s="395"/>
      <c r="O77" s="395"/>
      <c r="P77" s="409">
        <f t="shared" si="0"/>
        <v>0</v>
      </c>
    </row>
    <row r="78" spans="1:16" x14ac:dyDescent="0.35">
      <c r="A78" s="45"/>
      <c r="B78" s="408">
        <v>31</v>
      </c>
      <c r="C78" s="393" t="s">
        <v>176</v>
      </c>
      <c r="D78" s="231" t="s">
        <v>34</v>
      </c>
      <c r="E78" s="396"/>
      <c r="F78" s="275"/>
      <c r="G78" s="275"/>
      <c r="H78" s="395"/>
      <c r="I78" s="395"/>
      <c r="J78" s="395"/>
      <c r="K78" s="395"/>
      <c r="L78" s="395"/>
      <c r="M78" s="395"/>
      <c r="N78" s="395"/>
      <c r="O78" s="395"/>
      <c r="P78" s="409">
        <f t="shared" si="0"/>
        <v>0</v>
      </c>
    </row>
    <row r="79" spans="1:16" x14ac:dyDescent="0.35">
      <c r="A79" s="45"/>
      <c r="B79" s="408">
        <v>32</v>
      </c>
      <c r="C79" s="393" t="s">
        <v>177</v>
      </c>
      <c r="D79" s="231" t="s">
        <v>34</v>
      </c>
      <c r="E79" s="396"/>
      <c r="F79" s="275"/>
      <c r="G79" s="275"/>
      <c r="H79" s="395"/>
      <c r="I79" s="395"/>
      <c r="J79" s="395"/>
      <c r="K79" s="395"/>
      <c r="L79" s="395"/>
      <c r="M79" s="395"/>
      <c r="N79" s="395"/>
      <c r="O79" s="395"/>
      <c r="P79" s="409">
        <f t="shared" si="0"/>
        <v>0</v>
      </c>
    </row>
    <row r="80" spans="1:16" x14ac:dyDescent="0.35">
      <c r="A80" s="45"/>
      <c r="B80" s="410" t="s">
        <v>281</v>
      </c>
      <c r="C80" s="393"/>
      <c r="D80" s="231" t="s">
        <v>254</v>
      </c>
      <c r="E80" s="396"/>
      <c r="F80" s="275"/>
      <c r="G80" s="275"/>
      <c r="H80" s="395"/>
      <c r="I80" s="395"/>
      <c r="J80" s="395"/>
      <c r="K80" s="395"/>
      <c r="L80" s="395"/>
      <c r="M80" s="395"/>
      <c r="N80" s="395"/>
      <c r="O80" s="395"/>
      <c r="P80" s="409"/>
    </row>
    <row r="81" spans="1:16" x14ac:dyDescent="0.35">
      <c r="A81" s="45"/>
      <c r="B81" s="408"/>
      <c r="C81" s="393"/>
      <c r="D81" s="231"/>
      <c r="E81" s="396"/>
      <c r="F81" s="275"/>
      <c r="G81" s="275"/>
      <c r="H81" s="395"/>
      <c r="I81" s="395"/>
      <c r="J81" s="395"/>
      <c r="K81" s="395"/>
      <c r="L81" s="395"/>
      <c r="M81" s="395"/>
      <c r="N81" s="395"/>
      <c r="O81" s="395"/>
      <c r="P81" s="409"/>
    </row>
    <row r="82" spans="1:16" x14ac:dyDescent="0.35">
      <c r="A82" s="45"/>
      <c r="B82" s="408"/>
      <c r="C82" s="393"/>
      <c r="D82" s="231"/>
      <c r="E82" s="396"/>
      <c r="F82" s="275"/>
      <c r="G82" s="275"/>
      <c r="H82" s="395"/>
      <c r="I82" s="395"/>
      <c r="J82" s="395"/>
      <c r="K82" s="395"/>
      <c r="L82" s="395"/>
      <c r="M82" s="395"/>
      <c r="N82" s="395"/>
      <c r="O82" s="395"/>
      <c r="P82" s="409"/>
    </row>
    <row r="83" spans="1:16" x14ac:dyDescent="0.35">
      <c r="A83" s="45"/>
      <c r="B83" s="408"/>
      <c r="C83" s="393"/>
      <c r="D83" s="231"/>
      <c r="E83" s="396"/>
      <c r="F83" s="275"/>
      <c r="G83" s="275"/>
      <c r="H83" s="395"/>
      <c r="I83" s="395"/>
      <c r="J83" s="395"/>
      <c r="K83" s="395"/>
      <c r="L83" s="395"/>
      <c r="M83" s="395"/>
      <c r="N83" s="395"/>
      <c r="O83" s="395"/>
      <c r="P83" s="409">
        <f t="shared" ref="P83:P106" si="1">SUM(H83:O83)</f>
        <v>0</v>
      </c>
    </row>
    <row r="84" spans="1:16" ht="25.5" customHeight="1" x14ac:dyDescent="0.35">
      <c r="A84" s="45"/>
      <c r="B84" s="837" t="s">
        <v>178</v>
      </c>
      <c r="C84" s="806"/>
      <c r="D84" s="806"/>
      <c r="E84" s="806"/>
      <c r="F84" s="806"/>
      <c r="G84" s="806"/>
      <c r="H84" s="806"/>
      <c r="I84" s="806"/>
      <c r="J84" s="806"/>
      <c r="K84" s="806"/>
      <c r="L84" s="806"/>
      <c r="M84" s="806"/>
      <c r="N84" s="806"/>
      <c r="O84" s="806"/>
      <c r="P84" s="838"/>
    </row>
    <row r="85" spans="1:16" x14ac:dyDescent="0.35">
      <c r="A85" s="45"/>
      <c r="B85" s="408">
        <v>33</v>
      </c>
      <c r="C85" s="393" t="s">
        <v>179</v>
      </c>
      <c r="D85" s="231" t="s">
        <v>34</v>
      </c>
      <c r="E85" s="396"/>
      <c r="F85" s="275"/>
      <c r="G85" s="275"/>
      <c r="H85" s="401"/>
      <c r="I85" s="401"/>
      <c r="J85" s="401"/>
      <c r="K85" s="401"/>
      <c r="L85" s="401"/>
      <c r="M85" s="401"/>
      <c r="N85" s="401"/>
      <c r="O85" s="401"/>
      <c r="P85" s="409">
        <f t="shared" si="1"/>
        <v>0</v>
      </c>
    </row>
    <row r="86" spans="1:16" x14ac:dyDescent="0.35">
      <c r="A86" s="45"/>
      <c r="B86" s="408">
        <v>34</v>
      </c>
      <c r="C86" s="393" t="s">
        <v>180</v>
      </c>
      <c r="D86" s="231" t="s">
        <v>34</v>
      </c>
      <c r="E86" s="396"/>
      <c r="F86" s="275"/>
      <c r="G86" s="275"/>
      <c r="H86" s="401"/>
      <c r="I86" s="401"/>
      <c r="J86" s="401"/>
      <c r="K86" s="401"/>
      <c r="L86" s="401"/>
      <c r="M86" s="401"/>
      <c r="N86" s="401"/>
      <c r="O86" s="401"/>
      <c r="P86" s="409">
        <f t="shared" si="1"/>
        <v>0</v>
      </c>
    </row>
    <row r="87" spans="1:16" x14ac:dyDescent="0.35">
      <c r="A87" s="45"/>
      <c r="B87" s="408">
        <v>35</v>
      </c>
      <c r="C87" s="393" t="s">
        <v>181</v>
      </c>
      <c r="D87" s="231" t="s">
        <v>34</v>
      </c>
      <c r="E87" s="396"/>
      <c r="F87" s="275"/>
      <c r="G87" s="275"/>
      <c r="H87" s="401"/>
      <c r="I87" s="401"/>
      <c r="J87" s="401"/>
      <c r="K87" s="401"/>
      <c r="L87" s="401"/>
      <c r="M87" s="401"/>
      <c r="N87" s="401"/>
      <c r="O87" s="401"/>
      <c r="P87" s="409">
        <f t="shared" si="1"/>
        <v>0</v>
      </c>
    </row>
    <row r="88" spans="1:16" x14ac:dyDescent="0.35">
      <c r="A88" s="45"/>
      <c r="B88" s="410" t="s">
        <v>281</v>
      </c>
      <c r="C88" s="393"/>
      <c r="D88" s="231" t="s">
        <v>254</v>
      </c>
      <c r="E88" s="396"/>
      <c r="F88" s="275"/>
      <c r="G88" s="275"/>
      <c r="H88" s="401"/>
      <c r="I88" s="401"/>
      <c r="J88" s="401"/>
      <c r="K88" s="401"/>
      <c r="L88" s="401"/>
      <c r="M88" s="401"/>
      <c r="N88" s="401"/>
      <c r="O88" s="401"/>
      <c r="P88" s="409"/>
    </row>
    <row r="89" spans="1:16" x14ac:dyDescent="0.35">
      <c r="A89" s="45"/>
      <c r="B89" s="408"/>
      <c r="C89" s="393"/>
      <c r="D89" s="231"/>
      <c r="E89" s="396"/>
      <c r="F89" s="275"/>
      <c r="G89" s="275"/>
      <c r="H89" s="401"/>
      <c r="I89" s="401"/>
      <c r="J89" s="401"/>
      <c r="K89" s="401"/>
      <c r="L89" s="401"/>
      <c r="M89" s="401"/>
      <c r="N89" s="401"/>
      <c r="O89" s="401"/>
      <c r="P89" s="409"/>
    </row>
    <row r="90" spans="1:16" x14ac:dyDescent="0.35">
      <c r="A90" s="45"/>
      <c r="B90" s="408"/>
      <c r="C90" s="393"/>
      <c r="D90" s="231"/>
      <c r="E90" s="396"/>
      <c r="F90" s="275"/>
      <c r="G90" s="275"/>
      <c r="H90" s="401"/>
      <c r="I90" s="401"/>
      <c r="J90" s="401"/>
      <c r="K90" s="401"/>
      <c r="L90" s="401"/>
      <c r="M90" s="401"/>
      <c r="N90" s="401"/>
      <c r="O90" s="401"/>
      <c r="P90" s="409"/>
    </row>
    <row r="91" spans="1:16" x14ac:dyDescent="0.35">
      <c r="A91" s="45"/>
      <c r="B91" s="408"/>
      <c r="C91" s="393"/>
      <c r="D91" s="231"/>
      <c r="E91" s="396"/>
      <c r="F91" s="401"/>
      <c r="G91" s="401"/>
      <c r="H91" s="401"/>
      <c r="I91" s="401"/>
      <c r="J91" s="401"/>
      <c r="K91" s="401"/>
      <c r="L91" s="401"/>
      <c r="M91" s="401"/>
      <c r="N91" s="401"/>
      <c r="O91" s="401"/>
      <c r="P91" s="409">
        <f t="shared" si="1"/>
        <v>0</v>
      </c>
    </row>
    <row r="92" spans="1:16" ht="24" customHeight="1" x14ac:dyDescent="0.35">
      <c r="A92" s="45"/>
      <c r="B92" s="837" t="s">
        <v>182</v>
      </c>
      <c r="C92" s="806"/>
      <c r="D92" s="806"/>
      <c r="E92" s="806"/>
      <c r="F92" s="806"/>
      <c r="G92" s="806"/>
      <c r="H92" s="806"/>
      <c r="I92" s="806"/>
      <c r="J92" s="806"/>
      <c r="K92" s="806"/>
      <c r="L92" s="806"/>
      <c r="M92" s="806"/>
      <c r="N92" s="806"/>
      <c r="O92" s="806"/>
      <c r="P92" s="838"/>
    </row>
    <row r="93" spans="1:16" ht="42" x14ac:dyDescent="0.35">
      <c r="A93" s="45"/>
      <c r="B93" s="408">
        <v>36</v>
      </c>
      <c r="C93" s="393" t="s">
        <v>183</v>
      </c>
      <c r="D93" s="231" t="s">
        <v>34</v>
      </c>
      <c r="E93" s="396"/>
      <c r="F93" s="275"/>
      <c r="G93" s="275"/>
      <c r="H93" s="401"/>
      <c r="I93" s="401"/>
      <c r="J93" s="401"/>
      <c r="K93" s="401"/>
      <c r="L93" s="401"/>
      <c r="M93" s="401"/>
      <c r="N93" s="401"/>
      <c r="O93" s="401"/>
      <c r="P93" s="409">
        <f t="shared" si="1"/>
        <v>0</v>
      </c>
    </row>
    <row r="94" spans="1:16" x14ac:dyDescent="0.35">
      <c r="A94" s="45"/>
      <c r="B94" s="408">
        <v>37</v>
      </c>
      <c r="C94" s="393" t="s">
        <v>184</v>
      </c>
      <c r="D94" s="231" t="s">
        <v>34</v>
      </c>
      <c r="E94" s="396"/>
      <c r="F94" s="275"/>
      <c r="G94" s="275"/>
      <c r="H94" s="401"/>
      <c r="I94" s="401"/>
      <c r="J94" s="401"/>
      <c r="K94" s="401"/>
      <c r="L94" s="401"/>
      <c r="M94" s="401"/>
      <c r="N94" s="401"/>
      <c r="O94" s="401"/>
      <c r="P94" s="409">
        <f t="shared" si="1"/>
        <v>0</v>
      </c>
    </row>
    <row r="95" spans="1:16" x14ac:dyDescent="0.35">
      <c r="A95" s="45"/>
      <c r="B95" s="408">
        <v>38</v>
      </c>
      <c r="C95" s="393" t="s">
        <v>185</v>
      </c>
      <c r="D95" s="231" t="s">
        <v>34</v>
      </c>
      <c r="E95" s="396"/>
      <c r="F95" s="275"/>
      <c r="G95" s="275"/>
      <c r="H95" s="401"/>
      <c r="I95" s="401"/>
      <c r="J95" s="401"/>
      <c r="K95" s="401"/>
      <c r="L95" s="401"/>
      <c r="M95" s="401"/>
      <c r="N95" s="401"/>
      <c r="O95" s="401"/>
      <c r="P95" s="409">
        <f t="shared" si="1"/>
        <v>0</v>
      </c>
    </row>
    <row r="96" spans="1:16" ht="28" x14ac:dyDescent="0.35">
      <c r="A96" s="45"/>
      <c r="B96" s="408">
        <v>39</v>
      </c>
      <c r="C96" s="393" t="s">
        <v>186</v>
      </c>
      <c r="D96" s="231" t="s">
        <v>34</v>
      </c>
      <c r="E96" s="396"/>
      <c r="F96" s="275"/>
      <c r="G96" s="275"/>
      <c r="H96" s="401"/>
      <c r="I96" s="401"/>
      <c r="J96" s="401"/>
      <c r="K96" s="401"/>
      <c r="L96" s="401"/>
      <c r="M96" s="401"/>
      <c r="N96" s="401"/>
      <c r="O96" s="401"/>
      <c r="P96" s="409">
        <f t="shared" si="1"/>
        <v>0</v>
      </c>
    </row>
    <row r="97" spans="1:16" ht="28" x14ac:dyDescent="0.35">
      <c r="A97" s="45"/>
      <c r="B97" s="408">
        <v>40</v>
      </c>
      <c r="C97" s="393" t="s">
        <v>187</v>
      </c>
      <c r="D97" s="231" t="s">
        <v>34</v>
      </c>
      <c r="E97" s="396"/>
      <c r="F97" s="275"/>
      <c r="G97" s="275"/>
      <c r="H97" s="401"/>
      <c r="I97" s="401"/>
      <c r="J97" s="401"/>
      <c r="K97" s="401"/>
      <c r="L97" s="401"/>
      <c r="M97" s="401"/>
      <c r="N97" s="401"/>
      <c r="O97" s="401"/>
      <c r="P97" s="409">
        <f t="shared" si="1"/>
        <v>0</v>
      </c>
    </row>
    <row r="98" spans="1:16" ht="28" x14ac:dyDescent="0.35">
      <c r="A98" s="45"/>
      <c r="B98" s="408">
        <v>41</v>
      </c>
      <c r="C98" s="393" t="s">
        <v>188</v>
      </c>
      <c r="D98" s="231" t="s">
        <v>34</v>
      </c>
      <c r="E98" s="396"/>
      <c r="F98" s="275"/>
      <c r="G98" s="275"/>
      <c r="H98" s="401"/>
      <c r="I98" s="401"/>
      <c r="J98" s="401"/>
      <c r="K98" s="401"/>
      <c r="L98" s="401"/>
      <c r="M98" s="401"/>
      <c r="N98" s="401"/>
      <c r="O98" s="401"/>
      <c r="P98" s="409">
        <f t="shared" si="1"/>
        <v>0</v>
      </c>
    </row>
    <row r="99" spans="1:16" ht="28" x14ac:dyDescent="0.35">
      <c r="A99" s="45"/>
      <c r="B99" s="408">
        <v>42</v>
      </c>
      <c r="C99" s="393" t="s">
        <v>189</v>
      </c>
      <c r="D99" s="231" t="s">
        <v>34</v>
      </c>
      <c r="E99" s="396"/>
      <c r="F99" s="275"/>
      <c r="G99" s="275"/>
      <c r="H99" s="401"/>
      <c r="I99" s="401"/>
      <c r="J99" s="401"/>
      <c r="K99" s="401"/>
      <c r="L99" s="401"/>
      <c r="M99" s="401"/>
      <c r="N99" s="401"/>
      <c r="O99" s="401"/>
      <c r="P99" s="409">
        <f t="shared" si="1"/>
        <v>0</v>
      </c>
    </row>
    <row r="100" spans="1:16" x14ac:dyDescent="0.35">
      <c r="A100" s="45"/>
      <c r="B100" s="408">
        <v>43</v>
      </c>
      <c r="C100" s="393" t="s">
        <v>190</v>
      </c>
      <c r="D100" s="231" t="s">
        <v>34</v>
      </c>
      <c r="E100" s="396"/>
      <c r="F100" s="275"/>
      <c r="G100" s="275"/>
      <c r="H100" s="401"/>
      <c r="I100" s="401"/>
      <c r="J100" s="401"/>
      <c r="K100" s="401"/>
      <c r="L100" s="401"/>
      <c r="M100" s="401"/>
      <c r="N100" s="401"/>
      <c r="O100" s="401"/>
      <c r="P100" s="409">
        <f t="shared" si="1"/>
        <v>0</v>
      </c>
    </row>
    <row r="101" spans="1:16" ht="42" x14ac:dyDescent="0.35">
      <c r="A101" s="45"/>
      <c r="B101" s="408">
        <v>44</v>
      </c>
      <c r="C101" s="393" t="s">
        <v>191</v>
      </c>
      <c r="D101" s="231" t="s">
        <v>34</v>
      </c>
      <c r="E101" s="396"/>
      <c r="F101" s="275"/>
      <c r="G101" s="275"/>
      <c r="H101" s="401"/>
      <c r="I101" s="401"/>
      <c r="J101" s="401"/>
      <c r="K101" s="401"/>
      <c r="L101" s="401"/>
      <c r="M101" s="401"/>
      <c r="N101" s="401"/>
      <c r="O101" s="401"/>
      <c r="P101" s="409">
        <f t="shared" si="1"/>
        <v>0</v>
      </c>
    </row>
    <row r="102" spans="1:16" ht="28" x14ac:dyDescent="0.35">
      <c r="A102" s="45"/>
      <c r="B102" s="408">
        <v>45</v>
      </c>
      <c r="C102" s="393" t="s">
        <v>192</v>
      </c>
      <c r="D102" s="231" t="s">
        <v>34</v>
      </c>
      <c r="E102" s="396"/>
      <c r="F102" s="275"/>
      <c r="G102" s="275"/>
      <c r="H102" s="401"/>
      <c r="I102" s="401"/>
      <c r="J102" s="401"/>
      <c r="K102" s="401"/>
      <c r="L102" s="401"/>
      <c r="M102" s="401"/>
      <c r="N102" s="401"/>
      <c r="O102" s="401"/>
      <c r="P102" s="409">
        <f t="shared" si="1"/>
        <v>0</v>
      </c>
    </row>
    <row r="103" spans="1:16" ht="28" x14ac:dyDescent="0.35">
      <c r="A103" s="45"/>
      <c r="B103" s="408">
        <v>46</v>
      </c>
      <c r="C103" s="393" t="s">
        <v>193</v>
      </c>
      <c r="D103" s="231" t="s">
        <v>34</v>
      </c>
      <c r="E103" s="396"/>
      <c r="F103" s="275"/>
      <c r="G103" s="275"/>
      <c r="H103" s="401"/>
      <c r="I103" s="401"/>
      <c r="J103" s="401"/>
      <c r="K103" s="401"/>
      <c r="L103" s="401"/>
      <c r="M103" s="401"/>
      <c r="N103" s="401"/>
      <c r="O103" s="401"/>
      <c r="P103" s="409">
        <f t="shared" si="1"/>
        <v>0</v>
      </c>
    </row>
    <row r="104" spans="1:16" ht="28" x14ac:dyDescent="0.35">
      <c r="A104" s="45"/>
      <c r="B104" s="408">
        <v>47</v>
      </c>
      <c r="C104" s="393" t="s">
        <v>194</v>
      </c>
      <c r="D104" s="231" t="s">
        <v>34</v>
      </c>
      <c r="E104" s="396"/>
      <c r="F104" s="275"/>
      <c r="G104" s="275"/>
      <c r="H104" s="401"/>
      <c r="I104" s="401"/>
      <c r="J104" s="401"/>
      <c r="K104" s="401"/>
      <c r="L104" s="401"/>
      <c r="M104" s="401"/>
      <c r="N104" s="401"/>
      <c r="O104" s="401"/>
      <c r="P104" s="409">
        <f t="shared" si="1"/>
        <v>0</v>
      </c>
    </row>
    <row r="105" spans="1:16" ht="28" x14ac:dyDescent="0.35">
      <c r="A105" s="45"/>
      <c r="B105" s="408">
        <v>48</v>
      </c>
      <c r="C105" s="393" t="s">
        <v>195</v>
      </c>
      <c r="D105" s="231" t="s">
        <v>34</v>
      </c>
      <c r="E105" s="396"/>
      <c r="F105" s="275"/>
      <c r="G105" s="275"/>
      <c r="H105" s="401"/>
      <c r="I105" s="401"/>
      <c r="J105" s="401"/>
      <c r="K105" s="401"/>
      <c r="L105" s="401"/>
      <c r="M105" s="401"/>
      <c r="N105" s="401"/>
      <c r="O105" s="401"/>
      <c r="P105" s="409">
        <f t="shared" si="1"/>
        <v>0</v>
      </c>
    </row>
    <row r="106" spans="1:16" ht="28" x14ac:dyDescent="0.35">
      <c r="A106" s="45"/>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35">
      <c r="A107" s="45"/>
      <c r="B107" s="410" t="s">
        <v>281</v>
      </c>
      <c r="C107" s="393"/>
      <c r="D107" s="231" t="s">
        <v>254</v>
      </c>
      <c r="E107" s="396"/>
      <c r="F107" s="275"/>
      <c r="G107" s="275"/>
      <c r="H107" s="401"/>
      <c r="I107" s="401"/>
      <c r="J107" s="401"/>
      <c r="K107" s="401"/>
      <c r="L107" s="401"/>
      <c r="M107" s="401"/>
      <c r="N107" s="401"/>
      <c r="O107" s="401"/>
      <c r="P107" s="409"/>
    </row>
    <row r="108" spans="1:16" x14ac:dyDescent="0.35">
      <c r="A108" s="45"/>
      <c r="B108" s="408"/>
      <c r="C108" s="393"/>
      <c r="D108" s="231"/>
      <c r="E108" s="396"/>
      <c r="F108" s="275"/>
      <c r="G108" s="275"/>
      <c r="H108" s="401"/>
      <c r="I108" s="401"/>
      <c r="J108" s="401"/>
      <c r="K108" s="401"/>
      <c r="L108" s="401"/>
      <c r="M108" s="401"/>
      <c r="N108" s="401"/>
      <c r="O108" s="401"/>
      <c r="P108" s="409"/>
    </row>
    <row r="109" spans="1:16" x14ac:dyDescent="0.35">
      <c r="A109" s="45"/>
      <c r="B109" s="408"/>
      <c r="C109" s="393"/>
      <c r="D109" s="231"/>
      <c r="E109" s="396"/>
      <c r="F109" s="275"/>
      <c r="G109" s="275"/>
      <c r="H109" s="401"/>
      <c r="I109" s="401"/>
      <c r="J109" s="401"/>
      <c r="K109" s="401"/>
      <c r="L109" s="401"/>
      <c r="M109" s="401"/>
      <c r="N109" s="401"/>
      <c r="O109" s="401"/>
      <c r="P109" s="409"/>
    </row>
    <row r="110" spans="1:16" x14ac:dyDescent="0.35">
      <c r="A110" s="45"/>
      <c r="B110" s="408"/>
      <c r="C110" s="393"/>
      <c r="D110" s="231"/>
      <c r="E110" s="396"/>
      <c r="F110" s="275"/>
      <c r="G110" s="275"/>
      <c r="H110" s="401"/>
      <c r="I110" s="401"/>
      <c r="J110" s="401"/>
      <c r="K110" s="401"/>
      <c r="L110" s="401"/>
      <c r="M110" s="401"/>
      <c r="N110" s="401"/>
      <c r="O110" s="401"/>
      <c r="P110" s="409"/>
    </row>
    <row r="111" spans="1:16" x14ac:dyDescent="0.35">
      <c r="B111" s="332"/>
      <c r="C111" s="808" t="s">
        <v>222</v>
      </c>
      <c r="D111" s="808"/>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35">
      <c r="B112" s="252"/>
      <c r="C112" s="793" t="s">
        <v>261</v>
      </c>
      <c r="D112" s="793"/>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x14ac:dyDescent="0.35">
      <c r="B113" s="252"/>
      <c r="C113" s="793" t="s">
        <v>262</v>
      </c>
      <c r="D113" s="793"/>
      <c r="E113" s="247"/>
      <c r="F113" s="245"/>
      <c r="G113" s="245"/>
      <c r="H113" s="247"/>
      <c r="I113" s="247"/>
      <c r="J113" s="248">
        <f>J112-(E32*G32*J32)</f>
        <v>0</v>
      </c>
      <c r="K113" s="247">
        <f>K112-(E32*G32*K32)</f>
        <v>0</v>
      </c>
      <c r="L113" s="247"/>
      <c r="M113" s="247"/>
      <c r="N113" s="247"/>
      <c r="O113" s="247"/>
      <c r="P113" s="253"/>
    </row>
    <row r="114" spans="2:16" x14ac:dyDescent="0.35">
      <c r="B114" s="332"/>
      <c r="C114" s="808"/>
      <c r="D114" s="808"/>
      <c r="E114" s="333"/>
      <c r="F114" s="334"/>
      <c r="G114" s="334"/>
      <c r="H114" s="333"/>
      <c r="I114" s="333"/>
      <c r="J114" s="333"/>
      <c r="K114" s="333"/>
      <c r="L114" s="333"/>
      <c r="M114" s="333"/>
      <c r="N114" s="333"/>
      <c r="O114" s="333"/>
      <c r="P114" s="337"/>
    </row>
    <row r="115" spans="2:16" x14ac:dyDescent="0.35">
      <c r="B115" s="254"/>
      <c r="C115" s="239"/>
      <c r="D115" s="240"/>
      <c r="E115" s="240"/>
      <c r="F115" s="238"/>
      <c r="G115" s="238"/>
      <c r="H115" s="240"/>
      <c r="I115" s="240"/>
      <c r="J115" s="240"/>
      <c r="K115" s="240"/>
      <c r="L115" s="240"/>
      <c r="M115" s="240"/>
      <c r="N115" s="240"/>
      <c r="O115" s="240"/>
      <c r="P115" s="255"/>
    </row>
    <row r="116" spans="2:16" x14ac:dyDescent="0.35">
      <c r="B116" s="360"/>
      <c r="C116" s="791" t="s">
        <v>327</v>
      </c>
      <c r="D116" s="791"/>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x14ac:dyDescent="0.35">
      <c r="B117" s="360"/>
      <c r="C117" s="791" t="s">
        <v>282</v>
      </c>
      <c r="D117" s="791"/>
      <c r="E117" s="240"/>
      <c r="F117" s="242"/>
      <c r="G117" s="242"/>
      <c r="H117" s="335"/>
      <c r="I117" s="335"/>
      <c r="J117" s="335"/>
      <c r="K117" s="335"/>
      <c r="L117" s="335"/>
      <c r="M117" s="335"/>
      <c r="N117" s="335"/>
      <c r="O117" s="231"/>
      <c r="P117" s="256">
        <f>SUM(H117:O117)</f>
        <v>0</v>
      </c>
    </row>
    <row r="118" spans="2:16" x14ac:dyDescent="0.35">
      <c r="B118" s="360"/>
      <c r="C118" s="791" t="s">
        <v>283</v>
      </c>
      <c r="D118" s="791"/>
      <c r="E118" s="240"/>
      <c r="F118" s="242"/>
      <c r="G118" s="242"/>
      <c r="H118" s="335"/>
      <c r="I118" s="335"/>
      <c r="J118" s="335"/>
      <c r="K118" s="335"/>
      <c r="L118" s="335"/>
      <c r="M118" s="335"/>
      <c r="N118" s="335"/>
      <c r="O118" s="231"/>
      <c r="P118" s="256">
        <f>SUM(H118:O118)</f>
        <v>0</v>
      </c>
    </row>
    <row r="119" spans="2:16" x14ac:dyDescent="0.35">
      <c r="B119" s="360"/>
      <c r="C119" s="791" t="s">
        <v>284</v>
      </c>
      <c r="D119" s="791"/>
      <c r="E119" s="240"/>
      <c r="F119" s="242"/>
      <c r="G119" s="242"/>
      <c r="H119" s="335"/>
      <c r="I119" s="335"/>
      <c r="J119" s="335"/>
      <c r="K119" s="335"/>
      <c r="L119" s="335"/>
      <c r="M119" s="335"/>
      <c r="N119" s="335"/>
      <c r="O119" s="231"/>
      <c r="P119" s="256">
        <f t="shared" ref="P119" si="2">SUM(H119:O119)</f>
        <v>0</v>
      </c>
    </row>
    <row r="120" spans="2:16" x14ac:dyDescent="0.35">
      <c r="B120" s="360"/>
      <c r="C120" s="791" t="s">
        <v>285</v>
      </c>
      <c r="D120" s="791"/>
      <c r="E120" s="240"/>
      <c r="F120" s="242"/>
      <c r="G120" s="242"/>
      <c r="H120" s="335"/>
      <c r="I120" s="335"/>
      <c r="J120" s="335"/>
      <c r="K120" s="335"/>
      <c r="L120" s="335"/>
      <c r="M120" s="335"/>
      <c r="N120" s="335"/>
      <c r="O120" s="231"/>
      <c r="P120" s="256">
        <f>SUM(H120:O120)</f>
        <v>0</v>
      </c>
    </row>
    <row r="121" spans="2:16" x14ac:dyDescent="0.35">
      <c r="B121" s="360"/>
      <c r="C121" s="791" t="s">
        <v>286</v>
      </c>
      <c r="D121" s="791"/>
      <c r="E121" s="240"/>
      <c r="F121" s="242"/>
      <c r="G121" s="242"/>
      <c r="H121" s="357" t="e">
        <f>'5.  2015 LRAM'!H128*H116</f>
        <v>#DIV/0!</v>
      </c>
      <c r="I121" s="357" t="e">
        <f>'5.  2015 LRAM'!I128*I116</f>
        <v>#DIV/0!</v>
      </c>
      <c r="J121" s="357" t="e">
        <f>'5.  2015 LRAM'!J128*J116</f>
        <v>#DIV/0!</v>
      </c>
      <c r="K121" s="357" t="e">
        <f>'5.  2015 LRAM'!K128*K116</f>
        <v>#DIV/0!</v>
      </c>
      <c r="L121" s="357" t="e">
        <f>'5.  2015 LRAM'!L128*L116</f>
        <v>#DIV/0!</v>
      </c>
      <c r="M121" s="357" t="e">
        <f>'5.  2015 LRAM'!M128*M116</f>
        <v>#DIV/0!</v>
      </c>
      <c r="N121" s="357" t="e">
        <f>'5.  2015 LRAM'!N128*N116</f>
        <v>#DIV/0!</v>
      </c>
      <c r="O121" s="231"/>
      <c r="P121" s="256" t="e">
        <f t="shared" ref="P121:P122" si="3">SUM(H121:O121)</f>
        <v>#DIV/0!</v>
      </c>
    </row>
    <row r="122" spans="2:16" x14ac:dyDescent="0.35">
      <c r="B122" s="360"/>
      <c r="C122" s="791" t="s">
        <v>287</v>
      </c>
      <c r="D122" s="791"/>
      <c r="E122" s="240"/>
      <c r="F122" s="242"/>
      <c r="G122" s="242"/>
      <c r="H122" s="357" t="e">
        <f>'5-b. 2016 LRAM'!H126*H116</f>
        <v>#DIV/0!</v>
      </c>
      <c r="I122" s="357" t="e">
        <f>'5-b. 2016 LRAM'!I126*I116</f>
        <v>#DIV/0!</v>
      </c>
      <c r="J122" s="357" t="e">
        <f>'5-b. 2016 LRAM'!J126*J116</f>
        <v>#DIV/0!</v>
      </c>
      <c r="K122" s="357" t="e">
        <f>'5-b. 2016 LRAM'!K126*K116</f>
        <v>#DIV/0!</v>
      </c>
      <c r="L122" s="357" t="e">
        <f>'5-b. 2016 LRAM'!L126*L116</f>
        <v>#REF!</v>
      </c>
      <c r="M122" s="357" t="e">
        <f>'5-b. 2016 LRAM'!M126*M116</f>
        <v>#REF!</v>
      </c>
      <c r="N122" s="357" t="e">
        <f>'5-b. 2016 LRAM'!N126*N116</f>
        <v>#REF!</v>
      </c>
      <c r="O122" s="231"/>
      <c r="P122" s="256" t="e">
        <f t="shared" si="3"/>
        <v>#DIV/0!</v>
      </c>
    </row>
    <row r="123" spans="2:16" x14ac:dyDescent="0.35">
      <c r="B123" s="360"/>
      <c r="C123" s="791" t="s">
        <v>288</v>
      </c>
      <c r="D123" s="791"/>
      <c r="E123" s="240"/>
      <c r="F123" s="242"/>
      <c r="G123" s="242"/>
      <c r="H123" s="357" t="e">
        <f>'5-c.  2017 LRAM'!H127*H116</f>
        <v>#DIV/0!</v>
      </c>
      <c r="I123" s="357" t="e">
        <f>'5-c.  2017 LRAM'!I127*I116</f>
        <v>#DIV/0!</v>
      </c>
      <c r="J123" s="357" t="e">
        <f>'5-c.  2017 LRAM'!J127*J116</f>
        <v>#DIV/0!</v>
      </c>
      <c r="K123" s="357" t="e">
        <f>'5-c.  2017 LRAM'!K127*K116</f>
        <v>#DIV/0!</v>
      </c>
      <c r="L123" s="357" t="e">
        <f>'5-c.  2017 LRAM'!L127*L116</f>
        <v>#REF!</v>
      </c>
      <c r="M123" s="357" t="e">
        <f>'5-c.  2017 LRAM'!M127*M116</f>
        <v>#REF!</v>
      </c>
      <c r="N123" s="357" t="e">
        <f>'5-c.  2017 LRAM'!N127*N116</f>
        <v>#DIV/0!</v>
      </c>
      <c r="O123" s="231"/>
      <c r="P123" s="256" t="e">
        <f>SUM(H123:O123)</f>
        <v>#DIV/0!</v>
      </c>
    </row>
    <row r="124" spans="2:16" x14ac:dyDescent="0.35">
      <c r="B124" s="360"/>
      <c r="C124" s="791" t="s">
        <v>289</v>
      </c>
      <c r="D124" s="791"/>
      <c r="E124" s="240"/>
      <c r="F124" s="242"/>
      <c r="G124" s="242"/>
      <c r="H124" s="357" t="e">
        <f>H111*H116</f>
        <v>#REF!</v>
      </c>
      <c r="I124" s="357" t="e">
        <f>I111*I116</f>
        <v>#REF!</v>
      </c>
      <c r="J124" s="357" t="e">
        <f>J112*J116</f>
        <v>#REF!</v>
      </c>
      <c r="K124" s="357" t="e">
        <f>K112*K116</f>
        <v>#REF!</v>
      </c>
      <c r="L124" s="357" t="e">
        <f>L112*L116</f>
        <v>#REF!</v>
      </c>
      <c r="M124" s="357" t="e">
        <f>M112*M116</f>
        <v>#REF!</v>
      </c>
      <c r="N124" s="357" t="e">
        <f>N111*N116</f>
        <v>#REF!</v>
      </c>
      <c r="O124" s="231"/>
      <c r="P124" s="256" t="e">
        <f>SUM(H124:O124)</f>
        <v>#REF!</v>
      </c>
    </row>
    <row r="125" spans="2:16" x14ac:dyDescent="0.35">
      <c r="B125" s="254"/>
      <c r="C125" s="358" t="s">
        <v>290</v>
      </c>
      <c r="D125" s="240"/>
      <c r="E125" s="240"/>
      <c r="F125" s="238"/>
      <c r="G125" s="238"/>
      <c r="H125" s="244" t="e">
        <f t="shared" ref="H125:N125" si="4">SUM(H117:H124)</f>
        <v>#DIV/0!</v>
      </c>
      <c r="I125" s="244" t="e">
        <f t="shared" si="4"/>
        <v>#DIV/0!</v>
      </c>
      <c r="J125" s="244" t="e">
        <f>SUM(J117:J124)</f>
        <v>#DIV/0!</v>
      </c>
      <c r="K125" s="244" t="e">
        <f t="shared" si="4"/>
        <v>#DIV/0!</v>
      </c>
      <c r="L125" s="244" t="e">
        <f t="shared" si="4"/>
        <v>#DIV/0!</v>
      </c>
      <c r="M125" s="244" t="e">
        <f t="shared" si="4"/>
        <v>#DIV/0!</v>
      </c>
      <c r="N125" s="244" t="e">
        <f t="shared" si="4"/>
        <v>#DIV/0!</v>
      </c>
      <c r="O125" s="240"/>
      <c r="P125" s="257" t="e">
        <f>SUM(P117:P124)</f>
        <v>#DIV/0!</v>
      </c>
    </row>
    <row r="126" spans="2:16" x14ac:dyDescent="0.35">
      <c r="B126" s="254"/>
      <c r="C126" s="358"/>
      <c r="D126" s="240"/>
      <c r="E126" s="240"/>
      <c r="F126" s="238"/>
      <c r="G126" s="238"/>
      <c r="H126" s="244"/>
      <c r="I126" s="244"/>
      <c r="J126" s="244"/>
      <c r="K126" s="244"/>
      <c r="L126" s="244"/>
      <c r="M126" s="244"/>
      <c r="N126" s="244"/>
      <c r="O126" s="240"/>
      <c r="P126" s="257"/>
    </row>
    <row r="127" spans="2:16" x14ac:dyDescent="0.35">
      <c r="B127" s="402"/>
      <c r="C127" s="791" t="s">
        <v>291</v>
      </c>
      <c r="D127" s="791"/>
      <c r="E127" s="394"/>
      <c r="F127" s="142"/>
      <c r="G127" s="142"/>
      <c r="H127" s="275" t="e">
        <f>$H$111*'6.  Persistence Rates'!$H$47</f>
        <v>#DIV/0!</v>
      </c>
      <c r="I127" s="275" t="e">
        <f>$H$111*'6.  Persistence Rates'!$H$47</f>
        <v>#DIV/0!</v>
      </c>
      <c r="J127" s="275" t="e">
        <f>J112*'6.  Persistence Rates'!$U$47</f>
        <v>#DIV/0!</v>
      </c>
      <c r="K127" s="275" t="e">
        <f>K112*'6.  Persistence Rates'!$U$47</f>
        <v>#DIV/0!</v>
      </c>
      <c r="L127" s="275" t="e">
        <f>L112*'6.  Persistence Rates'!$R$44</f>
        <v>#DIV/0!</v>
      </c>
      <c r="M127" s="275" t="e">
        <f>M112*'6.  Persistence Rates'!$R$44</f>
        <v>#DIV/0!</v>
      </c>
      <c r="N127" s="275" t="e">
        <f>N111*'6.  Persistence Rates'!$E$44</f>
        <v>#DIV/0!</v>
      </c>
      <c r="O127" s="142"/>
      <c r="P127" s="329"/>
    </row>
    <row r="128" spans="2:16" x14ac:dyDescent="0.35">
      <c r="B128" s="403"/>
      <c r="C128" s="792" t="s">
        <v>292</v>
      </c>
      <c r="D128" s="792"/>
      <c r="E128" s="404"/>
      <c r="F128" s="309"/>
      <c r="G128" s="309"/>
      <c r="H128" s="275" t="e">
        <f>H111*'6.  Persistence Rates'!$I$47</f>
        <v>#DIV/0!</v>
      </c>
      <c r="I128" s="275" t="e">
        <f>I111*'6.  Persistence Rates'!$I$47</f>
        <v>#DIV/0!</v>
      </c>
      <c r="J128" s="275" t="e">
        <f>$J$113*'6.  Persistence Rates'!$V$47</f>
        <v>#DIV/0!</v>
      </c>
      <c r="K128" s="275" t="e">
        <f>$K$113*'6.  Persistence Rates'!$V$47</f>
        <v>#DIV/0!</v>
      </c>
      <c r="L128" s="275"/>
      <c r="M128" s="275"/>
      <c r="N128" s="275" t="e">
        <f>N111*'6.  Persistence Rates'!$I$47</f>
        <v>#DIV/0!</v>
      </c>
      <c r="O128" s="309"/>
      <c r="P128" s="379"/>
    </row>
  </sheetData>
  <mergeCells count="35">
    <mergeCell ref="E4:P4"/>
    <mergeCell ref="E9:F9"/>
    <mergeCell ref="E10:F10"/>
    <mergeCell ref="C13:C14"/>
    <mergeCell ref="B13:B14"/>
    <mergeCell ref="E13:E14"/>
    <mergeCell ref="C113:D113"/>
    <mergeCell ref="B15:P15"/>
    <mergeCell ref="B16:P16"/>
    <mergeCell ref="B62:P62"/>
    <mergeCell ref="B27:P27"/>
    <mergeCell ref="B84:P84"/>
    <mergeCell ref="B51:P51"/>
    <mergeCell ref="C111:D111"/>
    <mergeCell ref="B92:P92"/>
    <mergeCell ref="B71:P71"/>
    <mergeCell ref="B37:P37"/>
    <mergeCell ref="B45:P45"/>
    <mergeCell ref="B60:P60"/>
    <mergeCell ref="B2:P2"/>
    <mergeCell ref="C128:D128"/>
    <mergeCell ref="C124:D124"/>
    <mergeCell ref="D13:D14"/>
    <mergeCell ref="C122:D122"/>
    <mergeCell ref="C123:D123"/>
    <mergeCell ref="C127:D127"/>
    <mergeCell ref="C121:D121"/>
    <mergeCell ref="C116:D116"/>
    <mergeCell ref="C117:D117"/>
    <mergeCell ref="C118:D118"/>
    <mergeCell ref="C119:D119"/>
    <mergeCell ref="C120:D120"/>
    <mergeCell ref="C112:D112"/>
    <mergeCell ref="H13:P13"/>
    <mergeCell ref="C114:D114"/>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2:R128"/>
  <sheetViews>
    <sheetView zoomScale="90" zoomScaleNormal="90" workbookViewId="0">
      <pane ySplit="14" topLeftCell="A15" activePane="bottomLeft" state="frozen"/>
      <selection pane="bottomLeft" activeCell="B13" sqref="B13:B14"/>
    </sheetView>
  </sheetViews>
  <sheetFormatPr defaultColWidth="9.08984375" defaultRowHeight="14.5" outlineLevelRow="1" x14ac:dyDescent="0.35"/>
  <cols>
    <col min="1" max="1" width="6.54296875" style="62" customWidth="1"/>
    <col min="2" max="2" width="5.08984375" style="62" customWidth="1"/>
    <col min="3" max="3" width="44.36328125" style="419" customWidth="1"/>
    <col min="4" max="4" width="12.36328125" style="420" customWidth="1"/>
    <col min="5" max="5" width="13.36328125" style="420" customWidth="1"/>
    <col min="6" max="7" width="19.453125" style="62" customWidth="1"/>
    <col min="8" max="14" width="12.6328125" style="62" customWidth="1"/>
    <col min="15" max="15" width="8.08984375" style="62" customWidth="1"/>
    <col min="16" max="16" width="11.36328125" style="62" customWidth="1"/>
    <col min="17" max="17" width="13.08984375" style="62" customWidth="1"/>
    <col min="18" max="16384" width="9.08984375" style="62"/>
  </cols>
  <sheetData>
    <row r="2" spans="1:18" ht="18.75" customHeight="1" x14ac:dyDescent="0.4">
      <c r="B2" s="857" t="s">
        <v>293</v>
      </c>
      <c r="C2" s="857"/>
      <c r="D2" s="857"/>
      <c r="E2" s="857"/>
      <c r="F2" s="857"/>
      <c r="G2" s="857"/>
      <c r="H2" s="857"/>
      <c r="I2" s="857"/>
      <c r="J2" s="857"/>
      <c r="K2" s="857"/>
      <c r="L2" s="857"/>
      <c r="M2" s="857"/>
      <c r="N2" s="857"/>
      <c r="O2" s="857"/>
      <c r="P2" s="857"/>
    </row>
    <row r="3" spans="1:18" ht="18.5" outlineLevel="1" x14ac:dyDescent="0.45">
      <c r="B3" s="422"/>
      <c r="C3" s="422"/>
      <c r="D3" s="422"/>
      <c r="E3" s="422"/>
      <c r="F3" s="422"/>
      <c r="G3" s="422"/>
      <c r="H3" s="422"/>
      <c r="I3" s="422"/>
      <c r="J3" s="422"/>
      <c r="K3" s="422"/>
      <c r="L3" s="422"/>
      <c r="M3" s="422"/>
      <c r="N3" s="422"/>
      <c r="O3" s="422"/>
      <c r="P3" s="422"/>
    </row>
    <row r="4" spans="1:18" ht="35.25" customHeight="1" outlineLevel="1" x14ac:dyDescent="0.45">
      <c r="A4" s="315"/>
      <c r="B4" s="422"/>
      <c r="C4" s="348" t="s">
        <v>377</v>
      </c>
      <c r="D4" s="423"/>
      <c r="E4" s="858" t="s">
        <v>365</v>
      </c>
      <c r="F4" s="858"/>
      <c r="G4" s="858"/>
      <c r="H4" s="858"/>
      <c r="I4" s="858"/>
      <c r="J4" s="858"/>
      <c r="K4" s="858"/>
      <c r="L4" s="858"/>
      <c r="M4" s="858"/>
      <c r="N4" s="858"/>
      <c r="O4" s="858"/>
      <c r="P4" s="858"/>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8"/>
      <c r="D8" s="422"/>
      <c r="E8" s="153"/>
      <c r="F8" s="422"/>
      <c r="G8" s="422"/>
      <c r="H8" s="422"/>
      <c r="I8" s="422"/>
      <c r="J8" s="422"/>
      <c r="K8" s="422"/>
      <c r="L8" s="422"/>
      <c r="M8" s="422"/>
      <c r="N8" s="422"/>
      <c r="O8" s="422"/>
      <c r="P8" s="422"/>
    </row>
    <row r="9" spans="1:18" ht="18.75" customHeight="1" outlineLevel="1" x14ac:dyDescent="0.45">
      <c r="B9" s="422"/>
      <c r="C9" s="216" t="s">
        <v>337</v>
      </c>
      <c r="D9" s="422"/>
      <c r="E9" s="829" t="s">
        <v>366</v>
      </c>
      <c r="F9" s="829"/>
      <c r="G9" s="422"/>
      <c r="H9" s="422"/>
      <c r="I9" s="422"/>
      <c r="J9" s="422"/>
      <c r="K9" s="422"/>
      <c r="L9" s="422"/>
      <c r="M9" s="422"/>
      <c r="N9" s="422"/>
      <c r="O9" s="422"/>
      <c r="P9" s="422"/>
      <c r="R9" s="76"/>
    </row>
    <row r="10" spans="1:18" ht="18.75" customHeight="1" outlineLevel="1" x14ac:dyDescent="0.45">
      <c r="B10" s="422"/>
      <c r="C10" s="422"/>
      <c r="D10" s="422"/>
      <c r="E10" s="830" t="s">
        <v>338</v>
      </c>
      <c r="F10" s="830"/>
      <c r="G10" s="422"/>
      <c r="H10" s="422"/>
      <c r="I10" s="422"/>
      <c r="J10" s="422"/>
      <c r="K10" s="422"/>
      <c r="L10" s="422"/>
      <c r="M10" s="422"/>
      <c r="N10" s="422"/>
      <c r="O10" s="422"/>
      <c r="P10" s="422"/>
    </row>
    <row r="11" spans="1:18" x14ac:dyDescent="0.35">
      <c r="A11" s="429"/>
      <c r="C11" s="426"/>
      <c r="D11" s="427"/>
      <c r="E11" s="427"/>
    </row>
    <row r="12" spans="1:18" ht="15.5" x14ac:dyDescent="0.35">
      <c r="A12" s="429"/>
      <c r="B12" s="425" t="s">
        <v>456</v>
      </c>
      <c r="C12" s="426"/>
      <c r="D12" s="427"/>
      <c r="E12" s="427"/>
    </row>
    <row r="13" spans="1:18" ht="42" x14ac:dyDescent="0.35">
      <c r="A13" s="429"/>
      <c r="B13" s="813" t="s">
        <v>54</v>
      </c>
      <c r="C13" s="814" t="s">
        <v>0</v>
      </c>
      <c r="D13" s="814" t="s">
        <v>45</v>
      </c>
      <c r="E13" s="814" t="s">
        <v>201</v>
      </c>
      <c r="F13" s="219" t="s">
        <v>198</v>
      </c>
      <c r="G13" s="219" t="s">
        <v>46</v>
      </c>
      <c r="H13" s="853" t="s">
        <v>55</v>
      </c>
      <c r="I13" s="853"/>
      <c r="J13" s="853"/>
      <c r="K13" s="853"/>
      <c r="L13" s="853"/>
      <c r="M13" s="853"/>
      <c r="N13" s="853"/>
      <c r="O13" s="853"/>
      <c r="P13" s="854"/>
    </row>
    <row r="14" spans="1:18" ht="56" x14ac:dyDescent="0.35">
      <c r="A14" s="429"/>
      <c r="B14" s="827"/>
      <c r="C14" s="828"/>
      <c r="D14" s="828"/>
      <c r="E14" s="828"/>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42" t="s">
        <v>139</v>
      </c>
      <c r="C15" s="843"/>
      <c r="D15" s="843"/>
      <c r="E15" s="843"/>
      <c r="F15" s="843"/>
      <c r="G15" s="843"/>
      <c r="H15" s="843"/>
      <c r="I15" s="843"/>
      <c r="J15" s="843"/>
      <c r="K15" s="843"/>
      <c r="L15" s="843"/>
      <c r="M15" s="843"/>
      <c r="N15" s="843"/>
      <c r="O15" s="843"/>
      <c r="P15" s="844"/>
    </row>
    <row r="16" spans="1:18" ht="26.25" customHeight="1" x14ac:dyDescent="0.35">
      <c r="A16" s="430"/>
      <c r="B16" s="834" t="s">
        <v>140</v>
      </c>
      <c r="C16" s="835"/>
      <c r="D16" s="835"/>
      <c r="E16" s="835"/>
      <c r="F16" s="835"/>
      <c r="G16" s="835"/>
      <c r="H16" s="835"/>
      <c r="I16" s="835"/>
      <c r="J16" s="835"/>
      <c r="K16" s="835"/>
      <c r="L16" s="835"/>
      <c r="M16" s="835"/>
      <c r="N16" s="835"/>
      <c r="O16" s="835"/>
      <c r="P16" s="836"/>
    </row>
    <row r="17" spans="1:16" x14ac:dyDescent="0.35">
      <c r="A17" s="430"/>
      <c r="B17" s="408">
        <v>1</v>
      </c>
      <c r="C17" s="393" t="s">
        <v>141</v>
      </c>
      <c r="D17" s="231" t="s">
        <v>34</v>
      </c>
      <c r="E17" s="394"/>
      <c r="F17" s="275"/>
      <c r="G17" s="275"/>
      <c r="H17" s="405">
        <v>1</v>
      </c>
      <c r="I17" s="395"/>
      <c r="J17" s="395"/>
      <c r="K17" s="395"/>
      <c r="L17" s="395"/>
      <c r="M17" s="395"/>
      <c r="N17" s="395"/>
      <c r="O17" s="395"/>
      <c r="P17" s="409">
        <f>SUM(H17:O17)</f>
        <v>1</v>
      </c>
    </row>
    <row r="18" spans="1:16" x14ac:dyDescent="0.35">
      <c r="A18" s="35"/>
      <c r="B18" s="408">
        <v>2</v>
      </c>
      <c r="C18" s="393" t="s">
        <v>142</v>
      </c>
      <c r="D18" s="231" t="s">
        <v>34</v>
      </c>
      <c r="E18" s="396"/>
      <c r="F18" s="275"/>
      <c r="G18" s="275"/>
      <c r="H18" s="405">
        <v>1</v>
      </c>
      <c r="I18" s="395"/>
      <c r="J18" s="395"/>
      <c r="K18" s="395"/>
      <c r="L18" s="395"/>
      <c r="M18" s="395"/>
      <c r="N18" s="395"/>
      <c r="O18" s="395"/>
      <c r="P18" s="409">
        <f t="shared" ref="P18:P79" si="0">SUM(H18:O18)</f>
        <v>1</v>
      </c>
    </row>
    <row r="19" spans="1:16" x14ac:dyDescent="0.35">
      <c r="A19" s="430"/>
      <c r="B19" s="408">
        <v>3</v>
      </c>
      <c r="C19" s="393" t="s">
        <v>143</v>
      </c>
      <c r="D19" s="231" t="s">
        <v>34</v>
      </c>
      <c r="E19" s="396"/>
      <c r="F19" s="275"/>
      <c r="G19" s="275"/>
      <c r="H19" s="405">
        <v>1</v>
      </c>
      <c r="I19" s="395"/>
      <c r="J19" s="395"/>
      <c r="K19" s="395"/>
      <c r="L19" s="395"/>
      <c r="M19" s="395"/>
      <c r="N19" s="395"/>
      <c r="O19" s="395"/>
      <c r="P19" s="409">
        <f t="shared" si="0"/>
        <v>1</v>
      </c>
    </row>
    <row r="20" spans="1:16" x14ac:dyDescent="0.35">
      <c r="A20" s="430"/>
      <c r="B20" s="408">
        <v>4</v>
      </c>
      <c r="C20" s="393" t="s">
        <v>144</v>
      </c>
      <c r="D20" s="231" t="s">
        <v>34</v>
      </c>
      <c r="E20" s="396"/>
      <c r="F20" s="275"/>
      <c r="G20" s="275"/>
      <c r="H20" s="405">
        <v>1</v>
      </c>
      <c r="I20" s="395"/>
      <c r="J20" s="395"/>
      <c r="K20" s="395"/>
      <c r="L20" s="395"/>
      <c r="M20" s="395"/>
      <c r="N20" s="395"/>
      <c r="O20" s="395"/>
      <c r="P20" s="409">
        <f t="shared" si="0"/>
        <v>1</v>
      </c>
    </row>
    <row r="21" spans="1:16" x14ac:dyDescent="0.35">
      <c r="A21" s="430"/>
      <c r="B21" s="408">
        <v>5</v>
      </c>
      <c r="C21" s="393" t="s">
        <v>145</v>
      </c>
      <c r="D21" s="231" t="s">
        <v>34</v>
      </c>
      <c r="E21" s="396"/>
      <c r="F21" s="275"/>
      <c r="G21" s="275"/>
      <c r="H21" s="405">
        <v>1</v>
      </c>
      <c r="I21" s="395"/>
      <c r="J21" s="395"/>
      <c r="K21" s="395"/>
      <c r="L21" s="395"/>
      <c r="M21" s="395"/>
      <c r="N21" s="395"/>
      <c r="O21" s="395"/>
      <c r="P21" s="409">
        <f t="shared" si="0"/>
        <v>1</v>
      </c>
    </row>
    <row r="22" spans="1:16" ht="28" x14ac:dyDescent="0.35">
      <c r="A22" s="430"/>
      <c r="B22" s="408">
        <v>6</v>
      </c>
      <c r="C22" s="393" t="s">
        <v>146</v>
      </c>
      <c r="D22" s="231" t="s">
        <v>34</v>
      </c>
      <c r="E22" s="396"/>
      <c r="F22" s="275"/>
      <c r="G22" s="275"/>
      <c r="H22" s="405">
        <v>1</v>
      </c>
      <c r="I22" s="395"/>
      <c r="J22" s="395"/>
      <c r="K22" s="395"/>
      <c r="L22" s="395"/>
      <c r="M22" s="395"/>
      <c r="N22" s="395"/>
      <c r="O22" s="395"/>
      <c r="P22" s="409">
        <f t="shared" si="0"/>
        <v>1</v>
      </c>
    </row>
    <row r="23" spans="1:16" x14ac:dyDescent="0.35">
      <c r="A23" s="430"/>
      <c r="B23" s="410" t="s">
        <v>294</v>
      </c>
      <c r="C23" s="393"/>
      <c r="D23" s="231" t="s">
        <v>254</v>
      </c>
      <c r="E23" s="396"/>
      <c r="F23" s="275"/>
      <c r="G23" s="275"/>
      <c r="H23" s="405"/>
      <c r="I23" s="395"/>
      <c r="J23" s="395"/>
      <c r="K23" s="395"/>
      <c r="L23" s="395"/>
      <c r="M23" s="395"/>
      <c r="N23" s="395"/>
      <c r="O23" s="395"/>
      <c r="P23" s="409">
        <f t="shared" si="0"/>
        <v>0</v>
      </c>
    </row>
    <row r="24" spans="1:16" x14ac:dyDescent="0.35">
      <c r="A24" s="430"/>
      <c r="B24" s="408"/>
      <c r="C24" s="393"/>
      <c r="D24" s="231"/>
      <c r="E24" s="396"/>
      <c r="F24" s="275"/>
      <c r="G24" s="275"/>
      <c r="H24" s="405"/>
      <c r="I24" s="395"/>
      <c r="J24" s="395"/>
      <c r="K24" s="395"/>
      <c r="L24" s="395"/>
      <c r="M24" s="395"/>
      <c r="N24" s="395"/>
      <c r="O24" s="395"/>
      <c r="P24" s="409">
        <f t="shared" si="0"/>
        <v>0</v>
      </c>
    </row>
    <row r="25" spans="1:16" x14ac:dyDescent="0.35">
      <c r="A25" s="430"/>
      <c r="B25" s="408"/>
      <c r="C25" s="393"/>
      <c r="D25" s="231"/>
      <c r="E25" s="396"/>
      <c r="F25" s="275"/>
      <c r="G25" s="275"/>
      <c r="H25" s="405"/>
      <c r="I25" s="395"/>
      <c r="J25" s="395"/>
      <c r="K25" s="395"/>
      <c r="L25" s="395"/>
      <c r="M25" s="395"/>
      <c r="N25" s="395"/>
      <c r="O25" s="395"/>
      <c r="P25" s="409">
        <f t="shared" si="0"/>
        <v>0</v>
      </c>
    </row>
    <row r="26" spans="1:16" x14ac:dyDescent="0.35">
      <c r="A26" s="430"/>
      <c r="B26" s="408"/>
      <c r="C26" s="393"/>
      <c r="D26" s="231"/>
      <c r="E26" s="396"/>
      <c r="F26" s="275"/>
      <c r="G26" s="275"/>
      <c r="H26" s="405"/>
      <c r="I26" s="395"/>
      <c r="J26" s="395"/>
      <c r="K26" s="395"/>
      <c r="L26" s="395"/>
      <c r="M26" s="395"/>
      <c r="N26" s="395"/>
      <c r="O26" s="395"/>
      <c r="P26" s="409">
        <f t="shared" si="0"/>
        <v>0</v>
      </c>
    </row>
    <row r="27" spans="1:16" ht="25.5" customHeight="1" x14ac:dyDescent="0.35">
      <c r="A27" s="430"/>
      <c r="B27" s="834" t="s">
        <v>147</v>
      </c>
      <c r="C27" s="835"/>
      <c r="D27" s="835"/>
      <c r="E27" s="835"/>
      <c r="F27" s="835"/>
      <c r="G27" s="835"/>
      <c r="H27" s="835"/>
      <c r="I27" s="835"/>
      <c r="J27" s="835"/>
      <c r="K27" s="835"/>
      <c r="L27" s="835"/>
      <c r="M27" s="835"/>
      <c r="N27" s="835"/>
      <c r="O27" s="835"/>
      <c r="P27" s="836"/>
    </row>
    <row r="28" spans="1:16" x14ac:dyDescent="0.35">
      <c r="A28" s="430"/>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8" x14ac:dyDescent="0.35">
      <c r="A29" s="430"/>
      <c r="B29" s="408">
        <v>8</v>
      </c>
      <c r="C29" s="393" t="s">
        <v>149</v>
      </c>
      <c r="D29" s="231" t="s">
        <v>34</v>
      </c>
      <c r="E29" s="396">
        <v>12</v>
      </c>
      <c r="F29" s="275"/>
      <c r="G29" s="275"/>
      <c r="H29" s="395"/>
      <c r="I29" s="405">
        <v>0.8</v>
      </c>
      <c r="J29" s="405">
        <v>0.2</v>
      </c>
      <c r="K29" s="395"/>
      <c r="L29" s="395"/>
      <c r="M29" s="395"/>
      <c r="N29" s="395"/>
      <c r="O29" s="395"/>
      <c r="P29" s="409">
        <f t="shared" si="0"/>
        <v>1</v>
      </c>
    </row>
    <row r="30" spans="1:16" x14ac:dyDescent="0.35">
      <c r="A30" s="430"/>
      <c r="B30" s="408">
        <v>9</v>
      </c>
      <c r="C30" s="393" t="s">
        <v>150</v>
      </c>
      <c r="D30" s="231" t="s">
        <v>34</v>
      </c>
      <c r="E30" s="396">
        <v>12</v>
      </c>
      <c r="F30" s="275"/>
      <c r="G30" s="275"/>
      <c r="H30" s="395"/>
      <c r="I30" s="405">
        <v>0.5</v>
      </c>
      <c r="J30" s="405">
        <v>0.5</v>
      </c>
      <c r="K30" s="395"/>
      <c r="L30" s="395"/>
      <c r="M30" s="395"/>
      <c r="N30" s="395"/>
      <c r="O30" s="395"/>
      <c r="P30" s="409">
        <f t="shared" si="0"/>
        <v>1</v>
      </c>
    </row>
    <row r="31" spans="1:16" ht="28" x14ac:dyDescent="0.35">
      <c r="A31" s="430"/>
      <c r="B31" s="408">
        <v>10</v>
      </c>
      <c r="C31" s="393" t="s">
        <v>151</v>
      </c>
      <c r="D31" s="231" t="s">
        <v>34</v>
      </c>
      <c r="E31" s="396">
        <v>12</v>
      </c>
      <c r="F31" s="275"/>
      <c r="G31" s="275"/>
      <c r="H31" s="395"/>
      <c r="I31" s="405">
        <v>1</v>
      </c>
      <c r="J31" s="395"/>
      <c r="K31" s="395"/>
      <c r="L31" s="395"/>
      <c r="M31" s="395"/>
      <c r="N31" s="395"/>
      <c r="O31" s="395"/>
      <c r="P31" s="409">
        <f t="shared" si="0"/>
        <v>1</v>
      </c>
    </row>
    <row r="32" spans="1:16" ht="28" x14ac:dyDescent="0.35">
      <c r="A32" s="430"/>
      <c r="B32" s="408">
        <v>11</v>
      </c>
      <c r="C32" s="393" t="s">
        <v>152</v>
      </c>
      <c r="D32" s="231" t="s">
        <v>34</v>
      </c>
      <c r="E32" s="396">
        <v>3</v>
      </c>
      <c r="F32" s="275"/>
      <c r="G32" s="275"/>
      <c r="H32" s="395"/>
      <c r="I32" s="395"/>
      <c r="J32" s="405">
        <v>1</v>
      </c>
      <c r="K32" s="395"/>
      <c r="L32" s="395"/>
      <c r="M32" s="395"/>
      <c r="N32" s="395"/>
      <c r="O32" s="395"/>
      <c r="P32" s="409">
        <f t="shared" si="0"/>
        <v>1</v>
      </c>
    </row>
    <row r="33" spans="1:16" x14ac:dyDescent="0.35">
      <c r="A33" s="430"/>
      <c r="B33" s="410" t="s">
        <v>294</v>
      </c>
      <c r="C33" s="393"/>
      <c r="D33" s="231" t="s">
        <v>254</v>
      </c>
      <c r="E33" s="396"/>
      <c r="F33" s="275"/>
      <c r="G33" s="275"/>
      <c r="H33" s="395"/>
      <c r="I33" s="395"/>
      <c r="J33" s="395"/>
      <c r="K33" s="395"/>
      <c r="L33" s="395"/>
      <c r="M33" s="395"/>
      <c r="N33" s="395"/>
      <c r="O33" s="395"/>
      <c r="P33" s="409">
        <f t="shared" si="0"/>
        <v>0</v>
      </c>
    </row>
    <row r="34" spans="1:16" x14ac:dyDescent="0.35">
      <c r="A34" s="430"/>
      <c r="B34" s="408"/>
      <c r="C34" s="393"/>
      <c r="D34" s="231"/>
      <c r="E34" s="396"/>
      <c r="F34" s="275"/>
      <c r="G34" s="275"/>
      <c r="H34" s="395"/>
      <c r="I34" s="395"/>
      <c r="J34" s="395"/>
      <c r="K34" s="395"/>
      <c r="L34" s="395"/>
      <c r="M34" s="395"/>
      <c r="N34" s="395"/>
      <c r="O34" s="395"/>
      <c r="P34" s="409">
        <f t="shared" si="0"/>
        <v>0</v>
      </c>
    </row>
    <row r="35" spans="1:16" x14ac:dyDescent="0.35">
      <c r="A35" s="430"/>
      <c r="B35" s="408"/>
      <c r="C35" s="393"/>
      <c r="D35" s="231"/>
      <c r="E35" s="396"/>
      <c r="F35" s="275"/>
      <c r="G35" s="275"/>
      <c r="H35" s="395"/>
      <c r="I35" s="395"/>
      <c r="J35" s="395"/>
      <c r="K35" s="395"/>
      <c r="L35" s="395"/>
      <c r="M35" s="395"/>
      <c r="N35" s="395"/>
      <c r="O35" s="395"/>
      <c r="P35" s="409">
        <f t="shared" si="0"/>
        <v>0</v>
      </c>
    </row>
    <row r="36" spans="1:16" x14ac:dyDescent="0.35">
      <c r="A36" s="430"/>
      <c r="B36" s="408"/>
      <c r="C36" s="393"/>
      <c r="D36" s="231"/>
      <c r="E36" s="396"/>
      <c r="F36" s="275"/>
      <c r="G36" s="275"/>
      <c r="H36" s="395"/>
      <c r="I36" s="395"/>
      <c r="J36" s="395"/>
      <c r="K36" s="395"/>
      <c r="L36" s="395"/>
      <c r="M36" s="395"/>
      <c r="N36" s="395"/>
      <c r="O36" s="395"/>
      <c r="P36" s="409">
        <f t="shared" si="0"/>
        <v>0</v>
      </c>
    </row>
    <row r="37" spans="1:16" ht="26.25" customHeight="1" x14ac:dyDescent="0.35">
      <c r="A37" s="430"/>
      <c r="B37" s="834" t="s">
        <v>11</v>
      </c>
      <c r="C37" s="835"/>
      <c r="D37" s="835"/>
      <c r="E37" s="835"/>
      <c r="F37" s="835"/>
      <c r="G37" s="835"/>
      <c r="H37" s="835"/>
      <c r="I37" s="835"/>
      <c r="J37" s="835"/>
      <c r="K37" s="835"/>
      <c r="L37" s="835"/>
      <c r="M37" s="835"/>
      <c r="N37" s="835"/>
      <c r="O37" s="835"/>
      <c r="P37" s="836"/>
    </row>
    <row r="38" spans="1:16" ht="28" x14ac:dyDescent="0.35">
      <c r="A38" s="430"/>
      <c r="B38" s="408">
        <v>12</v>
      </c>
      <c r="C38" s="393" t="s">
        <v>153</v>
      </c>
      <c r="D38" s="231" t="s">
        <v>34</v>
      </c>
      <c r="E38" s="396">
        <v>12</v>
      </c>
      <c r="F38" s="275"/>
      <c r="G38" s="275"/>
      <c r="H38" s="395"/>
      <c r="I38" s="395"/>
      <c r="J38" s="405">
        <v>1</v>
      </c>
      <c r="K38" s="395"/>
      <c r="L38" s="395"/>
      <c r="M38" s="395"/>
      <c r="N38" s="395"/>
      <c r="O38" s="395"/>
      <c r="P38" s="409">
        <f t="shared" si="0"/>
        <v>1</v>
      </c>
    </row>
    <row r="39" spans="1:16" ht="28" x14ac:dyDescent="0.35">
      <c r="A39" s="430"/>
      <c r="B39" s="408">
        <v>13</v>
      </c>
      <c r="C39" s="393" t="s">
        <v>154</v>
      </c>
      <c r="D39" s="231" t="s">
        <v>34</v>
      </c>
      <c r="E39" s="396">
        <v>12</v>
      </c>
      <c r="F39" s="275"/>
      <c r="G39" s="275"/>
      <c r="H39" s="395"/>
      <c r="I39" s="395"/>
      <c r="J39" s="405">
        <v>1</v>
      </c>
      <c r="K39" s="395"/>
      <c r="L39" s="395"/>
      <c r="M39" s="395"/>
      <c r="N39" s="395"/>
      <c r="O39" s="395"/>
      <c r="P39" s="409">
        <f t="shared" si="0"/>
        <v>1</v>
      </c>
    </row>
    <row r="40" spans="1:16" ht="28" x14ac:dyDescent="0.35">
      <c r="A40" s="430"/>
      <c r="B40" s="408">
        <v>14</v>
      </c>
      <c r="C40" s="393" t="s">
        <v>155</v>
      </c>
      <c r="D40" s="231" t="s">
        <v>34</v>
      </c>
      <c r="E40" s="396">
        <v>12</v>
      </c>
      <c r="F40" s="275"/>
      <c r="G40" s="275"/>
      <c r="H40" s="395"/>
      <c r="I40" s="395"/>
      <c r="J40" s="405">
        <v>1</v>
      </c>
      <c r="K40" s="395"/>
      <c r="L40" s="395"/>
      <c r="M40" s="395"/>
      <c r="N40" s="395"/>
      <c r="O40" s="395"/>
      <c r="P40" s="409">
        <f t="shared" si="0"/>
        <v>1</v>
      </c>
    </row>
    <row r="41" spans="1:16" x14ac:dyDescent="0.35">
      <c r="A41" s="430"/>
      <c r="B41" s="410" t="s">
        <v>294</v>
      </c>
      <c r="C41" s="393"/>
      <c r="D41" s="231" t="s">
        <v>254</v>
      </c>
      <c r="E41" s="396"/>
      <c r="F41" s="275"/>
      <c r="G41" s="275"/>
      <c r="H41" s="395"/>
      <c r="I41" s="395"/>
      <c r="J41" s="395"/>
      <c r="K41" s="395"/>
      <c r="L41" s="395"/>
      <c r="M41" s="395"/>
      <c r="N41" s="395"/>
      <c r="O41" s="395"/>
      <c r="P41" s="409">
        <f t="shared" si="0"/>
        <v>0</v>
      </c>
    </row>
    <row r="42" spans="1:16" x14ac:dyDescent="0.35">
      <c r="A42" s="430"/>
      <c r="B42" s="408"/>
      <c r="C42" s="393"/>
      <c r="D42" s="231"/>
      <c r="E42" s="396"/>
      <c r="F42" s="275"/>
      <c r="G42" s="275"/>
      <c r="H42" s="395"/>
      <c r="I42" s="395"/>
      <c r="J42" s="395"/>
      <c r="K42" s="395"/>
      <c r="L42" s="395"/>
      <c r="M42" s="395"/>
      <c r="N42" s="395"/>
      <c r="O42" s="395"/>
      <c r="P42" s="409">
        <f t="shared" si="0"/>
        <v>0</v>
      </c>
    </row>
    <row r="43" spans="1:16" x14ac:dyDescent="0.35">
      <c r="A43" s="430"/>
      <c r="B43" s="408"/>
      <c r="C43" s="393"/>
      <c r="D43" s="231"/>
      <c r="E43" s="396"/>
      <c r="F43" s="275"/>
      <c r="G43" s="275"/>
      <c r="H43" s="395"/>
      <c r="I43" s="395"/>
      <c r="J43" s="395"/>
      <c r="K43" s="395"/>
      <c r="L43" s="395"/>
      <c r="M43" s="395"/>
      <c r="N43" s="395"/>
      <c r="O43" s="395"/>
      <c r="P43" s="409">
        <f t="shared" si="0"/>
        <v>0</v>
      </c>
    </row>
    <row r="44" spans="1:16" x14ac:dyDescent="0.35">
      <c r="A44" s="430"/>
      <c r="B44" s="408"/>
      <c r="C44" s="393"/>
      <c r="D44" s="231"/>
      <c r="E44" s="396"/>
      <c r="F44" s="275"/>
      <c r="G44" s="275"/>
      <c r="H44" s="395"/>
      <c r="I44" s="395"/>
      <c r="J44" s="395"/>
      <c r="K44" s="395"/>
      <c r="L44" s="395"/>
      <c r="M44" s="395"/>
      <c r="N44" s="395"/>
      <c r="O44" s="395"/>
      <c r="P44" s="409">
        <f t="shared" si="0"/>
        <v>0</v>
      </c>
    </row>
    <row r="45" spans="1:16" ht="24" customHeight="1" x14ac:dyDescent="0.35">
      <c r="A45" s="430"/>
      <c r="B45" s="834" t="s">
        <v>156</v>
      </c>
      <c r="C45" s="835"/>
      <c r="D45" s="835"/>
      <c r="E45" s="835"/>
      <c r="F45" s="835"/>
      <c r="G45" s="835"/>
      <c r="H45" s="835"/>
      <c r="I45" s="835"/>
      <c r="J45" s="835"/>
      <c r="K45" s="835"/>
      <c r="L45" s="835"/>
      <c r="M45" s="835"/>
      <c r="N45" s="835"/>
      <c r="O45" s="835"/>
      <c r="P45" s="836"/>
    </row>
    <row r="46" spans="1:16" x14ac:dyDescent="0.35">
      <c r="A46" s="430"/>
      <c r="B46" s="408">
        <v>15</v>
      </c>
      <c r="C46" s="393" t="s">
        <v>157</v>
      </c>
      <c r="D46" s="231" t="s">
        <v>34</v>
      </c>
      <c r="E46" s="396"/>
      <c r="F46" s="275"/>
      <c r="G46" s="275"/>
      <c r="H46" s="405">
        <v>1</v>
      </c>
      <c r="I46" s="395"/>
      <c r="J46" s="395"/>
      <c r="K46" s="395"/>
      <c r="L46" s="395"/>
      <c r="M46" s="395"/>
      <c r="N46" s="395"/>
      <c r="O46" s="395"/>
      <c r="P46" s="409">
        <f t="shared" si="0"/>
        <v>1</v>
      </c>
    </row>
    <row r="47" spans="1:16" x14ac:dyDescent="0.35">
      <c r="A47" s="430"/>
      <c r="B47" s="410" t="s">
        <v>294</v>
      </c>
      <c r="C47" s="393"/>
      <c r="D47" s="231" t="s">
        <v>254</v>
      </c>
      <c r="E47" s="396"/>
      <c r="F47" s="275"/>
      <c r="G47" s="275"/>
      <c r="H47" s="405"/>
      <c r="I47" s="395"/>
      <c r="J47" s="395"/>
      <c r="K47" s="395"/>
      <c r="L47" s="395"/>
      <c r="M47" s="395"/>
      <c r="N47" s="395"/>
      <c r="O47" s="395"/>
      <c r="P47" s="409">
        <f t="shared" si="0"/>
        <v>0</v>
      </c>
    </row>
    <row r="48" spans="1:16" x14ac:dyDescent="0.35">
      <c r="A48" s="430"/>
      <c r="B48" s="408"/>
      <c r="C48" s="393"/>
      <c r="D48" s="231"/>
      <c r="E48" s="396"/>
      <c r="F48" s="275"/>
      <c r="G48" s="275"/>
      <c r="H48" s="405"/>
      <c r="I48" s="395"/>
      <c r="J48" s="395"/>
      <c r="K48" s="395"/>
      <c r="L48" s="395"/>
      <c r="M48" s="395"/>
      <c r="N48" s="395"/>
      <c r="O48" s="395"/>
      <c r="P48" s="409">
        <f t="shared" si="0"/>
        <v>0</v>
      </c>
    </row>
    <row r="49" spans="1:16" x14ac:dyDescent="0.35">
      <c r="A49" s="430"/>
      <c r="B49" s="408"/>
      <c r="C49" s="393"/>
      <c r="D49" s="231"/>
      <c r="E49" s="396"/>
      <c r="F49" s="275"/>
      <c r="G49" s="275"/>
      <c r="H49" s="405"/>
      <c r="I49" s="395"/>
      <c r="J49" s="395"/>
      <c r="K49" s="395"/>
      <c r="L49" s="395"/>
      <c r="M49" s="395"/>
      <c r="N49" s="395"/>
      <c r="O49" s="395"/>
      <c r="P49" s="409"/>
    </row>
    <row r="50" spans="1:16" x14ac:dyDescent="0.35">
      <c r="A50" s="430"/>
      <c r="B50" s="408"/>
      <c r="C50" s="393"/>
      <c r="D50" s="231"/>
      <c r="E50" s="396"/>
      <c r="F50" s="275"/>
      <c r="G50" s="275"/>
      <c r="H50" s="405"/>
      <c r="I50" s="395"/>
      <c r="J50" s="395"/>
      <c r="K50" s="395"/>
      <c r="L50" s="395"/>
      <c r="M50" s="395"/>
      <c r="N50" s="395"/>
      <c r="O50" s="395"/>
      <c r="P50" s="409">
        <f t="shared" si="0"/>
        <v>0</v>
      </c>
    </row>
    <row r="51" spans="1:16" ht="21" customHeight="1" x14ac:dyDescent="0.35">
      <c r="A51" s="429"/>
      <c r="B51" s="834" t="s">
        <v>158</v>
      </c>
      <c r="C51" s="835"/>
      <c r="D51" s="835"/>
      <c r="E51" s="835"/>
      <c r="F51" s="835"/>
      <c r="G51" s="835"/>
      <c r="H51" s="835"/>
      <c r="I51" s="835"/>
      <c r="J51" s="835"/>
      <c r="K51" s="835"/>
      <c r="L51" s="835"/>
      <c r="M51" s="835"/>
      <c r="N51" s="835"/>
      <c r="O51" s="835"/>
      <c r="P51" s="836"/>
    </row>
    <row r="52" spans="1:16" x14ac:dyDescent="0.35">
      <c r="A52" s="430"/>
      <c r="B52" s="408">
        <v>16</v>
      </c>
      <c r="C52" s="393" t="s">
        <v>159</v>
      </c>
      <c r="D52" s="231" t="s">
        <v>34</v>
      </c>
      <c r="E52" s="396"/>
      <c r="F52" s="275"/>
      <c r="G52" s="275"/>
      <c r="H52" s="395"/>
      <c r="I52" s="395"/>
      <c r="J52" s="395"/>
      <c r="K52" s="395"/>
      <c r="L52" s="395"/>
      <c r="M52" s="395"/>
      <c r="N52" s="395"/>
      <c r="O52" s="395"/>
      <c r="P52" s="409">
        <f t="shared" si="0"/>
        <v>0</v>
      </c>
    </row>
    <row r="53" spans="1:16" x14ac:dyDescent="0.35">
      <c r="A53" s="430"/>
      <c r="B53" s="408">
        <v>17</v>
      </c>
      <c r="C53" s="393" t="s">
        <v>160</v>
      </c>
      <c r="D53" s="231" t="s">
        <v>34</v>
      </c>
      <c r="E53" s="396"/>
      <c r="F53" s="275"/>
      <c r="G53" s="275"/>
      <c r="H53" s="395"/>
      <c r="I53" s="395"/>
      <c r="J53" s="395"/>
      <c r="K53" s="395"/>
      <c r="L53" s="395"/>
      <c r="M53" s="395"/>
      <c r="N53" s="395"/>
      <c r="O53" s="395"/>
      <c r="P53" s="409">
        <f t="shared" si="0"/>
        <v>0</v>
      </c>
    </row>
    <row r="54" spans="1:16" x14ac:dyDescent="0.35">
      <c r="A54" s="430"/>
      <c r="B54" s="408">
        <v>18</v>
      </c>
      <c r="C54" s="393" t="s">
        <v>161</v>
      </c>
      <c r="D54" s="231" t="s">
        <v>34</v>
      </c>
      <c r="E54" s="396"/>
      <c r="F54" s="275"/>
      <c r="G54" s="275"/>
      <c r="H54" s="395"/>
      <c r="I54" s="395"/>
      <c r="J54" s="395"/>
      <c r="K54" s="395"/>
      <c r="L54" s="395"/>
      <c r="M54" s="395"/>
      <c r="N54" s="395"/>
      <c r="O54" s="395"/>
      <c r="P54" s="409">
        <f t="shared" si="0"/>
        <v>0</v>
      </c>
    </row>
    <row r="55" spans="1:16" x14ac:dyDescent="0.35">
      <c r="A55" s="430"/>
      <c r="B55" s="408">
        <v>19</v>
      </c>
      <c r="C55" s="393" t="s">
        <v>162</v>
      </c>
      <c r="D55" s="231" t="s">
        <v>34</v>
      </c>
      <c r="E55" s="396"/>
      <c r="F55" s="275"/>
      <c r="G55" s="275"/>
      <c r="H55" s="395"/>
      <c r="I55" s="395"/>
      <c r="J55" s="395"/>
      <c r="K55" s="395"/>
      <c r="L55" s="395"/>
      <c r="M55" s="395"/>
      <c r="N55" s="395"/>
      <c r="O55" s="395"/>
      <c r="P55" s="409">
        <f t="shared" si="0"/>
        <v>0</v>
      </c>
    </row>
    <row r="56" spans="1:16" x14ac:dyDescent="0.35">
      <c r="A56" s="430"/>
      <c r="B56" s="410" t="s">
        <v>294</v>
      </c>
      <c r="C56" s="393"/>
      <c r="D56" s="231" t="s">
        <v>254</v>
      </c>
      <c r="E56" s="396"/>
      <c r="F56" s="275"/>
      <c r="G56" s="275"/>
      <c r="H56" s="395"/>
      <c r="I56" s="395"/>
      <c r="J56" s="395"/>
      <c r="K56" s="395"/>
      <c r="L56" s="395"/>
      <c r="M56" s="395"/>
      <c r="N56" s="395"/>
      <c r="O56" s="395"/>
      <c r="P56" s="409">
        <f t="shared" si="0"/>
        <v>0</v>
      </c>
    </row>
    <row r="57" spans="1:16" x14ac:dyDescent="0.35">
      <c r="A57" s="430"/>
      <c r="B57" s="410"/>
      <c r="C57" s="393"/>
      <c r="D57" s="231"/>
      <c r="E57" s="396"/>
      <c r="F57" s="275"/>
      <c r="G57" s="275"/>
      <c r="H57" s="395"/>
      <c r="I57" s="395"/>
      <c r="J57" s="395"/>
      <c r="K57" s="395"/>
      <c r="L57" s="395"/>
      <c r="M57" s="395"/>
      <c r="N57" s="395"/>
      <c r="O57" s="395"/>
      <c r="P57" s="409"/>
    </row>
    <row r="58" spans="1:16" x14ac:dyDescent="0.35">
      <c r="A58" s="430"/>
      <c r="B58" s="410"/>
      <c r="C58" s="393"/>
      <c r="D58" s="231"/>
      <c r="E58" s="396"/>
      <c r="F58" s="275"/>
      <c r="G58" s="275"/>
      <c r="H58" s="395"/>
      <c r="I58" s="395"/>
      <c r="J58" s="395"/>
      <c r="K58" s="395"/>
      <c r="L58" s="395"/>
      <c r="M58" s="395"/>
      <c r="N58" s="395"/>
      <c r="O58" s="395"/>
      <c r="P58" s="409"/>
    </row>
    <row r="59" spans="1:16" x14ac:dyDescent="0.35">
      <c r="A59" s="429"/>
      <c r="B59" s="411"/>
      <c r="C59" s="397"/>
      <c r="D59" s="398"/>
      <c r="E59" s="398"/>
      <c r="F59" s="275"/>
      <c r="G59" s="275"/>
      <c r="H59" s="399"/>
      <c r="I59" s="399"/>
      <c r="J59" s="399"/>
      <c r="K59" s="399"/>
      <c r="L59" s="399"/>
      <c r="M59" s="399"/>
      <c r="N59" s="399"/>
      <c r="O59" s="399"/>
      <c r="P59" s="409"/>
    </row>
    <row r="60" spans="1:16" ht="27" customHeight="1" x14ac:dyDescent="0.35">
      <c r="B60" s="842" t="s">
        <v>163</v>
      </c>
      <c r="C60" s="843"/>
      <c r="D60" s="843"/>
      <c r="E60" s="843"/>
      <c r="F60" s="843"/>
      <c r="G60" s="843"/>
      <c r="H60" s="843"/>
      <c r="I60" s="843"/>
      <c r="J60" s="843"/>
      <c r="K60" s="843"/>
      <c r="L60" s="843"/>
      <c r="M60" s="843"/>
      <c r="N60" s="843"/>
      <c r="O60" s="843"/>
      <c r="P60" s="844"/>
    </row>
    <row r="61" spans="1:16" ht="16.5" x14ac:dyDescent="0.35">
      <c r="B61" s="412"/>
      <c r="C61" s="393"/>
      <c r="D61" s="396"/>
      <c r="E61" s="396"/>
      <c r="F61" s="392"/>
      <c r="G61" s="392"/>
      <c r="H61" s="392"/>
      <c r="I61" s="392"/>
      <c r="J61" s="392"/>
      <c r="K61" s="392"/>
      <c r="L61" s="392"/>
      <c r="M61" s="392"/>
      <c r="N61" s="392"/>
      <c r="O61" s="392"/>
      <c r="P61" s="413"/>
    </row>
    <row r="62" spans="1:16" ht="25.5" customHeight="1" x14ac:dyDescent="0.35">
      <c r="A62" s="430"/>
      <c r="B62" s="837" t="s">
        <v>164</v>
      </c>
      <c r="C62" s="806"/>
      <c r="D62" s="806"/>
      <c r="E62" s="806"/>
      <c r="F62" s="806"/>
      <c r="G62" s="806"/>
      <c r="H62" s="806"/>
      <c r="I62" s="806"/>
      <c r="J62" s="806"/>
      <c r="K62" s="806"/>
      <c r="L62" s="806"/>
      <c r="M62" s="806"/>
      <c r="N62" s="806"/>
      <c r="O62" s="806"/>
      <c r="P62" s="838"/>
    </row>
    <row r="63" spans="1:16" x14ac:dyDescent="0.35">
      <c r="A63" s="430"/>
      <c r="B63" s="408">
        <v>21</v>
      </c>
      <c r="C63" s="393" t="s">
        <v>165</v>
      </c>
      <c r="D63" s="231" t="s">
        <v>34</v>
      </c>
      <c r="E63" s="396"/>
      <c r="F63" s="275"/>
      <c r="G63" s="275"/>
      <c r="H63" s="405">
        <v>1</v>
      </c>
      <c r="I63" s="395"/>
      <c r="J63" s="395"/>
      <c r="K63" s="395"/>
      <c r="L63" s="395"/>
      <c r="M63" s="395"/>
      <c r="N63" s="395"/>
      <c r="O63" s="395"/>
      <c r="P63" s="409">
        <f t="shared" si="0"/>
        <v>1</v>
      </c>
    </row>
    <row r="64" spans="1:16" x14ac:dyDescent="0.35">
      <c r="A64" s="430"/>
      <c r="B64" s="408">
        <v>22</v>
      </c>
      <c r="C64" s="393" t="s">
        <v>166</v>
      </c>
      <c r="D64" s="231" t="s">
        <v>34</v>
      </c>
      <c r="E64" s="396"/>
      <c r="F64" s="275"/>
      <c r="G64" s="275"/>
      <c r="H64" s="405">
        <v>1</v>
      </c>
      <c r="I64" s="395"/>
      <c r="J64" s="395"/>
      <c r="K64" s="395"/>
      <c r="L64" s="395"/>
      <c r="M64" s="395"/>
      <c r="N64" s="395"/>
      <c r="O64" s="395"/>
      <c r="P64" s="409">
        <f t="shared" si="0"/>
        <v>1</v>
      </c>
    </row>
    <row r="65" spans="1:16" x14ac:dyDescent="0.35">
      <c r="A65" s="430"/>
      <c r="B65" s="408">
        <v>23</v>
      </c>
      <c r="C65" s="393" t="s">
        <v>167</v>
      </c>
      <c r="D65" s="231" t="s">
        <v>34</v>
      </c>
      <c r="E65" s="396"/>
      <c r="F65" s="275"/>
      <c r="G65" s="275"/>
      <c r="H65" s="405">
        <v>1</v>
      </c>
      <c r="I65" s="395"/>
      <c r="J65" s="395"/>
      <c r="K65" s="395"/>
      <c r="L65" s="395"/>
      <c r="M65" s="395"/>
      <c r="N65" s="395"/>
      <c r="O65" s="395"/>
      <c r="P65" s="409">
        <f t="shared" si="0"/>
        <v>1</v>
      </c>
    </row>
    <row r="66" spans="1:16" x14ac:dyDescent="0.35">
      <c r="A66" s="430"/>
      <c r="B66" s="408">
        <v>24</v>
      </c>
      <c r="C66" s="393" t="s">
        <v>168</v>
      </c>
      <c r="D66" s="231" t="s">
        <v>34</v>
      </c>
      <c r="E66" s="396"/>
      <c r="F66" s="275"/>
      <c r="G66" s="275"/>
      <c r="H66" s="405">
        <v>1</v>
      </c>
      <c r="I66" s="395"/>
      <c r="J66" s="395"/>
      <c r="K66" s="395"/>
      <c r="L66" s="395"/>
      <c r="M66" s="395"/>
      <c r="N66" s="395"/>
      <c r="O66" s="395"/>
      <c r="P66" s="409">
        <f t="shared" si="0"/>
        <v>1</v>
      </c>
    </row>
    <row r="67" spans="1:16" x14ac:dyDescent="0.35">
      <c r="A67" s="430"/>
      <c r="B67" s="410" t="s">
        <v>294</v>
      </c>
      <c r="C67" s="393"/>
      <c r="D67" s="231" t="s">
        <v>254</v>
      </c>
      <c r="E67" s="396"/>
      <c r="F67" s="275"/>
      <c r="G67" s="275"/>
      <c r="H67" s="405"/>
      <c r="I67" s="395"/>
      <c r="J67" s="395"/>
      <c r="K67" s="395"/>
      <c r="L67" s="395"/>
      <c r="M67" s="395"/>
      <c r="N67" s="395"/>
      <c r="O67" s="395"/>
      <c r="P67" s="409"/>
    </row>
    <row r="68" spans="1:16" x14ac:dyDescent="0.35">
      <c r="A68" s="430"/>
      <c r="B68" s="408"/>
      <c r="C68" s="393"/>
      <c r="D68" s="231"/>
      <c r="E68" s="396"/>
      <c r="F68" s="275"/>
      <c r="G68" s="275"/>
      <c r="H68" s="405"/>
      <c r="I68" s="395"/>
      <c r="J68" s="395"/>
      <c r="K68" s="395"/>
      <c r="L68" s="395"/>
      <c r="M68" s="395"/>
      <c r="N68" s="395"/>
      <c r="O68" s="395"/>
      <c r="P68" s="409"/>
    </row>
    <row r="69" spans="1:16" x14ac:dyDescent="0.35">
      <c r="A69" s="430"/>
      <c r="B69" s="408"/>
      <c r="C69" s="393"/>
      <c r="D69" s="231"/>
      <c r="E69" s="396"/>
      <c r="F69" s="275"/>
      <c r="G69" s="275"/>
      <c r="H69" s="405"/>
      <c r="I69" s="395"/>
      <c r="J69" s="395"/>
      <c r="K69" s="395"/>
      <c r="L69" s="395"/>
      <c r="M69" s="395"/>
      <c r="N69" s="395"/>
      <c r="O69" s="395"/>
      <c r="P69" s="409"/>
    </row>
    <row r="70" spans="1:16" x14ac:dyDescent="0.35">
      <c r="A70" s="430"/>
      <c r="B70" s="408"/>
      <c r="C70" s="393"/>
      <c r="D70" s="231"/>
      <c r="E70" s="396"/>
      <c r="F70" s="275"/>
      <c r="G70" s="275"/>
      <c r="H70" s="395"/>
      <c r="I70" s="395"/>
      <c r="J70" s="395"/>
      <c r="K70" s="395"/>
      <c r="L70" s="395"/>
      <c r="M70" s="395"/>
      <c r="N70" s="395"/>
      <c r="O70" s="395"/>
      <c r="P70" s="409">
        <f t="shared" si="0"/>
        <v>0</v>
      </c>
    </row>
    <row r="71" spans="1:16" ht="28.5" customHeight="1" x14ac:dyDescent="0.35">
      <c r="A71" s="430"/>
      <c r="B71" s="837" t="s">
        <v>169</v>
      </c>
      <c r="C71" s="806"/>
      <c r="D71" s="806"/>
      <c r="E71" s="806"/>
      <c r="F71" s="806"/>
      <c r="G71" s="806"/>
      <c r="H71" s="806"/>
      <c r="I71" s="806"/>
      <c r="J71" s="806"/>
      <c r="K71" s="806"/>
      <c r="L71" s="806"/>
      <c r="M71" s="806"/>
      <c r="N71" s="806"/>
      <c r="O71" s="806"/>
      <c r="P71" s="838"/>
    </row>
    <row r="72" spans="1:16" x14ac:dyDescent="0.35">
      <c r="A72" s="430"/>
      <c r="B72" s="408">
        <v>25</v>
      </c>
      <c r="C72" s="393" t="s">
        <v>170</v>
      </c>
      <c r="D72" s="231" t="s">
        <v>34</v>
      </c>
      <c r="E72" s="396"/>
      <c r="F72" s="275"/>
      <c r="G72" s="275"/>
      <c r="H72" s="395"/>
      <c r="I72" s="405">
        <v>1</v>
      </c>
      <c r="J72" s="395"/>
      <c r="K72" s="395"/>
      <c r="L72" s="395"/>
      <c r="M72" s="395"/>
      <c r="N72" s="395"/>
      <c r="O72" s="395"/>
      <c r="P72" s="409">
        <f t="shared" si="0"/>
        <v>1</v>
      </c>
    </row>
    <row r="73" spans="1:16" x14ac:dyDescent="0.35">
      <c r="A73" s="430"/>
      <c r="B73" s="408">
        <v>26</v>
      </c>
      <c r="C73" s="393" t="s">
        <v>171</v>
      </c>
      <c r="D73" s="231" t="s">
        <v>34</v>
      </c>
      <c r="E73" s="396"/>
      <c r="F73" s="275"/>
      <c r="G73" s="275"/>
      <c r="H73" s="395"/>
      <c r="I73" s="405">
        <v>1</v>
      </c>
      <c r="J73" s="395"/>
      <c r="K73" s="395"/>
      <c r="L73" s="395"/>
      <c r="M73" s="395"/>
      <c r="N73" s="395"/>
      <c r="O73" s="395"/>
      <c r="P73" s="409">
        <f t="shared" si="0"/>
        <v>1</v>
      </c>
    </row>
    <row r="74" spans="1:16" ht="28" x14ac:dyDescent="0.35">
      <c r="A74" s="430"/>
      <c r="B74" s="408">
        <v>27</v>
      </c>
      <c r="C74" s="393" t="s">
        <v>172</v>
      </c>
      <c r="D74" s="231" t="s">
        <v>34</v>
      </c>
      <c r="E74" s="396"/>
      <c r="F74" s="275"/>
      <c r="G74" s="275"/>
      <c r="H74" s="395"/>
      <c r="I74" s="405">
        <v>0.8</v>
      </c>
      <c r="J74" s="405">
        <v>0.2</v>
      </c>
      <c r="K74" s="395"/>
      <c r="L74" s="395"/>
      <c r="M74" s="395"/>
      <c r="N74" s="395"/>
      <c r="O74" s="395"/>
      <c r="P74" s="409">
        <f t="shared" si="0"/>
        <v>1</v>
      </c>
    </row>
    <row r="75" spans="1:16" ht="28" x14ac:dyDescent="0.35">
      <c r="A75" s="430"/>
      <c r="B75" s="408">
        <v>28</v>
      </c>
      <c r="C75" s="393" t="s">
        <v>173</v>
      </c>
      <c r="D75" s="231" t="s">
        <v>34</v>
      </c>
      <c r="E75" s="396"/>
      <c r="F75" s="275"/>
      <c r="G75" s="275"/>
      <c r="H75" s="395"/>
      <c r="I75" s="395"/>
      <c r="J75" s="395"/>
      <c r="K75" s="395"/>
      <c r="L75" s="395"/>
      <c r="M75" s="395"/>
      <c r="N75" s="395"/>
      <c r="O75" s="395"/>
      <c r="P75" s="409">
        <f t="shared" si="0"/>
        <v>0</v>
      </c>
    </row>
    <row r="76" spans="1:16" ht="28" x14ac:dyDescent="0.35">
      <c r="A76" s="430"/>
      <c r="B76" s="408">
        <v>29</v>
      </c>
      <c r="C76" s="393" t="s">
        <v>174</v>
      </c>
      <c r="D76" s="231" t="s">
        <v>34</v>
      </c>
      <c r="E76" s="396"/>
      <c r="F76" s="275"/>
      <c r="G76" s="275"/>
      <c r="H76" s="395"/>
      <c r="I76" s="395"/>
      <c r="J76" s="395"/>
      <c r="K76" s="395"/>
      <c r="L76" s="395"/>
      <c r="M76" s="395"/>
      <c r="N76" s="395"/>
      <c r="O76" s="395"/>
      <c r="P76" s="409">
        <f t="shared" si="0"/>
        <v>0</v>
      </c>
    </row>
    <row r="77" spans="1:16" ht="28" x14ac:dyDescent="0.35">
      <c r="A77" s="430"/>
      <c r="B77" s="408">
        <v>30</v>
      </c>
      <c r="C77" s="393" t="s">
        <v>175</v>
      </c>
      <c r="D77" s="231" t="s">
        <v>34</v>
      </c>
      <c r="E77" s="396"/>
      <c r="F77" s="275"/>
      <c r="G77" s="275"/>
      <c r="H77" s="395"/>
      <c r="I77" s="395"/>
      <c r="J77" s="395"/>
      <c r="K77" s="395"/>
      <c r="L77" s="395"/>
      <c r="M77" s="395"/>
      <c r="N77" s="395"/>
      <c r="O77" s="395"/>
      <c r="P77" s="409">
        <f t="shared" si="0"/>
        <v>0</v>
      </c>
    </row>
    <row r="78" spans="1:16" x14ac:dyDescent="0.35">
      <c r="A78" s="430"/>
      <c r="B78" s="408">
        <v>31</v>
      </c>
      <c r="C78" s="393" t="s">
        <v>176</v>
      </c>
      <c r="D78" s="231" t="s">
        <v>34</v>
      </c>
      <c r="E78" s="396"/>
      <c r="F78" s="275"/>
      <c r="G78" s="275"/>
      <c r="H78" s="395"/>
      <c r="I78" s="395"/>
      <c r="J78" s="395"/>
      <c r="K78" s="395"/>
      <c r="L78" s="395"/>
      <c r="M78" s="395"/>
      <c r="N78" s="395"/>
      <c r="O78" s="395"/>
      <c r="P78" s="409">
        <f t="shared" si="0"/>
        <v>0</v>
      </c>
    </row>
    <row r="79" spans="1:16" x14ac:dyDescent="0.35">
      <c r="A79" s="430"/>
      <c r="B79" s="408">
        <v>32</v>
      </c>
      <c r="C79" s="393" t="s">
        <v>177</v>
      </c>
      <c r="D79" s="231" t="s">
        <v>34</v>
      </c>
      <c r="E79" s="396"/>
      <c r="F79" s="275"/>
      <c r="G79" s="275"/>
      <c r="H79" s="395"/>
      <c r="I79" s="395"/>
      <c r="J79" s="395"/>
      <c r="K79" s="395"/>
      <c r="L79" s="395"/>
      <c r="M79" s="395"/>
      <c r="N79" s="395"/>
      <c r="O79" s="395"/>
      <c r="P79" s="409">
        <f t="shared" si="0"/>
        <v>0</v>
      </c>
    </row>
    <row r="80" spans="1:16" x14ac:dyDescent="0.35">
      <c r="A80" s="430"/>
      <c r="B80" s="410" t="s">
        <v>294</v>
      </c>
      <c r="C80" s="393"/>
      <c r="D80" s="231" t="s">
        <v>254</v>
      </c>
      <c r="E80" s="396"/>
      <c r="F80" s="275"/>
      <c r="G80" s="275"/>
      <c r="H80" s="395"/>
      <c r="I80" s="395"/>
      <c r="J80" s="395"/>
      <c r="K80" s="395"/>
      <c r="L80" s="395"/>
      <c r="M80" s="395"/>
      <c r="N80" s="395"/>
      <c r="O80" s="395"/>
      <c r="P80" s="409"/>
    </row>
    <row r="81" spans="1:16" x14ac:dyDescent="0.35">
      <c r="A81" s="430"/>
      <c r="B81" s="408"/>
      <c r="C81" s="393"/>
      <c r="D81" s="231"/>
      <c r="E81" s="396"/>
      <c r="F81" s="275"/>
      <c r="G81" s="275"/>
      <c r="H81" s="395"/>
      <c r="I81" s="395"/>
      <c r="J81" s="395"/>
      <c r="K81" s="395"/>
      <c r="L81" s="395"/>
      <c r="M81" s="395"/>
      <c r="N81" s="395"/>
      <c r="O81" s="395"/>
      <c r="P81" s="409"/>
    </row>
    <row r="82" spans="1:16" x14ac:dyDescent="0.35">
      <c r="A82" s="430"/>
      <c r="B82" s="408"/>
      <c r="C82" s="393"/>
      <c r="D82" s="231"/>
      <c r="E82" s="396"/>
      <c r="F82" s="275"/>
      <c r="G82" s="275"/>
      <c r="H82" s="395"/>
      <c r="I82" s="395"/>
      <c r="J82" s="395"/>
      <c r="K82" s="395"/>
      <c r="L82" s="395"/>
      <c r="M82" s="395"/>
      <c r="N82" s="395"/>
      <c r="O82" s="395"/>
      <c r="P82" s="409"/>
    </row>
    <row r="83" spans="1:16" x14ac:dyDescent="0.35">
      <c r="A83" s="430"/>
      <c r="B83" s="408"/>
      <c r="C83" s="393"/>
      <c r="D83" s="231"/>
      <c r="E83" s="396"/>
      <c r="F83" s="275"/>
      <c r="G83" s="275"/>
      <c r="H83" s="395"/>
      <c r="I83" s="395"/>
      <c r="J83" s="395"/>
      <c r="K83" s="395"/>
      <c r="L83" s="395"/>
      <c r="M83" s="395"/>
      <c r="N83" s="395"/>
      <c r="O83" s="395"/>
      <c r="P83" s="409">
        <f t="shared" ref="P83:P106" si="1">SUM(H83:O83)</f>
        <v>0</v>
      </c>
    </row>
    <row r="84" spans="1:16" ht="25.5" customHeight="1" x14ac:dyDescent="0.35">
      <c r="A84" s="430"/>
      <c r="B84" s="837" t="s">
        <v>178</v>
      </c>
      <c r="C84" s="806"/>
      <c r="D84" s="806"/>
      <c r="E84" s="806"/>
      <c r="F84" s="806"/>
      <c r="G84" s="806"/>
      <c r="H84" s="806"/>
      <c r="I84" s="806"/>
      <c r="J84" s="806"/>
      <c r="K84" s="806"/>
      <c r="L84" s="806"/>
      <c r="M84" s="806"/>
      <c r="N84" s="806"/>
      <c r="O84" s="806"/>
      <c r="P84" s="838"/>
    </row>
    <row r="85" spans="1:16" x14ac:dyDescent="0.35">
      <c r="A85" s="430"/>
      <c r="B85" s="408">
        <v>33</v>
      </c>
      <c r="C85" s="393" t="s">
        <v>179</v>
      </c>
      <c r="D85" s="231" t="s">
        <v>34</v>
      </c>
      <c r="E85" s="396"/>
      <c r="F85" s="275"/>
      <c r="G85" s="275"/>
      <c r="H85" s="401"/>
      <c r="I85" s="401"/>
      <c r="J85" s="401"/>
      <c r="K85" s="401"/>
      <c r="L85" s="401"/>
      <c r="M85" s="401"/>
      <c r="N85" s="401"/>
      <c r="O85" s="401"/>
      <c r="P85" s="409">
        <f t="shared" si="1"/>
        <v>0</v>
      </c>
    </row>
    <row r="86" spans="1:16" x14ac:dyDescent="0.35">
      <c r="A86" s="430"/>
      <c r="B86" s="408">
        <v>34</v>
      </c>
      <c r="C86" s="393" t="s">
        <v>180</v>
      </c>
      <c r="D86" s="231" t="s">
        <v>34</v>
      </c>
      <c r="E86" s="396"/>
      <c r="F86" s="275"/>
      <c r="G86" s="275"/>
      <c r="H86" s="401"/>
      <c r="I86" s="401"/>
      <c r="J86" s="401"/>
      <c r="K86" s="401"/>
      <c r="L86" s="401"/>
      <c r="M86" s="401"/>
      <c r="N86" s="401"/>
      <c r="O86" s="401"/>
      <c r="P86" s="409">
        <f t="shared" si="1"/>
        <v>0</v>
      </c>
    </row>
    <row r="87" spans="1:16" x14ac:dyDescent="0.35">
      <c r="A87" s="430"/>
      <c r="B87" s="408">
        <v>35</v>
      </c>
      <c r="C87" s="393" t="s">
        <v>181</v>
      </c>
      <c r="D87" s="231" t="s">
        <v>34</v>
      </c>
      <c r="E87" s="396"/>
      <c r="F87" s="275"/>
      <c r="G87" s="275"/>
      <c r="H87" s="401"/>
      <c r="I87" s="401"/>
      <c r="J87" s="401"/>
      <c r="K87" s="401"/>
      <c r="L87" s="401"/>
      <c r="M87" s="401"/>
      <c r="N87" s="401"/>
      <c r="O87" s="401"/>
      <c r="P87" s="409">
        <f t="shared" si="1"/>
        <v>0</v>
      </c>
    </row>
    <row r="88" spans="1:16" x14ac:dyDescent="0.35">
      <c r="A88" s="430"/>
      <c r="B88" s="410" t="s">
        <v>294</v>
      </c>
      <c r="C88" s="393"/>
      <c r="D88" s="231" t="s">
        <v>254</v>
      </c>
      <c r="E88" s="396"/>
      <c r="F88" s="275"/>
      <c r="G88" s="275"/>
      <c r="H88" s="401"/>
      <c r="I88" s="401"/>
      <c r="J88" s="401"/>
      <c r="K88" s="401"/>
      <c r="L88" s="401"/>
      <c r="M88" s="401"/>
      <c r="N88" s="401"/>
      <c r="O88" s="401"/>
      <c r="P88" s="409"/>
    </row>
    <row r="89" spans="1:16" x14ac:dyDescent="0.35">
      <c r="A89" s="430"/>
      <c r="B89" s="408"/>
      <c r="C89" s="393"/>
      <c r="D89" s="231"/>
      <c r="E89" s="396"/>
      <c r="F89" s="275"/>
      <c r="G89" s="275"/>
      <c r="H89" s="401"/>
      <c r="I89" s="401"/>
      <c r="J89" s="401"/>
      <c r="K89" s="401"/>
      <c r="L89" s="401"/>
      <c r="M89" s="401"/>
      <c r="N89" s="401"/>
      <c r="O89" s="401"/>
      <c r="P89" s="409"/>
    </row>
    <row r="90" spans="1:16" x14ac:dyDescent="0.35">
      <c r="A90" s="430"/>
      <c r="B90" s="408"/>
      <c r="C90" s="393"/>
      <c r="D90" s="231"/>
      <c r="E90" s="396"/>
      <c r="F90" s="275"/>
      <c r="G90" s="275"/>
      <c r="H90" s="401"/>
      <c r="I90" s="401"/>
      <c r="J90" s="401"/>
      <c r="K90" s="401"/>
      <c r="L90" s="401"/>
      <c r="M90" s="401"/>
      <c r="N90" s="401"/>
      <c r="O90" s="401"/>
      <c r="P90" s="409"/>
    </row>
    <row r="91" spans="1:16" x14ac:dyDescent="0.35">
      <c r="A91" s="430"/>
      <c r="B91" s="408"/>
      <c r="C91" s="393"/>
      <c r="D91" s="231"/>
      <c r="E91" s="396"/>
      <c r="F91" s="275"/>
      <c r="G91" s="275"/>
      <c r="H91" s="401"/>
      <c r="I91" s="401"/>
      <c r="J91" s="401"/>
      <c r="K91" s="401"/>
      <c r="L91" s="401"/>
      <c r="M91" s="401"/>
      <c r="N91" s="401"/>
      <c r="O91" s="401"/>
      <c r="P91" s="409">
        <f t="shared" si="1"/>
        <v>0</v>
      </c>
    </row>
    <row r="92" spans="1:16" ht="24" customHeight="1" x14ac:dyDescent="0.35">
      <c r="A92" s="430"/>
      <c r="B92" s="837" t="s">
        <v>182</v>
      </c>
      <c r="C92" s="806"/>
      <c r="D92" s="806"/>
      <c r="E92" s="806"/>
      <c r="F92" s="806"/>
      <c r="G92" s="806"/>
      <c r="H92" s="806"/>
      <c r="I92" s="806"/>
      <c r="J92" s="806"/>
      <c r="K92" s="806"/>
      <c r="L92" s="806"/>
      <c r="M92" s="806"/>
      <c r="N92" s="806"/>
      <c r="O92" s="806"/>
      <c r="P92" s="838"/>
    </row>
    <row r="93" spans="1:16" ht="42" x14ac:dyDescent="0.35">
      <c r="A93" s="430"/>
      <c r="B93" s="408">
        <v>36</v>
      </c>
      <c r="C93" s="393" t="s">
        <v>183</v>
      </c>
      <c r="D93" s="231" t="s">
        <v>34</v>
      </c>
      <c r="E93" s="396"/>
      <c r="F93" s="275"/>
      <c r="G93" s="275"/>
      <c r="H93" s="401"/>
      <c r="I93" s="401"/>
      <c r="J93" s="401"/>
      <c r="K93" s="401"/>
      <c r="L93" s="401"/>
      <c r="M93" s="401"/>
      <c r="N93" s="401"/>
      <c r="O93" s="401"/>
      <c r="P93" s="409">
        <f t="shared" si="1"/>
        <v>0</v>
      </c>
    </row>
    <row r="94" spans="1:16" x14ac:dyDescent="0.35">
      <c r="A94" s="430"/>
      <c r="B94" s="408">
        <v>37</v>
      </c>
      <c r="C94" s="393" t="s">
        <v>184</v>
      </c>
      <c r="D94" s="231" t="s">
        <v>34</v>
      </c>
      <c r="E94" s="396"/>
      <c r="F94" s="275"/>
      <c r="G94" s="275"/>
      <c r="H94" s="401"/>
      <c r="I94" s="401"/>
      <c r="J94" s="401"/>
      <c r="K94" s="401"/>
      <c r="L94" s="401"/>
      <c r="M94" s="401"/>
      <c r="N94" s="401"/>
      <c r="O94" s="401"/>
      <c r="P94" s="409">
        <f t="shared" si="1"/>
        <v>0</v>
      </c>
    </row>
    <row r="95" spans="1:16" x14ac:dyDescent="0.35">
      <c r="A95" s="430"/>
      <c r="B95" s="408">
        <v>38</v>
      </c>
      <c r="C95" s="393" t="s">
        <v>185</v>
      </c>
      <c r="D95" s="231" t="s">
        <v>34</v>
      </c>
      <c r="E95" s="396"/>
      <c r="F95" s="275"/>
      <c r="G95" s="275"/>
      <c r="H95" s="401"/>
      <c r="I95" s="401"/>
      <c r="J95" s="401"/>
      <c r="K95" s="401"/>
      <c r="L95" s="401"/>
      <c r="M95" s="401"/>
      <c r="N95" s="401"/>
      <c r="O95" s="401"/>
      <c r="P95" s="409">
        <f t="shared" si="1"/>
        <v>0</v>
      </c>
    </row>
    <row r="96" spans="1:16" ht="28" x14ac:dyDescent="0.35">
      <c r="A96" s="430"/>
      <c r="B96" s="408">
        <v>39</v>
      </c>
      <c r="C96" s="393" t="s">
        <v>186</v>
      </c>
      <c r="D96" s="231" t="s">
        <v>34</v>
      </c>
      <c r="E96" s="396"/>
      <c r="F96" s="275"/>
      <c r="G96" s="275"/>
      <c r="H96" s="401"/>
      <c r="I96" s="401"/>
      <c r="J96" s="401"/>
      <c r="K96" s="401"/>
      <c r="L96" s="401"/>
      <c r="M96" s="401"/>
      <c r="N96" s="401"/>
      <c r="O96" s="401"/>
      <c r="P96" s="409">
        <f t="shared" si="1"/>
        <v>0</v>
      </c>
    </row>
    <row r="97" spans="1:16" ht="28" x14ac:dyDescent="0.35">
      <c r="A97" s="430"/>
      <c r="B97" s="408">
        <v>40</v>
      </c>
      <c r="C97" s="393" t="s">
        <v>187</v>
      </c>
      <c r="D97" s="231" t="s">
        <v>34</v>
      </c>
      <c r="E97" s="396"/>
      <c r="F97" s="275"/>
      <c r="G97" s="275"/>
      <c r="H97" s="401"/>
      <c r="I97" s="401"/>
      <c r="J97" s="401"/>
      <c r="K97" s="401"/>
      <c r="L97" s="401"/>
      <c r="M97" s="401"/>
      <c r="N97" s="401"/>
      <c r="O97" s="401"/>
      <c r="P97" s="409">
        <f t="shared" si="1"/>
        <v>0</v>
      </c>
    </row>
    <row r="98" spans="1:16" ht="28" x14ac:dyDescent="0.35">
      <c r="A98" s="430"/>
      <c r="B98" s="408">
        <v>41</v>
      </c>
      <c r="C98" s="393" t="s">
        <v>188</v>
      </c>
      <c r="D98" s="231" t="s">
        <v>34</v>
      </c>
      <c r="E98" s="396"/>
      <c r="F98" s="275"/>
      <c r="G98" s="275"/>
      <c r="H98" s="401"/>
      <c r="I98" s="401"/>
      <c r="J98" s="401"/>
      <c r="K98" s="401"/>
      <c r="L98" s="401"/>
      <c r="M98" s="401"/>
      <c r="N98" s="401"/>
      <c r="O98" s="401"/>
      <c r="P98" s="409">
        <f t="shared" si="1"/>
        <v>0</v>
      </c>
    </row>
    <row r="99" spans="1:16" ht="28" x14ac:dyDescent="0.35">
      <c r="A99" s="430"/>
      <c r="B99" s="408">
        <v>42</v>
      </c>
      <c r="C99" s="393" t="s">
        <v>189</v>
      </c>
      <c r="D99" s="231" t="s">
        <v>34</v>
      </c>
      <c r="E99" s="396"/>
      <c r="F99" s="275"/>
      <c r="G99" s="275"/>
      <c r="H99" s="401"/>
      <c r="I99" s="401"/>
      <c r="J99" s="401"/>
      <c r="K99" s="401"/>
      <c r="L99" s="401"/>
      <c r="M99" s="401"/>
      <c r="N99" s="401"/>
      <c r="O99" s="401"/>
      <c r="P99" s="409">
        <f t="shared" si="1"/>
        <v>0</v>
      </c>
    </row>
    <row r="100" spans="1:16" x14ac:dyDescent="0.35">
      <c r="A100" s="430"/>
      <c r="B100" s="408">
        <v>43</v>
      </c>
      <c r="C100" s="393" t="s">
        <v>190</v>
      </c>
      <c r="D100" s="231" t="s">
        <v>34</v>
      </c>
      <c r="E100" s="396"/>
      <c r="F100" s="275"/>
      <c r="G100" s="275"/>
      <c r="H100" s="401"/>
      <c r="I100" s="401"/>
      <c r="J100" s="401"/>
      <c r="K100" s="401"/>
      <c r="L100" s="401"/>
      <c r="M100" s="401"/>
      <c r="N100" s="401"/>
      <c r="O100" s="401"/>
      <c r="P100" s="409">
        <f t="shared" si="1"/>
        <v>0</v>
      </c>
    </row>
    <row r="101" spans="1:16" ht="42" x14ac:dyDescent="0.35">
      <c r="A101" s="430"/>
      <c r="B101" s="408">
        <v>44</v>
      </c>
      <c r="C101" s="393" t="s">
        <v>191</v>
      </c>
      <c r="D101" s="231" t="s">
        <v>34</v>
      </c>
      <c r="E101" s="396"/>
      <c r="F101" s="275"/>
      <c r="G101" s="275"/>
      <c r="H101" s="401"/>
      <c r="I101" s="401"/>
      <c r="J101" s="401"/>
      <c r="K101" s="401"/>
      <c r="L101" s="401"/>
      <c r="M101" s="401"/>
      <c r="N101" s="401"/>
      <c r="O101" s="401"/>
      <c r="P101" s="409">
        <f t="shared" si="1"/>
        <v>0</v>
      </c>
    </row>
    <row r="102" spans="1:16" ht="28" x14ac:dyDescent="0.35">
      <c r="A102" s="430"/>
      <c r="B102" s="408">
        <v>45</v>
      </c>
      <c r="C102" s="393" t="s">
        <v>192</v>
      </c>
      <c r="D102" s="231" t="s">
        <v>34</v>
      </c>
      <c r="E102" s="396"/>
      <c r="F102" s="275"/>
      <c r="G102" s="275"/>
      <c r="H102" s="401"/>
      <c r="I102" s="401"/>
      <c r="J102" s="401"/>
      <c r="K102" s="401"/>
      <c r="L102" s="401"/>
      <c r="M102" s="401"/>
      <c r="N102" s="401"/>
      <c r="O102" s="401"/>
      <c r="P102" s="409">
        <f t="shared" si="1"/>
        <v>0</v>
      </c>
    </row>
    <row r="103" spans="1:16" ht="28" x14ac:dyDescent="0.35">
      <c r="A103" s="430"/>
      <c r="B103" s="408">
        <v>46</v>
      </c>
      <c r="C103" s="393" t="s">
        <v>193</v>
      </c>
      <c r="D103" s="231" t="s">
        <v>34</v>
      </c>
      <c r="E103" s="396"/>
      <c r="F103" s="275"/>
      <c r="G103" s="275"/>
      <c r="H103" s="401"/>
      <c r="I103" s="401"/>
      <c r="J103" s="401"/>
      <c r="K103" s="401"/>
      <c r="L103" s="401"/>
      <c r="M103" s="401"/>
      <c r="N103" s="401"/>
      <c r="O103" s="401"/>
      <c r="P103" s="409">
        <f t="shared" si="1"/>
        <v>0</v>
      </c>
    </row>
    <row r="104" spans="1:16" ht="28" x14ac:dyDescent="0.35">
      <c r="A104" s="430"/>
      <c r="B104" s="408">
        <v>47</v>
      </c>
      <c r="C104" s="393" t="s">
        <v>194</v>
      </c>
      <c r="D104" s="231" t="s">
        <v>34</v>
      </c>
      <c r="E104" s="396"/>
      <c r="F104" s="275"/>
      <c r="G104" s="275"/>
      <c r="H104" s="401"/>
      <c r="I104" s="401"/>
      <c r="J104" s="401"/>
      <c r="K104" s="401"/>
      <c r="L104" s="401"/>
      <c r="M104" s="401"/>
      <c r="N104" s="401"/>
      <c r="O104" s="401"/>
      <c r="P104" s="409">
        <f t="shared" si="1"/>
        <v>0</v>
      </c>
    </row>
    <row r="105" spans="1:16" ht="28" x14ac:dyDescent="0.35">
      <c r="A105" s="430"/>
      <c r="B105" s="408">
        <v>48</v>
      </c>
      <c r="C105" s="393" t="s">
        <v>195</v>
      </c>
      <c r="D105" s="231" t="s">
        <v>34</v>
      </c>
      <c r="E105" s="396"/>
      <c r="F105" s="275"/>
      <c r="G105" s="275"/>
      <c r="H105" s="401"/>
      <c r="I105" s="401"/>
      <c r="J105" s="401"/>
      <c r="K105" s="401"/>
      <c r="L105" s="401"/>
      <c r="M105" s="401"/>
      <c r="N105" s="401"/>
      <c r="O105" s="401"/>
      <c r="P105" s="409">
        <f t="shared" si="1"/>
        <v>0</v>
      </c>
    </row>
    <row r="106" spans="1:16" ht="28" x14ac:dyDescent="0.35">
      <c r="A106" s="430"/>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35">
      <c r="A107" s="430"/>
      <c r="B107" s="410" t="s">
        <v>294</v>
      </c>
      <c r="C107" s="393"/>
      <c r="D107" s="231" t="s">
        <v>254</v>
      </c>
      <c r="E107" s="396"/>
      <c r="F107" s="275"/>
      <c r="G107" s="275"/>
      <c r="H107" s="401"/>
      <c r="I107" s="401"/>
      <c r="J107" s="401"/>
      <c r="K107" s="401"/>
      <c r="L107" s="401"/>
      <c r="M107" s="401"/>
      <c r="N107" s="401"/>
      <c r="O107" s="401"/>
      <c r="P107" s="409"/>
    </row>
    <row r="108" spans="1:16" x14ac:dyDescent="0.35">
      <c r="A108" s="430"/>
      <c r="B108" s="408"/>
      <c r="C108" s="393"/>
      <c r="D108" s="231"/>
      <c r="E108" s="396"/>
      <c r="F108" s="275"/>
      <c r="G108" s="275"/>
      <c r="H108" s="401"/>
      <c r="I108" s="401"/>
      <c r="J108" s="401"/>
      <c r="K108" s="401"/>
      <c r="L108" s="401"/>
      <c r="M108" s="401"/>
      <c r="N108" s="401"/>
      <c r="O108" s="401"/>
      <c r="P108" s="409"/>
    </row>
    <row r="109" spans="1:16" x14ac:dyDescent="0.35">
      <c r="A109" s="430"/>
      <c r="B109" s="408"/>
      <c r="C109" s="393"/>
      <c r="D109" s="231"/>
      <c r="E109" s="396"/>
      <c r="F109" s="275"/>
      <c r="G109" s="275"/>
      <c r="H109" s="401"/>
      <c r="I109" s="401"/>
      <c r="J109" s="401"/>
      <c r="K109" s="401"/>
      <c r="L109" s="401"/>
      <c r="M109" s="401"/>
      <c r="N109" s="401"/>
      <c r="O109" s="401"/>
      <c r="P109" s="409"/>
    </row>
    <row r="110" spans="1:16" x14ac:dyDescent="0.35">
      <c r="A110" s="430"/>
      <c r="B110" s="408"/>
      <c r="C110" s="393"/>
      <c r="D110" s="231"/>
      <c r="E110" s="396"/>
      <c r="F110" s="275"/>
      <c r="G110" s="275"/>
      <c r="H110" s="401"/>
      <c r="I110" s="401"/>
      <c r="J110" s="401"/>
      <c r="K110" s="401"/>
      <c r="L110" s="401"/>
      <c r="M110" s="401"/>
      <c r="N110" s="401"/>
      <c r="O110" s="401"/>
      <c r="P110" s="409"/>
    </row>
    <row r="111" spans="1:16" x14ac:dyDescent="0.35">
      <c r="B111" s="332"/>
      <c r="C111" s="808" t="s">
        <v>222</v>
      </c>
      <c r="D111" s="808"/>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35">
      <c r="B112" s="252"/>
      <c r="C112" s="793" t="s">
        <v>261</v>
      </c>
      <c r="D112" s="793"/>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x14ac:dyDescent="0.35">
      <c r="B113" s="252"/>
      <c r="C113" s="793" t="s">
        <v>262</v>
      </c>
      <c r="D113" s="793"/>
      <c r="E113" s="247"/>
      <c r="F113" s="245"/>
      <c r="G113" s="245"/>
      <c r="H113" s="247"/>
      <c r="I113" s="247"/>
      <c r="J113" s="248">
        <f>J112-(E32*G32*J32)</f>
        <v>0</v>
      </c>
      <c r="K113" s="247">
        <f>K112-(E32*G32*K32)</f>
        <v>0</v>
      </c>
      <c r="L113" s="247"/>
      <c r="M113" s="247"/>
      <c r="N113" s="247"/>
      <c r="O113" s="247"/>
      <c r="P113" s="253"/>
    </row>
    <row r="114" spans="2:16" x14ac:dyDescent="0.35">
      <c r="B114" s="254"/>
      <c r="C114" s="809"/>
      <c r="D114" s="809"/>
      <c r="E114" s="240"/>
      <c r="F114" s="238"/>
      <c r="G114" s="238"/>
      <c r="H114" s="240"/>
      <c r="I114" s="240"/>
      <c r="J114" s="240"/>
      <c r="K114" s="240"/>
      <c r="L114" s="240"/>
      <c r="M114" s="240"/>
      <c r="N114" s="240"/>
      <c r="O114" s="240"/>
      <c r="P114" s="255"/>
    </row>
    <row r="115" spans="2:16" x14ac:dyDescent="0.35">
      <c r="B115" s="254"/>
      <c r="C115" s="239"/>
      <c r="D115" s="240"/>
      <c r="E115" s="240"/>
      <c r="F115" s="238"/>
      <c r="G115" s="238"/>
      <c r="H115" s="240"/>
      <c r="I115" s="240"/>
      <c r="J115" s="240"/>
      <c r="K115" s="240"/>
      <c r="L115" s="240"/>
      <c r="M115" s="240"/>
      <c r="N115" s="240"/>
      <c r="O115" s="240"/>
      <c r="P115" s="255"/>
    </row>
    <row r="116" spans="2:16" x14ac:dyDescent="0.35">
      <c r="B116" s="360"/>
      <c r="C116" s="791" t="s">
        <v>328</v>
      </c>
      <c r="D116" s="791"/>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x14ac:dyDescent="0.35">
      <c r="B117" s="360"/>
      <c r="C117" s="791" t="s">
        <v>296</v>
      </c>
      <c r="D117" s="791"/>
      <c r="E117" s="240"/>
      <c r="F117" s="242"/>
      <c r="G117" s="242"/>
      <c r="H117" s="275"/>
      <c r="I117" s="275"/>
      <c r="J117" s="275"/>
      <c r="K117" s="275"/>
      <c r="L117" s="275"/>
      <c r="M117" s="275"/>
      <c r="N117" s="275"/>
      <c r="O117" s="231"/>
      <c r="P117" s="256">
        <f>SUM(H117:O117)</f>
        <v>0</v>
      </c>
    </row>
    <row r="118" spans="2:16" x14ac:dyDescent="0.35">
      <c r="B118" s="360"/>
      <c r="C118" s="791" t="s">
        <v>297</v>
      </c>
      <c r="D118" s="791"/>
      <c r="E118" s="240"/>
      <c r="F118" s="242"/>
      <c r="G118" s="242"/>
      <c r="H118" s="275"/>
      <c r="I118" s="275"/>
      <c r="J118" s="275"/>
      <c r="K118" s="275"/>
      <c r="L118" s="275"/>
      <c r="M118" s="275"/>
      <c r="N118" s="275"/>
      <c r="O118" s="231"/>
      <c r="P118" s="256">
        <f>SUM(H118:O118)</f>
        <v>0</v>
      </c>
    </row>
    <row r="119" spans="2:16" x14ac:dyDescent="0.35">
      <c r="B119" s="360"/>
      <c r="C119" s="791" t="s">
        <v>298</v>
      </c>
      <c r="D119" s="791"/>
      <c r="E119" s="240"/>
      <c r="F119" s="242"/>
      <c r="G119" s="242"/>
      <c r="H119" s="275"/>
      <c r="I119" s="275"/>
      <c r="J119" s="275"/>
      <c r="K119" s="275"/>
      <c r="L119" s="275"/>
      <c r="M119" s="275"/>
      <c r="N119" s="275"/>
      <c r="O119" s="231"/>
      <c r="P119" s="256">
        <f t="shared" ref="P119" si="2">SUM(H119:O119)</f>
        <v>0</v>
      </c>
    </row>
    <row r="120" spans="2:16" x14ac:dyDescent="0.35">
      <c r="B120" s="360"/>
      <c r="C120" s="791" t="s">
        <v>299</v>
      </c>
      <c r="D120" s="791"/>
      <c r="E120" s="240"/>
      <c r="F120" s="242"/>
      <c r="G120" s="242"/>
      <c r="H120" s="275"/>
      <c r="I120" s="275"/>
      <c r="J120" s="275"/>
      <c r="K120" s="275"/>
      <c r="L120" s="275"/>
      <c r="M120" s="275"/>
      <c r="N120" s="275"/>
      <c r="O120" s="231"/>
      <c r="P120" s="256">
        <f>SUM(H120:O120)</f>
        <v>0</v>
      </c>
    </row>
    <row r="121" spans="2:16" x14ac:dyDescent="0.35">
      <c r="B121" s="360"/>
      <c r="C121" s="791" t="s">
        <v>300</v>
      </c>
      <c r="D121" s="791"/>
      <c r="E121" s="240"/>
      <c r="F121" s="242"/>
      <c r="G121" s="242"/>
      <c r="H121" s="357" t="e">
        <f>'5.  2015 LRAM'!H129*H116</f>
        <v>#DIV/0!</v>
      </c>
      <c r="I121" s="357" t="e">
        <f>'5.  2015 LRAM'!I129*I116</f>
        <v>#DIV/0!</v>
      </c>
      <c r="J121" s="357" t="e">
        <f>'5.  2015 LRAM'!J129*J116</f>
        <v>#DIV/0!</v>
      </c>
      <c r="K121" s="357" t="e">
        <f>'5.  2015 LRAM'!K129*K116</f>
        <v>#DIV/0!</v>
      </c>
      <c r="L121" s="357" t="e">
        <f>'5.  2015 LRAM'!L129*L116</f>
        <v>#DIV/0!</v>
      </c>
      <c r="M121" s="357" t="e">
        <f>'5.  2015 LRAM'!M129*M116</f>
        <v>#DIV/0!</v>
      </c>
      <c r="N121" s="357" t="e">
        <f>'5.  2015 LRAM'!N129*N116</f>
        <v>#DIV/0!</v>
      </c>
      <c r="O121" s="231"/>
      <c r="P121" s="256" t="e">
        <f t="shared" ref="P121:P122" si="3">SUM(H121:O121)</f>
        <v>#DIV/0!</v>
      </c>
    </row>
    <row r="122" spans="2:16" x14ac:dyDescent="0.35">
      <c r="B122" s="360"/>
      <c r="C122" s="791" t="s">
        <v>301</v>
      </c>
      <c r="D122" s="791"/>
      <c r="E122" s="240"/>
      <c r="F122" s="242"/>
      <c r="G122" s="242"/>
      <c r="H122" s="357" t="e">
        <f>'5-b. 2016 LRAM'!H127*H116</f>
        <v>#DIV/0!</v>
      </c>
      <c r="I122" s="357" t="e">
        <f>'5-b. 2016 LRAM'!I127*I116</f>
        <v>#DIV/0!</v>
      </c>
      <c r="J122" s="357" t="e">
        <f>'5-b. 2016 LRAM'!J127*J116</f>
        <v>#DIV/0!</v>
      </c>
      <c r="K122" s="357" t="e">
        <f>'5-b. 2016 LRAM'!K127*K116</f>
        <v>#DIV/0!</v>
      </c>
      <c r="L122" s="357" t="e">
        <f>'5-b. 2016 LRAM'!L127*L116</f>
        <v>#REF!</v>
      </c>
      <c r="M122" s="357" t="e">
        <f>'5-b. 2016 LRAM'!M127*M116</f>
        <v>#REF!</v>
      </c>
      <c r="N122" s="357" t="e">
        <f>'5-b. 2016 LRAM'!N127*N116</f>
        <v>#REF!</v>
      </c>
      <c r="O122" s="231"/>
      <c r="P122" s="256" t="e">
        <f t="shared" si="3"/>
        <v>#DIV/0!</v>
      </c>
    </row>
    <row r="123" spans="2:16" x14ac:dyDescent="0.35">
      <c r="B123" s="360"/>
      <c r="C123" s="791" t="s">
        <v>302</v>
      </c>
      <c r="D123" s="791"/>
      <c r="E123" s="240"/>
      <c r="F123" s="242"/>
      <c r="G123" s="242"/>
      <c r="H123" s="357" t="e">
        <f>'5-c.  2017 LRAM'!H128*H116</f>
        <v>#DIV/0!</v>
      </c>
      <c r="I123" s="357" t="e">
        <f>'5-c.  2017 LRAM'!I128*I116</f>
        <v>#DIV/0!</v>
      </c>
      <c r="J123" s="357" t="e">
        <f>'5-c.  2017 LRAM'!J128*J116</f>
        <v>#DIV/0!</v>
      </c>
      <c r="K123" s="357" t="e">
        <f>'5-c.  2017 LRAM'!K128*K116</f>
        <v>#DIV/0!</v>
      </c>
      <c r="L123" s="357" t="e">
        <f>'5-c.  2017 LRAM'!L128*L116</f>
        <v>#REF!</v>
      </c>
      <c r="M123" s="357" t="e">
        <f>'5-c.  2017 LRAM'!M128*M116</f>
        <v>#REF!</v>
      </c>
      <c r="N123" s="357" t="e">
        <f>'5-c.  2017 LRAM'!N128*N116</f>
        <v>#DIV/0!</v>
      </c>
      <c r="O123" s="231"/>
      <c r="P123" s="256" t="e">
        <f>SUM(H123:O123)</f>
        <v>#DIV/0!</v>
      </c>
    </row>
    <row r="124" spans="2:16" x14ac:dyDescent="0.35">
      <c r="B124" s="360"/>
      <c r="C124" s="791" t="s">
        <v>303</v>
      </c>
      <c r="D124" s="791"/>
      <c r="E124" s="240"/>
      <c r="F124" s="242"/>
      <c r="G124" s="242"/>
      <c r="H124" s="357" t="e">
        <f>'5-d.  2018 LRAM'!H127*H116</f>
        <v>#DIV/0!</v>
      </c>
      <c r="I124" s="357" t="e">
        <f>'5-d.  2018 LRAM'!I127*I116</f>
        <v>#DIV/0!</v>
      </c>
      <c r="J124" s="357" t="e">
        <f>'5-d.  2018 LRAM'!J127*J116</f>
        <v>#DIV/0!</v>
      </c>
      <c r="K124" s="357" t="e">
        <f>'5-d.  2018 LRAM'!K127*K116</f>
        <v>#DIV/0!</v>
      </c>
      <c r="L124" s="357" t="e">
        <f>'5-d.  2018 LRAM'!L127*L116</f>
        <v>#DIV/0!</v>
      </c>
      <c r="M124" s="357" t="e">
        <f>'5-d.  2018 LRAM'!M127*M116</f>
        <v>#DIV/0!</v>
      </c>
      <c r="N124" s="357" t="e">
        <f>'5-d.  2018 LRAM'!N127*N116</f>
        <v>#DIV/0!</v>
      </c>
      <c r="O124" s="231"/>
      <c r="P124" s="256" t="e">
        <f t="shared" ref="P124:P125" si="4">SUM(H124:O124)</f>
        <v>#DIV/0!</v>
      </c>
    </row>
    <row r="125" spans="2:16" x14ac:dyDescent="0.35">
      <c r="B125" s="360"/>
      <c r="C125" s="791" t="s">
        <v>304</v>
      </c>
      <c r="D125" s="791"/>
      <c r="E125" s="240"/>
      <c r="F125" s="242"/>
      <c r="G125" s="242"/>
      <c r="H125" s="357" t="e">
        <f>H111*H116</f>
        <v>#REF!</v>
      </c>
      <c r="I125" s="357" t="e">
        <f>I111*I116</f>
        <v>#REF!</v>
      </c>
      <c r="J125" s="357" t="e">
        <f>J112*J116</f>
        <v>#REF!</v>
      </c>
      <c r="K125" s="357" t="e">
        <f>K112*K116</f>
        <v>#REF!</v>
      </c>
      <c r="L125" s="357" t="e">
        <f>L112*L116</f>
        <v>#REF!</v>
      </c>
      <c r="M125" s="357" t="e">
        <f>M112*M116</f>
        <v>#REF!</v>
      </c>
      <c r="N125" s="357" t="e">
        <f>N111*N116</f>
        <v>#REF!</v>
      </c>
      <c r="O125" s="231"/>
      <c r="P125" s="256" t="e">
        <f t="shared" si="4"/>
        <v>#REF!</v>
      </c>
    </row>
    <row r="126" spans="2:16" x14ac:dyDescent="0.35">
      <c r="B126" s="254"/>
      <c r="C126" s="358" t="s">
        <v>295</v>
      </c>
      <c r="D126" s="240"/>
      <c r="E126" s="240"/>
      <c r="F126" s="238"/>
      <c r="G126" s="238"/>
      <c r="H126" s="244" t="e">
        <f t="shared" ref="H126:N126" si="5">SUM(H117:H125)</f>
        <v>#DIV/0!</v>
      </c>
      <c r="I126" s="244" t="e">
        <f t="shared" si="5"/>
        <v>#DIV/0!</v>
      </c>
      <c r="J126" s="244" t="e">
        <f t="shared" si="5"/>
        <v>#DIV/0!</v>
      </c>
      <c r="K126" s="244" t="e">
        <f t="shared" si="5"/>
        <v>#DIV/0!</v>
      </c>
      <c r="L126" s="244" t="e">
        <f t="shared" si="5"/>
        <v>#DIV/0!</v>
      </c>
      <c r="M126" s="244" t="e">
        <f t="shared" si="5"/>
        <v>#DIV/0!</v>
      </c>
      <c r="N126" s="244" t="e">
        <f t="shared" si="5"/>
        <v>#DIV/0!</v>
      </c>
      <c r="O126" s="240"/>
      <c r="P126" s="257" t="e">
        <f>SUM(P117:P125)</f>
        <v>#DIV/0!</v>
      </c>
    </row>
    <row r="127" spans="2:16" x14ac:dyDescent="0.35">
      <c r="B127" s="254"/>
      <c r="C127" s="358"/>
      <c r="D127" s="240"/>
      <c r="E127" s="240"/>
      <c r="F127" s="238"/>
      <c r="G127" s="238"/>
      <c r="H127" s="244"/>
      <c r="I127" s="244"/>
      <c r="J127" s="244"/>
      <c r="K127" s="244"/>
      <c r="L127" s="244"/>
      <c r="M127" s="244"/>
      <c r="N127" s="244"/>
      <c r="O127" s="240"/>
      <c r="P127" s="257"/>
    </row>
    <row r="128" spans="2:16" x14ac:dyDescent="0.35">
      <c r="B128" s="403"/>
      <c r="C128" s="792" t="s">
        <v>305</v>
      </c>
      <c r="D128" s="792"/>
      <c r="E128" s="404"/>
      <c r="F128" s="309"/>
      <c r="G128" s="309"/>
      <c r="H128" s="383" t="e">
        <f>H111*'6.  Persistence Rates'!$I$48</f>
        <v>#DIV/0!</v>
      </c>
      <c r="I128" s="383" t="e">
        <f>I111*'6.  Persistence Rates'!$I$48</f>
        <v>#DIV/0!</v>
      </c>
      <c r="J128" s="383" t="e">
        <f>J112*'6.  Persistence Rates'!$V$48</f>
        <v>#DIV/0!</v>
      </c>
      <c r="K128" s="383" t="e">
        <f>K112*'6.  Persistence Rates'!$V$48</f>
        <v>#DIV/0!</v>
      </c>
      <c r="L128" s="383" t="e">
        <f>L112*'6.  Persistence Rates'!$V$48</f>
        <v>#DIV/0!</v>
      </c>
      <c r="M128" s="383" t="e">
        <f>M112*'6.  Persistence Rates'!$V$48</f>
        <v>#DIV/0!</v>
      </c>
      <c r="N128" s="383" t="e">
        <f>N111*'6.  Persistence Rates'!$I$48</f>
        <v>#DIV/0!</v>
      </c>
      <c r="O128" s="309"/>
      <c r="P128" s="379"/>
    </row>
  </sheetData>
  <mergeCells count="35">
    <mergeCell ref="E4:P4"/>
    <mergeCell ref="E9:F9"/>
    <mergeCell ref="E10:F10"/>
    <mergeCell ref="C13:C14"/>
    <mergeCell ref="B13:B14"/>
    <mergeCell ref="E13:E14"/>
    <mergeCell ref="C113:D113"/>
    <mergeCell ref="B15:P15"/>
    <mergeCell ref="B16:P16"/>
    <mergeCell ref="B62:P62"/>
    <mergeCell ref="B37:P37"/>
    <mergeCell ref="B84:P84"/>
    <mergeCell ref="B51:P51"/>
    <mergeCell ref="C111:D111"/>
    <mergeCell ref="B92:P92"/>
    <mergeCell ref="B71:P71"/>
    <mergeCell ref="B27:P27"/>
    <mergeCell ref="B45:P45"/>
    <mergeCell ref="B60:P60"/>
    <mergeCell ref="B2:P2"/>
    <mergeCell ref="C128:D128"/>
    <mergeCell ref="C125:D125"/>
    <mergeCell ref="D13:D14"/>
    <mergeCell ref="C122:D122"/>
    <mergeCell ref="C123:D123"/>
    <mergeCell ref="C124:D124"/>
    <mergeCell ref="C121:D121"/>
    <mergeCell ref="C116:D116"/>
    <mergeCell ref="C117:D117"/>
    <mergeCell ref="C118:D118"/>
    <mergeCell ref="C119:D119"/>
    <mergeCell ref="C120:D120"/>
    <mergeCell ref="C112:D112"/>
    <mergeCell ref="H13:P13"/>
    <mergeCell ref="C114:D114"/>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2:R127"/>
  <sheetViews>
    <sheetView zoomScale="90" zoomScaleNormal="90" workbookViewId="0">
      <pane ySplit="14" topLeftCell="A15" activePane="bottomLeft" state="frozen"/>
      <selection pane="bottomLeft" activeCell="B13" sqref="B13:B14"/>
    </sheetView>
  </sheetViews>
  <sheetFormatPr defaultColWidth="9.08984375" defaultRowHeight="14.5" outlineLevelRow="1" x14ac:dyDescent="0.35"/>
  <cols>
    <col min="1" max="1" width="6.453125" style="62" customWidth="1"/>
    <col min="2" max="2" width="5.08984375" style="62" customWidth="1"/>
    <col min="3" max="3" width="44.36328125" style="419" customWidth="1"/>
    <col min="4" max="4" width="12.36328125" style="420" customWidth="1"/>
    <col min="5" max="5" width="13.36328125" style="420" customWidth="1"/>
    <col min="6" max="7" width="19.453125" style="62" customWidth="1"/>
    <col min="8" max="14" width="12.6328125" style="62" customWidth="1"/>
    <col min="15" max="15" width="8.08984375" style="62" customWidth="1"/>
    <col min="16" max="16" width="11.36328125" style="62" customWidth="1"/>
    <col min="17" max="17" width="13.08984375" style="62" customWidth="1"/>
    <col min="18" max="16384" width="9.08984375" style="62"/>
  </cols>
  <sheetData>
    <row r="2" spans="1:18" ht="18.75" customHeight="1" x14ac:dyDescent="0.4">
      <c r="B2" s="857" t="s">
        <v>306</v>
      </c>
      <c r="C2" s="857"/>
      <c r="D2" s="857"/>
      <c r="E2" s="857"/>
      <c r="F2" s="857"/>
      <c r="G2" s="857"/>
      <c r="H2" s="857"/>
      <c r="I2" s="857"/>
      <c r="J2" s="857"/>
      <c r="K2" s="857"/>
      <c r="L2" s="857"/>
      <c r="M2" s="857"/>
      <c r="N2" s="857"/>
      <c r="O2" s="857"/>
      <c r="P2" s="857"/>
    </row>
    <row r="3" spans="1:18" ht="18.5" outlineLevel="1" x14ac:dyDescent="0.45">
      <c r="B3" s="422"/>
      <c r="C3" s="422"/>
      <c r="D3" s="422"/>
      <c r="E3" s="422"/>
      <c r="F3" s="422"/>
      <c r="G3" s="422"/>
      <c r="H3" s="422"/>
      <c r="I3" s="422"/>
      <c r="J3" s="422"/>
      <c r="K3" s="422"/>
      <c r="L3" s="422"/>
      <c r="M3" s="422"/>
      <c r="N3" s="422"/>
      <c r="O3" s="422"/>
      <c r="P3" s="422"/>
    </row>
    <row r="4" spans="1:18" ht="35.25" customHeight="1" outlineLevel="1" x14ac:dyDescent="0.45">
      <c r="A4" s="315"/>
      <c r="B4" s="422"/>
      <c r="C4" s="348" t="s">
        <v>377</v>
      </c>
      <c r="D4" s="423"/>
      <c r="E4" s="858" t="s">
        <v>365</v>
      </c>
      <c r="F4" s="858"/>
      <c r="G4" s="858"/>
      <c r="H4" s="858"/>
      <c r="I4" s="858"/>
      <c r="J4" s="858"/>
      <c r="K4" s="858"/>
      <c r="L4" s="858"/>
      <c r="M4" s="858"/>
      <c r="N4" s="858"/>
      <c r="O4" s="858"/>
      <c r="P4" s="858"/>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4"/>
      <c r="D8" s="423"/>
      <c r="E8" s="351"/>
      <c r="F8" s="423"/>
      <c r="G8" s="423"/>
      <c r="H8" s="423"/>
      <c r="I8" s="423"/>
      <c r="J8" s="423"/>
      <c r="K8" s="423"/>
      <c r="L8" s="423"/>
      <c r="M8" s="423"/>
      <c r="N8" s="423"/>
      <c r="O8" s="423"/>
      <c r="P8" s="423"/>
    </row>
    <row r="9" spans="1:18" ht="18.75" customHeight="1" outlineLevel="1" x14ac:dyDescent="0.45">
      <c r="B9" s="422"/>
      <c r="C9" s="216" t="s">
        <v>337</v>
      </c>
      <c r="D9" s="422"/>
      <c r="E9" s="217" t="s">
        <v>366</v>
      </c>
      <c r="F9" s="431"/>
      <c r="G9" s="422"/>
      <c r="H9" s="422"/>
      <c r="I9" s="422"/>
      <c r="J9" s="422"/>
      <c r="K9" s="422"/>
      <c r="L9" s="422"/>
      <c r="M9" s="422"/>
      <c r="N9" s="422"/>
      <c r="O9" s="422"/>
      <c r="P9" s="422"/>
      <c r="R9" s="76"/>
    </row>
    <row r="10" spans="1:18" ht="18.75" customHeight="1" outlineLevel="1" x14ac:dyDescent="0.45">
      <c r="B10" s="422"/>
      <c r="C10" s="422"/>
      <c r="D10" s="422"/>
      <c r="E10" s="830" t="s">
        <v>338</v>
      </c>
      <c r="F10" s="830"/>
      <c r="G10" s="422"/>
      <c r="H10" s="422"/>
      <c r="I10" s="422"/>
      <c r="J10" s="422"/>
      <c r="K10" s="422"/>
      <c r="L10" s="422"/>
      <c r="M10" s="422"/>
      <c r="N10" s="422"/>
      <c r="O10" s="422"/>
      <c r="P10" s="422"/>
    </row>
    <row r="11" spans="1:18" x14ac:dyDescent="0.35">
      <c r="A11" s="429"/>
      <c r="C11" s="426"/>
      <c r="D11" s="427"/>
      <c r="E11" s="427"/>
    </row>
    <row r="12" spans="1:18" ht="18.5" x14ac:dyDescent="0.45">
      <c r="B12" s="425" t="s">
        <v>457</v>
      </c>
      <c r="C12" s="422"/>
      <c r="D12" s="422"/>
      <c r="E12" s="422"/>
      <c r="F12" s="422"/>
      <c r="G12" s="422"/>
      <c r="H12" s="422"/>
      <c r="I12" s="422"/>
      <c r="J12" s="422"/>
      <c r="K12" s="422"/>
      <c r="L12" s="422"/>
      <c r="M12" s="422"/>
      <c r="N12" s="422"/>
      <c r="O12" s="422"/>
      <c r="P12" s="422"/>
    </row>
    <row r="13" spans="1:18" ht="42" x14ac:dyDescent="0.35">
      <c r="B13" s="813" t="s">
        <v>54</v>
      </c>
      <c r="C13" s="814" t="s">
        <v>0</v>
      </c>
      <c r="D13" s="814" t="s">
        <v>45</v>
      </c>
      <c r="E13" s="814" t="s">
        <v>201</v>
      </c>
      <c r="F13" s="219" t="s">
        <v>198</v>
      </c>
      <c r="G13" s="219" t="s">
        <v>46</v>
      </c>
      <c r="H13" s="853" t="s">
        <v>55</v>
      </c>
      <c r="I13" s="853"/>
      <c r="J13" s="853"/>
      <c r="K13" s="853"/>
      <c r="L13" s="853"/>
      <c r="M13" s="853"/>
      <c r="N13" s="853"/>
      <c r="O13" s="853"/>
      <c r="P13" s="854"/>
    </row>
    <row r="14" spans="1:18" ht="56" x14ac:dyDescent="0.35">
      <c r="B14" s="827"/>
      <c r="C14" s="828"/>
      <c r="D14" s="828"/>
      <c r="E14" s="828"/>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42" t="s">
        <v>139</v>
      </c>
      <c r="C15" s="843"/>
      <c r="D15" s="843"/>
      <c r="E15" s="843"/>
      <c r="F15" s="843"/>
      <c r="G15" s="843"/>
      <c r="H15" s="843"/>
      <c r="I15" s="843"/>
      <c r="J15" s="843"/>
      <c r="K15" s="843"/>
      <c r="L15" s="843"/>
      <c r="M15" s="843"/>
      <c r="N15" s="843"/>
      <c r="O15" s="843"/>
      <c r="P15" s="844"/>
    </row>
    <row r="16" spans="1:18" ht="26.25" customHeight="1" x14ac:dyDescent="0.35">
      <c r="A16" s="430"/>
      <c r="B16" s="834" t="s">
        <v>140</v>
      </c>
      <c r="C16" s="835"/>
      <c r="D16" s="835"/>
      <c r="E16" s="835"/>
      <c r="F16" s="835"/>
      <c r="G16" s="835"/>
      <c r="H16" s="835"/>
      <c r="I16" s="835"/>
      <c r="J16" s="835"/>
      <c r="K16" s="835"/>
      <c r="L16" s="835"/>
      <c r="M16" s="835"/>
      <c r="N16" s="835"/>
      <c r="O16" s="835"/>
      <c r="P16" s="836"/>
    </row>
    <row r="17" spans="1:16" x14ac:dyDescent="0.35">
      <c r="A17" s="430"/>
      <c r="B17" s="408">
        <v>1</v>
      </c>
      <c r="C17" s="393" t="s">
        <v>141</v>
      </c>
      <c r="D17" s="231" t="s">
        <v>34</v>
      </c>
      <c r="E17" s="394"/>
      <c r="F17" s="275"/>
      <c r="G17" s="275"/>
      <c r="H17" s="405">
        <v>1</v>
      </c>
      <c r="I17" s="395"/>
      <c r="J17" s="395"/>
      <c r="K17" s="395"/>
      <c r="L17" s="395"/>
      <c r="M17" s="395"/>
      <c r="N17" s="395"/>
      <c r="O17" s="395"/>
      <c r="P17" s="409">
        <f>SUM(H17:O17)</f>
        <v>1</v>
      </c>
    </row>
    <row r="18" spans="1:16" x14ac:dyDescent="0.35">
      <c r="A18" s="35"/>
      <c r="B18" s="408">
        <v>2</v>
      </c>
      <c r="C18" s="393" t="s">
        <v>142</v>
      </c>
      <c r="D18" s="231" t="s">
        <v>34</v>
      </c>
      <c r="E18" s="396"/>
      <c r="F18" s="275"/>
      <c r="G18" s="275"/>
      <c r="H18" s="405">
        <v>1</v>
      </c>
      <c r="I18" s="395"/>
      <c r="J18" s="395"/>
      <c r="K18" s="395"/>
      <c r="L18" s="395"/>
      <c r="M18" s="395"/>
      <c r="N18" s="395"/>
      <c r="O18" s="395"/>
      <c r="P18" s="409">
        <f t="shared" ref="P18:P79" si="0">SUM(H18:O18)</f>
        <v>1</v>
      </c>
    </row>
    <row r="19" spans="1:16" x14ac:dyDescent="0.35">
      <c r="A19" s="430"/>
      <c r="B19" s="408">
        <v>3</v>
      </c>
      <c r="C19" s="393" t="s">
        <v>143</v>
      </c>
      <c r="D19" s="231" t="s">
        <v>34</v>
      </c>
      <c r="E19" s="396"/>
      <c r="F19" s="275"/>
      <c r="G19" s="275"/>
      <c r="H19" s="405">
        <v>1</v>
      </c>
      <c r="I19" s="395"/>
      <c r="J19" s="395"/>
      <c r="K19" s="395"/>
      <c r="L19" s="395"/>
      <c r="M19" s="395"/>
      <c r="N19" s="395"/>
      <c r="O19" s="395"/>
      <c r="P19" s="409">
        <f t="shared" si="0"/>
        <v>1</v>
      </c>
    </row>
    <row r="20" spans="1:16" x14ac:dyDescent="0.35">
      <c r="A20" s="430"/>
      <c r="B20" s="408">
        <v>4</v>
      </c>
      <c r="C20" s="393" t="s">
        <v>144</v>
      </c>
      <c r="D20" s="231" t="s">
        <v>34</v>
      </c>
      <c r="E20" s="396"/>
      <c r="F20" s="275"/>
      <c r="G20" s="275"/>
      <c r="H20" s="405">
        <v>1</v>
      </c>
      <c r="I20" s="395"/>
      <c r="J20" s="395"/>
      <c r="K20" s="395"/>
      <c r="L20" s="395"/>
      <c r="M20" s="395"/>
      <c r="N20" s="395"/>
      <c r="O20" s="395"/>
      <c r="P20" s="409">
        <f t="shared" si="0"/>
        <v>1</v>
      </c>
    </row>
    <row r="21" spans="1:16" x14ac:dyDescent="0.35">
      <c r="A21" s="430"/>
      <c r="B21" s="408">
        <v>5</v>
      </c>
      <c r="C21" s="393" t="s">
        <v>145</v>
      </c>
      <c r="D21" s="231" t="s">
        <v>34</v>
      </c>
      <c r="E21" s="396"/>
      <c r="F21" s="275"/>
      <c r="G21" s="275"/>
      <c r="H21" s="405">
        <v>1</v>
      </c>
      <c r="I21" s="395"/>
      <c r="J21" s="395"/>
      <c r="K21" s="395"/>
      <c r="L21" s="395"/>
      <c r="M21" s="395"/>
      <c r="N21" s="395"/>
      <c r="O21" s="395"/>
      <c r="P21" s="409">
        <f t="shared" si="0"/>
        <v>1</v>
      </c>
    </row>
    <row r="22" spans="1:16" ht="28" x14ac:dyDescent="0.35">
      <c r="A22" s="430"/>
      <c r="B22" s="408">
        <v>6</v>
      </c>
      <c r="C22" s="393" t="s">
        <v>146</v>
      </c>
      <c r="D22" s="231" t="s">
        <v>34</v>
      </c>
      <c r="E22" s="396"/>
      <c r="F22" s="275"/>
      <c r="G22" s="275"/>
      <c r="H22" s="405">
        <v>1</v>
      </c>
      <c r="I22" s="395"/>
      <c r="J22" s="395"/>
      <c r="K22" s="395"/>
      <c r="L22" s="395"/>
      <c r="M22" s="395"/>
      <c r="N22" s="395"/>
      <c r="O22" s="395"/>
      <c r="P22" s="409">
        <f t="shared" si="0"/>
        <v>1</v>
      </c>
    </row>
    <row r="23" spans="1:16" x14ac:dyDescent="0.35">
      <c r="A23" s="430"/>
      <c r="B23" s="410" t="s">
        <v>319</v>
      </c>
      <c r="C23" s="393"/>
      <c r="D23" s="231" t="s">
        <v>254</v>
      </c>
      <c r="E23" s="396"/>
      <c r="F23" s="275"/>
      <c r="G23" s="275"/>
      <c r="H23" s="405"/>
      <c r="I23" s="395"/>
      <c r="J23" s="395"/>
      <c r="K23" s="395"/>
      <c r="L23" s="395"/>
      <c r="M23" s="395"/>
      <c r="N23" s="395"/>
      <c r="O23" s="395"/>
      <c r="P23" s="409">
        <f t="shared" si="0"/>
        <v>0</v>
      </c>
    </row>
    <row r="24" spans="1:16" x14ac:dyDescent="0.35">
      <c r="A24" s="430"/>
      <c r="B24" s="408"/>
      <c r="C24" s="393"/>
      <c r="D24" s="231"/>
      <c r="E24" s="396"/>
      <c r="F24" s="275"/>
      <c r="G24" s="275"/>
      <c r="H24" s="405"/>
      <c r="I24" s="395"/>
      <c r="J24" s="395"/>
      <c r="K24" s="395"/>
      <c r="L24" s="395"/>
      <c r="M24" s="395"/>
      <c r="N24" s="395"/>
      <c r="O24" s="395"/>
      <c r="P24" s="409">
        <f t="shared" si="0"/>
        <v>0</v>
      </c>
    </row>
    <row r="25" spans="1:16" x14ac:dyDescent="0.35">
      <c r="A25" s="430"/>
      <c r="B25" s="408"/>
      <c r="C25" s="393"/>
      <c r="D25" s="231"/>
      <c r="E25" s="396"/>
      <c r="F25" s="275"/>
      <c r="G25" s="275"/>
      <c r="H25" s="405"/>
      <c r="I25" s="395"/>
      <c r="J25" s="395"/>
      <c r="K25" s="395"/>
      <c r="L25" s="395"/>
      <c r="M25" s="395"/>
      <c r="N25" s="395"/>
      <c r="O25" s="395"/>
      <c r="P25" s="409">
        <f t="shared" si="0"/>
        <v>0</v>
      </c>
    </row>
    <row r="26" spans="1:16" x14ac:dyDescent="0.35">
      <c r="A26" s="430"/>
      <c r="B26" s="408"/>
      <c r="C26" s="393"/>
      <c r="D26" s="231"/>
      <c r="E26" s="396"/>
      <c r="F26" s="275"/>
      <c r="G26" s="275"/>
      <c r="H26" s="405"/>
      <c r="I26" s="395"/>
      <c r="J26" s="395"/>
      <c r="K26" s="395"/>
      <c r="L26" s="395"/>
      <c r="M26" s="395"/>
      <c r="N26" s="395"/>
      <c r="O26" s="395"/>
      <c r="P26" s="409">
        <f t="shared" si="0"/>
        <v>0</v>
      </c>
    </row>
    <row r="27" spans="1:16" ht="25.5" customHeight="1" x14ac:dyDescent="0.35">
      <c r="A27" s="430"/>
      <c r="B27" s="834" t="s">
        <v>147</v>
      </c>
      <c r="C27" s="835"/>
      <c r="D27" s="835"/>
      <c r="E27" s="835"/>
      <c r="F27" s="835"/>
      <c r="G27" s="835"/>
      <c r="H27" s="835"/>
      <c r="I27" s="835"/>
      <c r="J27" s="835"/>
      <c r="K27" s="835"/>
      <c r="L27" s="835"/>
      <c r="M27" s="835"/>
      <c r="N27" s="835"/>
      <c r="O27" s="835"/>
      <c r="P27" s="836"/>
    </row>
    <row r="28" spans="1:16" x14ac:dyDescent="0.35">
      <c r="A28" s="430"/>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8" x14ac:dyDescent="0.35">
      <c r="A29" s="430"/>
      <c r="B29" s="408">
        <v>8</v>
      </c>
      <c r="C29" s="393" t="s">
        <v>149</v>
      </c>
      <c r="D29" s="231" t="s">
        <v>34</v>
      </c>
      <c r="E29" s="396">
        <v>12</v>
      </c>
      <c r="F29" s="275"/>
      <c r="G29" s="275"/>
      <c r="H29" s="395"/>
      <c r="I29" s="405">
        <v>0.8</v>
      </c>
      <c r="J29" s="405">
        <v>0.2</v>
      </c>
      <c r="K29" s="395"/>
      <c r="L29" s="395"/>
      <c r="M29" s="395"/>
      <c r="N29" s="395"/>
      <c r="O29" s="395"/>
      <c r="P29" s="409">
        <f t="shared" si="0"/>
        <v>1</v>
      </c>
    </row>
    <row r="30" spans="1:16" x14ac:dyDescent="0.35">
      <c r="A30" s="430"/>
      <c r="B30" s="408">
        <v>9</v>
      </c>
      <c r="C30" s="393" t="s">
        <v>150</v>
      </c>
      <c r="D30" s="231" t="s">
        <v>34</v>
      </c>
      <c r="E30" s="396">
        <v>12</v>
      </c>
      <c r="F30" s="275"/>
      <c r="G30" s="275"/>
      <c r="H30" s="395"/>
      <c r="I30" s="405">
        <v>0.5</v>
      </c>
      <c r="J30" s="405">
        <v>0.5</v>
      </c>
      <c r="K30" s="395"/>
      <c r="L30" s="395"/>
      <c r="M30" s="395"/>
      <c r="N30" s="395"/>
      <c r="O30" s="395"/>
      <c r="P30" s="409">
        <f t="shared" si="0"/>
        <v>1</v>
      </c>
    </row>
    <row r="31" spans="1:16" ht="28" x14ac:dyDescent="0.35">
      <c r="A31" s="430"/>
      <c r="B31" s="408">
        <v>10</v>
      </c>
      <c r="C31" s="393" t="s">
        <v>151</v>
      </c>
      <c r="D31" s="231" t="s">
        <v>34</v>
      </c>
      <c r="E31" s="396">
        <v>12</v>
      </c>
      <c r="F31" s="275"/>
      <c r="G31" s="275"/>
      <c r="H31" s="395"/>
      <c r="I31" s="405">
        <v>1</v>
      </c>
      <c r="J31" s="395"/>
      <c r="K31" s="395"/>
      <c r="L31" s="395"/>
      <c r="M31" s="395"/>
      <c r="N31" s="395"/>
      <c r="O31" s="395"/>
      <c r="P31" s="409">
        <f t="shared" si="0"/>
        <v>1</v>
      </c>
    </row>
    <row r="32" spans="1:16" ht="28" x14ac:dyDescent="0.35">
      <c r="A32" s="430"/>
      <c r="B32" s="408">
        <v>11</v>
      </c>
      <c r="C32" s="393" t="s">
        <v>152</v>
      </c>
      <c r="D32" s="231" t="s">
        <v>34</v>
      </c>
      <c r="E32" s="396">
        <v>3</v>
      </c>
      <c r="F32" s="275"/>
      <c r="G32" s="275"/>
      <c r="H32" s="395"/>
      <c r="I32" s="395"/>
      <c r="J32" s="405">
        <v>1</v>
      </c>
      <c r="K32" s="395"/>
      <c r="L32" s="395"/>
      <c r="M32" s="395"/>
      <c r="N32" s="395"/>
      <c r="O32" s="395"/>
      <c r="P32" s="409">
        <f t="shared" si="0"/>
        <v>1</v>
      </c>
    </row>
    <row r="33" spans="1:16" x14ac:dyDescent="0.35">
      <c r="A33" s="430"/>
      <c r="B33" s="410" t="s">
        <v>319</v>
      </c>
      <c r="C33" s="393"/>
      <c r="D33" s="231" t="s">
        <v>254</v>
      </c>
      <c r="E33" s="396"/>
      <c r="F33" s="275"/>
      <c r="G33" s="275"/>
      <c r="H33" s="395"/>
      <c r="I33" s="395"/>
      <c r="J33" s="395"/>
      <c r="K33" s="395"/>
      <c r="L33" s="395"/>
      <c r="M33" s="395"/>
      <c r="N33" s="395"/>
      <c r="O33" s="395"/>
      <c r="P33" s="409">
        <f t="shared" si="0"/>
        <v>0</v>
      </c>
    </row>
    <row r="34" spans="1:16" x14ac:dyDescent="0.35">
      <c r="A34" s="430"/>
      <c r="B34" s="408"/>
      <c r="C34" s="393"/>
      <c r="D34" s="231"/>
      <c r="E34" s="396"/>
      <c r="F34" s="275"/>
      <c r="G34" s="275"/>
      <c r="H34" s="395"/>
      <c r="I34" s="395"/>
      <c r="J34" s="395"/>
      <c r="K34" s="395"/>
      <c r="L34" s="395"/>
      <c r="M34" s="395"/>
      <c r="N34" s="395"/>
      <c r="O34" s="395"/>
      <c r="P34" s="409">
        <f t="shared" si="0"/>
        <v>0</v>
      </c>
    </row>
    <row r="35" spans="1:16" x14ac:dyDescent="0.35">
      <c r="A35" s="430"/>
      <c r="B35" s="408"/>
      <c r="C35" s="393"/>
      <c r="D35" s="231"/>
      <c r="E35" s="396"/>
      <c r="F35" s="275"/>
      <c r="G35" s="275"/>
      <c r="H35" s="395"/>
      <c r="I35" s="395"/>
      <c r="J35" s="395"/>
      <c r="K35" s="395"/>
      <c r="L35" s="395"/>
      <c r="M35" s="395"/>
      <c r="N35" s="395"/>
      <c r="O35" s="395"/>
      <c r="P35" s="409">
        <f t="shared" si="0"/>
        <v>0</v>
      </c>
    </row>
    <row r="36" spans="1:16" x14ac:dyDescent="0.35">
      <c r="A36" s="430"/>
      <c r="B36" s="408"/>
      <c r="C36" s="393"/>
      <c r="D36" s="231"/>
      <c r="E36" s="396"/>
      <c r="F36" s="275"/>
      <c r="G36" s="275"/>
      <c r="H36" s="395"/>
      <c r="I36" s="395"/>
      <c r="J36" s="395"/>
      <c r="K36" s="395"/>
      <c r="L36" s="395"/>
      <c r="M36" s="395"/>
      <c r="N36" s="395"/>
      <c r="O36" s="395"/>
      <c r="P36" s="409">
        <f t="shared" si="0"/>
        <v>0</v>
      </c>
    </row>
    <row r="37" spans="1:16" ht="26.25" customHeight="1" x14ac:dyDescent="0.35">
      <c r="A37" s="430"/>
      <c r="B37" s="834" t="s">
        <v>11</v>
      </c>
      <c r="C37" s="835"/>
      <c r="D37" s="835"/>
      <c r="E37" s="835"/>
      <c r="F37" s="835"/>
      <c r="G37" s="835"/>
      <c r="H37" s="835"/>
      <c r="I37" s="835"/>
      <c r="J37" s="835"/>
      <c r="K37" s="835"/>
      <c r="L37" s="835"/>
      <c r="M37" s="835"/>
      <c r="N37" s="835"/>
      <c r="O37" s="835"/>
      <c r="P37" s="836"/>
    </row>
    <row r="38" spans="1:16" ht="28" x14ac:dyDescent="0.35">
      <c r="A38" s="430"/>
      <c r="B38" s="408">
        <v>12</v>
      </c>
      <c r="C38" s="393" t="s">
        <v>153</v>
      </c>
      <c r="D38" s="231" t="s">
        <v>34</v>
      </c>
      <c r="E38" s="396">
        <v>12</v>
      </c>
      <c r="F38" s="275"/>
      <c r="G38" s="275"/>
      <c r="H38" s="395"/>
      <c r="I38" s="395"/>
      <c r="J38" s="405">
        <v>1</v>
      </c>
      <c r="K38" s="395"/>
      <c r="L38" s="395"/>
      <c r="M38" s="395"/>
      <c r="N38" s="395"/>
      <c r="O38" s="395"/>
      <c r="P38" s="409">
        <f t="shared" si="0"/>
        <v>1</v>
      </c>
    </row>
    <row r="39" spans="1:16" ht="28" x14ac:dyDescent="0.35">
      <c r="A39" s="430"/>
      <c r="B39" s="408">
        <v>13</v>
      </c>
      <c r="C39" s="393" t="s">
        <v>154</v>
      </c>
      <c r="D39" s="231" t="s">
        <v>34</v>
      </c>
      <c r="E39" s="396">
        <v>12</v>
      </c>
      <c r="F39" s="275"/>
      <c r="G39" s="275"/>
      <c r="H39" s="395"/>
      <c r="I39" s="395"/>
      <c r="J39" s="405">
        <v>1</v>
      </c>
      <c r="K39" s="395"/>
      <c r="L39" s="395"/>
      <c r="M39" s="395"/>
      <c r="N39" s="395"/>
      <c r="O39" s="395"/>
      <c r="P39" s="409">
        <f t="shared" si="0"/>
        <v>1</v>
      </c>
    </row>
    <row r="40" spans="1:16" ht="28" x14ac:dyDescent="0.35">
      <c r="A40" s="430"/>
      <c r="B40" s="408">
        <v>14</v>
      </c>
      <c r="C40" s="393" t="s">
        <v>155</v>
      </c>
      <c r="D40" s="231" t="s">
        <v>34</v>
      </c>
      <c r="E40" s="396">
        <v>12</v>
      </c>
      <c r="F40" s="275"/>
      <c r="G40" s="275"/>
      <c r="H40" s="395"/>
      <c r="I40" s="395"/>
      <c r="J40" s="405">
        <v>1</v>
      </c>
      <c r="K40" s="395"/>
      <c r="L40" s="395"/>
      <c r="M40" s="395"/>
      <c r="N40" s="395"/>
      <c r="O40" s="395"/>
      <c r="P40" s="409">
        <f t="shared" si="0"/>
        <v>1</v>
      </c>
    </row>
    <row r="41" spans="1:16" x14ac:dyDescent="0.35">
      <c r="A41" s="430"/>
      <c r="B41" s="410" t="s">
        <v>319</v>
      </c>
      <c r="C41" s="393"/>
      <c r="D41" s="231" t="s">
        <v>254</v>
      </c>
      <c r="E41" s="396"/>
      <c r="F41" s="275"/>
      <c r="G41" s="275"/>
      <c r="H41" s="395"/>
      <c r="I41" s="395"/>
      <c r="J41" s="395"/>
      <c r="K41" s="395"/>
      <c r="L41" s="395"/>
      <c r="M41" s="395"/>
      <c r="N41" s="395"/>
      <c r="O41" s="395"/>
      <c r="P41" s="409">
        <f t="shared" si="0"/>
        <v>0</v>
      </c>
    </row>
    <row r="42" spans="1:16" x14ac:dyDescent="0.35">
      <c r="A42" s="430"/>
      <c r="B42" s="408"/>
      <c r="C42" s="393"/>
      <c r="D42" s="231"/>
      <c r="E42" s="396"/>
      <c r="F42" s="275"/>
      <c r="G42" s="275"/>
      <c r="H42" s="395"/>
      <c r="I42" s="395"/>
      <c r="J42" s="395"/>
      <c r="K42" s="395"/>
      <c r="L42" s="395"/>
      <c r="M42" s="395"/>
      <c r="N42" s="395"/>
      <c r="O42" s="395"/>
      <c r="P42" s="409">
        <f t="shared" si="0"/>
        <v>0</v>
      </c>
    </row>
    <row r="43" spans="1:16" x14ac:dyDescent="0.35">
      <c r="A43" s="430"/>
      <c r="B43" s="408"/>
      <c r="C43" s="393"/>
      <c r="D43" s="231"/>
      <c r="E43" s="396"/>
      <c r="F43" s="275"/>
      <c r="G43" s="275"/>
      <c r="H43" s="395"/>
      <c r="I43" s="395"/>
      <c r="J43" s="395"/>
      <c r="K43" s="395"/>
      <c r="L43" s="395"/>
      <c r="M43" s="395"/>
      <c r="N43" s="395"/>
      <c r="O43" s="395"/>
      <c r="P43" s="409">
        <f t="shared" si="0"/>
        <v>0</v>
      </c>
    </row>
    <row r="44" spans="1:16" x14ac:dyDescent="0.35">
      <c r="A44" s="430"/>
      <c r="B44" s="408"/>
      <c r="C44" s="393"/>
      <c r="D44" s="231"/>
      <c r="E44" s="396"/>
      <c r="F44" s="275"/>
      <c r="G44" s="275"/>
      <c r="H44" s="395"/>
      <c r="I44" s="395"/>
      <c r="J44" s="395"/>
      <c r="K44" s="395"/>
      <c r="L44" s="395"/>
      <c r="M44" s="395"/>
      <c r="N44" s="395"/>
      <c r="O44" s="395"/>
      <c r="P44" s="409">
        <f t="shared" si="0"/>
        <v>0</v>
      </c>
    </row>
    <row r="45" spans="1:16" ht="24" customHeight="1" x14ac:dyDescent="0.35">
      <c r="A45" s="430"/>
      <c r="B45" s="834" t="s">
        <v>156</v>
      </c>
      <c r="C45" s="835"/>
      <c r="D45" s="835"/>
      <c r="E45" s="835"/>
      <c r="F45" s="835"/>
      <c r="G45" s="835"/>
      <c r="H45" s="835"/>
      <c r="I45" s="835"/>
      <c r="J45" s="835"/>
      <c r="K45" s="835"/>
      <c r="L45" s="835"/>
      <c r="M45" s="835"/>
      <c r="N45" s="835"/>
      <c r="O45" s="835"/>
      <c r="P45" s="836"/>
    </row>
    <row r="46" spans="1:16" x14ac:dyDescent="0.35">
      <c r="A46" s="430"/>
      <c r="B46" s="408">
        <v>15</v>
      </c>
      <c r="C46" s="393" t="s">
        <v>157</v>
      </c>
      <c r="D46" s="231" t="s">
        <v>34</v>
      </c>
      <c r="E46" s="396"/>
      <c r="F46" s="275"/>
      <c r="G46" s="275"/>
      <c r="H46" s="405">
        <v>1</v>
      </c>
      <c r="I46" s="395"/>
      <c r="J46" s="395"/>
      <c r="K46" s="395"/>
      <c r="L46" s="395"/>
      <c r="M46" s="395"/>
      <c r="N46" s="395"/>
      <c r="O46" s="395"/>
      <c r="P46" s="409">
        <f t="shared" si="0"/>
        <v>1</v>
      </c>
    </row>
    <row r="47" spans="1:16" x14ac:dyDescent="0.35">
      <c r="A47" s="430"/>
      <c r="B47" s="410" t="s">
        <v>319</v>
      </c>
      <c r="C47" s="393"/>
      <c r="D47" s="231" t="s">
        <v>254</v>
      </c>
      <c r="E47" s="396"/>
      <c r="F47" s="275"/>
      <c r="G47" s="275"/>
      <c r="H47" s="405"/>
      <c r="I47" s="395"/>
      <c r="J47" s="395"/>
      <c r="K47" s="395"/>
      <c r="L47" s="395"/>
      <c r="M47" s="395"/>
      <c r="N47" s="395"/>
      <c r="O47" s="395"/>
      <c r="P47" s="409">
        <f t="shared" si="0"/>
        <v>0</v>
      </c>
    </row>
    <row r="48" spans="1:16" x14ac:dyDescent="0.35">
      <c r="A48" s="430"/>
      <c r="B48" s="408"/>
      <c r="C48" s="393"/>
      <c r="D48" s="231"/>
      <c r="E48" s="396"/>
      <c r="F48" s="275"/>
      <c r="G48" s="275"/>
      <c r="H48" s="405"/>
      <c r="I48" s="395"/>
      <c r="J48" s="395"/>
      <c r="K48" s="395"/>
      <c r="L48" s="395"/>
      <c r="M48" s="395"/>
      <c r="N48" s="395"/>
      <c r="O48" s="395"/>
      <c r="P48" s="409">
        <f t="shared" si="0"/>
        <v>0</v>
      </c>
    </row>
    <row r="49" spans="1:16" x14ac:dyDescent="0.35">
      <c r="A49" s="430"/>
      <c r="B49" s="408"/>
      <c r="C49" s="393"/>
      <c r="D49" s="231"/>
      <c r="E49" s="396"/>
      <c r="F49" s="275"/>
      <c r="G49" s="275"/>
      <c r="H49" s="405"/>
      <c r="I49" s="395"/>
      <c r="J49" s="395"/>
      <c r="K49" s="395"/>
      <c r="L49" s="395"/>
      <c r="M49" s="395"/>
      <c r="N49" s="395"/>
      <c r="O49" s="395"/>
      <c r="P49" s="409"/>
    </row>
    <row r="50" spans="1:16" x14ac:dyDescent="0.35">
      <c r="A50" s="430"/>
      <c r="B50" s="408"/>
      <c r="C50" s="393"/>
      <c r="D50" s="231"/>
      <c r="E50" s="396"/>
      <c r="F50" s="275"/>
      <c r="G50" s="275"/>
      <c r="H50" s="405"/>
      <c r="I50" s="395"/>
      <c r="J50" s="395"/>
      <c r="K50" s="395"/>
      <c r="L50" s="395"/>
      <c r="M50" s="395"/>
      <c r="N50" s="395"/>
      <c r="O50" s="395"/>
      <c r="P50" s="409">
        <f t="shared" si="0"/>
        <v>0</v>
      </c>
    </row>
    <row r="51" spans="1:16" ht="21" customHeight="1" x14ac:dyDescent="0.35">
      <c r="A51" s="429"/>
      <c r="B51" s="834" t="s">
        <v>158</v>
      </c>
      <c r="C51" s="835"/>
      <c r="D51" s="835"/>
      <c r="E51" s="835"/>
      <c r="F51" s="835"/>
      <c r="G51" s="835"/>
      <c r="H51" s="835"/>
      <c r="I51" s="835"/>
      <c r="J51" s="835"/>
      <c r="K51" s="835"/>
      <c r="L51" s="835"/>
      <c r="M51" s="835"/>
      <c r="N51" s="835"/>
      <c r="O51" s="835"/>
      <c r="P51" s="836"/>
    </row>
    <row r="52" spans="1:16" x14ac:dyDescent="0.35">
      <c r="A52" s="430"/>
      <c r="B52" s="408">
        <v>16</v>
      </c>
      <c r="C52" s="393" t="s">
        <v>159</v>
      </c>
      <c r="D52" s="231" t="s">
        <v>34</v>
      </c>
      <c r="E52" s="396"/>
      <c r="F52" s="275"/>
      <c r="G52" s="275"/>
      <c r="H52" s="395"/>
      <c r="I52" s="395"/>
      <c r="J52" s="395"/>
      <c r="K52" s="395"/>
      <c r="L52" s="395"/>
      <c r="M52" s="395"/>
      <c r="N52" s="395"/>
      <c r="O52" s="395"/>
      <c r="P52" s="409">
        <f t="shared" si="0"/>
        <v>0</v>
      </c>
    </row>
    <row r="53" spans="1:16" x14ac:dyDescent="0.35">
      <c r="A53" s="430"/>
      <c r="B53" s="408">
        <v>17</v>
      </c>
      <c r="C53" s="393" t="s">
        <v>160</v>
      </c>
      <c r="D53" s="231" t="s">
        <v>34</v>
      </c>
      <c r="E53" s="396"/>
      <c r="F53" s="275"/>
      <c r="G53" s="275"/>
      <c r="H53" s="395"/>
      <c r="I53" s="395"/>
      <c r="J53" s="395"/>
      <c r="K53" s="395"/>
      <c r="L53" s="395"/>
      <c r="M53" s="395"/>
      <c r="N53" s="395"/>
      <c r="O53" s="395"/>
      <c r="P53" s="409">
        <f t="shared" si="0"/>
        <v>0</v>
      </c>
    </row>
    <row r="54" spans="1:16" x14ac:dyDescent="0.35">
      <c r="A54" s="430"/>
      <c r="B54" s="408">
        <v>18</v>
      </c>
      <c r="C54" s="393" t="s">
        <v>161</v>
      </c>
      <c r="D54" s="231" t="s">
        <v>34</v>
      </c>
      <c r="E54" s="396"/>
      <c r="F54" s="275"/>
      <c r="G54" s="275"/>
      <c r="H54" s="395"/>
      <c r="I54" s="395"/>
      <c r="J54" s="395"/>
      <c r="K54" s="395"/>
      <c r="L54" s="395"/>
      <c r="M54" s="395"/>
      <c r="N54" s="395"/>
      <c r="O54" s="395"/>
      <c r="P54" s="409">
        <f t="shared" si="0"/>
        <v>0</v>
      </c>
    </row>
    <row r="55" spans="1:16" x14ac:dyDescent="0.35">
      <c r="A55" s="430"/>
      <c r="B55" s="408">
        <v>19</v>
      </c>
      <c r="C55" s="393" t="s">
        <v>162</v>
      </c>
      <c r="D55" s="231" t="s">
        <v>34</v>
      </c>
      <c r="E55" s="396"/>
      <c r="F55" s="275"/>
      <c r="G55" s="275"/>
      <c r="H55" s="395"/>
      <c r="I55" s="395"/>
      <c r="J55" s="395"/>
      <c r="K55" s="395"/>
      <c r="L55" s="395"/>
      <c r="M55" s="395"/>
      <c r="N55" s="395"/>
      <c r="O55" s="395"/>
      <c r="P55" s="409">
        <f t="shared" si="0"/>
        <v>0</v>
      </c>
    </row>
    <row r="56" spans="1:16" x14ac:dyDescent="0.35">
      <c r="A56" s="430"/>
      <c r="B56" s="410" t="s">
        <v>319</v>
      </c>
      <c r="C56" s="393"/>
      <c r="D56" s="231" t="s">
        <v>254</v>
      </c>
      <c r="E56" s="396"/>
      <c r="F56" s="275"/>
      <c r="G56" s="275"/>
      <c r="H56" s="395"/>
      <c r="I56" s="395"/>
      <c r="J56" s="395"/>
      <c r="K56" s="395"/>
      <c r="L56" s="395"/>
      <c r="M56" s="395"/>
      <c r="N56" s="395"/>
      <c r="O56" s="395"/>
      <c r="P56" s="409">
        <f t="shared" si="0"/>
        <v>0</v>
      </c>
    </row>
    <row r="57" spans="1:16" x14ac:dyDescent="0.35">
      <c r="A57" s="430"/>
      <c r="B57" s="410"/>
      <c r="C57" s="393"/>
      <c r="D57" s="231"/>
      <c r="E57" s="396"/>
      <c r="F57" s="275"/>
      <c r="G57" s="275"/>
      <c r="H57" s="395"/>
      <c r="I57" s="395"/>
      <c r="J57" s="395"/>
      <c r="K57" s="395"/>
      <c r="L57" s="395"/>
      <c r="M57" s="395"/>
      <c r="N57" s="395"/>
      <c r="O57" s="395"/>
      <c r="P57" s="409"/>
    </row>
    <row r="58" spans="1:16" x14ac:dyDescent="0.35">
      <c r="A58" s="430"/>
      <c r="B58" s="410"/>
      <c r="C58" s="393"/>
      <c r="D58" s="231"/>
      <c r="E58" s="396"/>
      <c r="F58" s="275"/>
      <c r="G58" s="275"/>
      <c r="H58" s="395"/>
      <c r="I58" s="395"/>
      <c r="J58" s="395"/>
      <c r="K58" s="395"/>
      <c r="L58" s="395"/>
      <c r="M58" s="395"/>
      <c r="N58" s="395"/>
      <c r="O58" s="395"/>
      <c r="P58" s="409"/>
    </row>
    <row r="59" spans="1:16" x14ac:dyDescent="0.35">
      <c r="A59" s="429"/>
      <c r="B59" s="411"/>
      <c r="C59" s="397"/>
      <c r="D59" s="398"/>
      <c r="E59" s="398"/>
      <c r="F59" s="275"/>
      <c r="G59" s="275"/>
      <c r="H59" s="399"/>
      <c r="I59" s="399"/>
      <c r="J59" s="399"/>
      <c r="K59" s="399"/>
      <c r="L59" s="399"/>
      <c r="M59" s="399"/>
      <c r="N59" s="399"/>
      <c r="O59" s="399"/>
      <c r="P59" s="409"/>
    </row>
    <row r="60" spans="1:16" ht="27" customHeight="1" x14ac:dyDescent="0.35">
      <c r="B60" s="842" t="s">
        <v>163</v>
      </c>
      <c r="C60" s="843"/>
      <c r="D60" s="843"/>
      <c r="E60" s="843"/>
      <c r="F60" s="843"/>
      <c r="G60" s="843"/>
      <c r="H60" s="843"/>
      <c r="I60" s="843"/>
      <c r="J60" s="843"/>
      <c r="K60" s="843"/>
      <c r="L60" s="843"/>
      <c r="M60" s="843"/>
      <c r="N60" s="843"/>
      <c r="O60" s="843"/>
      <c r="P60" s="844"/>
    </row>
    <row r="61" spans="1:16" ht="16.5" x14ac:dyDescent="0.35">
      <c r="B61" s="412"/>
      <c r="C61" s="393"/>
      <c r="D61" s="396"/>
      <c r="E61" s="396"/>
      <c r="F61" s="392"/>
      <c r="G61" s="392"/>
      <c r="H61" s="392"/>
      <c r="I61" s="392"/>
      <c r="J61" s="392"/>
      <c r="K61" s="392"/>
      <c r="L61" s="392"/>
      <c r="M61" s="392"/>
      <c r="N61" s="392"/>
      <c r="O61" s="392"/>
      <c r="P61" s="413"/>
    </row>
    <row r="62" spans="1:16" ht="25.5" customHeight="1" x14ac:dyDescent="0.35">
      <c r="A62" s="430"/>
      <c r="B62" s="837" t="s">
        <v>164</v>
      </c>
      <c r="C62" s="806"/>
      <c r="D62" s="806"/>
      <c r="E62" s="806"/>
      <c r="F62" s="806"/>
      <c r="G62" s="806"/>
      <c r="H62" s="806"/>
      <c r="I62" s="806"/>
      <c r="J62" s="806"/>
      <c r="K62" s="806"/>
      <c r="L62" s="806"/>
      <c r="M62" s="806"/>
      <c r="N62" s="806"/>
      <c r="O62" s="806"/>
      <c r="P62" s="838"/>
    </row>
    <row r="63" spans="1:16" x14ac:dyDescent="0.35">
      <c r="A63" s="430"/>
      <c r="B63" s="408">
        <v>21</v>
      </c>
      <c r="C63" s="393" t="s">
        <v>165</v>
      </c>
      <c r="D63" s="231" t="s">
        <v>34</v>
      </c>
      <c r="E63" s="396"/>
      <c r="F63" s="275"/>
      <c r="G63" s="275"/>
      <c r="H63" s="405">
        <v>1</v>
      </c>
      <c r="I63" s="395"/>
      <c r="J63" s="395"/>
      <c r="K63" s="395"/>
      <c r="L63" s="395"/>
      <c r="M63" s="395"/>
      <c r="N63" s="395"/>
      <c r="O63" s="395"/>
      <c r="P63" s="409">
        <f t="shared" si="0"/>
        <v>1</v>
      </c>
    </row>
    <row r="64" spans="1:16" x14ac:dyDescent="0.35">
      <c r="A64" s="430"/>
      <c r="B64" s="408">
        <v>22</v>
      </c>
      <c r="C64" s="393" t="s">
        <v>166</v>
      </c>
      <c r="D64" s="231" t="s">
        <v>34</v>
      </c>
      <c r="E64" s="396"/>
      <c r="F64" s="275"/>
      <c r="G64" s="275"/>
      <c r="H64" s="405">
        <v>1</v>
      </c>
      <c r="I64" s="395"/>
      <c r="J64" s="395"/>
      <c r="K64" s="395"/>
      <c r="L64" s="395"/>
      <c r="M64" s="395"/>
      <c r="N64" s="395"/>
      <c r="O64" s="395"/>
      <c r="P64" s="409">
        <f t="shared" si="0"/>
        <v>1</v>
      </c>
    </row>
    <row r="65" spans="1:16" x14ac:dyDescent="0.35">
      <c r="A65" s="430"/>
      <c r="B65" s="408">
        <v>23</v>
      </c>
      <c r="C65" s="393" t="s">
        <v>167</v>
      </c>
      <c r="D65" s="231" t="s">
        <v>34</v>
      </c>
      <c r="E65" s="396"/>
      <c r="F65" s="275"/>
      <c r="G65" s="275"/>
      <c r="H65" s="405">
        <v>1</v>
      </c>
      <c r="I65" s="395"/>
      <c r="J65" s="395"/>
      <c r="K65" s="395"/>
      <c r="L65" s="395"/>
      <c r="M65" s="395"/>
      <c r="N65" s="395"/>
      <c r="O65" s="395"/>
      <c r="P65" s="409">
        <f t="shared" si="0"/>
        <v>1</v>
      </c>
    </row>
    <row r="66" spans="1:16" x14ac:dyDescent="0.35">
      <c r="A66" s="430"/>
      <c r="B66" s="408">
        <v>24</v>
      </c>
      <c r="C66" s="393" t="s">
        <v>168</v>
      </c>
      <c r="D66" s="231" t="s">
        <v>34</v>
      </c>
      <c r="E66" s="396"/>
      <c r="F66" s="275"/>
      <c r="G66" s="275"/>
      <c r="H66" s="405">
        <v>1</v>
      </c>
      <c r="I66" s="395"/>
      <c r="J66" s="395"/>
      <c r="K66" s="395"/>
      <c r="L66" s="395"/>
      <c r="M66" s="395"/>
      <c r="N66" s="395"/>
      <c r="O66" s="395"/>
      <c r="P66" s="409">
        <f t="shared" si="0"/>
        <v>1</v>
      </c>
    </row>
    <row r="67" spans="1:16" x14ac:dyDescent="0.35">
      <c r="A67" s="430"/>
      <c r="B67" s="410" t="s">
        <v>319</v>
      </c>
      <c r="C67" s="393"/>
      <c r="D67" s="231" t="s">
        <v>254</v>
      </c>
      <c r="E67" s="396"/>
      <c r="F67" s="275"/>
      <c r="G67" s="275"/>
      <c r="H67" s="405"/>
      <c r="I67" s="395"/>
      <c r="J67" s="395"/>
      <c r="K67" s="395"/>
      <c r="L67" s="395"/>
      <c r="M67" s="395"/>
      <c r="N67" s="395"/>
      <c r="O67" s="395"/>
      <c r="P67" s="409"/>
    </row>
    <row r="68" spans="1:16" x14ac:dyDescent="0.35">
      <c r="A68" s="430"/>
      <c r="B68" s="408"/>
      <c r="C68" s="393"/>
      <c r="D68" s="231"/>
      <c r="E68" s="396"/>
      <c r="F68" s="275"/>
      <c r="G68" s="275"/>
      <c r="H68" s="405"/>
      <c r="I68" s="395"/>
      <c r="J68" s="395"/>
      <c r="K68" s="395"/>
      <c r="L68" s="395"/>
      <c r="M68" s="395"/>
      <c r="N68" s="395"/>
      <c r="O68" s="395"/>
      <c r="P68" s="409"/>
    </row>
    <row r="69" spans="1:16" x14ac:dyDescent="0.35">
      <c r="A69" s="430"/>
      <c r="B69" s="408"/>
      <c r="C69" s="393"/>
      <c r="D69" s="231"/>
      <c r="E69" s="396"/>
      <c r="F69" s="275"/>
      <c r="G69" s="275"/>
      <c r="H69" s="405"/>
      <c r="I69" s="395"/>
      <c r="J69" s="395"/>
      <c r="K69" s="395"/>
      <c r="L69" s="395"/>
      <c r="M69" s="395"/>
      <c r="N69" s="395"/>
      <c r="O69" s="395"/>
      <c r="P69" s="409"/>
    </row>
    <row r="70" spans="1:16" x14ac:dyDescent="0.35">
      <c r="A70" s="430"/>
      <c r="B70" s="408"/>
      <c r="C70" s="393"/>
      <c r="D70" s="231"/>
      <c r="E70" s="396"/>
      <c r="F70" s="275"/>
      <c r="G70" s="275"/>
      <c r="H70" s="395"/>
      <c r="I70" s="395"/>
      <c r="J70" s="395"/>
      <c r="K70" s="395"/>
      <c r="L70" s="395"/>
      <c r="M70" s="395"/>
      <c r="N70" s="395"/>
      <c r="O70" s="395"/>
      <c r="P70" s="409">
        <f t="shared" si="0"/>
        <v>0</v>
      </c>
    </row>
    <row r="71" spans="1:16" ht="28.5" customHeight="1" x14ac:dyDescent="0.35">
      <c r="A71" s="430"/>
      <c r="B71" s="837" t="s">
        <v>169</v>
      </c>
      <c r="C71" s="806"/>
      <c r="D71" s="806"/>
      <c r="E71" s="806"/>
      <c r="F71" s="806"/>
      <c r="G71" s="806"/>
      <c r="H71" s="806"/>
      <c r="I71" s="806"/>
      <c r="J71" s="806"/>
      <c r="K71" s="806"/>
      <c r="L71" s="806"/>
      <c r="M71" s="806"/>
      <c r="N71" s="806"/>
      <c r="O71" s="806"/>
      <c r="P71" s="838"/>
    </row>
    <row r="72" spans="1:16" x14ac:dyDescent="0.35">
      <c r="A72" s="430"/>
      <c r="B72" s="408">
        <v>25</v>
      </c>
      <c r="C72" s="393" t="s">
        <v>170</v>
      </c>
      <c r="D72" s="231" t="s">
        <v>34</v>
      </c>
      <c r="E72" s="396"/>
      <c r="F72" s="275"/>
      <c r="G72" s="275"/>
      <c r="H72" s="395"/>
      <c r="I72" s="405">
        <v>1</v>
      </c>
      <c r="J72" s="395"/>
      <c r="K72" s="395"/>
      <c r="L72" s="395"/>
      <c r="M72" s="395"/>
      <c r="N72" s="395"/>
      <c r="O72" s="395"/>
      <c r="P72" s="409">
        <f t="shared" si="0"/>
        <v>1</v>
      </c>
    </row>
    <row r="73" spans="1:16" x14ac:dyDescent="0.35">
      <c r="A73" s="430"/>
      <c r="B73" s="408">
        <v>26</v>
      </c>
      <c r="C73" s="393" t="s">
        <v>171</v>
      </c>
      <c r="D73" s="231" t="s">
        <v>34</v>
      </c>
      <c r="E73" s="396"/>
      <c r="F73" s="275"/>
      <c r="G73" s="275"/>
      <c r="H73" s="395"/>
      <c r="I73" s="405">
        <v>1</v>
      </c>
      <c r="J73" s="395"/>
      <c r="K73" s="395"/>
      <c r="L73" s="395"/>
      <c r="M73" s="395"/>
      <c r="N73" s="395"/>
      <c r="O73" s="395"/>
      <c r="P73" s="409">
        <f t="shared" si="0"/>
        <v>1</v>
      </c>
    </row>
    <row r="74" spans="1:16" ht="28" x14ac:dyDescent="0.35">
      <c r="A74" s="430"/>
      <c r="B74" s="408">
        <v>27</v>
      </c>
      <c r="C74" s="393" t="s">
        <v>172</v>
      </c>
      <c r="D74" s="231" t="s">
        <v>34</v>
      </c>
      <c r="E74" s="396"/>
      <c r="F74" s="275"/>
      <c r="G74" s="275"/>
      <c r="H74" s="395"/>
      <c r="I74" s="405">
        <v>0.8</v>
      </c>
      <c r="J74" s="405">
        <v>0.2</v>
      </c>
      <c r="K74" s="395"/>
      <c r="L74" s="395"/>
      <c r="M74" s="395"/>
      <c r="N74" s="395"/>
      <c r="O74" s="395"/>
      <c r="P74" s="409">
        <f t="shared" si="0"/>
        <v>1</v>
      </c>
    </row>
    <row r="75" spans="1:16" ht="28" x14ac:dyDescent="0.35">
      <c r="A75" s="430"/>
      <c r="B75" s="408">
        <v>28</v>
      </c>
      <c r="C75" s="393" t="s">
        <v>173</v>
      </c>
      <c r="D75" s="231" t="s">
        <v>34</v>
      </c>
      <c r="E75" s="396"/>
      <c r="F75" s="275"/>
      <c r="G75" s="275"/>
      <c r="H75" s="395"/>
      <c r="I75" s="395"/>
      <c r="J75" s="395"/>
      <c r="K75" s="395"/>
      <c r="L75" s="395"/>
      <c r="M75" s="395"/>
      <c r="N75" s="395"/>
      <c r="O75" s="395"/>
      <c r="P75" s="409">
        <f t="shared" si="0"/>
        <v>0</v>
      </c>
    </row>
    <row r="76" spans="1:16" ht="28" x14ac:dyDescent="0.35">
      <c r="A76" s="430"/>
      <c r="B76" s="408">
        <v>29</v>
      </c>
      <c r="C76" s="393" t="s">
        <v>174</v>
      </c>
      <c r="D76" s="231" t="s">
        <v>34</v>
      </c>
      <c r="E76" s="396"/>
      <c r="F76" s="275"/>
      <c r="G76" s="275"/>
      <c r="H76" s="395"/>
      <c r="I76" s="395"/>
      <c r="J76" s="395"/>
      <c r="K76" s="395"/>
      <c r="L76" s="395"/>
      <c r="M76" s="395"/>
      <c r="N76" s="395"/>
      <c r="O76" s="395"/>
      <c r="P76" s="409">
        <f t="shared" si="0"/>
        <v>0</v>
      </c>
    </row>
    <row r="77" spans="1:16" ht="28" x14ac:dyDescent="0.35">
      <c r="A77" s="430"/>
      <c r="B77" s="408">
        <v>30</v>
      </c>
      <c r="C77" s="393" t="s">
        <v>175</v>
      </c>
      <c r="D77" s="231" t="s">
        <v>34</v>
      </c>
      <c r="E77" s="396"/>
      <c r="F77" s="275"/>
      <c r="G77" s="275"/>
      <c r="H77" s="395"/>
      <c r="I77" s="395"/>
      <c r="J77" s="395"/>
      <c r="K77" s="395"/>
      <c r="L77" s="395"/>
      <c r="M77" s="395"/>
      <c r="N77" s="395"/>
      <c r="O77" s="395"/>
      <c r="P77" s="409">
        <f t="shared" si="0"/>
        <v>0</v>
      </c>
    </row>
    <row r="78" spans="1:16" x14ac:dyDescent="0.35">
      <c r="A78" s="430"/>
      <c r="B78" s="408">
        <v>31</v>
      </c>
      <c r="C78" s="393" t="s">
        <v>176</v>
      </c>
      <c r="D78" s="231" t="s">
        <v>34</v>
      </c>
      <c r="E78" s="396"/>
      <c r="F78" s="275"/>
      <c r="G78" s="275"/>
      <c r="H78" s="395"/>
      <c r="I78" s="395"/>
      <c r="J78" s="395"/>
      <c r="K78" s="395"/>
      <c r="L78" s="395"/>
      <c r="M78" s="395"/>
      <c r="N78" s="395"/>
      <c r="O78" s="395"/>
      <c r="P78" s="409">
        <f t="shared" si="0"/>
        <v>0</v>
      </c>
    </row>
    <row r="79" spans="1:16" x14ac:dyDescent="0.35">
      <c r="A79" s="430"/>
      <c r="B79" s="408">
        <v>32</v>
      </c>
      <c r="C79" s="393" t="s">
        <v>177</v>
      </c>
      <c r="D79" s="231" t="s">
        <v>34</v>
      </c>
      <c r="E79" s="396"/>
      <c r="F79" s="275"/>
      <c r="G79" s="275"/>
      <c r="H79" s="395"/>
      <c r="I79" s="395"/>
      <c r="J79" s="395"/>
      <c r="K79" s="395"/>
      <c r="L79" s="395"/>
      <c r="M79" s="395"/>
      <c r="N79" s="395"/>
      <c r="O79" s="395"/>
      <c r="P79" s="409">
        <f t="shared" si="0"/>
        <v>0</v>
      </c>
    </row>
    <row r="80" spans="1:16" x14ac:dyDescent="0.35">
      <c r="A80" s="430"/>
      <c r="B80" s="410" t="s">
        <v>319</v>
      </c>
      <c r="C80" s="393"/>
      <c r="D80" s="231" t="s">
        <v>254</v>
      </c>
      <c r="E80" s="396"/>
      <c r="F80" s="275"/>
      <c r="G80" s="275"/>
      <c r="H80" s="395"/>
      <c r="I80" s="395"/>
      <c r="J80" s="395"/>
      <c r="K80" s="395"/>
      <c r="L80" s="395"/>
      <c r="M80" s="395"/>
      <c r="N80" s="395"/>
      <c r="O80" s="395"/>
      <c r="P80" s="409"/>
    </row>
    <row r="81" spans="1:16" x14ac:dyDescent="0.35">
      <c r="A81" s="430"/>
      <c r="B81" s="408"/>
      <c r="C81" s="393"/>
      <c r="D81" s="231"/>
      <c r="E81" s="396"/>
      <c r="F81" s="275"/>
      <c r="G81" s="275"/>
      <c r="H81" s="395"/>
      <c r="I81" s="395"/>
      <c r="J81" s="395"/>
      <c r="K81" s="395"/>
      <c r="L81" s="395"/>
      <c r="M81" s="395"/>
      <c r="N81" s="395"/>
      <c r="O81" s="395"/>
      <c r="P81" s="409"/>
    </row>
    <row r="82" spans="1:16" x14ac:dyDescent="0.35">
      <c r="A82" s="430"/>
      <c r="B82" s="408"/>
      <c r="C82" s="393"/>
      <c r="D82" s="231"/>
      <c r="E82" s="396"/>
      <c r="F82" s="275"/>
      <c r="G82" s="275"/>
      <c r="H82" s="395"/>
      <c r="I82" s="395"/>
      <c r="J82" s="395"/>
      <c r="K82" s="395"/>
      <c r="L82" s="395"/>
      <c r="M82" s="395"/>
      <c r="N82" s="395"/>
      <c r="O82" s="395"/>
      <c r="P82" s="409"/>
    </row>
    <row r="83" spans="1:16" x14ac:dyDescent="0.35">
      <c r="A83" s="430"/>
      <c r="B83" s="408"/>
      <c r="C83" s="393"/>
      <c r="D83" s="231"/>
      <c r="E83" s="396"/>
      <c r="F83" s="275"/>
      <c r="G83" s="275"/>
      <c r="H83" s="395"/>
      <c r="I83" s="395"/>
      <c r="J83" s="395"/>
      <c r="K83" s="395"/>
      <c r="L83" s="395"/>
      <c r="M83" s="395"/>
      <c r="N83" s="395"/>
      <c r="O83" s="395"/>
      <c r="P83" s="409">
        <f t="shared" ref="P83:P106" si="1">SUM(H83:O83)</f>
        <v>0</v>
      </c>
    </row>
    <row r="84" spans="1:16" ht="25.5" customHeight="1" x14ac:dyDescent="0.35">
      <c r="A84" s="430"/>
      <c r="B84" s="837" t="s">
        <v>178</v>
      </c>
      <c r="C84" s="806"/>
      <c r="D84" s="806"/>
      <c r="E84" s="806"/>
      <c r="F84" s="806"/>
      <c r="G84" s="806"/>
      <c r="H84" s="806"/>
      <c r="I84" s="806"/>
      <c r="J84" s="806"/>
      <c r="K84" s="806"/>
      <c r="L84" s="806"/>
      <c r="M84" s="806"/>
      <c r="N84" s="806"/>
      <c r="O84" s="806"/>
      <c r="P84" s="838"/>
    </row>
    <row r="85" spans="1:16" x14ac:dyDescent="0.35">
      <c r="A85" s="430"/>
      <c r="B85" s="408">
        <v>33</v>
      </c>
      <c r="C85" s="393" t="s">
        <v>179</v>
      </c>
      <c r="D85" s="231" t="s">
        <v>34</v>
      </c>
      <c r="E85" s="396"/>
      <c r="F85" s="275"/>
      <c r="G85" s="275"/>
      <c r="H85" s="401"/>
      <c r="I85" s="401"/>
      <c r="J85" s="401"/>
      <c r="K85" s="401"/>
      <c r="L85" s="401"/>
      <c r="M85" s="401"/>
      <c r="N85" s="401"/>
      <c r="O85" s="401"/>
      <c r="P85" s="409">
        <f t="shared" si="1"/>
        <v>0</v>
      </c>
    </row>
    <row r="86" spans="1:16" x14ac:dyDescent="0.35">
      <c r="A86" s="430"/>
      <c r="B86" s="408">
        <v>34</v>
      </c>
      <c r="C86" s="393" t="s">
        <v>180</v>
      </c>
      <c r="D86" s="231" t="s">
        <v>34</v>
      </c>
      <c r="E86" s="396"/>
      <c r="F86" s="275"/>
      <c r="G86" s="275"/>
      <c r="H86" s="401"/>
      <c r="I86" s="401"/>
      <c r="J86" s="401"/>
      <c r="K86" s="401"/>
      <c r="L86" s="401"/>
      <c r="M86" s="401"/>
      <c r="N86" s="401"/>
      <c r="O86" s="401"/>
      <c r="P86" s="409">
        <f t="shared" si="1"/>
        <v>0</v>
      </c>
    </row>
    <row r="87" spans="1:16" x14ac:dyDescent="0.35">
      <c r="A87" s="430"/>
      <c r="B87" s="408">
        <v>35</v>
      </c>
      <c r="C87" s="393" t="s">
        <v>181</v>
      </c>
      <c r="D87" s="231" t="s">
        <v>34</v>
      </c>
      <c r="E87" s="396"/>
      <c r="F87" s="275"/>
      <c r="G87" s="275"/>
      <c r="H87" s="401"/>
      <c r="I87" s="401"/>
      <c r="J87" s="401"/>
      <c r="K87" s="401"/>
      <c r="L87" s="401"/>
      <c r="M87" s="401"/>
      <c r="N87" s="401"/>
      <c r="O87" s="401"/>
      <c r="P87" s="409">
        <f t="shared" si="1"/>
        <v>0</v>
      </c>
    </row>
    <row r="88" spans="1:16" x14ac:dyDescent="0.35">
      <c r="A88" s="430"/>
      <c r="B88" s="410" t="s">
        <v>319</v>
      </c>
      <c r="C88" s="393"/>
      <c r="D88" s="231" t="s">
        <v>254</v>
      </c>
      <c r="E88" s="396"/>
      <c r="F88" s="275"/>
      <c r="G88" s="275"/>
      <c r="H88" s="401"/>
      <c r="I88" s="401"/>
      <c r="J88" s="401"/>
      <c r="K88" s="401"/>
      <c r="L88" s="401"/>
      <c r="M88" s="401"/>
      <c r="N88" s="401"/>
      <c r="O88" s="401"/>
      <c r="P88" s="409"/>
    </row>
    <row r="89" spans="1:16" x14ac:dyDescent="0.35">
      <c r="A89" s="430"/>
      <c r="B89" s="408"/>
      <c r="C89" s="393"/>
      <c r="D89" s="231"/>
      <c r="E89" s="396"/>
      <c r="F89" s="275"/>
      <c r="G89" s="275"/>
      <c r="H89" s="401"/>
      <c r="I89" s="401"/>
      <c r="J89" s="401"/>
      <c r="K89" s="401"/>
      <c r="L89" s="401"/>
      <c r="M89" s="401"/>
      <c r="N89" s="401"/>
      <c r="O89" s="401"/>
      <c r="P89" s="409"/>
    </row>
    <row r="90" spans="1:16" x14ac:dyDescent="0.35">
      <c r="A90" s="430"/>
      <c r="B90" s="408"/>
      <c r="C90" s="393"/>
      <c r="D90" s="231"/>
      <c r="E90" s="396"/>
      <c r="F90" s="275"/>
      <c r="G90" s="275"/>
      <c r="H90" s="401"/>
      <c r="I90" s="401"/>
      <c r="J90" s="401"/>
      <c r="K90" s="401"/>
      <c r="L90" s="401"/>
      <c r="M90" s="401"/>
      <c r="N90" s="401"/>
      <c r="O90" s="401"/>
      <c r="P90" s="409"/>
    </row>
    <row r="91" spans="1:16" x14ac:dyDescent="0.35">
      <c r="A91" s="430"/>
      <c r="B91" s="408"/>
      <c r="C91" s="393"/>
      <c r="D91" s="231"/>
      <c r="E91" s="396"/>
      <c r="F91" s="275"/>
      <c r="G91" s="275"/>
      <c r="H91" s="401"/>
      <c r="I91" s="401"/>
      <c r="J91" s="401"/>
      <c r="K91" s="401"/>
      <c r="L91" s="401"/>
      <c r="M91" s="401"/>
      <c r="N91" s="401"/>
      <c r="O91" s="401"/>
      <c r="P91" s="409">
        <f t="shared" si="1"/>
        <v>0</v>
      </c>
    </row>
    <row r="92" spans="1:16" ht="24" customHeight="1" x14ac:dyDescent="0.35">
      <c r="A92" s="430"/>
      <c r="B92" s="837" t="s">
        <v>182</v>
      </c>
      <c r="C92" s="806"/>
      <c r="D92" s="806"/>
      <c r="E92" s="806"/>
      <c r="F92" s="806"/>
      <c r="G92" s="806"/>
      <c r="H92" s="806"/>
      <c r="I92" s="806"/>
      <c r="J92" s="806"/>
      <c r="K92" s="806"/>
      <c r="L92" s="806"/>
      <c r="M92" s="806"/>
      <c r="N92" s="806"/>
      <c r="O92" s="806"/>
      <c r="P92" s="838"/>
    </row>
    <row r="93" spans="1:16" ht="42" x14ac:dyDescent="0.35">
      <c r="A93" s="430"/>
      <c r="B93" s="408">
        <v>36</v>
      </c>
      <c r="C93" s="393" t="s">
        <v>183</v>
      </c>
      <c r="D93" s="231" t="s">
        <v>34</v>
      </c>
      <c r="E93" s="396"/>
      <c r="F93" s="275"/>
      <c r="G93" s="275"/>
      <c r="H93" s="401"/>
      <c r="I93" s="401"/>
      <c r="J93" s="401"/>
      <c r="K93" s="401"/>
      <c r="L93" s="401"/>
      <c r="M93" s="401"/>
      <c r="N93" s="401"/>
      <c r="O93" s="401"/>
      <c r="P93" s="409">
        <f t="shared" si="1"/>
        <v>0</v>
      </c>
    </row>
    <row r="94" spans="1:16" x14ac:dyDescent="0.35">
      <c r="A94" s="430"/>
      <c r="B94" s="408">
        <v>37</v>
      </c>
      <c r="C94" s="393" t="s">
        <v>184</v>
      </c>
      <c r="D94" s="231" t="s">
        <v>34</v>
      </c>
      <c r="E94" s="396"/>
      <c r="F94" s="275"/>
      <c r="G94" s="275"/>
      <c r="H94" s="401"/>
      <c r="I94" s="401"/>
      <c r="J94" s="401"/>
      <c r="K94" s="401"/>
      <c r="L94" s="401"/>
      <c r="M94" s="401"/>
      <c r="N94" s="401"/>
      <c r="O94" s="401"/>
      <c r="P94" s="409">
        <f t="shared" si="1"/>
        <v>0</v>
      </c>
    </row>
    <row r="95" spans="1:16" x14ac:dyDescent="0.35">
      <c r="A95" s="430"/>
      <c r="B95" s="408">
        <v>38</v>
      </c>
      <c r="C95" s="393" t="s">
        <v>185</v>
      </c>
      <c r="D95" s="231" t="s">
        <v>34</v>
      </c>
      <c r="E95" s="396"/>
      <c r="F95" s="275"/>
      <c r="G95" s="275"/>
      <c r="H95" s="401"/>
      <c r="I95" s="401"/>
      <c r="J95" s="401"/>
      <c r="K95" s="401"/>
      <c r="L95" s="401"/>
      <c r="M95" s="401"/>
      <c r="N95" s="401"/>
      <c r="O95" s="401"/>
      <c r="P95" s="409">
        <f t="shared" si="1"/>
        <v>0</v>
      </c>
    </row>
    <row r="96" spans="1:16" ht="28" x14ac:dyDescent="0.35">
      <c r="A96" s="430"/>
      <c r="B96" s="408">
        <v>39</v>
      </c>
      <c r="C96" s="393" t="s">
        <v>186</v>
      </c>
      <c r="D96" s="231" t="s">
        <v>34</v>
      </c>
      <c r="E96" s="396"/>
      <c r="F96" s="275"/>
      <c r="G96" s="275"/>
      <c r="H96" s="401"/>
      <c r="I96" s="401"/>
      <c r="J96" s="401"/>
      <c r="K96" s="401"/>
      <c r="L96" s="401"/>
      <c r="M96" s="401"/>
      <c r="N96" s="401"/>
      <c r="O96" s="401"/>
      <c r="P96" s="409">
        <f t="shared" si="1"/>
        <v>0</v>
      </c>
    </row>
    <row r="97" spans="1:16" ht="28" x14ac:dyDescent="0.35">
      <c r="A97" s="430"/>
      <c r="B97" s="408">
        <v>40</v>
      </c>
      <c r="C97" s="393" t="s">
        <v>187</v>
      </c>
      <c r="D97" s="231" t="s">
        <v>34</v>
      </c>
      <c r="E97" s="396"/>
      <c r="F97" s="275"/>
      <c r="G97" s="275"/>
      <c r="H97" s="401"/>
      <c r="I97" s="401"/>
      <c r="J97" s="401"/>
      <c r="K97" s="401"/>
      <c r="L97" s="401"/>
      <c r="M97" s="401"/>
      <c r="N97" s="401"/>
      <c r="O97" s="401"/>
      <c r="P97" s="409">
        <f t="shared" si="1"/>
        <v>0</v>
      </c>
    </row>
    <row r="98" spans="1:16" ht="28" x14ac:dyDescent="0.35">
      <c r="A98" s="430"/>
      <c r="B98" s="408">
        <v>41</v>
      </c>
      <c r="C98" s="393" t="s">
        <v>188</v>
      </c>
      <c r="D98" s="231" t="s">
        <v>34</v>
      </c>
      <c r="E98" s="396"/>
      <c r="F98" s="275"/>
      <c r="G98" s="275"/>
      <c r="H98" s="401"/>
      <c r="I98" s="401"/>
      <c r="J98" s="401"/>
      <c r="K98" s="401"/>
      <c r="L98" s="401"/>
      <c r="M98" s="401"/>
      <c r="N98" s="401"/>
      <c r="O98" s="401"/>
      <c r="P98" s="409">
        <f t="shared" si="1"/>
        <v>0</v>
      </c>
    </row>
    <row r="99" spans="1:16" ht="28" x14ac:dyDescent="0.35">
      <c r="A99" s="430"/>
      <c r="B99" s="408">
        <v>42</v>
      </c>
      <c r="C99" s="393" t="s">
        <v>189</v>
      </c>
      <c r="D99" s="231" t="s">
        <v>34</v>
      </c>
      <c r="E99" s="396"/>
      <c r="F99" s="275"/>
      <c r="G99" s="275"/>
      <c r="H99" s="401"/>
      <c r="I99" s="401"/>
      <c r="J99" s="401"/>
      <c r="K99" s="401"/>
      <c r="L99" s="401"/>
      <c r="M99" s="401"/>
      <c r="N99" s="401"/>
      <c r="O99" s="401"/>
      <c r="P99" s="409">
        <f t="shared" si="1"/>
        <v>0</v>
      </c>
    </row>
    <row r="100" spans="1:16" x14ac:dyDescent="0.35">
      <c r="A100" s="430"/>
      <c r="B100" s="408">
        <v>43</v>
      </c>
      <c r="C100" s="393" t="s">
        <v>190</v>
      </c>
      <c r="D100" s="231" t="s">
        <v>34</v>
      </c>
      <c r="E100" s="396"/>
      <c r="F100" s="275"/>
      <c r="G100" s="275"/>
      <c r="H100" s="401"/>
      <c r="I100" s="401"/>
      <c r="J100" s="401"/>
      <c r="K100" s="401"/>
      <c r="L100" s="401"/>
      <c r="M100" s="401"/>
      <c r="N100" s="401"/>
      <c r="O100" s="401"/>
      <c r="P100" s="409">
        <f t="shared" si="1"/>
        <v>0</v>
      </c>
    </row>
    <row r="101" spans="1:16" ht="42" x14ac:dyDescent="0.35">
      <c r="A101" s="430"/>
      <c r="B101" s="408">
        <v>44</v>
      </c>
      <c r="C101" s="393" t="s">
        <v>191</v>
      </c>
      <c r="D101" s="231" t="s">
        <v>34</v>
      </c>
      <c r="E101" s="396"/>
      <c r="F101" s="275"/>
      <c r="G101" s="275"/>
      <c r="H101" s="401"/>
      <c r="I101" s="401"/>
      <c r="J101" s="401"/>
      <c r="K101" s="401"/>
      <c r="L101" s="401"/>
      <c r="M101" s="401"/>
      <c r="N101" s="401"/>
      <c r="O101" s="401"/>
      <c r="P101" s="409">
        <f t="shared" si="1"/>
        <v>0</v>
      </c>
    </row>
    <row r="102" spans="1:16" ht="28" x14ac:dyDescent="0.35">
      <c r="A102" s="430"/>
      <c r="B102" s="408">
        <v>45</v>
      </c>
      <c r="C102" s="393" t="s">
        <v>192</v>
      </c>
      <c r="D102" s="231" t="s">
        <v>34</v>
      </c>
      <c r="E102" s="396"/>
      <c r="F102" s="275"/>
      <c r="G102" s="275"/>
      <c r="H102" s="401"/>
      <c r="I102" s="401"/>
      <c r="J102" s="401"/>
      <c r="K102" s="401"/>
      <c r="L102" s="401"/>
      <c r="M102" s="401"/>
      <c r="N102" s="401"/>
      <c r="O102" s="401"/>
      <c r="P102" s="409">
        <f t="shared" si="1"/>
        <v>0</v>
      </c>
    </row>
    <row r="103" spans="1:16" ht="28" x14ac:dyDescent="0.35">
      <c r="A103" s="430"/>
      <c r="B103" s="408">
        <v>46</v>
      </c>
      <c r="C103" s="393" t="s">
        <v>193</v>
      </c>
      <c r="D103" s="231" t="s">
        <v>34</v>
      </c>
      <c r="E103" s="396"/>
      <c r="F103" s="275"/>
      <c r="G103" s="275"/>
      <c r="H103" s="401"/>
      <c r="I103" s="401"/>
      <c r="J103" s="401"/>
      <c r="K103" s="401"/>
      <c r="L103" s="401"/>
      <c r="M103" s="401"/>
      <c r="N103" s="401"/>
      <c r="O103" s="401"/>
      <c r="P103" s="409">
        <f t="shared" si="1"/>
        <v>0</v>
      </c>
    </row>
    <row r="104" spans="1:16" ht="28" x14ac:dyDescent="0.35">
      <c r="A104" s="430"/>
      <c r="B104" s="408">
        <v>47</v>
      </c>
      <c r="C104" s="393" t="s">
        <v>194</v>
      </c>
      <c r="D104" s="231" t="s">
        <v>34</v>
      </c>
      <c r="E104" s="396"/>
      <c r="F104" s="275"/>
      <c r="G104" s="275"/>
      <c r="H104" s="401"/>
      <c r="I104" s="401"/>
      <c r="J104" s="401"/>
      <c r="K104" s="401"/>
      <c r="L104" s="401"/>
      <c r="M104" s="401"/>
      <c r="N104" s="401"/>
      <c r="O104" s="401"/>
      <c r="P104" s="409">
        <f t="shared" si="1"/>
        <v>0</v>
      </c>
    </row>
    <row r="105" spans="1:16" ht="28" x14ac:dyDescent="0.35">
      <c r="A105" s="430"/>
      <c r="B105" s="408">
        <v>48</v>
      </c>
      <c r="C105" s="393" t="s">
        <v>195</v>
      </c>
      <c r="D105" s="231" t="s">
        <v>34</v>
      </c>
      <c r="E105" s="396"/>
      <c r="F105" s="275"/>
      <c r="G105" s="275"/>
      <c r="H105" s="401"/>
      <c r="I105" s="401"/>
      <c r="J105" s="401"/>
      <c r="K105" s="401"/>
      <c r="L105" s="401"/>
      <c r="M105" s="401"/>
      <c r="N105" s="401"/>
      <c r="O105" s="401"/>
      <c r="P105" s="409">
        <f t="shared" si="1"/>
        <v>0</v>
      </c>
    </row>
    <row r="106" spans="1:16" ht="28" x14ac:dyDescent="0.35">
      <c r="A106" s="430"/>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35">
      <c r="A107" s="430"/>
      <c r="B107" s="410" t="s">
        <v>319</v>
      </c>
      <c r="C107" s="393"/>
      <c r="D107" s="231" t="s">
        <v>254</v>
      </c>
      <c r="E107" s="396"/>
      <c r="F107" s="275"/>
      <c r="G107" s="275"/>
      <c r="H107" s="401"/>
      <c r="I107" s="401"/>
      <c r="J107" s="401"/>
      <c r="K107" s="401"/>
      <c r="L107" s="401"/>
      <c r="M107" s="401"/>
      <c r="N107" s="401"/>
      <c r="O107" s="401"/>
      <c r="P107" s="409"/>
    </row>
    <row r="108" spans="1:16" x14ac:dyDescent="0.35">
      <c r="A108" s="430"/>
      <c r="B108" s="408"/>
      <c r="C108" s="393"/>
      <c r="D108" s="231"/>
      <c r="E108" s="396"/>
      <c r="F108" s="275"/>
      <c r="G108" s="275"/>
      <c r="H108" s="401"/>
      <c r="I108" s="401"/>
      <c r="J108" s="401"/>
      <c r="K108" s="401"/>
      <c r="L108" s="401"/>
      <c r="M108" s="401"/>
      <c r="N108" s="401"/>
      <c r="O108" s="401"/>
      <c r="P108" s="409"/>
    </row>
    <row r="109" spans="1:16" x14ac:dyDescent="0.35">
      <c r="A109" s="430"/>
      <c r="B109" s="408"/>
      <c r="C109" s="393"/>
      <c r="D109" s="231"/>
      <c r="E109" s="396"/>
      <c r="F109" s="275"/>
      <c r="G109" s="275"/>
      <c r="H109" s="401"/>
      <c r="I109" s="401"/>
      <c r="J109" s="401"/>
      <c r="K109" s="401"/>
      <c r="L109" s="401"/>
      <c r="M109" s="401"/>
      <c r="N109" s="401"/>
      <c r="O109" s="401"/>
      <c r="P109" s="409"/>
    </row>
    <row r="110" spans="1:16" x14ac:dyDescent="0.35">
      <c r="A110" s="430"/>
      <c r="B110" s="408"/>
      <c r="C110" s="393"/>
      <c r="D110" s="231"/>
      <c r="E110" s="396"/>
      <c r="F110" s="275"/>
      <c r="G110" s="275"/>
      <c r="H110" s="401"/>
      <c r="I110" s="401"/>
      <c r="J110" s="401"/>
      <c r="K110" s="401"/>
      <c r="L110" s="401"/>
      <c r="M110" s="401"/>
      <c r="N110" s="401"/>
      <c r="O110" s="401"/>
      <c r="P110" s="409"/>
    </row>
    <row r="111" spans="1:16" x14ac:dyDescent="0.35">
      <c r="B111" s="332"/>
      <c r="C111" s="808" t="s">
        <v>222</v>
      </c>
      <c r="D111" s="808"/>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35">
      <c r="B112" s="252"/>
      <c r="C112" s="793" t="s">
        <v>261</v>
      </c>
      <c r="D112" s="793"/>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x14ac:dyDescent="0.35">
      <c r="B113" s="252"/>
      <c r="C113" s="793" t="s">
        <v>262</v>
      </c>
      <c r="D113" s="793"/>
      <c r="E113" s="247"/>
      <c r="F113" s="245"/>
      <c r="G113" s="245"/>
      <c r="H113" s="247"/>
      <c r="I113" s="247"/>
      <c r="J113" s="248">
        <f>J112-(E32*G32*J32)</f>
        <v>0</v>
      </c>
      <c r="K113" s="247">
        <f>K112-(E32*G32*K32)</f>
        <v>0</v>
      </c>
      <c r="L113" s="247"/>
      <c r="M113" s="247"/>
      <c r="N113" s="247"/>
      <c r="O113" s="247"/>
      <c r="P113" s="253"/>
    </row>
    <row r="114" spans="2:16" x14ac:dyDescent="0.35">
      <c r="B114" s="254"/>
      <c r="C114" s="809"/>
      <c r="D114" s="809"/>
      <c r="E114" s="240"/>
      <c r="F114" s="238"/>
      <c r="G114" s="238"/>
      <c r="H114" s="240"/>
      <c r="I114" s="240"/>
      <c r="J114" s="240"/>
      <c r="K114" s="240"/>
      <c r="L114" s="240"/>
      <c r="M114" s="240"/>
      <c r="N114" s="240"/>
      <c r="O114" s="240"/>
      <c r="P114" s="255"/>
    </row>
    <row r="115" spans="2:16" x14ac:dyDescent="0.35">
      <c r="B115" s="254"/>
      <c r="C115" s="239"/>
      <c r="D115" s="240"/>
      <c r="E115" s="240"/>
      <c r="F115" s="238"/>
      <c r="G115" s="238"/>
      <c r="H115" s="240"/>
      <c r="I115" s="240"/>
      <c r="J115" s="240"/>
      <c r="K115" s="240"/>
      <c r="L115" s="240"/>
      <c r="M115" s="240"/>
      <c r="N115" s="240"/>
      <c r="O115" s="240"/>
      <c r="P115" s="255"/>
    </row>
    <row r="116" spans="2:16" x14ac:dyDescent="0.35">
      <c r="B116" s="360"/>
      <c r="C116" s="791" t="s">
        <v>329</v>
      </c>
      <c r="D116" s="791"/>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x14ac:dyDescent="0.35">
      <c r="B117" s="360"/>
      <c r="C117" s="791" t="s">
        <v>308</v>
      </c>
      <c r="D117" s="791"/>
      <c r="E117" s="240"/>
      <c r="F117" s="242"/>
      <c r="G117" s="242"/>
      <c r="H117" s="383"/>
      <c r="I117" s="383"/>
      <c r="J117" s="383"/>
      <c r="K117" s="383"/>
      <c r="L117" s="383"/>
      <c r="M117" s="383"/>
      <c r="N117" s="383"/>
      <c r="O117" s="231"/>
      <c r="P117" s="256">
        <f>SUM(H117:O117)</f>
        <v>0</v>
      </c>
    </row>
    <row r="118" spans="2:16" x14ac:dyDescent="0.35">
      <c r="B118" s="360"/>
      <c r="C118" s="791" t="s">
        <v>309</v>
      </c>
      <c r="D118" s="791"/>
      <c r="E118" s="240"/>
      <c r="F118" s="242"/>
      <c r="G118" s="242"/>
      <c r="H118" s="383"/>
      <c r="I118" s="383"/>
      <c r="J118" s="383"/>
      <c r="K118" s="383"/>
      <c r="L118" s="383"/>
      <c r="M118" s="383"/>
      <c r="N118" s="383"/>
      <c r="O118" s="231"/>
      <c r="P118" s="256">
        <f>SUM(H118:O118)</f>
        <v>0</v>
      </c>
    </row>
    <row r="119" spans="2:16" x14ac:dyDescent="0.35">
      <c r="B119" s="360"/>
      <c r="C119" s="791" t="s">
        <v>310</v>
      </c>
      <c r="D119" s="791"/>
      <c r="E119" s="240"/>
      <c r="F119" s="242"/>
      <c r="G119" s="242"/>
      <c r="H119" s="383"/>
      <c r="I119" s="383"/>
      <c r="J119" s="383"/>
      <c r="K119" s="383"/>
      <c r="L119" s="383"/>
      <c r="M119" s="383"/>
      <c r="N119" s="383"/>
      <c r="O119" s="231"/>
      <c r="P119" s="256">
        <f t="shared" ref="P119" si="2">SUM(H119:O119)</f>
        <v>0</v>
      </c>
    </row>
    <row r="120" spans="2:16" x14ac:dyDescent="0.35">
      <c r="B120" s="360"/>
      <c r="C120" s="791" t="s">
        <v>311</v>
      </c>
      <c r="D120" s="791"/>
      <c r="E120" s="240"/>
      <c r="F120" s="242"/>
      <c r="G120" s="242"/>
      <c r="H120" s="383"/>
      <c r="I120" s="383"/>
      <c r="J120" s="383"/>
      <c r="K120" s="383"/>
      <c r="L120" s="383"/>
      <c r="M120" s="383"/>
      <c r="N120" s="383"/>
      <c r="O120" s="231"/>
      <c r="P120" s="256">
        <f>SUM(H120:O120)</f>
        <v>0</v>
      </c>
    </row>
    <row r="121" spans="2:16" x14ac:dyDescent="0.35">
      <c r="B121" s="360"/>
      <c r="C121" s="791" t="s">
        <v>312</v>
      </c>
      <c r="D121" s="791"/>
      <c r="E121" s="240"/>
      <c r="F121" s="242"/>
      <c r="G121" s="242"/>
      <c r="H121" s="357" t="e">
        <f>'5.  2015 LRAM'!H130*H116</f>
        <v>#DIV/0!</v>
      </c>
      <c r="I121" s="357" t="e">
        <f>'5.  2015 LRAM'!I130*I116</f>
        <v>#DIV/0!</v>
      </c>
      <c r="J121" s="357" t="e">
        <f>'5.  2015 LRAM'!J130*J116</f>
        <v>#DIV/0!</v>
      </c>
      <c r="K121" s="357" t="e">
        <f>'5.  2015 LRAM'!K130*K116</f>
        <v>#DIV/0!</v>
      </c>
      <c r="L121" s="357" t="e">
        <f>'5.  2015 LRAM'!L130*L116</f>
        <v>#DIV/0!</v>
      </c>
      <c r="M121" s="357" t="e">
        <f>'5.  2015 LRAM'!M130*M116</f>
        <v>#DIV/0!</v>
      </c>
      <c r="N121" s="357" t="e">
        <f>'5.  2015 LRAM'!N130*N116</f>
        <v>#DIV/0!</v>
      </c>
      <c r="O121" s="231"/>
      <c r="P121" s="256" t="e">
        <f t="shared" ref="P121:P122" si="3">SUM(H121:O121)</f>
        <v>#DIV/0!</v>
      </c>
    </row>
    <row r="122" spans="2:16" x14ac:dyDescent="0.35">
      <c r="B122" s="360"/>
      <c r="C122" s="791" t="s">
        <v>313</v>
      </c>
      <c r="D122" s="791"/>
      <c r="E122" s="240"/>
      <c r="F122" s="242"/>
      <c r="G122" s="242"/>
      <c r="H122" s="357" t="e">
        <f>'5-b. 2016 LRAM'!H128*H116</f>
        <v>#DIV/0!</v>
      </c>
      <c r="I122" s="357" t="e">
        <f>'5-b. 2016 LRAM'!I128*I116</f>
        <v>#DIV/0!</v>
      </c>
      <c r="J122" s="357" t="e">
        <f>'5-b. 2016 LRAM'!J128*J116</f>
        <v>#DIV/0!</v>
      </c>
      <c r="K122" s="357" t="e">
        <f>'5-b. 2016 LRAM'!K128*K116</f>
        <v>#DIV/0!</v>
      </c>
      <c r="L122" s="357" t="e">
        <f>'5-b. 2016 LRAM'!L128*L116</f>
        <v>#REF!</v>
      </c>
      <c r="M122" s="357" t="e">
        <f>'5-b. 2016 LRAM'!M128*M116</f>
        <v>#REF!</v>
      </c>
      <c r="N122" s="357" t="e">
        <f>'5-b. 2016 LRAM'!N128*N116</f>
        <v>#REF!</v>
      </c>
      <c r="O122" s="231"/>
      <c r="P122" s="256" t="e">
        <f t="shared" si="3"/>
        <v>#DIV/0!</v>
      </c>
    </row>
    <row r="123" spans="2:16" x14ac:dyDescent="0.35">
      <c r="B123" s="360"/>
      <c r="C123" s="791" t="s">
        <v>314</v>
      </c>
      <c r="D123" s="791"/>
      <c r="E123" s="240"/>
      <c r="F123" s="242"/>
      <c r="G123" s="242"/>
      <c r="H123" s="357" t="e">
        <f>'5-c.  2017 LRAM'!H129*H116</f>
        <v>#DIV/0!</v>
      </c>
      <c r="I123" s="357" t="e">
        <f>'5-c.  2017 LRAM'!I129*I116</f>
        <v>#DIV/0!</v>
      </c>
      <c r="J123" s="357" t="e">
        <f>'5-c.  2017 LRAM'!J129*J116</f>
        <v>#DIV/0!</v>
      </c>
      <c r="K123" s="357" t="e">
        <f>'5-c.  2017 LRAM'!K129*K116</f>
        <v>#DIV/0!</v>
      </c>
      <c r="L123" s="357" t="e">
        <f>'5-c.  2017 LRAM'!L129*L116</f>
        <v>#REF!</v>
      </c>
      <c r="M123" s="357" t="e">
        <f>'5-c.  2017 LRAM'!M129*M116</f>
        <v>#REF!</v>
      </c>
      <c r="N123" s="357" t="e">
        <f>'5-c.  2017 LRAM'!N129*N116</f>
        <v>#DIV/0!</v>
      </c>
      <c r="O123" s="231"/>
      <c r="P123" s="256" t="e">
        <f>SUM(H123:O123)</f>
        <v>#DIV/0!</v>
      </c>
    </row>
    <row r="124" spans="2:16" x14ac:dyDescent="0.35">
      <c r="B124" s="360"/>
      <c r="C124" s="791" t="s">
        <v>315</v>
      </c>
      <c r="D124" s="791"/>
      <c r="E124" s="240"/>
      <c r="F124" s="242"/>
      <c r="G124" s="242"/>
      <c r="H124" s="357" t="e">
        <f>'5-d.  2018 LRAM'!H128*H116</f>
        <v>#DIV/0!</v>
      </c>
      <c r="I124" s="357" t="e">
        <f>'5-d.  2018 LRAM'!I128*I116</f>
        <v>#DIV/0!</v>
      </c>
      <c r="J124" s="357" t="e">
        <f>'5-d.  2018 LRAM'!J128*J116</f>
        <v>#DIV/0!</v>
      </c>
      <c r="K124" s="357" t="e">
        <f>'5-d.  2018 LRAM'!K128*K116</f>
        <v>#DIV/0!</v>
      </c>
      <c r="L124" s="357" t="e">
        <f>'5-d.  2018 LRAM'!L128*L116</f>
        <v>#REF!</v>
      </c>
      <c r="M124" s="357" t="e">
        <f>'5-d.  2018 LRAM'!M128*M116</f>
        <v>#REF!</v>
      </c>
      <c r="N124" s="357" t="e">
        <f>'5-d.  2018 LRAM'!N128*N116</f>
        <v>#DIV/0!</v>
      </c>
      <c r="O124" s="231"/>
      <c r="P124" s="256" t="e">
        <f t="shared" ref="P124:P126" si="4">SUM(H124:O124)</f>
        <v>#DIV/0!</v>
      </c>
    </row>
    <row r="125" spans="2:16" x14ac:dyDescent="0.35">
      <c r="B125" s="360"/>
      <c r="C125" s="791" t="s">
        <v>316</v>
      </c>
      <c r="D125" s="791"/>
      <c r="E125" s="240"/>
      <c r="F125" s="242"/>
      <c r="G125" s="242"/>
      <c r="H125" s="357" t="e">
        <f>'5-e.  2019 LRAM'!H128*H116</f>
        <v>#DIV/0!</v>
      </c>
      <c r="I125" s="357" t="e">
        <f>'5-e.  2019 LRAM'!I128*I116</f>
        <v>#DIV/0!</v>
      </c>
      <c r="J125" s="357" t="e">
        <f>'5-e.  2019 LRAM'!J128*J116</f>
        <v>#DIV/0!</v>
      </c>
      <c r="K125" s="357" t="e">
        <f>'5-e.  2019 LRAM'!K128*K116</f>
        <v>#DIV/0!</v>
      </c>
      <c r="L125" s="357" t="e">
        <f>'5-e.  2019 LRAM'!L128*L116</f>
        <v>#DIV/0!</v>
      </c>
      <c r="M125" s="357" t="e">
        <f>'5-e.  2019 LRAM'!M128*M116</f>
        <v>#DIV/0!</v>
      </c>
      <c r="N125" s="357" t="e">
        <f>'5-e.  2019 LRAM'!N128*N116</f>
        <v>#DIV/0!</v>
      </c>
      <c r="O125" s="231"/>
      <c r="P125" s="256" t="e">
        <f t="shared" si="4"/>
        <v>#DIV/0!</v>
      </c>
    </row>
    <row r="126" spans="2:16" x14ac:dyDescent="0.35">
      <c r="B126" s="360"/>
      <c r="C126" s="791" t="s">
        <v>317</v>
      </c>
      <c r="D126" s="791"/>
      <c r="E126" s="240"/>
      <c r="F126" s="242"/>
      <c r="G126" s="242"/>
      <c r="H126" s="357" t="e">
        <f>H111*H116</f>
        <v>#REF!</v>
      </c>
      <c r="I126" s="357" t="e">
        <f>I111*I116</f>
        <v>#REF!</v>
      </c>
      <c r="J126" s="357" t="e">
        <f>J112*J116</f>
        <v>#REF!</v>
      </c>
      <c r="K126" s="357" t="e">
        <f>K112*K116</f>
        <v>#REF!</v>
      </c>
      <c r="L126" s="357" t="e">
        <f>L112*L116</f>
        <v>#REF!</v>
      </c>
      <c r="M126" s="357" t="e">
        <f>M112*M116</f>
        <v>#REF!</v>
      </c>
      <c r="N126" s="357" t="e">
        <f>N111*N116</f>
        <v>#REF!</v>
      </c>
      <c r="O126" s="231"/>
      <c r="P126" s="256" t="e">
        <f t="shared" si="4"/>
        <v>#REF!</v>
      </c>
    </row>
    <row r="127" spans="2:16" x14ac:dyDescent="0.35">
      <c r="B127" s="258"/>
      <c r="C127" s="432" t="s">
        <v>307</v>
      </c>
      <c r="D127" s="259"/>
      <c r="E127" s="259"/>
      <c r="F127" s="260"/>
      <c r="G127" s="260"/>
      <c r="H127" s="433" t="e">
        <f t="shared" ref="H127:N127" si="5">SUM(H117:H126)</f>
        <v>#DIV/0!</v>
      </c>
      <c r="I127" s="433" t="e">
        <f t="shared" si="5"/>
        <v>#DIV/0!</v>
      </c>
      <c r="J127" s="433" t="e">
        <f t="shared" si="5"/>
        <v>#DIV/0!</v>
      </c>
      <c r="K127" s="433" t="e">
        <f t="shared" si="5"/>
        <v>#DIV/0!</v>
      </c>
      <c r="L127" s="433" t="e">
        <f t="shared" si="5"/>
        <v>#DIV/0!</v>
      </c>
      <c r="M127" s="433" t="e">
        <f t="shared" si="5"/>
        <v>#DIV/0!</v>
      </c>
      <c r="N127" s="433" t="e">
        <f t="shared" si="5"/>
        <v>#DIV/0!</v>
      </c>
      <c r="O127" s="259"/>
      <c r="P127" s="434" t="e">
        <f>SUM(P117:P126)</f>
        <v>#DIV/0!</v>
      </c>
    </row>
  </sheetData>
  <mergeCells count="34">
    <mergeCell ref="C121:D121"/>
    <mergeCell ref="C116:D116"/>
    <mergeCell ref="C117:D117"/>
    <mergeCell ref="C118:D118"/>
    <mergeCell ref="C119:D119"/>
    <mergeCell ref="C120:D120"/>
    <mergeCell ref="B2:P2"/>
    <mergeCell ref="C111:D111"/>
    <mergeCell ref="C112:D112"/>
    <mergeCell ref="C113:D113"/>
    <mergeCell ref="C114:D114"/>
    <mergeCell ref="E4:P4"/>
    <mergeCell ref="B13:B14"/>
    <mergeCell ref="C13:C14"/>
    <mergeCell ref="D13:D14"/>
    <mergeCell ref="E10:F10"/>
    <mergeCell ref="E13:E14"/>
    <mergeCell ref="H13:P13"/>
    <mergeCell ref="B15:P15"/>
    <mergeCell ref="B16:P16"/>
    <mergeCell ref="B27:P27"/>
    <mergeCell ref="B71:P71"/>
    <mergeCell ref="C126:D126"/>
    <mergeCell ref="C122:D122"/>
    <mergeCell ref="C123:D123"/>
    <mergeCell ref="C124:D124"/>
    <mergeCell ref="C125:D125"/>
    <mergeCell ref="B84:P84"/>
    <mergeCell ref="B92:P92"/>
    <mergeCell ref="B37:P37"/>
    <mergeCell ref="B45:P45"/>
    <mergeCell ref="B51:P51"/>
    <mergeCell ref="B60:P60"/>
    <mergeCell ref="B62:P62"/>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62"/>
  <sheetViews>
    <sheetView tabSelected="1" view="pageBreakPreview" zoomScale="60" zoomScaleNormal="70" workbookViewId="0">
      <pane ySplit="3" topLeftCell="A15" activePane="bottomLeft" state="frozen"/>
      <selection activeCell="B29" sqref="B29"/>
      <selection pane="bottomLeft" activeCell="D7" sqref="D7:Q7"/>
    </sheetView>
  </sheetViews>
  <sheetFormatPr defaultColWidth="9.08984375" defaultRowHeight="14.5" outlineLevelRow="1" x14ac:dyDescent="0.35"/>
  <cols>
    <col min="1" max="1" width="4.54296875" style="23" customWidth="1"/>
    <col min="2" max="2" width="17.453125" style="22" customWidth="1"/>
    <col min="3" max="3" width="22.36328125" style="23" customWidth="1"/>
    <col min="4" max="4" width="5" style="23" customWidth="1"/>
    <col min="5" max="5" width="12.08984375" style="23" customWidth="1"/>
    <col min="6" max="6" width="11.453125" style="23" hidden="1" customWidth="1"/>
    <col min="7" max="7" width="10.453125" style="23" customWidth="1"/>
    <col min="8" max="8" width="14.54296875" style="42" customWidth="1"/>
    <col min="9" max="9" width="14.54296875" style="23" customWidth="1"/>
    <col min="10" max="10" width="11.54296875" style="23" customWidth="1"/>
    <col min="11" max="11" width="16" style="23" customWidth="1"/>
    <col min="12" max="12" width="13.54296875" style="23" customWidth="1"/>
    <col min="13" max="13" width="13.6328125" style="23" customWidth="1"/>
    <col min="14" max="14" width="13.54296875" style="23" bestFit="1" customWidth="1"/>
    <col min="15" max="15" width="12" style="23" customWidth="1"/>
    <col min="16" max="16" width="9.08984375" style="23"/>
    <col min="17" max="17" width="18.90625" style="23" customWidth="1"/>
    <col min="18" max="18" width="4.08984375" style="23" customWidth="1"/>
    <col min="19" max="16384" width="9.08984375" style="23"/>
  </cols>
  <sheetData>
    <row r="1" spans="1:21" ht="153" customHeight="1" x14ac:dyDescent="0.35">
      <c r="E1" s="2"/>
      <c r="G1" s="2"/>
      <c r="I1" s="2"/>
      <c r="J1" s="2"/>
      <c r="K1" s="2"/>
      <c r="L1" s="2"/>
      <c r="M1" s="2"/>
      <c r="N1" s="2"/>
      <c r="O1" s="2"/>
      <c r="P1" s="2"/>
      <c r="Q1" s="2"/>
      <c r="R1" s="2"/>
      <c r="S1" s="2"/>
      <c r="T1" s="2"/>
      <c r="U1" s="2"/>
    </row>
    <row r="3" spans="1:21" ht="20" x14ac:dyDescent="0.35">
      <c r="A3" s="2"/>
      <c r="B3" s="859" t="s">
        <v>203</v>
      </c>
      <c r="C3" s="859"/>
      <c r="D3" s="859"/>
      <c r="E3" s="859"/>
      <c r="F3" s="859"/>
      <c r="G3" s="859"/>
      <c r="H3" s="859"/>
      <c r="I3" s="859"/>
      <c r="J3" s="859"/>
      <c r="K3" s="859"/>
      <c r="L3" s="859"/>
      <c r="M3" s="859"/>
      <c r="N3" s="859"/>
      <c r="O3" s="859"/>
      <c r="P3" s="859"/>
      <c r="Q3" s="859"/>
      <c r="R3" s="2"/>
      <c r="S3" s="2"/>
      <c r="T3" s="3"/>
      <c r="U3" s="2"/>
    </row>
    <row r="4" spans="1:21" ht="14.25" customHeight="1" outlineLevel="1" x14ac:dyDescent="0.45">
      <c r="B4" s="55"/>
      <c r="C4" s="373"/>
      <c r="D4" s="373"/>
      <c r="E4" s="374"/>
      <c r="F4" s="374"/>
      <c r="G4" s="374"/>
      <c r="H4" s="374"/>
      <c r="I4" s="374"/>
      <c r="J4" s="374"/>
      <c r="K4" s="374"/>
      <c r="L4" s="374"/>
      <c r="M4" s="374"/>
      <c r="N4" s="374"/>
      <c r="O4" s="374"/>
      <c r="P4" s="374"/>
      <c r="Q4" s="374"/>
      <c r="T4" s="3"/>
    </row>
    <row r="5" spans="1:21" s="20" customFormat="1" ht="18.5" outlineLevel="1" x14ac:dyDescent="0.45">
      <c r="A5" s="59"/>
      <c r="B5" s="184"/>
      <c r="C5" s="348" t="s">
        <v>377</v>
      </c>
      <c r="D5" s="351" t="s">
        <v>475</v>
      </c>
      <c r="E5" s="374"/>
      <c r="F5" s="374"/>
      <c r="G5" s="374"/>
      <c r="H5" s="374"/>
      <c r="I5" s="375"/>
      <c r="J5" s="375"/>
      <c r="K5" s="375"/>
      <c r="L5" s="375"/>
      <c r="M5" s="375"/>
      <c r="N5" s="374"/>
      <c r="O5" s="374"/>
      <c r="P5" s="42"/>
      <c r="Q5" s="42"/>
    </row>
    <row r="6" spans="1:21" s="20" customFormat="1" ht="18.75" customHeight="1" outlineLevel="1" x14ac:dyDescent="0.45">
      <c r="B6" s="184"/>
      <c r="C6" s="370"/>
      <c r="D6" s="351" t="s">
        <v>359</v>
      </c>
      <c r="E6" s="370"/>
      <c r="F6" s="370"/>
      <c r="G6" s="370"/>
      <c r="H6" s="370"/>
      <c r="I6" s="375"/>
      <c r="J6" s="375"/>
      <c r="K6" s="375"/>
      <c r="L6" s="375"/>
      <c r="M6" s="375"/>
      <c r="N6" s="370"/>
      <c r="O6" s="370"/>
      <c r="P6" s="42"/>
      <c r="Q6" s="42"/>
    </row>
    <row r="7" spans="1:21" s="20" customFormat="1" ht="49.5" customHeight="1" outlineLevel="1" x14ac:dyDescent="0.45">
      <c r="B7" s="184"/>
      <c r="C7" s="370"/>
      <c r="D7" s="858" t="s">
        <v>372</v>
      </c>
      <c r="E7" s="858"/>
      <c r="F7" s="858"/>
      <c r="G7" s="858"/>
      <c r="H7" s="858"/>
      <c r="I7" s="858"/>
      <c r="J7" s="858"/>
      <c r="K7" s="858"/>
      <c r="L7" s="858"/>
      <c r="M7" s="858"/>
      <c r="N7" s="858"/>
      <c r="O7" s="858"/>
      <c r="P7" s="858"/>
      <c r="Q7" s="858"/>
    </row>
    <row r="8" spans="1:21" s="20" customFormat="1" ht="12" customHeight="1" outlineLevel="1" x14ac:dyDescent="0.45">
      <c r="B8" s="184"/>
      <c r="C8" s="370"/>
      <c r="D8" s="351"/>
      <c r="E8" s="370"/>
      <c r="F8" s="370"/>
      <c r="G8" s="370"/>
      <c r="H8" s="370"/>
      <c r="I8" s="375"/>
      <c r="J8" s="375"/>
      <c r="K8" s="375"/>
      <c r="L8" s="375"/>
      <c r="M8" s="375"/>
      <c r="N8" s="370"/>
      <c r="O8" s="370"/>
      <c r="P8" s="42"/>
      <c r="Q8" s="42"/>
    </row>
    <row r="9" spans="1:21" s="20" customFormat="1" ht="18.75" customHeight="1" outlineLevel="1" x14ac:dyDescent="0.45">
      <c r="B9" s="184"/>
      <c r="C9" s="78" t="s">
        <v>337</v>
      </c>
      <c r="D9" s="201" t="s">
        <v>366</v>
      </c>
      <c r="E9" s="201"/>
      <c r="F9" s="201"/>
      <c r="G9" s="200"/>
      <c r="H9" s="370"/>
      <c r="I9" s="172"/>
      <c r="J9" s="172"/>
      <c r="K9" s="172"/>
      <c r="L9" s="172"/>
      <c r="M9" s="172"/>
      <c r="N9" s="200"/>
      <c r="O9" s="200"/>
      <c r="Q9" s="76"/>
    </row>
    <row r="10" spans="1:21" s="20" customFormat="1" ht="18.75" customHeight="1" outlineLevel="1" x14ac:dyDescent="0.45">
      <c r="B10" s="184"/>
      <c r="C10" s="221"/>
      <c r="D10" s="292" t="s">
        <v>338</v>
      </c>
      <c r="E10" s="221"/>
      <c r="F10" s="200"/>
      <c r="G10" s="200"/>
      <c r="H10" s="370"/>
      <c r="I10" s="172"/>
      <c r="J10" s="172"/>
      <c r="K10" s="172"/>
      <c r="L10" s="172"/>
      <c r="M10" s="172"/>
      <c r="N10" s="200"/>
      <c r="O10" s="200"/>
    </row>
    <row r="11" spans="1:21" s="20" customFormat="1" ht="6.75" customHeight="1" outlineLevel="1" x14ac:dyDescent="0.45">
      <c r="B11" s="221"/>
      <c r="C11" s="221"/>
      <c r="D11" s="292"/>
      <c r="E11" s="221"/>
      <c r="F11" s="221"/>
      <c r="G11" s="221"/>
      <c r="H11" s="370"/>
      <c r="I11" s="172"/>
      <c r="J11" s="172"/>
      <c r="K11" s="172"/>
      <c r="L11" s="172"/>
      <c r="M11" s="172"/>
      <c r="N11" s="221"/>
      <c r="O11" s="221"/>
    </row>
    <row r="12" spans="1:21" ht="8.25" customHeight="1" x14ac:dyDescent="0.45">
      <c r="B12" s="55"/>
      <c r="C12" s="55"/>
      <c r="D12" s="183"/>
      <c r="E12" s="56"/>
      <c r="F12" s="56"/>
      <c r="G12" s="56"/>
      <c r="H12" s="374"/>
      <c r="I12" s="173"/>
      <c r="J12" s="173"/>
      <c r="K12" s="173"/>
      <c r="L12" s="173"/>
      <c r="M12" s="173"/>
      <c r="N12" s="56"/>
      <c r="O12" s="56"/>
      <c r="P12" s="56"/>
      <c r="Q12" s="56"/>
      <c r="T12" s="3"/>
    </row>
    <row r="13" spans="1:21" s="284" customFormat="1" ht="17.25" customHeight="1" x14ac:dyDescent="0.35">
      <c r="B13" s="860" t="s">
        <v>467</v>
      </c>
      <c r="C13" s="860"/>
      <c r="D13" s="285"/>
      <c r="E13" s="286" t="s">
        <v>468</v>
      </c>
      <c r="F13" s="286"/>
      <c r="G13" s="286"/>
      <c r="H13" s="174"/>
      <c r="I13" s="286"/>
      <c r="J13" s="287"/>
      <c r="K13" s="287"/>
      <c r="L13" s="287"/>
      <c r="M13" s="287"/>
      <c r="N13" s="287"/>
      <c r="O13" s="287"/>
      <c r="P13" s="287"/>
      <c r="Q13" s="287"/>
    </row>
    <row r="14" spans="1:21" s="3" customFormat="1" ht="11.25" customHeight="1" x14ac:dyDescent="0.35">
      <c r="B14" s="50"/>
      <c r="E14" s="14"/>
      <c r="F14" s="14"/>
      <c r="G14" s="2"/>
      <c r="H14" s="42"/>
      <c r="I14" s="2"/>
      <c r="J14" s="2"/>
      <c r="K14" s="2"/>
      <c r="L14" s="2"/>
      <c r="M14" s="2"/>
      <c r="N14" s="2"/>
      <c r="O14" s="2"/>
      <c r="P14" s="2"/>
      <c r="Q14" s="2"/>
      <c r="S14" s="23"/>
      <c r="T14" s="23"/>
    </row>
    <row r="15" spans="1:21" s="3" customFormat="1" ht="65" x14ac:dyDescent="0.35">
      <c r="B15" s="204" t="s">
        <v>82</v>
      </c>
      <c r="C15" s="205" t="s">
        <v>367</v>
      </c>
      <c r="D15" s="175"/>
      <c r="E15" s="162" t="s">
        <v>81</v>
      </c>
      <c r="F15" s="162" t="s">
        <v>371</v>
      </c>
      <c r="G15" s="162" t="s">
        <v>82</v>
      </c>
      <c r="H15" s="162" t="s">
        <v>83</v>
      </c>
      <c r="I15" s="162" t="str">
        <f>'1.  LRAMVA Summary'!C21</f>
        <v>Residential</v>
      </c>
      <c r="J15" s="162" t="str">
        <f>'1.  LRAMVA Summary'!D21</f>
        <v>Competitive Sector Multi-Unit Residential (CSMUR)</v>
      </c>
      <c r="K15" s="162" t="str">
        <f>'1.  LRAMVA Summary'!E21</f>
        <v>General Service &lt;50 kW</v>
      </c>
      <c r="L15" s="162" t="str">
        <f>'1.  LRAMVA Summary'!F21</f>
        <v>General Service 50 - 999 kW</v>
      </c>
      <c r="M15" s="162" t="str">
        <f>'1.  LRAMVA Summary'!G21</f>
        <v>General Service 1,000 - 4,999 kW</v>
      </c>
      <c r="N15" s="162" t="str">
        <f>'1.  LRAMVA Summary'!H21</f>
        <v>Large Use</v>
      </c>
      <c r="O15" s="162"/>
      <c r="P15" s="162"/>
      <c r="Q15" s="162" t="str">
        <f>'1.  LRAMVA Summary'!I21</f>
        <v>Total</v>
      </c>
      <c r="S15" s="23"/>
      <c r="T15" s="23"/>
    </row>
    <row r="16" spans="1:21" s="3" customFormat="1" ht="13" x14ac:dyDescent="0.3">
      <c r="B16" s="202" t="s">
        <v>63</v>
      </c>
      <c r="C16" s="202">
        <v>1.47E-2</v>
      </c>
      <c r="D16" s="176"/>
      <c r="E16" s="164">
        <v>41640</v>
      </c>
      <c r="F16" s="208">
        <v>2014</v>
      </c>
      <c r="G16" s="165" t="s">
        <v>84</v>
      </c>
      <c r="H16" s="453">
        <f>C$28/12</f>
        <v>1.225E-3</v>
      </c>
      <c r="I16" s="167">
        <v>0</v>
      </c>
      <c r="J16" s="167">
        <v>0</v>
      </c>
      <c r="K16" s="167">
        <v>0</v>
      </c>
      <c r="L16" s="167">
        <v>0</v>
      </c>
      <c r="M16" s="167">
        <v>0</v>
      </c>
      <c r="N16" s="167">
        <v>0</v>
      </c>
      <c r="O16" s="167"/>
      <c r="P16" s="166"/>
      <c r="Q16" s="166">
        <f>SUM(I16:P16)</f>
        <v>0</v>
      </c>
    </row>
    <row r="17" spans="2:17" s="3" customFormat="1" ht="13" x14ac:dyDescent="0.3">
      <c r="B17" s="163" t="s">
        <v>64</v>
      </c>
      <c r="C17" s="163">
        <v>1.47E-2</v>
      </c>
      <c r="D17" s="176"/>
      <c r="E17" s="164">
        <v>41671</v>
      </c>
      <c r="F17" s="208">
        <v>2014</v>
      </c>
      <c r="G17" s="165" t="s">
        <v>84</v>
      </c>
      <c r="H17" s="453">
        <f>C$28/12</f>
        <v>1.225E-3</v>
      </c>
      <c r="I17" s="167">
        <f>'1.1. LRAMVA Calculations'!B73*$H17</f>
        <v>27.004242427953677</v>
      </c>
      <c r="J17" s="167">
        <f>'1.1. LRAMVA Calculations'!C73*$H17</f>
        <v>0.93614755064776678</v>
      </c>
      <c r="K17" s="167">
        <f>'1.1. LRAMVA Calculations'!D73*$H17</f>
        <v>148.31864001668572</v>
      </c>
      <c r="L17" s="167">
        <f>'1.1. LRAMVA Calculations'!E73*$H17</f>
        <v>170.61403756635286</v>
      </c>
      <c r="M17" s="167">
        <f>'1.1. LRAMVA Calculations'!F73*$H17</f>
        <v>7.369435439252535</v>
      </c>
      <c r="N17" s="167">
        <f>'1.1. LRAMVA Calculations'!G73*$H17</f>
        <v>11.137612052988063</v>
      </c>
      <c r="O17" s="167"/>
      <c r="P17" s="166"/>
      <c r="Q17" s="166">
        <f>SUM(I17:P17)</f>
        <v>365.38011505388062</v>
      </c>
    </row>
    <row r="18" spans="2:17" s="3" customFormat="1" ht="13" x14ac:dyDescent="0.3">
      <c r="B18" s="163" t="s">
        <v>65</v>
      </c>
      <c r="C18" s="163">
        <v>1.47E-2</v>
      </c>
      <c r="D18" s="176"/>
      <c r="E18" s="164">
        <v>41699</v>
      </c>
      <c r="F18" s="208">
        <v>2014</v>
      </c>
      <c r="G18" s="165" t="s">
        <v>84</v>
      </c>
      <c r="H18" s="453">
        <f>C$28/12</f>
        <v>1.225E-3</v>
      </c>
      <c r="I18" s="167">
        <f>('1.1. LRAMVA Calculations'!B73+'1.1. LRAMVA Calculations'!B74)*$H18</f>
        <v>60.107192761743001</v>
      </c>
      <c r="J18" s="167">
        <f>('1.1. LRAMVA Calculations'!C73+'1.1. LRAMVA Calculations'!C74)*$H18</f>
        <v>2.1102622243318208</v>
      </c>
      <c r="K18" s="167">
        <f>('1.1. LRAMVA Calculations'!D73+'1.1. LRAMVA Calculations'!D74)*$H18</f>
        <v>305.96145860829165</v>
      </c>
      <c r="L18" s="167">
        <f>('1.1. LRAMVA Calculations'!E73+'1.1. LRAMVA Calculations'!E74)*$H18</f>
        <v>327.66906485112048</v>
      </c>
      <c r="M18" s="167">
        <f>('1.1. LRAMVA Calculations'!F73+'1.1. LRAMVA Calculations'!F74)*$H18</f>
        <v>18.747540858958569</v>
      </c>
      <c r="N18" s="167">
        <f>('1.1. LRAMVA Calculations'!G73+'1.1. LRAMVA Calculations'!G74)*$H18</f>
        <v>25.501117187923448</v>
      </c>
      <c r="O18" s="167"/>
      <c r="P18" s="166"/>
      <c r="Q18" s="166">
        <f t="shared" ref="Q18:Q27" si="0">SUM(I18:P18)</f>
        <v>740.09663649236893</v>
      </c>
    </row>
    <row r="19" spans="2:17" s="3" customFormat="1" ht="13" x14ac:dyDescent="0.3">
      <c r="B19" s="163" t="s">
        <v>66</v>
      </c>
      <c r="C19" s="163">
        <v>1.47E-2</v>
      </c>
      <c r="D19" s="176"/>
      <c r="E19" s="164">
        <v>41730</v>
      </c>
      <c r="F19" s="208">
        <v>2014</v>
      </c>
      <c r="G19" s="169" t="s">
        <v>85</v>
      </c>
      <c r="H19" s="453">
        <f>C$29/12</f>
        <v>1.225E-3</v>
      </c>
      <c r="I19" s="170">
        <f>('1.1. LRAMVA Calculations'!B73+'1.1. LRAMVA Calculations'!B74+'1.1. LRAMVA Calculations'!B75)*$H19</f>
        <v>92.268233978322286</v>
      </c>
      <c r="J19" s="170">
        <f>('1.1. LRAMVA Calculations'!C73+'1.1. LRAMVA Calculations'!C74+'1.1. LRAMVA Calculations'!C75)*$H19</f>
        <v>3.3008291036279731</v>
      </c>
      <c r="K19" s="170">
        <f>('1.1. LRAMVA Calculations'!D73+'1.1. LRAMVA Calculations'!D74+'1.1. LRAMVA Calculations'!D75)*$H19</f>
        <v>461.1366891587088</v>
      </c>
      <c r="L19" s="170">
        <f>('1.1. LRAMVA Calculations'!E73+'1.1. LRAMVA Calculations'!E74+'1.1. LRAMVA Calculations'!E75)*$H19</f>
        <v>512.7058996673253</v>
      </c>
      <c r="M19" s="170">
        <f>('1.1. LRAMVA Calculations'!F73+'1.1. LRAMVA Calculations'!F74+'1.1. LRAMVA Calculations'!F75)*$H19</f>
        <v>34.481890390919069</v>
      </c>
      <c r="N19" s="170">
        <f>('1.1. LRAMVA Calculations'!G73+'1.1. LRAMVA Calculations'!G74+'1.1. LRAMVA Calculations'!G75)*$H19</f>
        <v>43.060699329572316</v>
      </c>
      <c r="O19" s="170"/>
      <c r="P19" s="171"/>
      <c r="Q19" s="171">
        <f t="shared" si="0"/>
        <v>1146.9542416284758</v>
      </c>
    </row>
    <row r="20" spans="2:17" s="3" customFormat="1" ht="13" x14ac:dyDescent="0.3">
      <c r="B20" s="163" t="s">
        <v>67</v>
      </c>
      <c r="C20" s="163">
        <v>1.47E-2</v>
      </c>
      <c r="D20" s="176"/>
      <c r="E20" s="164">
        <v>41760</v>
      </c>
      <c r="F20" s="208">
        <v>2014</v>
      </c>
      <c r="G20" s="169" t="s">
        <v>85</v>
      </c>
      <c r="H20" s="453">
        <f t="shared" ref="H20:H21" si="1">C$29/12</f>
        <v>1.225E-3</v>
      </c>
      <c r="I20" s="170">
        <f>('1.1. LRAMVA Calculations'!B73+'1.1. LRAMVA Calculations'!B74+'1.1. LRAMVA Calculations'!B75+'1.1. LRAMVA Calculations'!B76)*$H20</f>
        <v>86.936969024813081</v>
      </c>
      <c r="J20" s="170">
        <f>('1.1. LRAMVA Calculations'!C73+'1.1. LRAMVA Calculations'!C74+'1.1. LRAMVA Calculations'!C75+'1.1. LRAMVA Calculations'!C76)*$H20</f>
        <v>3.0976481004871737</v>
      </c>
      <c r="K20" s="170">
        <f>('1.1. LRAMVA Calculations'!D73+'1.1. LRAMVA Calculations'!D74+'1.1. LRAMVA Calculations'!D75+'1.1. LRAMVA Calculations'!D76)*$H20</f>
        <v>502.11145494271909</v>
      </c>
      <c r="L20" s="170">
        <f>('1.1. LRAMVA Calculations'!E73+'1.1. LRAMVA Calculations'!E74+'1.1. LRAMVA Calculations'!E75+'1.1. LRAMVA Calculations'!E76)*$H20</f>
        <v>698.70402615720207</v>
      </c>
      <c r="M20" s="170">
        <f>('1.1. LRAMVA Calculations'!F73+'1.1. LRAMVA Calculations'!F74+'1.1. LRAMVA Calculations'!F75+'1.1. LRAMVA Calculations'!F76)*$H20</f>
        <v>52.396588906757572</v>
      </c>
      <c r="N20" s="170">
        <f>('1.1. LRAMVA Calculations'!G73+'1.1. LRAMVA Calculations'!G74+'1.1. LRAMVA Calculations'!G75+'1.1. LRAMVA Calculations'!G76)*$H20</f>
        <v>62.664618104062725</v>
      </c>
      <c r="O20" s="170"/>
      <c r="P20" s="171"/>
      <c r="Q20" s="171">
        <f t="shared" si="0"/>
        <v>1405.9113052360417</v>
      </c>
    </row>
    <row r="21" spans="2:17" s="3" customFormat="1" ht="13" x14ac:dyDescent="0.3">
      <c r="B21" s="163" t="s">
        <v>68</v>
      </c>
      <c r="C21" s="163">
        <v>1.47E-2</v>
      </c>
      <c r="D21" s="176"/>
      <c r="E21" s="164">
        <v>41791</v>
      </c>
      <c r="F21" s="208">
        <v>2014</v>
      </c>
      <c r="G21" s="169" t="s">
        <v>85</v>
      </c>
      <c r="H21" s="453">
        <f t="shared" si="1"/>
        <v>1.225E-3</v>
      </c>
      <c r="I21" s="170">
        <f>('1.1. LRAMVA Calculations'!B73+'1.1. LRAMVA Calculations'!B74+'1.1. LRAMVA Calculations'!B75+'1.1. LRAMVA Calculations'!B76+'1.1. LRAMVA Calculations'!B77)*$H21</f>
        <v>81.713396932759963</v>
      </c>
      <c r="J21" s="170">
        <f>('1.1. LRAMVA Calculations'!C73+'1.1. LRAMVA Calculations'!C74+'1.1. LRAMVA Calculations'!C75+'1.1. LRAMVA Calculations'!C76+'1.1. LRAMVA Calculations'!C77)*$H21</f>
        <v>2.8917467006971886</v>
      </c>
      <c r="K21" s="170">
        <f>('1.1. LRAMVA Calculations'!D73+'1.1. LRAMVA Calculations'!D74+'1.1. LRAMVA Calculations'!D75+'1.1. LRAMVA Calculations'!D76+'1.1. LRAMVA Calculations'!D77)*$H21</f>
        <v>543.42107268789471</v>
      </c>
      <c r="L21" s="170">
        <f>('1.1. LRAMVA Calculations'!E73+'1.1. LRAMVA Calculations'!E74+'1.1. LRAMVA Calculations'!E75+'1.1. LRAMVA Calculations'!E76+'1.1. LRAMVA Calculations'!E77)*$H21</f>
        <v>901.38235871607037</v>
      </c>
      <c r="M21" s="170">
        <f>('1.1. LRAMVA Calculations'!F73+'1.1. LRAMVA Calculations'!F74+'1.1. LRAMVA Calculations'!F75+'1.1. LRAMVA Calculations'!F76+'1.1. LRAMVA Calculations'!F77)*$H21</f>
        <v>73.400114590448197</v>
      </c>
      <c r="N21" s="170">
        <f>('1.1. LRAMVA Calculations'!G73+'1.1. LRAMVA Calculations'!G74+'1.1. LRAMVA Calculations'!G75+'1.1. LRAMVA Calculations'!G76+'1.1. LRAMVA Calculations'!G77)*$H21</f>
        <v>85.017447547229565</v>
      </c>
      <c r="O21" s="170"/>
      <c r="P21" s="171"/>
      <c r="Q21" s="171">
        <f t="shared" si="0"/>
        <v>1687.8261371751</v>
      </c>
    </row>
    <row r="22" spans="2:17" s="3" customFormat="1" ht="13" x14ac:dyDescent="0.3">
      <c r="B22" s="163" t="s">
        <v>69</v>
      </c>
      <c r="C22" s="163">
        <v>1.47E-2</v>
      </c>
      <c r="D22" s="176"/>
      <c r="E22" s="164">
        <v>41821</v>
      </c>
      <c r="F22" s="208">
        <v>2014</v>
      </c>
      <c r="G22" s="169" t="s">
        <v>87</v>
      </c>
      <c r="H22" s="453">
        <f>C$30/12</f>
        <v>1.225E-3</v>
      </c>
      <c r="I22" s="170">
        <f>('1.1. LRAMVA Calculations'!B73+'1.1. LRAMVA Calculations'!B74+'1.1. LRAMVA Calculations'!B75+'1.1. LRAMVA Calculations'!B76+'1.1. LRAMVA Calculations'!B77+'1.1. LRAMVA Calculations'!B78)*$H22</f>
        <v>142.43870815958331</v>
      </c>
      <c r="J22" s="170">
        <f>('1.1. LRAMVA Calculations'!C73+'1.1. LRAMVA Calculations'!C74+'1.1. LRAMVA Calculations'!C75+'1.1. LRAMVA Calculations'!C76+'1.1. LRAMVA Calculations'!C77+'1.1. LRAMVA Calculations'!C78)*$H22</f>
        <v>5.3720682062909528</v>
      </c>
      <c r="K22" s="170">
        <f>('1.1. LRAMVA Calculations'!D73+'1.1. LRAMVA Calculations'!D74+'1.1. LRAMVA Calculations'!D75+'1.1. LRAMVA Calculations'!D76+'1.1. LRAMVA Calculations'!D77+'1.1. LRAMVA Calculations'!D78)*$H22</f>
        <v>761.58205757103462</v>
      </c>
      <c r="L22" s="170">
        <f>('1.1. LRAMVA Calculations'!E73+'1.1. LRAMVA Calculations'!E74+'1.1. LRAMVA Calculations'!E75+'1.1. LRAMVA Calculations'!E76+'1.1. LRAMVA Calculations'!E77+'1.1. LRAMVA Calculations'!E78)*$H22</f>
        <v>1166.2944728442596</v>
      </c>
      <c r="M22" s="170">
        <f>('1.1. LRAMVA Calculations'!F73+'1.1. LRAMVA Calculations'!F74+'1.1. LRAMVA Calculations'!F75+'1.1. LRAMVA Calculations'!F76+'1.1. LRAMVA Calculations'!F77+'1.1. LRAMVA Calculations'!F78)*$H22</f>
        <v>111.82808315778141</v>
      </c>
      <c r="N22" s="170">
        <f>('1.1. LRAMVA Calculations'!G73+'1.1. LRAMVA Calculations'!G74+'1.1. LRAMVA Calculations'!G75+'1.1. LRAMVA Calculations'!G76+'1.1. LRAMVA Calculations'!G77+'1.1. LRAMVA Calculations'!G78)*$H22</f>
        <v>125.16515977347404</v>
      </c>
      <c r="O22" s="170"/>
      <c r="P22" s="171"/>
      <c r="Q22" s="171">
        <f t="shared" si="0"/>
        <v>2312.6805497124237</v>
      </c>
    </row>
    <row r="23" spans="2:17" s="3" customFormat="1" ht="13" x14ac:dyDescent="0.3">
      <c r="B23" s="163" t="s">
        <v>70</v>
      </c>
      <c r="C23" s="163">
        <v>1.47E-2</v>
      </c>
      <c r="D23" s="176"/>
      <c r="E23" s="164">
        <v>41852</v>
      </c>
      <c r="F23" s="208">
        <v>2014</v>
      </c>
      <c r="G23" s="169" t="s">
        <v>87</v>
      </c>
      <c r="H23" s="453">
        <f>C$30/12</f>
        <v>1.225E-3</v>
      </c>
      <c r="I23" s="170">
        <f>('1.1. LRAMVA Calculations'!B73+'1.1. LRAMVA Calculations'!B74+'1.1. LRAMVA Calculations'!B75+'1.1. LRAMVA Calculations'!B76+'1.1. LRAMVA Calculations'!B77+'1.1. LRAMVA Calculations'!B78+'1.1. LRAMVA Calculations'!B79)*$H23</f>
        <v>206.94151931897926</v>
      </c>
      <c r="J23" s="170">
        <f>('1.1. LRAMVA Calculations'!C73+'1.1. LRAMVA Calculations'!C74+'1.1. LRAMVA Calculations'!C75+'1.1. LRAMVA Calculations'!C76+'1.1. LRAMVA Calculations'!C77+'1.1. LRAMVA Calculations'!C78+'1.1. LRAMVA Calculations'!C79)*$H23</f>
        <v>8.036268813522792</v>
      </c>
      <c r="K23" s="170">
        <f>('1.1. LRAMVA Calculations'!D73+'1.1. LRAMVA Calculations'!D74+'1.1. LRAMVA Calculations'!D75+'1.1. LRAMVA Calculations'!D76+'1.1. LRAMVA Calculations'!D77+'1.1. LRAMVA Calculations'!D78+'1.1. LRAMVA Calculations'!D79)*$H23</f>
        <v>982.35025597697324</v>
      </c>
      <c r="L23" s="170">
        <f>('1.1. LRAMVA Calculations'!E73+'1.1. LRAMVA Calculations'!E74+'1.1. LRAMVA Calculations'!E75+'1.1. LRAMVA Calculations'!E76+'1.1. LRAMVA Calculations'!E77+'1.1. LRAMVA Calculations'!E78+'1.1. LRAMVA Calculations'!E79)*$H23</f>
        <v>1484.9903200679655</v>
      </c>
      <c r="M23" s="170">
        <f>('1.1. LRAMVA Calculations'!F73+'1.1. LRAMVA Calculations'!F74+'1.1. LRAMVA Calculations'!F75+'1.1. LRAMVA Calculations'!F76+'1.1. LRAMVA Calculations'!F77+'1.1. LRAMVA Calculations'!F78+'1.1. LRAMVA Calculations'!F79)*$H23</f>
        <v>165.47397226828269</v>
      </c>
      <c r="N23" s="170">
        <f>('1.1. LRAMVA Calculations'!G73+'1.1. LRAMVA Calculations'!G74+'1.1. LRAMVA Calculations'!G75+'1.1. LRAMVA Calculations'!G76+'1.1. LRAMVA Calculations'!G77+'1.1. LRAMVA Calculations'!G78+'1.1. LRAMVA Calculations'!G79)*$H23</f>
        <v>180.78166515819984</v>
      </c>
      <c r="O23" s="170"/>
      <c r="P23" s="171"/>
      <c r="Q23" s="171">
        <f t="shared" si="0"/>
        <v>3028.5740016039231</v>
      </c>
    </row>
    <row r="24" spans="2:17" s="3" customFormat="1" ht="13" x14ac:dyDescent="0.3">
      <c r="B24" s="163" t="s">
        <v>71</v>
      </c>
      <c r="C24" s="163">
        <v>1.47E-2</v>
      </c>
      <c r="D24" s="176"/>
      <c r="E24" s="164">
        <v>41883</v>
      </c>
      <c r="F24" s="208">
        <v>2014</v>
      </c>
      <c r="G24" s="169" t="s">
        <v>87</v>
      </c>
      <c r="H24" s="453">
        <f>C$30/12</f>
        <v>1.225E-3</v>
      </c>
      <c r="I24" s="170">
        <f>('1.1. LRAMVA Calculations'!B73+'1.1. LRAMVA Calculations'!B74+'1.1. LRAMVA Calculations'!B75+'1.1. LRAMVA Calculations'!B76+'1.1. LRAMVA Calculations'!B77+'1.1. LRAMVA Calculations'!B78+'1.1. LRAMVA Calculations'!B79+'1.1. LRAMVA Calculations'!B80)*$H24</f>
        <v>272.59693168432176</v>
      </c>
      <c r="J24" s="170">
        <f>('1.1. LRAMVA Calculations'!C73+'1.1. LRAMVA Calculations'!C74+'1.1. LRAMVA Calculations'!C75+'1.1. LRAMVA Calculations'!C76+'1.1. LRAMVA Calculations'!C77+'1.1. LRAMVA Calculations'!C78+'1.1. LRAMVA Calculations'!C79+'1.1. LRAMVA Calculations'!C80)*$H24</f>
        <v>10.817800147580117</v>
      </c>
      <c r="K24" s="170">
        <f>('1.1. LRAMVA Calculations'!D73+'1.1. LRAMVA Calculations'!D74+'1.1. LRAMVA Calculations'!D75+'1.1. LRAMVA Calculations'!D76+'1.1. LRAMVA Calculations'!D77+'1.1. LRAMVA Calculations'!D78+'1.1. LRAMVA Calculations'!D79+'1.1. LRAMVA Calculations'!D80)*$H24</f>
        <v>1206.2327995403125</v>
      </c>
      <c r="L24" s="170">
        <f>('1.1. LRAMVA Calculations'!E73+'1.1. LRAMVA Calculations'!E74+'1.1. LRAMVA Calculations'!E75+'1.1. LRAMVA Calculations'!E76+'1.1. LRAMVA Calculations'!E77+'1.1. LRAMVA Calculations'!E78+'1.1. LRAMVA Calculations'!E79+'1.1. LRAMVA Calculations'!E80)*$H24</f>
        <v>1809.8857970996105</v>
      </c>
      <c r="M24" s="170">
        <f>('1.1. LRAMVA Calculations'!F73+'1.1. LRAMVA Calculations'!F74+'1.1. LRAMVA Calculations'!F75+'1.1. LRAMVA Calculations'!F76+'1.1. LRAMVA Calculations'!F77+'1.1. LRAMVA Calculations'!F78+'1.1. LRAMVA Calculations'!F79+'1.1. LRAMVA Calculations'!F80)*$H24</f>
        <v>221.49892978199739</v>
      </c>
      <c r="N24" s="170">
        <f>('1.1. LRAMVA Calculations'!G73+'1.1. LRAMVA Calculations'!G74+'1.1. LRAMVA Calculations'!G75+'1.1. LRAMVA Calculations'!G76+'1.1. LRAMVA Calculations'!G77+'1.1. LRAMVA Calculations'!G78+'1.1. LRAMVA Calculations'!G79+'1.1. LRAMVA Calculations'!G80)*$H24</f>
        <v>238.2435544890067</v>
      </c>
      <c r="O24" s="170"/>
      <c r="P24" s="171"/>
      <c r="Q24" s="171">
        <f t="shared" si="0"/>
        <v>3759.2758127428292</v>
      </c>
    </row>
    <row r="25" spans="2:17" s="3" customFormat="1" ht="13" x14ac:dyDescent="0.3">
      <c r="B25" s="163" t="s">
        <v>72</v>
      </c>
      <c r="C25" s="163">
        <v>1.47E-2</v>
      </c>
      <c r="D25" s="176"/>
      <c r="E25" s="164">
        <v>41913</v>
      </c>
      <c r="F25" s="208">
        <v>2014</v>
      </c>
      <c r="G25" s="169" t="s">
        <v>88</v>
      </c>
      <c r="H25" s="453">
        <f>C$31/12</f>
        <v>1.225E-3</v>
      </c>
      <c r="I25" s="170">
        <f>('1.1. LRAMVA Calculations'!B73+'1.1. LRAMVA Calculations'!B74+'1.1. LRAMVA Calculations'!B75+'1.1. LRAMVA Calculations'!B76+'1.1. LRAMVA Calculations'!B77+'1.1. LRAMVA Calculations'!B78+'1.1. LRAMVA Calculations'!B79+'1.1. LRAMVA Calculations'!B80+'1.1. LRAMVA Calculations'!B81)*$H25</f>
        <v>342.00441872331101</v>
      </c>
      <c r="J25" s="170">
        <f>('1.1. LRAMVA Calculations'!C73+'1.1. LRAMVA Calculations'!C74+'1.1. LRAMVA Calculations'!C75+'1.1. LRAMVA Calculations'!C76+'1.1. LRAMVA Calculations'!C77+'1.1. LRAMVA Calculations'!C78+'1.1. LRAMVA Calculations'!C79+'1.1. LRAMVA Calculations'!C80+'1.1. LRAMVA Calculations'!C81)*$H25</f>
        <v>13.810140058713616</v>
      </c>
      <c r="K25" s="170">
        <f>('1.1. LRAMVA Calculations'!D73+'1.1. LRAMVA Calculations'!D74+'1.1. LRAMVA Calculations'!D75+'1.1. LRAMVA Calculations'!D76+'1.1. LRAMVA Calculations'!D77+'1.1. LRAMVA Calculations'!D78+'1.1. LRAMVA Calculations'!D79+'1.1. LRAMVA Calculations'!D80+'1.1. LRAMVA Calculations'!D81)*$H25</f>
        <v>1435.9162113243053</v>
      </c>
      <c r="L25" s="170">
        <f>('1.1. LRAMVA Calculations'!E73+'1.1. LRAMVA Calculations'!E74+'1.1. LRAMVA Calculations'!E75+'1.1. LRAMVA Calculations'!E76+'1.1. LRAMVA Calculations'!E77+'1.1. LRAMVA Calculations'!E78+'1.1. LRAMVA Calculations'!E79+'1.1. LRAMVA Calculations'!E80+'1.1. LRAMVA Calculations'!E81)*$H25</f>
        <v>2094.0772966363443</v>
      </c>
      <c r="M25" s="170">
        <f>('1.1. LRAMVA Calculations'!F73+'1.1. LRAMVA Calculations'!F74+'1.1. LRAMVA Calculations'!F75+'1.1. LRAMVA Calculations'!F76+'1.1. LRAMVA Calculations'!F77+'1.1. LRAMVA Calculations'!F78+'1.1. LRAMVA Calculations'!F79+'1.1. LRAMVA Calculations'!F80+'1.1. LRAMVA Calculations'!F81)*$H25</f>
        <v>272.60186226965186</v>
      </c>
      <c r="N25" s="170">
        <f>('1.1. LRAMVA Calculations'!G73+'1.1. LRAMVA Calculations'!G74+'1.1. LRAMVA Calculations'!G75+'1.1. LRAMVA Calculations'!G76+'1.1. LRAMVA Calculations'!G77+'1.1. LRAMVA Calculations'!G78+'1.1. LRAMVA Calculations'!G79+'1.1. LRAMVA Calculations'!G80+'1.1. LRAMVA Calculations'!G81)*$H25</f>
        <v>288.77096162496781</v>
      </c>
      <c r="O25" s="170"/>
      <c r="P25" s="171"/>
      <c r="Q25" s="171">
        <f t="shared" si="0"/>
        <v>4447.1808906372935</v>
      </c>
    </row>
    <row r="26" spans="2:17" s="3" customFormat="1" ht="13" x14ac:dyDescent="0.3">
      <c r="B26" s="163" t="s">
        <v>73</v>
      </c>
      <c r="C26" s="163">
        <v>1.47E-2</v>
      </c>
      <c r="D26" s="176"/>
      <c r="E26" s="164">
        <v>41944</v>
      </c>
      <c r="F26" s="208">
        <v>2014</v>
      </c>
      <c r="G26" s="169" t="s">
        <v>88</v>
      </c>
      <c r="H26" s="453">
        <f>C$31/12</f>
        <v>1.225E-3</v>
      </c>
      <c r="I26" s="170">
        <f>('1.1. LRAMVA Calculations'!B73+'1.1. LRAMVA Calculations'!B74+'1.1. LRAMVA Calculations'!B75+'1.1. LRAMVA Calculations'!B76+'1.1. LRAMVA Calculations'!B77+'1.1. LRAMVA Calculations'!B78+'1.1. LRAMVA Calculations'!B79+'1.1. LRAMVA Calculations'!B80+'1.1. LRAMVA Calculations'!B81+'1.1. LRAMVA Calculations'!B82)*$H26</f>
        <v>343.88544125655227</v>
      </c>
      <c r="J26" s="170">
        <f>('1.1. LRAMVA Calculations'!C73+'1.1. LRAMVA Calculations'!C74+'1.1. LRAMVA Calculations'!C75+'1.1. LRAMVA Calculations'!C76+'1.1. LRAMVA Calculations'!C77+'1.1. LRAMVA Calculations'!C78+'1.1. LRAMVA Calculations'!C79+'1.1. LRAMVA Calculations'!C80+'1.1. LRAMVA Calculations'!C81+'1.1. LRAMVA Calculations'!C82)*$H26</f>
        <v>13.892880590184982</v>
      </c>
      <c r="K26" s="170">
        <f>('1.1. LRAMVA Calculations'!D73+'1.1. LRAMVA Calculations'!D74+'1.1. LRAMVA Calculations'!D75+'1.1. LRAMVA Calculations'!D76+'1.1. LRAMVA Calculations'!D77+'1.1. LRAMVA Calculations'!D78+'1.1. LRAMVA Calculations'!D79+'1.1. LRAMVA Calculations'!D80+'1.1. LRAMVA Calculations'!D81+'1.1. LRAMVA Calculations'!D82)*$H26</f>
        <v>1486.5637487031806</v>
      </c>
      <c r="L26" s="170">
        <f>('1.1. LRAMVA Calculations'!E73+'1.1. LRAMVA Calculations'!E74+'1.1. LRAMVA Calculations'!E75+'1.1. LRAMVA Calculations'!E76+'1.1. LRAMVA Calculations'!E77+'1.1. LRAMVA Calculations'!E78+'1.1. LRAMVA Calculations'!E79+'1.1. LRAMVA Calculations'!E80+'1.1. LRAMVA Calculations'!E81+'1.1. LRAMVA Calculations'!E82)*$H26</f>
        <v>2333.9010694649</v>
      </c>
      <c r="M26" s="170">
        <f>('1.1. LRAMVA Calculations'!F73+'1.1. LRAMVA Calculations'!F74+'1.1. LRAMVA Calculations'!F75+'1.1. LRAMVA Calculations'!F76+'1.1. LRAMVA Calculations'!F77+'1.1. LRAMVA Calculations'!F78+'1.1. LRAMVA Calculations'!F79+'1.1. LRAMVA Calculations'!F80+'1.1. LRAMVA Calculations'!F81+'1.1. LRAMVA Calculations'!F82)*$H26</f>
        <v>316.1330137912048</v>
      </c>
      <c r="N26" s="170">
        <f>('1.1. LRAMVA Calculations'!G73+'1.1. LRAMVA Calculations'!G74+'1.1. LRAMVA Calculations'!G75+'1.1. LRAMVA Calculations'!G76+'1.1. LRAMVA Calculations'!G77+'1.1. LRAMVA Calculations'!G78+'1.1. LRAMVA Calculations'!G79+'1.1. LRAMVA Calculations'!G80+'1.1. LRAMVA Calculations'!G81+'1.1. LRAMVA Calculations'!G82)*$H26</f>
        <v>328.80054416501258</v>
      </c>
      <c r="O26" s="170"/>
      <c r="P26" s="171"/>
      <c r="Q26" s="171">
        <f t="shared" si="0"/>
        <v>4823.1766979710355</v>
      </c>
    </row>
    <row r="27" spans="2:17" s="3" customFormat="1" ht="13" x14ac:dyDescent="0.3">
      <c r="B27" s="203" t="s">
        <v>74</v>
      </c>
      <c r="C27" s="203">
        <v>1.47E-2</v>
      </c>
      <c r="D27" s="176"/>
      <c r="E27" s="164">
        <v>41974</v>
      </c>
      <c r="F27" s="208">
        <v>2014</v>
      </c>
      <c r="G27" s="169" t="s">
        <v>88</v>
      </c>
      <c r="H27" s="453">
        <f>C$31/12</f>
        <v>1.225E-3</v>
      </c>
      <c r="I2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Calculations'!B83)*$H27</f>
        <v>350.69569235340833</v>
      </c>
      <c r="J2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Calculations'!C83)*$H27</f>
        <v>14.204552450098191</v>
      </c>
      <c r="K2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Calculations'!D83)*$H27</f>
        <v>1544.142809277716</v>
      </c>
      <c r="L2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Calculations'!E83)*$H27</f>
        <v>2575.8946411433135</v>
      </c>
      <c r="M2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Calculations'!F83)*$H27</f>
        <v>368.71930190961245</v>
      </c>
      <c r="N2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Calculations'!G83)*$H27</f>
        <v>377.38896733491384</v>
      </c>
      <c r="O27" s="170"/>
      <c r="P27" s="171"/>
      <c r="Q27" s="171">
        <f t="shared" si="0"/>
        <v>5231.0459644690627</v>
      </c>
    </row>
    <row r="28" spans="2:17" s="3" customFormat="1" ht="13.5" thickBot="1" x14ac:dyDescent="0.35">
      <c r="B28" s="633" t="s">
        <v>75</v>
      </c>
      <c r="C28" s="633">
        <v>1.47E-2</v>
      </c>
      <c r="D28" s="176"/>
      <c r="E28" s="180" t="s">
        <v>374</v>
      </c>
      <c r="F28" s="180"/>
      <c r="G28" s="181"/>
      <c r="H28" s="454"/>
      <c r="I28" s="182">
        <f>SUM(I16:I27)</f>
        <v>2006.5927466217477</v>
      </c>
      <c r="J28" s="182">
        <f t="shared" ref="J28:P28" si="2">SUM(J16:J27)</f>
        <v>78.470343946182581</v>
      </c>
      <c r="K28" s="182">
        <f t="shared" si="2"/>
        <v>9377.7371978078227</v>
      </c>
      <c r="L28" s="182">
        <f t="shared" si="2"/>
        <v>14076.118984214465</v>
      </c>
      <c r="M28" s="182">
        <f t="shared" si="2"/>
        <v>1642.6507333648665</v>
      </c>
      <c r="N28" s="182">
        <f t="shared" si="2"/>
        <v>1766.5323467673509</v>
      </c>
      <c r="O28" s="182">
        <f t="shared" si="2"/>
        <v>0</v>
      </c>
      <c r="P28" s="182">
        <f t="shared" si="2"/>
        <v>0</v>
      </c>
      <c r="Q28" s="182">
        <f>SUM(Q16:Q27)</f>
        <v>28948.102352722439</v>
      </c>
    </row>
    <row r="29" spans="2:17" s="3" customFormat="1" ht="13.5" thickTop="1" x14ac:dyDescent="0.3">
      <c r="B29" s="163" t="s">
        <v>76</v>
      </c>
      <c r="C29" s="163">
        <v>1.47E-2</v>
      </c>
      <c r="D29" s="176"/>
      <c r="E29" s="209" t="s">
        <v>86</v>
      </c>
      <c r="F29" s="209"/>
      <c r="G29" s="210"/>
      <c r="H29" s="455"/>
      <c r="I29" s="211"/>
      <c r="J29" s="211"/>
      <c r="K29" s="211"/>
      <c r="L29" s="211"/>
      <c r="M29" s="211"/>
      <c r="N29" s="211"/>
      <c r="O29" s="211"/>
      <c r="P29" s="211"/>
      <c r="Q29" s="212"/>
    </row>
    <row r="30" spans="2:17" s="3" customFormat="1" ht="13" x14ac:dyDescent="0.3">
      <c r="B30" s="163" t="s">
        <v>77</v>
      </c>
      <c r="C30" s="163">
        <v>1.47E-2</v>
      </c>
      <c r="D30" s="176"/>
      <c r="E30" s="177" t="s">
        <v>567</v>
      </c>
      <c r="F30" s="177"/>
      <c r="G30" s="178"/>
      <c r="H30" s="456"/>
      <c r="I30" s="179">
        <f t="shared" ref="I30:M30" si="3">I28+I29</f>
        <v>2006.5927466217477</v>
      </c>
      <c r="J30" s="179">
        <f t="shared" si="3"/>
        <v>78.470343946182581</v>
      </c>
      <c r="K30" s="179">
        <f t="shared" si="3"/>
        <v>9377.7371978078227</v>
      </c>
      <c r="L30" s="179">
        <f t="shared" si="3"/>
        <v>14076.118984214465</v>
      </c>
      <c r="M30" s="179">
        <f t="shared" si="3"/>
        <v>1642.6507333648665</v>
      </c>
      <c r="N30" s="179">
        <f>N28+N29</f>
        <v>1766.5323467673509</v>
      </c>
      <c r="O30" s="179">
        <f>O28+O29</f>
        <v>0</v>
      </c>
      <c r="P30" s="179"/>
      <c r="Q30" s="179">
        <f>Q28+Q29</f>
        <v>28948.102352722439</v>
      </c>
    </row>
    <row r="31" spans="2:17" s="3" customFormat="1" ht="13" x14ac:dyDescent="0.3">
      <c r="B31" s="203" t="s">
        <v>78</v>
      </c>
      <c r="C31" s="203">
        <v>1.47E-2</v>
      </c>
      <c r="D31" s="176"/>
      <c r="E31" s="164">
        <v>42005</v>
      </c>
      <c r="F31" s="168" t="s">
        <v>527</v>
      </c>
      <c r="G31" s="169" t="s">
        <v>84</v>
      </c>
      <c r="H31" s="457">
        <f>C$32/12</f>
        <v>1.225E-3</v>
      </c>
      <c r="I3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Calculations'!B84)*$H31</f>
        <v>422.35530150321682</v>
      </c>
      <c r="J3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Calculations'!C84)*$H31</f>
        <v>17.65351408677925</v>
      </c>
      <c r="K3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Calculations'!D84)*$H31</f>
        <v>1753.1437769945896</v>
      </c>
      <c r="L3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Calculations'!E84)*$H31</f>
        <v>2837.8388674516291</v>
      </c>
      <c r="M3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Calculations'!F84)*$H31</f>
        <v>429.20406176258825</v>
      </c>
      <c r="N3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Calculations'!G84)*$H31</f>
        <v>433.07623802323877</v>
      </c>
      <c r="O31" s="170"/>
      <c r="P31" s="171"/>
      <c r="Q31" s="171">
        <f t="shared" ref="Q31:Q42" si="4">SUM(I31:P31)</f>
        <v>5893.2717598220424</v>
      </c>
    </row>
    <row r="32" spans="2:17" s="3" customFormat="1" ht="13" x14ac:dyDescent="0.3">
      <c r="B32" s="633" t="s">
        <v>79</v>
      </c>
      <c r="C32" s="633">
        <v>1.47E-2</v>
      </c>
      <c r="D32" s="176"/>
      <c r="E32" s="164">
        <v>42036</v>
      </c>
      <c r="F32" s="168" t="s">
        <v>527</v>
      </c>
      <c r="G32" s="169" t="s">
        <v>84</v>
      </c>
      <c r="H32" s="457">
        <f>C$32/12</f>
        <v>1.225E-3</v>
      </c>
      <c r="I3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Calculations'!B84)*$H32</f>
        <v>422.35530150321682</v>
      </c>
      <c r="J3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Calculations'!C84)*$H32</f>
        <v>17.65351408677925</v>
      </c>
      <c r="K3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Calculations'!D84)*$H32</f>
        <v>1753.1437769945896</v>
      </c>
      <c r="L3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Calculations'!E84)*$H32</f>
        <v>2837.8388674516291</v>
      </c>
      <c r="M3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Calculations'!F84)*$H32</f>
        <v>429.20406176258825</v>
      </c>
      <c r="N3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Calculations'!G84)*$H32</f>
        <v>433.07623802323877</v>
      </c>
      <c r="O32" s="170"/>
      <c r="P32" s="171"/>
      <c r="Q32" s="171">
        <f t="shared" si="4"/>
        <v>5893.2717598220424</v>
      </c>
    </row>
    <row r="33" spans="2:17" s="3" customFormat="1" ht="13" x14ac:dyDescent="0.3">
      <c r="B33" s="163" t="s">
        <v>80</v>
      </c>
      <c r="C33" s="163">
        <v>1.0999999999999999E-2</v>
      </c>
      <c r="D33" s="176"/>
      <c r="E33" s="164">
        <v>42064</v>
      </c>
      <c r="F33" s="168" t="s">
        <v>527</v>
      </c>
      <c r="G33" s="169" t="s">
        <v>84</v>
      </c>
      <c r="H33" s="457">
        <f>C$32/12</f>
        <v>1.225E-3</v>
      </c>
      <c r="I33"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Calculations'!B84)*$H33</f>
        <v>422.35530150321682</v>
      </c>
      <c r="J33"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Calculations'!C84)*$H33</f>
        <v>17.65351408677925</v>
      </c>
      <c r="K33"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Calculations'!D84)*$H33</f>
        <v>1753.1437769945896</v>
      </c>
      <c r="L33"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Calculations'!E84)*$H33</f>
        <v>2837.8388674516291</v>
      </c>
      <c r="M33"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Calculations'!F84)*$H33</f>
        <v>429.20406176258825</v>
      </c>
      <c r="N33"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Calculations'!G84)*$H33</f>
        <v>433.07623802323877</v>
      </c>
      <c r="O33" s="170"/>
      <c r="P33" s="171"/>
      <c r="Q33" s="171">
        <f t="shared" si="4"/>
        <v>5893.2717598220424</v>
      </c>
    </row>
    <row r="34" spans="2:17" s="3" customFormat="1" ht="13" x14ac:dyDescent="0.3">
      <c r="B34" s="163" t="s">
        <v>368</v>
      </c>
      <c r="C34" s="163">
        <v>1.0999999999999999E-2</v>
      </c>
      <c r="D34" s="176"/>
      <c r="E34" s="164">
        <v>42095</v>
      </c>
      <c r="F34" s="168" t="s">
        <v>527</v>
      </c>
      <c r="G34" s="169" t="s">
        <v>85</v>
      </c>
      <c r="H34" s="458">
        <f>C$33/12</f>
        <v>9.1666666666666665E-4</v>
      </c>
      <c r="I34"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Calculations'!B84)*$H34</f>
        <v>316.04818479832551</v>
      </c>
      <c r="J34"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Calculations'!C84)*$H34</f>
        <v>13.210112581943658</v>
      </c>
      <c r="K34"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Calculations'!D84)*$H34</f>
        <v>1311.8762957102372</v>
      </c>
      <c r="L34"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Calculations'!E84)*$H34</f>
        <v>2123.5528940114232</v>
      </c>
      <c r="M34"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Calculations'!F84)*$H34</f>
        <v>321.17310744139257</v>
      </c>
      <c r="N34"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Calculations'!G84)*$H34</f>
        <v>324.07065430310382</v>
      </c>
      <c r="O34" s="170"/>
      <c r="P34" s="171"/>
      <c r="Q34" s="171">
        <f t="shared" si="4"/>
        <v>4409.9312488464257</v>
      </c>
    </row>
    <row r="35" spans="2:17" s="3" customFormat="1" ht="13" x14ac:dyDescent="0.3">
      <c r="B35" s="203" t="s">
        <v>369</v>
      </c>
      <c r="C35" s="203">
        <v>1.0999999999999999E-2</v>
      </c>
      <c r="D35" s="176"/>
      <c r="E35" s="164">
        <v>42125</v>
      </c>
      <c r="F35" s="168" t="s">
        <v>527</v>
      </c>
      <c r="G35" s="169" t="s">
        <v>85</v>
      </c>
      <c r="H35" s="458">
        <f>C$33/12</f>
        <v>9.1666666666666665E-4</v>
      </c>
      <c r="I35"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Calculations'!B84)*$H35</f>
        <v>316.04818479832551</v>
      </c>
      <c r="J35"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Calculations'!C84)*$H35</f>
        <v>13.210112581943658</v>
      </c>
      <c r="K35"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Calculations'!D84)*$H35</f>
        <v>1311.8762957102372</v>
      </c>
      <c r="L35"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Calculations'!E84)*$H35</f>
        <v>2123.5528940114232</v>
      </c>
      <c r="M35"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Calculations'!F84)*$H35</f>
        <v>321.17310744139257</v>
      </c>
      <c r="N35"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Calculations'!G84)*$H35</f>
        <v>324.07065430310382</v>
      </c>
      <c r="O35" s="170"/>
      <c r="P35" s="171"/>
      <c r="Q35" s="171">
        <f t="shared" si="4"/>
        <v>4409.9312488464257</v>
      </c>
    </row>
    <row r="36" spans="2:17" s="3" customFormat="1" ht="13" x14ac:dyDescent="0.3">
      <c r="B36" s="633" t="s">
        <v>119</v>
      </c>
      <c r="C36" s="633">
        <v>1.0999999999999999E-2</v>
      </c>
      <c r="D36" s="176"/>
      <c r="E36" s="164">
        <v>42156</v>
      </c>
      <c r="F36" s="168" t="s">
        <v>527</v>
      </c>
      <c r="G36" s="169" t="s">
        <v>85</v>
      </c>
      <c r="H36" s="458">
        <f>C$33/12</f>
        <v>9.1666666666666665E-4</v>
      </c>
      <c r="I3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Calculations'!B84)*$H36</f>
        <v>316.04818479832551</v>
      </c>
      <c r="J3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Calculations'!C84)*$H36</f>
        <v>13.210112581943658</v>
      </c>
      <c r="K3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Calculations'!D84)*$H36</f>
        <v>1311.8762957102372</v>
      </c>
      <c r="L3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Calculations'!E84)*$H36</f>
        <v>2123.5528940114232</v>
      </c>
      <c r="M3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Calculations'!F84)*$H36</f>
        <v>321.17310744139257</v>
      </c>
      <c r="N3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Calculations'!G84)*$H36</f>
        <v>324.07065430310382</v>
      </c>
      <c r="O36" s="170"/>
      <c r="P36" s="171"/>
      <c r="Q36" s="171">
        <f t="shared" si="4"/>
        <v>4409.9312488464257</v>
      </c>
    </row>
    <row r="37" spans="2:17" s="3" customFormat="1" ht="13" x14ac:dyDescent="0.3">
      <c r="B37" s="163" t="s">
        <v>120</v>
      </c>
      <c r="C37" s="163">
        <v>1.0999999999999999E-2</v>
      </c>
      <c r="D37" s="176"/>
      <c r="E37" s="164">
        <v>42186</v>
      </c>
      <c r="F37" s="168" t="s">
        <v>527</v>
      </c>
      <c r="G37" s="169" t="s">
        <v>87</v>
      </c>
      <c r="H37" s="458">
        <f>C$34/12</f>
        <v>9.1666666666666665E-4</v>
      </c>
      <c r="I3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Calculations'!B84)*$H37</f>
        <v>316.04818479832551</v>
      </c>
      <c r="J3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Calculations'!C84)*$H37</f>
        <v>13.210112581943658</v>
      </c>
      <c r="K3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Calculations'!D84)*$H37</f>
        <v>1311.8762957102372</v>
      </c>
      <c r="L3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Calculations'!E84)*$H37</f>
        <v>2123.5528940114232</v>
      </c>
      <c r="M3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Calculations'!F84)*$H37</f>
        <v>321.17310744139257</v>
      </c>
      <c r="N3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Calculations'!G84)*$H37</f>
        <v>324.07065430310382</v>
      </c>
      <c r="O37" s="170"/>
      <c r="P37" s="171"/>
      <c r="Q37" s="171">
        <f t="shared" si="4"/>
        <v>4409.9312488464257</v>
      </c>
    </row>
    <row r="38" spans="2:17" s="3" customFormat="1" ht="13" x14ac:dyDescent="0.3">
      <c r="B38" s="163" t="s">
        <v>121</v>
      </c>
      <c r="C38" s="163">
        <v>1.0999999999999999E-2</v>
      </c>
      <c r="D38" s="176"/>
      <c r="E38" s="164">
        <v>42217</v>
      </c>
      <c r="F38" s="168" t="s">
        <v>527</v>
      </c>
      <c r="G38" s="169" t="s">
        <v>87</v>
      </c>
      <c r="H38" s="458">
        <f>C$34/12</f>
        <v>9.1666666666666665E-4</v>
      </c>
      <c r="I38"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Calculations'!B84)*$H38</f>
        <v>316.04818479832551</v>
      </c>
      <c r="J38"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Calculations'!C84)*$H38</f>
        <v>13.210112581943658</v>
      </c>
      <c r="K38"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Calculations'!D84)*$H38</f>
        <v>1311.8762957102372</v>
      </c>
      <c r="L38"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Calculations'!E84)*$H38</f>
        <v>2123.5528940114232</v>
      </c>
      <c r="M38"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Calculations'!F84)*$H38</f>
        <v>321.17310744139257</v>
      </c>
      <c r="N38"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Calculations'!G84)*$H38</f>
        <v>324.07065430310382</v>
      </c>
      <c r="O38" s="170"/>
      <c r="P38" s="171"/>
      <c r="Q38" s="171">
        <f t="shared" si="4"/>
        <v>4409.9312488464257</v>
      </c>
    </row>
    <row r="39" spans="2:17" s="3" customFormat="1" ht="13" x14ac:dyDescent="0.3">
      <c r="B39" s="163" t="s">
        <v>122</v>
      </c>
      <c r="C39" s="206">
        <v>1.0999999999999999E-2</v>
      </c>
      <c r="D39" s="176"/>
      <c r="E39" s="164">
        <v>42248</v>
      </c>
      <c r="F39" s="168" t="s">
        <v>527</v>
      </c>
      <c r="G39" s="169" t="s">
        <v>87</v>
      </c>
      <c r="H39" s="458">
        <f>C$34/12</f>
        <v>9.1666666666666665E-4</v>
      </c>
      <c r="I39"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Calculations'!B84)*$H39</f>
        <v>316.04818479832551</v>
      </c>
      <c r="J39"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Calculations'!C84)*$H39</f>
        <v>13.210112581943658</v>
      </c>
      <c r="K39"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Calculations'!D84)*$H39</f>
        <v>1311.8762957102372</v>
      </c>
      <c r="L39"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Calculations'!E84)*$H39</f>
        <v>2123.5528940114232</v>
      </c>
      <c r="M39"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Calculations'!F84)*$H39</f>
        <v>321.17310744139257</v>
      </c>
      <c r="N39"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Calculations'!G84)*$H39</f>
        <v>324.07065430310382</v>
      </c>
      <c r="O39" s="170"/>
      <c r="P39" s="171"/>
      <c r="Q39" s="171">
        <f t="shared" si="4"/>
        <v>4409.9312488464257</v>
      </c>
    </row>
    <row r="40" spans="2:17" s="3" customFormat="1" ht="13" x14ac:dyDescent="0.3">
      <c r="B40" s="163" t="s">
        <v>123</v>
      </c>
      <c r="C40" s="206"/>
      <c r="D40" s="176"/>
      <c r="E40" s="164">
        <v>42278</v>
      </c>
      <c r="F40" s="168" t="s">
        <v>527</v>
      </c>
      <c r="G40" s="169" t="s">
        <v>88</v>
      </c>
      <c r="H40" s="458">
        <f>C$35/12</f>
        <v>9.1666666666666665E-4</v>
      </c>
      <c r="I40"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Calculations'!B84)*$H40</f>
        <v>316.04818479832551</v>
      </c>
      <c r="J40"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Calculations'!C84)*$H40</f>
        <v>13.210112581943658</v>
      </c>
      <c r="K40"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Calculations'!D84)*$H40</f>
        <v>1311.8762957102372</v>
      </c>
      <c r="L40"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Calculations'!E84)*$H40</f>
        <v>2123.5528940114232</v>
      </c>
      <c r="M40"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Calculations'!F84)*$H40</f>
        <v>321.17310744139257</v>
      </c>
      <c r="N40"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Calculations'!G84)*$H40</f>
        <v>324.07065430310382</v>
      </c>
      <c r="O40" s="170"/>
      <c r="P40" s="171"/>
      <c r="Q40" s="171">
        <f t="shared" si="4"/>
        <v>4409.9312488464257</v>
      </c>
    </row>
    <row r="41" spans="2:17" s="3" customFormat="1" ht="13" x14ac:dyDescent="0.3">
      <c r="B41" s="163" t="s">
        <v>124</v>
      </c>
      <c r="C41" s="206"/>
      <c r="D41" s="176"/>
      <c r="E41" s="164">
        <v>42309</v>
      </c>
      <c r="F41" s="168" t="s">
        <v>527</v>
      </c>
      <c r="G41" s="169" t="s">
        <v>88</v>
      </c>
      <c r="H41" s="458">
        <f>C$35/12</f>
        <v>9.1666666666666665E-4</v>
      </c>
      <c r="I4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Calculations'!B84)*$H41</f>
        <v>316.04818479832551</v>
      </c>
      <c r="J4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Calculations'!C84)*$H41</f>
        <v>13.210112581943658</v>
      </c>
      <c r="K4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Calculations'!D84)*$H41</f>
        <v>1311.8762957102372</v>
      </c>
      <c r="L4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Calculations'!E84)*$H41</f>
        <v>2123.5528940114232</v>
      </c>
      <c r="M4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Calculations'!F84)*$H41</f>
        <v>321.17310744139257</v>
      </c>
      <c r="N4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Calculations'!G84)*$H41</f>
        <v>324.07065430310382</v>
      </c>
      <c r="O41" s="170"/>
      <c r="P41" s="171"/>
      <c r="Q41" s="171">
        <f t="shared" si="4"/>
        <v>4409.9312488464257</v>
      </c>
    </row>
    <row r="42" spans="2:17" s="3" customFormat="1" ht="13" x14ac:dyDescent="0.3">
      <c r="B42" s="163" t="s">
        <v>125</v>
      </c>
      <c r="C42" s="206"/>
      <c r="D42" s="176"/>
      <c r="E42" s="164">
        <v>42339</v>
      </c>
      <c r="F42" s="168" t="s">
        <v>527</v>
      </c>
      <c r="G42" s="169" t="s">
        <v>88</v>
      </c>
      <c r="H42" s="458">
        <f>C$35/12</f>
        <v>9.1666666666666665E-4</v>
      </c>
      <c r="I4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Calculations'!B84)*$H42</f>
        <v>316.04818479832551</v>
      </c>
      <c r="J4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Calculations'!C84)*$H42</f>
        <v>13.210112581943658</v>
      </c>
      <c r="K4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Calculations'!D84)*$H42</f>
        <v>1311.8762957102372</v>
      </c>
      <c r="L4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Calculations'!E84)*$H42</f>
        <v>2123.5528940114232</v>
      </c>
      <c r="M4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Calculations'!F84)*$H42</f>
        <v>321.17310744139257</v>
      </c>
      <c r="N4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Calculations'!G84)*$H42</f>
        <v>324.07065430310382</v>
      </c>
      <c r="O42" s="170"/>
      <c r="P42" s="171"/>
      <c r="Q42" s="171">
        <f t="shared" si="4"/>
        <v>4409.9312488464257</v>
      </c>
    </row>
    <row r="43" spans="2:17" s="3" customFormat="1" ht="13.5" thickBot="1" x14ac:dyDescent="0.35">
      <c r="B43" s="163" t="s">
        <v>126</v>
      </c>
      <c r="C43" s="206"/>
      <c r="D43" s="176"/>
      <c r="E43" s="180" t="s">
        <v>375</v>
      </c>
      <c r="F43" s="180"/>
      <c r="G43" s="181"/>
      <c r="H43" s="459"/>
      <c r="I43" s="182">
        <f>SUM(I30:I42)</f>
        <v>6118.0923143163272</v>
      </c>
      <c r="J43" s="182">
        <f t="shared" ref="J43:P43" si="5">SUM(J30:J42)</f>
        <v>250.3218994440133</v>
      </c>
      <c r="K43" s="182">
        <f t="shared" si="5"/>
        <v>26444.055190183724</v>
      </c>
      <c r="L43" s="182">
        <f t="shared" si="5"/>
        <v>41701.61163267216</v>
      </c>
      <c r="M43" s="182">
        <f t="shared" si="5"/>
        <v>5820.8208856251649</v>
      </c>
      <c r="N43" s="182">
        <f t="shared" si="5"/>
        <v>5982.3969495650008</v>
      </c>
      <c r="O43" s="182">
        <f t="shared" si="5"/>
        <v>0</v>
      </c>
      <c r="P43" s="182">
        <f t="shared" si="5"/>
        <v>0</v>
      </c>
      <c r="Q43" s="182">
        <f>SUM(Q30:Q42)</f>
        <v>86317.298871806372</v>
      </c>
    </row>
    <row r="44" spans="2:17" s="3" customFormat="1" ht="13.5" thickTop="1" x14ac:dyDescent="0.3">
      <c r="B44" s="163" t="s">
        <v>127</v>
      </c>
      <c r="C44" s="206"/>
      <c r="D44" s="176"/>
      <c r="E44" s="209" t="s">
        <v>86</v>
      </c>
      <c r="F44" s="209"/>
      <c r="G44" s="210"/>
      <c r="H44" s="455"/>
      <c r="I44" s="211"/>
      <c r="J44" s="211"/>
      <c r="K44" s="211"/>
      <c r="L44" s="211"/>
      <c r="M44" s="211"/>
      <c r="N44" s="211"/>
      <c r="O44" s="211"/>
      <c r="P44" s="211"/>
      <c r="Q44" s="212"/>
    </row>
    <row r="45" spans="2:17" s="3" customFormat="1" ht="13" x14ac:dyDescent="0.3">
      <c r="B45" s="163" t="s">
        <v>128</v>
      </c>
      <c r="C45" s="206"/>
      <c r="D45" s="176"/>
      <c r="E45" s="177" t="s">
        <v>566</v>
      </c>
      <c r="F45" s="177"/>
      <c r="G45" s="178"/>
      <c r="H45" s="456"/>
      <c r="I45" s="179">
        <f t="shared" ref="I45:P45" si="6">I43+I44</f>
        <v>6118.0923143163272</v>
      </c>
      <c r="J45" s="179">
        <f t="shared" si="6"/>
        <v>250.3218994440133</v>
      </c>
      <c r="K45" s="179">
        <f t="shared" si="6"/>
        <v>26444.055190183724</v>
      </c>
      <c r="L45" s="179">
        <f t="shared" si="6"/>
        <v>41701.61163267216</v>
      </c>
      <c r="M45" s="179">
        <f t="shared" si="6"/>
        <v>5820.8208856251649</v>
      </c>
      <c r="N45" s="179">
        <f t="shared" si="6"/>
        <v>5982.3969495650008</v>
      </c>
      <c r="O45" s="179">
        <f t="shared" si="6"/>
        <v>0</v>
      </c>
      <c r="P45" s="179">
        <f t="shared" si="6"/>
        <v>0</v>
      </c>
      <c r="Q45" s="179">
        <f>Q43+Q44</f>
        <v>86317.298871806372</v>
      </c>
    </row>
    <row r="46" spans="2:17" s="3" customFormat="1" ht="13" x14ac:dyDescent="0.3">
      <c r="B46" s="163" t="s">
        <v>129</v>
      </c>
      <c r="C46" s="206"/>
      <c r="D46" s="176"/>
      <c r="E46" s="164">
        <v>42370</v>
      </c>
      <c r="F46" s="168" t="s">
        <v>528</v>
      </c>
      <c r="G46" s="169" t="s">
        <v>84</v>
      </c>
      <c r="H46" s="458">
        <f>C$36/12</f>
        <v>9.1666666666666665E-4</v>
      </c>
      <c r="I4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Calculations'!B84)*$H46</f>
        <v>316.04818479832551</v>
      </c>
      <c r="J4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Calculations'!C84)*$H46</f>
        <v>13.210112581943658</v>
      </c>
      <c r="K4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Calculations'!D84)*$H46</f>
        <v>1311.8762957102372</v>
      </c>
      <c r="L4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Calculations'!E84)*$H46</f>
        <v>2123.5528940114232</v>
      </c>
      <c r="M4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Calculations'!F84)*$H46</f>
        <v>321.17310744139257</v>
      </c>
      <c r="N4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Calculations'!G84)*$H46</f>
        <v>324.07065430310382</v>
      </c>
      <c r="O46" s="170"/>
      <c r="P46" s="171"/>
      <c r="Q46" s="171">
        <f t="shared" ref="Q46:Q57" si="7">SUM(I46:P46)</f>
        <v>4409.9312488464257</v>
      </c>
    </row>
    <row r="47" spans="2:17" s="3" customFormat="1" ht="13" x14ac:dyDescent="0.3">
      <c r="B47" s="163" t="s">
        <v>130</v>
      </c>
      <c r="C47" s="206"/>
      <c r="D47" s="176"/>
      <c r="E47" s="164">
        <v>42401</v>
      </c>
      <c r="F47" s="168" t="s">
        <v>528</v>
      </c>
      <c r="G47" s="169" t="s">
        <v>84</v>
      </c>
      <c r="H47" s="458">
        <f>C$36/12</f>
        <v>9.1666666666666665E-4</v>
      </c>
      <c r="I4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Calculations'!B84)*$H47</f>
        <v>316.04818479832551</v>
      </c>
      <c r="J4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Calculations'!C84)*$H47</f>
        <v>13.210112581943658</v>
      </c>
      <c r="K4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Calculations'!D84)*$H47</f>
        <v>1311.8762957102372</v>
      </c>
      <c r="L4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Calculations'!E84)*$H47</f>
        <v>2123.5528940114232</v>
      </c>
      <c r="M4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Calculations'!F84)*$H47</f>
        <v>321.17310744139257</v>
      </c>
      <c r="N4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Calculations'!G84)*$H47</f>
        <v>324.07065430310382</v>
      </c>
      <c r="O47" s="170"/>
      <c r="P47" s="171"/>
      <c r="Q47" s="171">
        <f t="shared" si="7"/>
        <v>4409.9312488464257</v>
      </c>
    </row>
    <row r="48" spans="2:17" s="3" customFormat="1" ht="13" x14ac:dyDescent="0.3">
      <c r="B48" s="163" t="s">
        <v>131</v>
      </c>
      <c r="C48" s="206"/>
      <c r="D48" s="176"/>
      <c r="E48" s="164">
        <v>42430</v>
      </c>
      <c r="F48" s="168" t="s">
        <v>528</v>
      </c>
      <c r="G48" s="169" t="s">
        <v>84</v>
      </c>
      <c r="H48" s="458">
        <f>C$36/12</f>
        <v>9.1666666666666665E-4</v>
      </c>
      <c r="I48"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Calculations'!B84)*$H48</f>
        <v>316.04818479832551</v>
      </c>
      <c r="J48"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Calculations'!C84)*$H48</f>
        <v>13.210112581943658</v>
      </c>
      <c r="K48"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Calculations'!D84)*$H48</f>
        <v>1311.8762957102372</v>
      </c>
      <c r="L48"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Calculations'!E84)*$H48</f>
        <v>2123.5528940114232</v>
      </c>
      <c r="M48"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Calculations'!F84)*$H48</f>
        <v>321.17310744139257</v>
      </c>
      <c r="N48"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Calculations'!G84)*$H48</f>
        <v>324.07065430310382</v>
      </c>
      <c r="O48" s="170"/>
      <c r="P48" s="171"/>
      <c r="Q48" s="171">
        <f t="shared" si="7"/>
        <v>4409.9312488464257</v>
      </c>
    </row>
    <row r="49" spans="2:17" s="3" customFormat="1" ht="13" x14ac:dyDescent="0.3">
      <c r="B49" s="163" t="s">
        <v>132</v>
      </c>
      <c r="C49" s="206"/>
      <c r="D49" s="176"/>
      <c r="E49" s="164">
        <v>42461</v>
      </c>
      <c r="F49" s="168" t="s">
        <v>528</v>
      </c>
      <c r="G49" s="169" t="s">
        <v>85</v>
      </c>
      <c r="H49" s="458">
        <f>C$37/12</f>
        <v>9.1666666666666665E-4</v>
      </c>
      <c r="I49"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Calculations'!B84)*$H49</f>
        <v>316.04818479832551</v>
      </c>
      <c r="J49"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Calculations'!C84)*$H49</f>
        <v>13.210112581943658</v>
      </c>
      <c r="K49"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Calculations'!D84)*$H49</f>
        <v>1311.8762957102372</v>
      </c>
      <c r="L49"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Calculations'!E84)*$H49</f>
        <v>2123.5528940114232</v>
      </c>
      <c r="M49"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Calculations'!F84)*$H49</f>
        <v>321.17310744139257</v>
      </c>
      <c r="N49"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Calculations'!G84)*$H49</f>
        <v>324.07065430310382</v>
      </c>
      <c r="O49" s="170"/>
      <c r="P49" s="171"/>
      <c r="Q49" s="171">
        <f t="shared" si="7"/>
        <v>4409.9312488464257</v>
      </c>
    </row>
    <row r="50" spans="2:17" s="3" customFormat="1" ht="13" x14ac:dyDescent="0.3">
      <c r="B50" s="163" t="s">
        <v>133</v>
      </c>
      <c r="C50" s="206"/>
      <c r="D50" s="176"/>
      <c r="E50" s="164">
        <v>42491</v>
      </c>
      <c r="F50" s="168" t="s">
        <v>528</v>
      </c>
      <c r="G50" s="169" t="s">
        <v>85</v>
      </c>
      <c r="H50" s="458">
        <f>C$37/12</f>
        <v>9.1666666666666665E-4</v>
      </c>
      <c r="I50"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Calculations'!B84)*$H50</f>
        <v>316.04818479832551</v>
      </c>
      <c r="J50"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Calculations'!C84)*$H50</f>
        <v>13.210112581943658</v>
      </c>
      <c r="K50"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Calculations'!D84)*$H50</f>
        <v>1311.8762957102372</v>
      </c>
      <c r="L50"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Calculations'!E84)*$H50</f>
        <v>2123.5528940114232</v>
      </c>
      <c r="M50"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Calculations'!F84)*$H50</f>
        <v>321.17310744139257</v>
      </c>
      <c r="N50"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Calculations'!G84)*$H50</f>
        <v>324.07065430310382</v>
      </c>
      <c r="O50" s="170"/>
      <c r="P50" s="171"/>
      <c r="Q50" s="171">
        <f t="shared" si="7"/>
        <v>4409.9312488464257</v>
      </c>
    </row>
    <row r="51" spans="2:17" s="3" customFormat="1" ht="13" x14ac:dyDescent="0.3">
      <c r="B51" s="163" t="s">
        <v>134</v>
      </c>
      <c r="C51" s="206"/>
      <c r="D51" s="176"/>
      <c r="E51" s="164">
        <v>42522</v>
      </c>
      <c r="F51" s="168" t="s">
        <v>528</v>
      </c>
      <c r="G51" s="169" t="s">
        <v>85</v>
      </c>
      <c r="H51" s="458">
        <f>C$37/12</f>
        <v>9.1666666666666665E-4</v>
      </c>
      <c r="I5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Calculations'!B84)*$H51</f>
        <v>316.04818479832551</v>
      </c>
      <c r="J5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Calculations'!C84)*$H51</f>
        <v>13.210112581943658</v>
      </c>
      <c r="K5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Calculations'!D84)*$H51</f>
        <v>1311.8762957102372</v>
      </c>
      <c r="L5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Calculations'!E84)*$H51</f>
        <v>2123.5528940114232</v>
      </c>
      <c r="M5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Calculations'!F84)*$H51</f>
        <v>321.17310744139257</v>
      </c>
      <c r="N5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Calculations'!G84)*$H51</f>
        <v>324.07065430310382</v>
      </c>
      <c r="O51" s="170"/>
      <c r="P51" s="171"/>
      <c r="Q51" s="171">
        <f t="shared" si="7"/>
        <v>4409.9312488464257</v>
      </c>
    </row>
    <row r="52" spans="2:17" s="3" customFormat="1" ht="13" x14ac:dyDescent="0.3">
      <c r="B52" s="163" t="s">
        <v>135</v>
      </c>
      <c r="C52" s="206"/>
      <c r="D52" s="176"/>
      <c r="E52" s="164">
        <v>42552</v>
      </c>
      <c r="F52" s="168" t="s">
        <v>528</v>
      </c>
      <c r="G52" s="169" t="s">
        <v>87</v>
      </c>
      <c r="H52" s="458">
        <f>C$38/12</f>
        <v>9.1666666666666665E-4</v>
      </c>
      <c r="I5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Calculations'!B84)*$H52</f>
        <v>316.04818479832551</v>
      </c>
      <c r="J5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Calculations'!C84)*$H52</f>
        <v>13.210112581943658</v>
      </c>
      <c r="K5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Calculations'!D84)*$H52</f>
        <v>1311.8762957102372</v>
      </c>
      <c r="L5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Calculations'!E84)*$H52</f>
        <v>2123.5528940114232</v>
      </c>
      <c r="M5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Calculations'!F84)*$H52</f>
        <v>321.17310744139257</v>
      </c>
      <c r="N5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Calculations'!G84)*$H52</f>
        <v>324.07065430310382</v>
      </c>
      <c r="O52" s="170"/>
      <c r="P52" s="171"/>
      <c r="Q52" s="171">
        <f t="shared" si="7"/>
        <v>4409.9312488464257</v>
      </c>
    </row>
    <row r="53" spans="2:17" s="3" customFormat="1" ht="13" x14ac:dyDescent="0.3">
      <c r="B53" s="163" t="s">
        <v>137</v>
      </c>
      <c r="C53" s="206"/>
      <c r="D53" s="176"/>
      <c r="E53" s="164">
        <v>42583</v>
      </c>
      <c r="F53" s="168" t="s">
        <v>528</v>
      </c>
      <c r="G53" s="169" t="s">
        <v>87</v>
      </c>
      <c r="H53" s="458">
        <f>C$38/12</f>
        <v>9.1666666666666665E-4</v>
      </c>
      <c r="I53"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Calculations'!B84)*$H53</f>
        <v>316.04818479832551</v>
      </c>
      <c r="J53"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Calculations'!C84)*$H53</f>
        <v>13.210112581943658</v>
      </c>
      <c r="K53"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Calculations'!D84)*$H53</f>
        <v>1311.8762957102372</v>
      </c>
      <c r="L53"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Calculations'!E84)*$H53</f>
        <v>2123.5528940114232</v>
      </c>
      <c r="M53"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Calculations'!F84)*$H53</f>
        <v>321.17310744139257</v>
      </c>
      <c r="N53"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Calculations'!G84)*$H53</f>
        <v>324.07065430310382</v>
      </c>
      <c r="O53" s="170"/>
      <c r="P53" s="171"/>
      <c r="Q53" s="171">
        <f t="shared" si="7"/>
        <v>4409.9312488464257</v>
      </c>
    </row>
    <row r="54" spans="2:17" s="3" customFormat="1" ht="13" x14ac:dyDescent="0.3">
      <c r="B54" s="163" t="s">
        <v>136</v>
      </c>
      <c r="C54" s="206"/>
      <c r="D54" s="176"/>
      <c r="E54" s="164">
        <v>42614</v>
      </c>
      <c r="F54" s="168" t="s">
        <v>528</v>
      </c>
      <c r="G54" s="169" t="s">
        <v>87</v>
      </c>
      <c r="H54" s="458">
        <f>C$38/12</f>
        <v>9.1666666666666665E-4</v>
      </c>
      <c r="I54"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Calculations'!B84)*$H54</f>
        <v>316.04818479832551</v>
      </c>
      <c r="J54"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Calculations'!C84)*$H54</f>
        <v>13.210112581943658</v>
      </c>
      <c r="K54"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Calculations'!D84)*$H54</f>
        <v>1311.8762957102372</v>
      </c>
      <c r="L54"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Calculations'!E84)*$H54</f>
        <v>2123.5528940114232</v>
      </c>
      <c r="M54"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Calculations'!F84)*$H54</f>
        <v>321.17310744139257</v>
      </c>
      <c r="N54"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Calculations'!G84)*$H54</f>
        <v>324.07065430310382</v>
      </c>
      <c r="O54" s="170"/>
      <c r="P54" s="171"/>
      <c r="Q54" s="171">
        <f t="shared" si="7"/>
        <v>4409.9312488464257</v>
      </c>
    </row>
    <row r="55" spans="2:17" s="3" customFormat="1" ht="13" x14ac:dyDescent="0.3">
      <c r="B55" s="203" t="s">
        <v>138</v>
      </c>
      <c r="C55" s="207"/>
      <c r="D55" s="176"/>
      <c r="E55" s="164">
        <v>42644</v>
      </c>
      <c r="F55" s="168" t="s">
        <v>528</v>
      </c>
      <c r="G55" s="169" t="s">
        <v>88</v>
      </c>
      <c r="H55" s="458">
        <f>C$39/12</f>
        <v>9.1666666666666665E-4</v>
      </c>
      <c r="I55"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Calculations'!B84)*$H55</f>
        <v>316.04818479832551</v>
      </c>
      <c r="J55"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Calculations'!C84)*$H55</f>
        <v>13.210112581943658</v>
      </c>
      <c r="K55"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Calculations'!D84)*$H55</f>
        <v>1311.8762957102372</v>
      </c>
      <c r="L55"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Calculations'!E84)*$H55</f>
        <v>2123.5528940114232</v>
      </c>
      <c r="M55"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Calculations'!F84)*$H55</f>
        <v>321.17310744139257</v>
      </c>
      <c r="N55"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Calculations'!G84)*$H55</f>
        <v>324.07065430310382</v>
      </c>
      <c r="O55" s="170"/>
      <c r="P55" s="171"/>
      <c r="Q55" s="171">
        <f t="shared" si="7"/>
        <v>4409.9312488464257</v>
      </c>
    </row>
    <row r="56" spans="2:17" s="3" customFormat="1" ht="13" x14ac:dyDescent="0.3">
      <c r="D56" s="176"/>
      <c r="E56" s="164">
        <v>42675</v>
      </c>
      <c r="F56" s="168" t="s">
        <v>528</v>
      </c>
      <c r="G56" s="169" t="s">
        <v>88</v>
      </c>
      <c r="H56" s="458">
        <f>C$39/12</f>
        <v>9.1666666666666665E-4</v>
      </c>
      <c r="I5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Calculations'!B84)*$H56</f>
        <v>316.04818479832551</v>
      </c>
      <c r="J5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Calculations'!C84)*$H56</f>
        <v>13.210112581943658</v>
      </c>
      <c r="K5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Calculations'!D84)*$H56</f>
        <v>1311.8762957102372</v>
      </c>
      <c r="L5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Calculations'!E84)*$H56</f>
        <v>2123.5528940114232</v>
      </c>
      <c r="M5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Calculations'!F84)*$H56</f>
        <v>321.17310744139257</v>
      </c>
      <c r="N5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Calculations'!G84)*$H56</f>
        <v>324.07065430310382</v>
      </c>
      <c r="O56" s="170"/>
      <c r="P56" s="171"/>
      <c r="Q56" s="171">
        <f t="shared" si="7"/>
        <v>4409.9312488464257</v>
      </c>
    </row>
    <row r="57" spans="2:17" s="3" customFormat="1" ht="14" x14ac:dyDescent="0.3">
      <c r="B57" s="213" t="s">
        <v>370</v>
      </c>
      <c r="C57" s="4"/>
      <c r="D57" s="176"/>
      <c r="E57" s="164">
        <v>42705</v>
      </c>
      <c r="F57" s="168" t="s">
        <v>528</v>
      </c>
      <c r="G57" s="169" t="s">
        <v>88</v>
      </c>
      <c r="H57" s="458">
        <f>C$39/12</f>
        <v>9.1666666666666665E-4</v>
      </c>
      <c r="I5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Calculations'!B84)*$H57</f>
        <v>316.04818479832551</v>
      </c>
      <c r="J5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Calculations'!C84)*$H57</f>
        <v>13.210112581943658</v>
      </c>
      <c r="K5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Calculations'!D84)*$H57</f>
        <v>1311.8762957102372</v>
      </c>
      <c r="L5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Calculations'!E84)*$H57</f>
        <v>2123.5528940114232</v>
      </c>
      <c r="M5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Calculations'!F84)*$H57</f>
        <v>321.17310744139257</v>
      </c>
      <c r="N5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Calculations'!G84)*$H57</f>
        <v>324.07065430310382</v>
      </c>
      <c r="O57" s="170"/>
      <c r="P57" s="171"/>
      <c r="Q57" s="171">
        <f t="shared" si="7"/>
        <v>4409.9312488464257</v>
      </c>
    </row>
    <row r="58" spans="2:17" s="3" customFormat="1" ht="13.5" thickBot="1" x14ac:dyDescent="0.35">
      <c r="B58" s="4"/>
      <c r="C58" s="4"/>
      <c r="D58" s="176"/>
      <c r="E58" s="180" t="s">
        <v>376</v>
      </c>
      <c r="F58" s="180"/>
      <c r="G58" s="181"/>
      <c r="H58" s="454"/>
      <c r="I58" s="182">
        <f>SUM(I45:I57)</f>
        <v>9910.6705318962286</v>
      </c>
      <c r="J58" s="182">
        <f t="shared" ref="J58:P58" si="8">SUM(J45:J57)</f>
        <v>408.8432504273369</v>
      </c>
      <c r="K58" s="182">
        <f t="shared" si="8"/>
        <v>42186.57073870657</v>
      </c>
      <c r="L58" s="182">
        <f t="shared" si="8"/>
        <v>67184.246360809237</v>
      </c>
      <c r="M58" s="182">
        <f t="shared" si="8"/>
        <v>9674.8981749218783</v>
      </c>
      <c r="N58" s="182">
        <f t="shared" si="8"/>
        <v>9871.2448012022505</v>
      </c>
      <c r="O58" s="182">
        <f t="shared" si="8"/>
        <v>0</v>
      </c>
      <c r="P58" s="182">
        <f t="shared" si="8"/>
        <v>0</v>
      </c>
      <c r="Q58" s="182">
        <f>SUM(Q45:Q57)</f>
        <v>139236.47385796343</v>
      </c>
    </row>
    <row r="59" spans="2:17" s="3" customFormat="1" ht="13.5" thickTop="1" x14ac:dyDescent="0.3">
      <c r="D59" s="176"/>
      <c r="E59" s="209" t="s">
        <v>86</v>
      </c>
      <c r="F59" s="209"/>
      <c r="G59" s="210"/>
      <c r="H59" s="455"/>
      <c r="I59" s="211"/>
      <c r="J59" s="211"/>
      <c r="K59" s="211"/>
      <c r="L59" s="211"/>
      <c r="M59" s="211"/>
      <c r="N59" s="211"/>
      <c r="O59" s="211"/>
      <c r="P59" s="211"/>
      <c r="Q59" s="212"/>
    </row>
    <row r="60" spans="2:17" x14ac:dyDescent="0.35">
      <c r="Q60" s="637"/>
    </row>
    <row r="62" spans="2:17" x14ac:dyDescent="0.35">
      <c r="Q62" s="636"/>
    </row>
  </sheetData>
  <mergeCells count="3">
    <mergeCell ref="B3:Q3"/>
    <mergeCell ref="D7:Q7"/>
    <mergeCell ref="B13:C13"/>
  </mergeCells>
  <hyperlinks>
    <hyperlink ref="B57" r:id="rId1"/>
  </hyperlinks>
  <printOptions horizontalCentered="1"/>
  <pageMargins left="0.35433070866141703" right="0.27559055118110198" top="1.25984251968504" bottom="0.511811023622047" header="0.23622047244094499" footer="0.31496062992126"/>
  <pageSetup scale="62" fitToHeight="0" orientation="landscape" horizontalDpi="1200" verticalDpi="1200" r:id="rId2"/>
  <headerFooter>
    <oddHeader>&amp;RToronto Hydro-Electric System Limited
EB-2016-0254
Tab 4
Schedule 1
Filed:  2016 Aug 22
Page &amp;P of &amp;N</oddHeader>
    <oddFooter>&amp;C&amp;A</oddFooter>
  </headerFooter>
  <rowBreaks count="1" manualBreakCount="1">
    <brk id="12" max="16383"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7"/>
  <sheetViews>
    <sheetView zoomScale="90" zoomScaleNormal="90" workbookViewId="0">
      <selection activeCell="C20" sqref="C20"/>
    </sheetView>
  </sheetViews>
  <sheetFormatPr defaultColWidth="9.08984375" defaultRowHeight="14.5" x14ac:dyDescent="0.35"/>
  <cols>
    <col min="1" max="1" width="9.08984375" style="23"/>
    <col min="2" max="2" width="20.453125" style="21" customWidth="1"/>
    <col min="3" max="3" width="17" style="23" customWidth="1"/>
    <col min="4" max="4" width="13.453125" style="23" customWidth="1"/>
    <col min="5" max="5" width="16.90625" style="23" customWidth="1"/>
    <col min="6" max="7" width="9.08984375" style="23"/>
    <col min="8" max="8" width="16.90625" style="22" customWidth="1"/>
    <col min="9" max="16384" width="9.08984375" style="23"/>
  </cols>
  <sheetData>
    <row r="1" spans="2:11" ht="146.25" customHeight="1" x14ac:dyDescent="0.35"/>
    <row r="3" spans="2:11" x14ac:dyDescent="0.35">
      <c r="B3" s="750" t="s">
        <v>470</v>
      </c>
      <c r="C3" s="751"/>
      <c r="D3" s="751"/>
      <c r="E3" s="751"/>
      <c r="F3" s="751"/>
      <c r="G3" s="751"/>
      <c r="H3" s="751"/>
      <c r="I3" s="751"/>
      <c r="J3" s="751"/>
      <c r="K3" s="752"/>
    </row>
    <row r="4" spans="2:11" ht="15" customHeight="1" x14ac:dyDescent="0.35">
      <c r="B4" s="753"/>
      <c r="C4" s="754"/>
      <c r="D4" s="754"/>
      <c r="E4" s="754"/>
      <c r="F4" s="754"/>
      <c r="G4" s="754"/>
      <c r="H4" s="754"/>
      <c r="I4" s="754"/>
      <c r="J4" s="754"/>
      <c r="K4" s="755"/>
    </row>
    <row r="5" spans="2:11" ht="15" customHeight="1" x14ac:dyDescent="0.35">
      <c r="B5" s="753"/>
      <c r="C5" s="754"/>
      <c r="D5" s="754"/>
      <c r="E5" s="754"/>
      <c r="F5" s="754"/>
      <c r="G5" s="754"/>
      <c r="H5" s="754"/>
      <c r="I5" s="754"/>
      <c r="J5" s="754"/>
      <c r="K5" s="755"/>
    </row>
    <row r="6" spans="2:11" x14ac:dyDescent="0.35">
      <c r="B6" s="753"/>
      <c r="C6" s="754"/>
      <c r="D6" s="754"/>
      <c r="E6" s="754"/>
      <c r="F6" s="754"/>
      <c r="G6" s="754"/>
      <c r="H6" s="754"/>
      <c r="I6" s="754"/>
      <c r="J6" s="754"/>
      <c r="K6" s="755"/>
    </row>
    <row r="7" spans="2:11" x14ac:dyDescent="0.35">
      <c r="B7" s="756"/>
      <c r="C7" s="757"/>
      <c r="D7" s="757"/>
      <c r="E7" s="757"/>
      <c r="F7" s="757"/>
      <c r="G7" s="757"/>
      <c r="H7" s="757"/>
      <c r="I7" s="757"/>
      <c r="J7" s="757"/>
      <c r="K7" s="758"/>
    </row>
    <row r="9" spans="2:11" s="435" customFormat="1" ht="18.5" x14ac:dyDescent="0.45">
      <c r="B9" s="437"/>
      <c r="C9" s="436" t="s">
        <v>422</v>
      </c>
      <c r="H9" s="438"/>
      <c r="I9" s="436" t="s">
        <v>423</v>
      </c>
    </row>
    <row r="11" spans="2:11" x14ac:dyDescent="0.35">
      <c r="B11" s="77" t="s">
        <v>432</v>
      </c>
      <c r="C11" s="449" t="s">
        <v>439</v>
      </c>
      <c r="D11" s="450"/>
      <c r="E11" s="451"/>
      <c r="F11" s="452" t="s">
        <v>431</v>
      </c>
      <c r="G11" s="60"/>
      <c r="H11" s="759" t="s">
        <v>425</v>
      </c>
      <c r="I11" s="449" t="s">
        <v>424</v>
      </c>
      <c r="J11" s="450"/>
      <c r="K11" s="451"/>
    </row>
    <row r="12" spans="2:11" x14ac:dyDescent="0.35">
      <c r="B12" s="77" t="s">
        <v>471</v>
      </c>
      <c r="C12" s="402" t="s">
        <v>440</v>
      </c>
      <c r="D12" s="142"/>
      <c r="E12" s="329"/>
      <c r="F12" s="452" t="s">
        <v>431</v>
      </c>
      <c r="G12" s="60"/>
      <c r="H12" s="759"/>
      <c r="I12" s="402" t="s">
        <v>426</v>
      </c>
      <c r="J12" s="142"/>
      <c r="K12" s="329"/>
    </row>
    <row r="13" spans="2:11" x14ac:dyDescent="0.35">
      <c r="B13" s="77" t="s">
        <v>433</v>
      </c>
      <c r="C13" s="403" t="s">
        <v>427</v>
      </c>
      <c r="D13" s="309"/>
      <c r="E13" s="379"/>
      <c r="F13" s="452" t="s">
        <v>431</v>
      </c>
      <c r="G13" s="60"/>
      <c r="H13" s="759"/>
      <c r="I13" s="403" t="s">
        <v>428</v>
      </c>
      <c r="J13" s="309"/>
      <c r="K13" s="379"/>
    </row>
    <row r="14" spans="2:11" x14ac:dyDescent="0.35">
      <c r="B14" s="77"/>
      <c r="C14" s="60"/>
      <c r="D14" s="60"/>
      <c r="E14" s="60"/>
      <c r="F14" s="60"/>
      <c r="G14" s="60"/>
      <c r="H14" s="447"/>
      <c r="I14" s="60"/>
      <c r="J14" s="60"/>
      <c r="K14" s="60"/>
    </row>
    <row r="15" spans="2:11" ht="15" customHeight="1" x14ac:dyDescent="0.35">
      <c r="B15" s="760" t="s">
        <v>471</v>
      </c>
      <c r="C15" s="449"/>
      <c r="D15" s="450"/>
      <c r="E15" s="451"/>
      <c r="F15" s="60"/>
      <c r="G15" s="60"/>
      <c r="H15" s="759" t="s">
        <v>472</v>
      </c>
      <c r="I15" s="761" t="s">
        <v>434</v>
      </c>
      <c r="J15" s="762"/>
      <c r="K15" s="763"/>
    </row>
    <row r="16" spans="2:11" x14ac:dyDescent="0.35">
      <c r="B16" s="760"/>
      <c r="C16" s="402" t="s">
        <v>441</v>
      </c>
      <c r="D16" s="142"/>
      <c r="E16" s="329"/>
      <c r="F16" s="60"/>
      <c r="G16" s="60"/>
      <c r="H16" s="759"/>
      <c r="I16" s="764"/>
      <c r="J16" s="765"/>
      <c r="K16" s="766"/>
    </row>
    <row r="17" spans="2:11" x14ac:dyDescent="0.35">
      <c r="B17" s="760"/>
      <c r="C17" s="402" t="s">
        <v>429</v>
      </c>
      <c r="D17" s="142"/>
      <c r="E17" s="329"/>
      <c r="F17" s="60"/>
      <c r="G17" s="60"/>
      <c r="H17" s="759"/>
      <c r="I17" s="764"/>
      <c r="J17" s="765"/>
      <c r="K17" s="766"/>
    </row>
    <row r="18" spans="2:11" x14ac:dyDescent="0.35">
      <c r="B18" s="760"/>
      <c r="C18" s="402" t="s">
        <v>442</v>
      </c>
      <c r="D18" s="142"/>
      <c r="E18" s="329"/>
      <c r="F18" s="60"/>
      <c r="G18" s="60"/>
      <c r="H18" s="759"/>
      <c r="I18" s="764"/>
      <c r="J18" s="765"/>
      <c r="K18" s="766"/>
    </row>
    <row r="19" spans="2:11" x14ac:dyDescent="0.35">
      <c r="B19" s="760"/>
      <c r="C19" s="402" t="s">
        <v>429</v>
      </c>
      <c r="D19" s="142"/>
      <c r="E19" s="329"/>
      <c r="F19" s="60"/>
      <c r="G19" s="60"/>
      <c r="H19" s="759"/>
      <c r="I19" s="764"/>
      <c r="J19" s="765"/>
      <c r="K19" s="766"/>
    </row>
    <row r="20" spans="2:11" x14ac:dyDescent="0.35">
      <c r="B20" s="760"/>
      <c r="C20" s="402" t="s">
        <v>430</v>
      </c>
      <c r="D20" s="142"/>
      <c r="E20" s="329"/>
      <c r="F20" s="60"/>
      <c r="G20" s="60"/>
      <c r="H20" s="759"/>
      <c r="I20" s="764"/>
      <c r="J20" s="765"/>
      <c r="K20" s="766"/>
    </row>
    <row r="21" spans="2:11" x14ac:dyDescent="0.35">
      <c r="B21" s="77"/>
      <c r="C21" s="403"/>
      <c r="D21" s="309"/>
      <c r="E21" s="379"/>
      <c r="F21" s="60"/>
      <c r="G21" s="60"/>
      <c r="H21" s="759"/>
      <c r="I21" s="764"/>
      <c r="J21" s="765"/>
      <c r="K21" s="766"/>
    </row>
    <row r="22" spans="2:11" x14ac:dyDescent="0.35">
      <c r="B22" s="77"/>
      <c r="C22" s="60"/>
      <c r="D22" s="60"/>
      <c r="E22" s="60"/>
      <c r="F22" s="60"/>
      <c r="G22" s="60"/>
      <c r="H22" s="759"/>
      <c r="I22" s="764"/>
      <c r="J22" s="765"/>
      <c r="K22" s="766"/>
    </row>
    <row r="23" spans="2:11" x14ac:dyDescent="0.35">
      <c r="B23" s="77" t="s">
        <v>451</v>
      </c>
      <c r="C23" s="449" t="s">
        <v>435</v>
      </c>
      <c r="D23" s="450"/>
      <c r="E23" s="451"/>
      <c r="F23" s="60"/>
      <c r="G23" s="60"/>
      <c r="H23" s="759"/>
      <c r="I23" s="764"/>
      <c r="J23" s="765"/>
      <c r="K23" s="766"/>
    </row>
    <row r="24" spans="2:11" x14ac:dyDescent="0.35">
      <c r="B24" s="77"/>
      <c r="C24" s="402" t="s">
        <v>429</v>
      </c>
      <c r="D24" s="142"/>
      <c r="E24" s="329"/>
      <c r="F24" s="60"/>
      <c r="G24" s="60"/>
      <c r="H24" s="759"/>
      <c r="I24" s="764"/>
      <c r="J24" s="765"/>
      <c r="K24" s="766"/>
    </row>
    <row r="25" spans="2:11" x14ac:dyDescent="0.35">
      <c r="B25" s="77" t="s">
        <v>471</v>
      </c>
      <c r="C25" s="402" t="s">
        <v>436</v>
      </c>
      <c r="D25" s="142"/>
      <c r="E25" s="329"/>
      <c r="F25" s="60"/>
      <c r="G25" s="60"/>
      <c r="H25" s="759"/>
      <c r="I25" s="764"/>
      <c r="J25" s="765"/>
      <c r="K25" s="766"/>
    </row>
    <row r="26" spans="2:11" x14ac:dyDescent="0.35">
      <c r="B26" s="77"/>
      <c r="C26" s="403"/>
      <c r="D26" s="309"/>
      <c r="E26" s="379"/>
      <c r="F26" s="60"/>
      <c r="G26" s="60"/>
      <c r="H26" s="759"/>
      <c r="I26" s="764"/>
      <c r="J26" s="765"/>
      <c r="K26" s="766"/>
    </row>
    <row r="27" spans="2:11" x14ac:dyDescent="0.35">
      <c r="B27" s="77"/>
      <c r="C27" s="60"/>
      <c r="D27" s="60"/>
      <c r="E27" s="60"/>
      <c r="F27" s="60"/>
      <c r="G27" s="60"/>
      <c r="H27" s="759"/>
      <c r="I27" s="767"/>
      <c r="J27" s="768"/>
      <c r="K27" s="769"/>
    </row>
  </sheetData>
  <mergeCells count="5">
    <mergeCell ref="B3:K7"/>
    <mergeCell ref="H11:H13"/>
    <mergeCell ref="B15:B20"/>
    <mergeCell ref="I15:K27"/>
    <mergeCell ref="H15:H27"/>
  </mergeCells>
  <pageMargins left="0.7" right="0.7" top="0.75" bottom="0.75" header="0.3" footer="0.3"/>
  <pageSetup scale="77"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26"/>
  <sheetViews>
    <sheetView view="pageBreakPreview" zoomScale="60" zoomScaleNormal="90" workbookViewId="0">
      <pane ySplit="3" topLeftCell="A17" activePane="bottomLeft" state="frozen"/>
      <selection activeCell="C17" sqref="C17"/>
      <selection pane="bottomLeft" activeCell="C17" sqref="C17"/>
    </sheetView>
  </sheetViews>
  <sheetFormatPr defaultColWidth="9.08984375" defaultRowHeight="15.5" outlineLevelRow="1" x14ac:dyDescent="0.35"/>
  <cols>
    <col min="1" max="1" width="1.453125" style="20" customWidth="1"/>
    <col min="2" max="2" width="27.36328125" style="20" customWidth="1"/>
    <col min="3" max="3" width="29" style="20" customWidth="1"/>
    <col min="4" max="4" width="31.81640625" style="40" bestFit="1" customWidth="1"/>
    <col min="5" max="5" width="23" style="20" customWidth="1"/>
    <col min="6" max="6" width="31.08984375" style="20" customWidth="1"/>
    <col min="7" max="7" width="22.90625" style="20" customWidth="1"/>
    <col min="8" max="8" width="20.90625" style="20" customWidth="1"/>
    <col min="9" max="9" width="17.90625" style="20" bestFit="1" customWidth="1"/>
    <col min="10" max="10" width="10.6328125" style="20" customWidth="1"/>
    <col min="11" max="11" width="13.6328125" style="14" customWidth="1"/>
    <col min="12" max="12" width="6.36328125" style="14" customWidth="1"/>
    <col min="13" max="13" width="3.08984375" style="20" customWidth="1"/>
    <col min="14" max="14" width="15.36328125" style="20" customWidth="1"/>
    <col min="15" max="16384" width="9.08984375" style="20"/>
  </cols>
  <sheetData>
    <row r="1" spans="2:13" ht="144" customHeight="1" x14ac:dyDescent="0.35"/>
    <row r="3" spans="2:13" ht="30.75" customHeight="1" x14ac:dyDescent="0.4">
      <c r="B3" s="770" t="s">
        <v>336</v>
      </c>
      <c r="C3" s="770"/>
      <c r="D3" s="770"/>
      <c r="E3" s="770"/>
      <c r="F3" s="770"/>
      <c r="G3" s="770"/>
      <c r="H3" s="770"/>
      <c r="I3" s="770"/>
    </row>
    <row r="4" spans="2:13" ht="13.5" customHeight="1" x14ac:dyDescent="0.4">
      <c r="B4" s="214"/>
      <c r="C4" s="214"/>
      <c r="D4" s="214"/>
      <c r="E4" s="214"/>
      <c r="F4" s="214"/>
      <c r="G4" s="214"/>
      <c r="H4" s="214"/>
      <c r="I4" s="214"/>
    </row>
    <row r="5" spans="2:13" ht="18" customHeight="1" outlineLevel="1" x14ac:dyDescent="0.35">
      <c r="B5" s="772" t="s">
        <v>482</v>
      </c>
      <c r="C5" s="772"/>
      <c r="D5" s="772"/>
      <c r="E5" s="772"/>
      <c r="F5" s="772"/>
      <c r="G5" s="772"/>
      <c r="H5" s="772"/>
      <c r="I5" s="772"/>
    </row>
    <row r="6" spans="2:13" ht="12.75" customHeight="1" outlineLevel="1" x14ac:dyDescent="0.4">
      <c r="B6" s="214"/>
      <c r="C6" s="214"/>
      <c r="D6" s="214"/>
      <c r="E6" s="214"/>
      <c r="F6" s="214"/>
      <c r="G6" s="214"/>
      <c r="H6" s="214"/>
      <c r="I6" s="214"/>
    </row>
    <row r="7" spans="2:13" ht="12" customHeight="1" outlineLevel="1" thickBot="1" x14ac:dyDescent="0.45">
      <c r="B7" s="214"/>
      <c r="C7" s="214"/>
      <c r="D7" s="214"/>
      <c r="E7" s="214"/>
      <c r="F7" s="214"/>
      <c r="G7" s="214"/>
      <c r="H7" s="214"/>
      <c r="I7" s="214"/>
    </row>
    <row r="8" spans="2:13" ht="15" outlineLevel="1" thickBot="1" x14ac:dyDescent="0.4">
      <c r="C8" s="341" t="s">
        <v>212</v>
      </c>
      <c r="D8" s="391" t="s">
        <v>565</v>
      </c>
      <c r="I8" s="4"/>
    </row>
    <row r="9" spans="2:13" ht="15.75" customHeight="1" outlineLevel="1" thickBot="1" x14ac:dyDescent="0.4">
      <c r="C9" s="440" t="s">
        <v>209</v>
      </c>
      <c r="D9" s="391">
        <v>1</v>
      </c>
      <c r="F9" s="773" t="s">
        <v>379</v>
      </c>
      <c r="G9" s="774"/>
      <c r="H9" s="479">
        <v>3552374</v>
      </c>
      <c r="K9" s="20"/>
      <c r="M9" s="14"/>
    </row>
    <row r="10" spans="2:13" ht="15" outlineLevel="1" thickBot="1" x14ac:dyDescent="0.4">
      <c r="C10" s="341" t="s">
        <v>210</v>
      </c>
      <c r="D10" s="391">
        <v>1</v>
      </c>
      <c r="F10" s="340" t="s">
        <v>420</v>
      </c>
      <c r="G10" s="340"/>
      <c r="H10" s="491" t="s">
        <v>560</v>
      </c>
      <c r="K10" s="20"/>
      <c r="M10" s="14"/>
    </row>
    <row r="11" spans="2:13" ht="15" customHeight="1" outlineLevel="1" thickBot="1" x14ac:dyDescent="0.4">
      <c r="C11" s="440" t="s">
        <v>211</v>
      </c>
      <c r="D11" s="391">
        <v>4</v>
      </c>
      <c r="F11" s="773" t="s">
        <v>378</v>
      </c>
      <c r="G11" s="774"/>
      <c r="H11" s="391" t="s">
        <v>559</v>
      </c>
      <c r="K11" s="20"/>
      <c r="M11" s="14"/>
    </row>
    <row r="12" spans="2:13" ht="15" outlineLevel="1" thickBot="1" x14ac:dyDescent="0.4">
      <c r="C12" s="341" t="s">
        <v>213</v>
      </c>
      <c r="D12" s="391"/>
      <c r="F12" s="80"/>
      <c r="G12" s="80"/>
      <c r="I12" s="4"/>
      <c r="J12" s="4"/>
      <c r="K12" s="20"/>
      <c r="M12" s="14"/>
    </row>
    <row r="13" spans="2:13" ht="15" outlineLevel="1" thickBot="1" x14ac:dyDescent="0.4">
      <c r="C13" s="14"/>
      <c r="D13" s="20"/>
      <c r="F13" s="342"/>
      <c r="G13" s="342"/>
      <c r="H13" s="75"/>
      <c r="I13" s="4"/>
      <c r="J13" s="4"/>
      <c r="K13" s="20"/>
      <c r="M13" s="14"/>
    </row>
    <row r="14" spans="2:13" ht="15" outlineLevel="1" thickBot="1" x14ac:dyDescent="0.4">
      <c r="C14" s="771" t="s">
        <v>337</v>
      </c>
      <c r="D14" s="185" t="s">
        <v>366</v>
      </c>
      <c r="F14" s="346" t="s">
        <v>390</v>
      </c>
      <c r="G14" s="346"/>
      <c r="H14" s="503">
        <f>I24</f>
        <v>4950070.5635086093</v>
      </c>
      <c r="K14" s="20"/>
      <c r="M14" s="14"/>
    </row>
    <row r="15" spans="2:13" ht="15" outlineLevel="1" thickBot="1" x14ac:dyDescent="0.4">
      <c r="C15" s="771"/>
      <c r="D15" s="79" t="s">
        <v>338</v>
      </c>
      <c r="F15" s="775" t="s">
        <v>444</v>
      </c>
      <c r="G15" s="776"/>
      <c r="H15" s="486">
        <v>1</v>
      </c>
      <c r="K15" s="20"/>
      <c r="M15" s="14"/>
    </row>
    <row r="16" spans="2:13" ht="14.5" outlineLevel="1" x14ac:dyDescent="0.35">
      <c r="D16" s="20"/>
      <c r="F16" s="14"/>
      <c r="H16" s="442"/>
    </row>
    <row r="17" spans="1:13" ht="14.5" outlineLevel="1" x14ac:dyDescent="0.35">
      <c r="A17" s="65"/>
      <c r="B17" s="66"/>
      <c r="C17" s="71"/>
      <c r="D17" s="20"/>
    </row>
    <row r="18" spans="1:13" ht="14.5" outlineLevel="1" x14ac:dyDescent="0.35">
      <c r="A18" s="62"/>
      <c r="B18" s="61"/>
      <c r="D18" s="20"/>
    </row>
    <row r="19" spans="1:13" s="62" customFormat="1" ht="21" x14ac:dyDescent="0.35">
      <c r="B19" s="97" t="s">
        <v>348</v>
      </c>
      <c r="C19" s="102"/>
      <c r="D19" s="102"/>
      <c r="E19" s="102"/>
      <c r="F19" s="102"/>
      <c r="G19" s="102"/>
      <c r="H19" s="102"/>
      <c r="I19" s="102"/>
      <c r="K19" s="103"/>
      <c r="L19" s="47"/>
      <c r="M19" s="104"/>
    </row>
    <row r="20" spans="1:13" ht="12" customHeight="1" x14ac:dyDescent="0.35">
      <c r="B20" s="70"/>
      <c r="C20" s="70"/>
      <c r="D20" s="70"/>
      <c r="E20" s="70"/>
      <c r="F20" s="70"/>
      <c r="G20" s="70"/>
      <c r="H20" s="70"/>
      <c r="I20" s="70"/>
      <c r="L20" s="47"/>
      <c r="M20" s="25"/>
    </row>
    <row r="21" spans="1:13" ht="42.75" customHeight="1" x14ac:dyDescent="0.35">
      <c r="B21" s="84" t="s">
        <v>49</v>
      </c>
      <c r="C21" s="88" t="s">
        <v>38</v>
      </c>
      <c r="D21" s="88" t="s">
        <v>509</v>
      </c>
      <c r="E21" s="88" t="s">
        <v>40</v>
      </c>
      <c r="F21" s="88" t="s">
        <v>104</v>
      </c>
      <c r="G21" s="88" t="s">
        <v>105</v>
      </c>
      <c r="H21" s="88" t="s">
        <v>511</v>
      </c>
      <c r="I21" s="85" t="s">
        <v>35</v>
      </c>
      <c r="L21" s="47"/>
    </row>
    <row r="22" spans="1:13" ht="14.5" x14ac:dyDescent="0.35">
      <c r="B22" s="638" t="s">
        <v>530</v>
      </c>
      <c r="C22" s="639">
        <f>'1.1. LRAMVA Calculations'!B85</f>
        <v>344779.83796180965</v>
      </c>
      <c r="D22" s="639">
        <f>'1.1. LRAMVA Calculations'!C85</f>
        <v>14411.031907574899</v>
      </c>
      <c r="E22" s="639">
        <f>'1.1. LRAMVA Calculations'!D85</f>
        <v>1431137.7771384406</v>
      </c>
      <c r="F22" s="639">
        <f>'1.1. LRAMVA Calculations'!E85</f>
        <v>2316603.1571033709</v>
      </c>
      <c r="G22" s="639">
        <f>'1.1. LRAMVA Calculations'!F85</f>
        <v>350370.66266333737</v>
      </c>
      <c r="H22" s="639">
        <f>'1.1. LRAMVA Calculations'!G85</f>
        <v>353531.62287611328</v>
      </c>
      <c r="I22" s="640">
        <f>SUM(C22:H22)</f>
        <v>4810834.0896506468</v>
      </c>
    </row>
    <row r="23" spans="1:13" ht="14.5" x14ac:dyDescent="0.35">
      <c r="B23" s="630" t="s">
        <v>62</v>
      </c>
      <c r="C23" s="631">
        <f>'7.  Carrying Charges'!I58</f>
        <v>9910.6705318962286</v>
      </c>
      <c r="D23" s="631">
        <f>'7.  Carrying Charges'!J58</f>
        <v>408.8432504273369</v>
      </c>
      <c r="E23" s="631">
        <f>'7.  Carrying Charges'!K58</f>
        <v>42186.57073870657</v>
      </c>
      <c r="F23" s="631">
        <f>'7.  Carrying Charges'!L58</f>
        <v>67184.246360809237</v>
      </c>
      <c r="G23" s="631">
        <f>'7.  Carrying Charges'!M58</f>
        <v>9674.8981749218783</v>
      </c>
      <c r="H23" s="631">
        <f>'7.  Carrying Charges'!N58</f>
        <v>9871.2448012022505</v>
      </c>
      <c r="I23" s="640">
        <f>SUM(C23:H23)</f>
        <v>139236.47385796352</v>
      </c>
    </row>
    <row r="24" spans="1:13" ht="26.5" x14ac:dyDescent="0.35">
      <c r="B24" s="641" t="s">
        <v>529</v>
      </c>
      <c r="C24" s="631">
        <f>SUM(C22:C23)</f>
        <v>354690.50849370589</v>
      </c>
      <c r="D24" s="631">
        <f t="shared" ref="D24:G24" si="0">SUM(D22:D23)</f>
        <v>14819.875158002236</v>
      </c>
      <c r="E24" s="631">
        <f t="shared" si="0"/>
        <v>1473324.3478771471</v>
      </c>
      <c r="F24" s="631">
        <f>SUM(F22:F23)</f>
        <v>2383787.40346418</v>
      </c>
      <c r="G24" s="631">
        <f t="shared" si="0"/>
        <v>360045.56083825923</v>
      </c>
      <c r="H24" s="631">
        <f>SUM(H22:H23)</f>
        <v>363402.86767731555</v>
      </c>
      <c r="I24" s="640">
        <f>SUM(C24:H24)</f>
        <v>4950070.5635086093</v>
      </c>
    </row>
    <row r="25" spans="1:13" x14ac:dyDescent="0.35">
      <c r="B25" s="40"/>
      <c r="D25" s="20"/>
      <c r="I25" s="14"/>
    </row>
    <row r="26" spans="1:13" x14ac:dyDescent="0.35">
      <c r="B26" s="40"/>
      <c r="D26" s="20"/>
      <c r="I26" s="14"/>
    </row>
  </sheetData>
  <mergeCells count="6">
    <mergeCell ref="B3:I3"/>
    <mergeCell ref="C14:C15"/>
    <mergeCell ref="B5:I5"/>
    <mergeCell ref="F9:G9"/>
    <mergeCell ref="F11:G11"/>
    <mergeCell ref="F15:G15"/>
  </mergeCells>
  <printOptions horizontalCentered="1"/>
  <pageMargins left="0.35433070866141703" right="0.27559055118110198" top="1.25984251968504" bottom="0.511811023622047" header="0.23622047244094499" footer="0.31496062992126"/>
  <pageSetup scale="65"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78"/>
  <sheetViews>
    <sheetView zoomScale="70" zoomScaleNormal="70" workbookViewId="0">
      <pane ySplit="2" topLeftCell="A90" activePane="bottomLeft" state="frozen"/>
      <selection pane="bottomLeft" activeCell="C38" sqref="C38:J38"/>
    </sheetView>
  </sheetViews>
  <sheetFormatPr defaultColWidth="9.08984375" defaultRowHeight="14.5" outlineLevelRow="1" x14ac:dyDescent="0.35"/>
  <cols>
    <col min="1" max="1" width="9.90625" style="23" customWidth="1"/>
    <col min="2" max="2" width="40.6328125" style="21" customWidth="1"/>
    <col min="3" max="3" width="24.6328125" style="23" customWidth="1"/>
    <col min="4" max="4" width="20.6328125" style="23" customWidth="1"/>
    <col min="5" max="5" width="24" style="23" customWidth="1"/>
    <col min="6" max="6" width="21.453125" style="23" customWidth="1"/>
    <col min="7" max="7" width="19.54296875" style="23" customWidth="1"/>
    <col min="8" max="8" width="19.08984375" style="23" customWidth="1"/>
    <col min="9" max="9" width="17.36328125" style="23" customWidth="1"/>
    <col min="10" max="10" width="16.36328125" style="23" customWidth="1"/>
    <col min="11" max="11" width="16" style="23" customWidth="1"/>
    <col min="12" max="12" width="13.54296875" style="23" customWidth="1"/>
    <col min="13" max="13" width="13.90625" style="23" customWidth="1"/>
    <col min="14" max="14" width="20" style="23" customWidth="1"/>
    <col min="15" max="15" width="10.08984375" style="23" customWidth="1"/>
    <col min="16" max="24" width="14" style="23" customWidth="1"/>
    <col min="25" max="16384" width="9.08984375" style="23"/>
  </cols>
  <sheetData>
    <row r="1" spans="2:10" ht="151.5" customHeight="1" x14ac:dyDescent="0.35"/>
    <row r="2" spans="2:10" ht="42" customHeight="1" x14ac:dyDescent="0.4">
      <c r="B2" s="770" t="s">
        <v>345</v>
      </c>
      <c r="C2" s="770"/>
      <c r="D2" s="770"/>
      <c r="E2" s="770"/>
      <c r="F2" s="770"/>
      <c r="G2" s="770"/>
      <c r="H2" s="770"/>
      <c r="I2" s="770"/>
      <c r="J2" s="770"/>
    </row>
    <row r="3" spans="2:10" ht="24.75" customHeight="1" x14ac:dyDescent="0.35">
      <c r="B3" s="222"/>
      <c r="C3" s="64"/>
      <c r="D3" s="42"/>
      <c r="E3" s="42"/>
      <c r="F3" s="42"/>
      <c r="G3" s="42"/>
      <c r="H3" s="42"/>
      <c r="I3" s="42"/>
      <c r="J3" s="42"/>
    </row>
    <row r="4" spans="2:10" x14ac:dyDescent="0.35">
      <c r="B4" s="348" t="s">
        <v>377</v>
      </c>
      <c r="C4" s="64" t="s">
        <v>347</v>
      </c>
      <c r="D4" s="42"/>
      <c r="E4" s="42"/>
      <c r="F4" s="42"/>
      <c r="G4" s="42"/>
      <c r="H4" s="42"/>
      <c r="I4" s="42"/>
      <c r="J4" s="42"/>
    </row>
    <row r="5" spans="2:10" ht="30" customHeight="1" x14ac:dyDescent="0.35">
      <c r="B5" s="349"/>
      <c r="C5" s="778" t="s">
        <v>479</v>
      </c>
      <c r="D5" s="778"/>
      <c r="E5" s="778"/>
      <c r="F5" s="778"/>
      <c r="G5" s="778"/>
      <c r="H5" s="778"/>
      <c r="I5" s="778"/>
      <c r="J5" s="778"/>
    </row>
    <row r="6" spans="2:10" ht="18.75" customHeight="1" x14ac:dyDescent="0.35">
      <c r="B6" s="222"/>
      <c r="C6" s="64" t="s">
        <v>393</v>
      </c>
      <c r="D6" s="42"/>
      <c r="E6" s="42"/>
      <c r="F6" s="42"/>
      <c r="G6" s="42"/>
      <c r="H6" s="42"/>
      <c r="I6" s="42"/>
      <c r="J6" s="42"/>
    </row>
    <row r="7" spans="2:10" ht="18.75" customHeight="1" x14ac:dyDescent="0.35">
      <c r="B7" s="222"/>
      <c r="C7" s="64"/>
      <c r="D7" s="42"/>
      <c r="E7" s="42"/>
      <c r="F7" s="42"/>
      <c r="G7" s="42"/>
      <c r="H7" s="42"/>
      <c r="I7" s="42"/>
      <c r="J7" s="42"/>
    </row>
    <row r="8" spans="2:10" s="3" customFormat="1" ht="15" customHeight="1" x14ac:dyDescent="0.3">
      <c r="B8" s="777" t="s">
        <v>337</v>
      </c>
      <c r="C8" s="186" t="s">
        <v>366</v>
      </c>
    </row>
    <row r="9" spans="2:10" s="3" customFormat="1" ht="17.25" customHeight="1" x14ac:dyDescent="0.3">
      <c r="B9" s="777"/>
      <c r="C9" s="121" t="s">
        <v>338</v>
      </c>
    </row>
    <row r="10" spans="2:10" s="3" customFormat="1" ht="15.75" customHeight="1" x14ac:dyDescent="0.3">
      <c r="B10" s="441"/>
      <c r="C10" s="49"/>
    </row>
    <row r="11" spans="2:10" s="49" customFormat="1" ht="15.5" x14ac:dyDescent="0.35">
      <c r="B11" s="97" t="s">
        <v>480</v>
      </c>
      <c r="C11" s="86"/>
      <c r="D11" s="105"/>
      <c r="E11" s="106"/>
    </row>
    <row r="12" spans="2:10" s="3" customFormat="1" ht="16.5" customHeight="1" x14ac:dyDescent="0.35">
      <c r="B12" s="21"/>
      <c r="C12" s="54"/>
      <c r="D12" s="21"/>
      <c r="F12" s="49"/>
    </row>
    <row r="13" spans="2:10" s="3" customFormat="1" ht="20.25" customHeight="1" x14ac:dyDescent="0.3">
      <c r="B13" s="88" t="s">
        <v>51</v>
      </c>
      <c r="C13" s="89" t="s">
        <v>36</v>
      </c>
      <c r="D13" s="90" t="s">
        <v>37</v>
      </c>
      <c r="E13" s="89" t="s">
        <v>346</v>
      </c>
      <c r="F13" s="49"/>
    </row>
    <row r="14" spans="2:10" s="3" customFormat="1" ht="14" x14ac:dyDescent="0.3">
      <c r="B14" s="91">
        <v>2011</v>
      </c>
      <c r="C14" s="481"/>
      <c r="D14" s="92" t="e">
        <f>K44</f>
        <v>#DIV/0!</v>
      </c>
      <c r="E14" s="92" t="e">
        <f>K40</f>
        <v>#DIV/0!</v>
      </c>
      <c r="F14" s="49"/>
    </row>
    <row r="15" spans="2:10" s="3" customFormat="1" ht="14" x14ac:dyDescent="0.3">
      <c r="B15" s="91">
        <v>2012</v>
      </c>
      <c r="C15" s="481"/>
      <c r="D15" s="92" t="e">
        <f>K57</f>
        <v>#DIV/0!</v>
      </c>
      <c r="E15" s="92" t="e">
        <f>K53</f>
        <v>#DIV/0!</v>
      </c>
      <c r="F15" s="49"/>
    </row>
    <row r="16" spans="2:10" s="3" customFormat="1" ht="14" x14ac:dyDescent="0.3">
      <c r="B16" s="91">
        <v>2013</v>
      </c>
      <c r="C16" s="481"/>
      <c r="D16" s="92" t="e">
        <f>K70</f>
        <v>#DIV/0!</v>
      </c>
      <c r="E16" s="92" t="e">
        <f>K66</f>
        <v>#DIV/0!</v>
      </c>
      <c r="F16" s="49"/>
    </row>
    <row r="17" spans="2:26" s="3" customFormat="1" ht="14" x14ac:dyDescent="0.3">
      <c r="B17" s="91">
        <v>2014</v>
      </c>
      <c r="C17" s="481"/>
      <c r="D17" s="92" t="e">
        <f>K83</f>
        <v>#DIV/0!</v>
      </c>
      <c r="E17" s="92" t="e">
        <f>K79</f>
        <v>#DIV/0!</v>
      </c>
      <c r="F17" s="49"/>
    </row>
    <row r="18" spans="2:26" s="3" customFormat="1" ht="14" x14ac:dyDescent="0.3">
      <c r="B18" s="91">
        <v>2015</v>
      </c>
      <c r="C18" s="481"/>
      <c r="D18" s="92" t="e">
        <f>K96</f>
        <v>#DIV/0!</v>
      </c>
      <c r="E18" s="92" t="e">
        <f>K92</f>
        <v>#DIV/0!</v>
      </c>
      <c r="F18" s="49"/>
    </row>
    <row r="19" spans="2:26" s="3" customFormat="1" x14ac:dyDescent="0.35">
      <c r="B19" s="91">
        <v>2016</v>
      </c>
      <c r="C19" s="481"/>
      <c r="D19" s="92" t="e">
        <f>K109</f>
        <v>#DIV/0!</v>
      </c>
      <c r="E19" s="92" t="e">
        <f>K105</f>
        <v>#DIV/0!</v>
      </c>
      <c r="F19" s="49"/>
      <c r="Z19" s="39"/>
    </row>
    <row r="20" spans="2:26" s="3" customFormat="1" x14ac:dyDescent="0.35">
      <c r="B20" s="91">
        <v>2017</v>
      </c>
      <c r="C20" s="481"/>
      <c r="D20" s="92" t="e">
        <f>K122</f>
        <v>#DIV/0!</v>
      </c>
      <c r="E20" s="92" t="e">
        <f>K118</f>
        <v>#DIV/0!</v>
      </c>
      <c r="F20" s="49"/>
      <c r="Z20" s="39"/>
    </row>
    <row r="21" spans="2:26" s="3" customFormat="1" ht="25.5" customHeight="1" x14ac:dyDescent="0.35">
      <c r="B21" s="53"/>
      <c r="D21" s="48"/>
      <c r="E21" s="52"/>
      <c r="F21" s="49"/>
    </row>
    <row r="22" spans="2:26" s="49" customFormat="1" ht="22.5" customHeight="1" x14ac:dyDescent="0.35">
      <c r="B22" s="97" t="s">
        <v>384</v>
      </c>
      <c r="C22" s="39"/>
      <c r="D22" s="39"/>
      <c r="E22" s="39"/>
      <c r="F22" s="39"/>
      <c r="G22" s="39"/>
      <c r="H22" s="39"/>
      <c r="I22" s="39"/>
      <c r="J22" s="39"/>
      <c r="K22" s="39"/>
    </row>
    <row r="23" spans="2:26" s="3" customFormat="1" ht="12.75" customHeight="1" x14ac:dyDescent="0.35">
      <c r="C23" s="23"/>
      <c r="D23" s="23"/>
      <c r="E23" s="23"/>
      <c r="F23" s="23"/>
      <c r="G23" s="23"/>
      <c r="H23" s="23"/>
      <c r="I23" s="23"/>
      <c r="J23" s="23"/>
    </row>
    <row r="24" spans="2:26" s="3" customFormat="1" ht="40.5" customHeight="1" x14ac:dyDescent="0.3">
      <c r="B24" s="88" t="s">
        <v>51</v>
      </c>
      <c r="C24" s="88" t="str">
        <f>'1.  LRAMVA Summary'!C21</f>
        <v>Residential</v>
      </c>
      <c r="D24" s="88" t="str">
        <f>'1.  LRAMVA Summary'!D21</f>
        <v>Competitive Sector Multi-Unit Residential (CSMUR)</v>
      </c>
      <c r="E24" s="88" t="str">
        <f>'1.  LRAMVA Summary'!E21</f>
        <v>General Service &lt;50 kW</v>
      </c>
      <c r="F24" s="88" t="str">
        <f>'1.  LRAMVA Summary'!F21</f>
        <v>General Service 50 - 999 kW</v>
      </c>
      <c r="G24" s="88" t="str">
        <f>'1.  LRAMVA Summary'!G21</f>
        <v>General Service 1,000 - 4,999 kW</v>
      </c>
      <c r="H24" s="88" t="str">
        <f>'1.  LRAMVA Summary'!H21</f>
        <v>Large Use</v>
      </c>
      <c r="I24" s="88" t="e">
        <f>'1.  LRAMVA Summary'!#REF!</f>
        <v>#REF!</v>
      </c>
      <c r="J24" s="88" t="s">
        <v>101</v>
      </c>
    </row>
    <row r="25" spans="2:26" s="3" customFormat="1" ht="16.5" customHeight="1" x14ac:dyDescent="0.3">
      <c r="B25" s="88"/>
      <c r="C25" s="88" t="s">
        <v>36</v>
      </c>
      <c r="D25" s="88" t="s">
        <v>36</v>
      </c>
      <c r="E25" s="88" t="s">
        <v>37</v>
      </c>
      <c r="F25" s="88" t="s">
        <v>37</v>
      </c>
      <c r="G25" s="88" t="s">
        <v>37</v>
      </c>
      <c r="H25" s="88" t="s">
        <v>37</v>
      </c>
      <c r="I25" s="88" t="s">
        <v>36</v>
      </c>
      <c r="J25" s="88"/>
    </row>
    <row r="26" spans="2:26" s="3" customFormat="1" ht="16.5" customHeight="1" x14ac:dyDescent="0.3">
      <c r="B26" s="98">
        <v>2011</v>
      </c>
      <c r="C26" s="482" t="e">
        <f>-C40</f>
        <v>#DIV/0!</v>
      </c>
      <c r="D26" s="482" t="e">
        <f t="shared" ref="D26:I26" si="0">-D40</f>
        <v>#DIV/0!</v>
      </c>
      <c r="E26" s="482" t="e">
        <f t="shared" si="0"/>
        <v>#DIV/0!</v>
      </c>
      <c r="F26" s="482" t="e">
        <f t="shared" si="0"/>
        <v>#DIV/0!</v>
      </c>
      <c r="G26" s="482" t="e">
        <f t="shared" si="0"/>
        <v>#DIV/0!</v>
      </c>
      <c r="H26" s="482" t="e">
        <f t="shared" si="0"/>
        <v>#DIV/0!</v>
      </c>
      <c r="I26" s="482" t="e">
        <f t="shared" si="0"/>
        <v>#DIV/0!</v>
      </c>
      <c r="J26" s="101"/>
    </row>
    <row r="27" spans="2:26" s="3" customFormat="1" ht="16.5" customHeight="1" x14ac:dyDescent="0.3">
      <c r="B27" s="98">
        <v>2012</v>
      </c>
      <c r="C27" s="100" t="e">
        <f>-C53</f>
        <v>#DIV/0!</v>
      </c>
      <c r="D27" s="100" t="e">
        <f>-D53</f>
        <v>#DIV/0!</v>
      </c>
      <c r="E27" s="100" t="e">
        <f>-E57</f>
        <v>#DIV/0!</v>
      </c>
      <c r="F27" s="100" t="e">
        <f>-F57</f>
        <v>#DIV/0!</v>
      </c>
      <c r="G27" s="100" t="e">
        <f>-H57</f>
        <v>#DIV/0!</v>
      </c>
      <c r="H27" s="100" t="e">
        <f>-G57</f>
        <v>#DIV/0!</v>
      </c>
      <c r="I27" s="100" t="e">
        <f>-I53</f>
        <v>#DIV/0!</v>
      </c>
      <c r="J27" s="101"/>
      <c r="K27" s="51"/>
    </row>
    <row r="28" spans="2:26" s="3" customFormat="1" ht="16.5" customHeight="1" x14ac:dyDescent="0.3">
      <c r="B28" s="98">
        <v>2013</v>
      </c>
      <c r="C28" s="100" t="e">
        <f>-C66</f>
        <v>#DIV/0!</v>
      </c>
      <c r="D28" s="100" t="e">
        <f>-D66</f>
        <v>#DIV/0!</v>
      </c>
      <c r="E28" s="100" t="e">
        <f>-E70</f>
        <v>#DIV/0!</v>
      </c>
      <c r="F28" s="100" t="e">
        <f>-F70</f>
        <v>#DIV/0!</v>
      </c>
      <c r="G28" s="100" t="e">
        <f>-H70</f>
        <v>#DIV/0!</v>
      </c>
      <c r="H28" s="100" t="e">
        <f>-G70</f>
        <v>#DIV/0!</v>
      </c>
      <c r="I28" s="100" t="e">
        <f>-I66</f>
        <v>#DIV/0!</v>
      </c>
      <c r="J28" s="101"/>
    </row>
    <row r="29" spans="2:26" s="3" customFormat="1" ht="16.5" customHeight="1" x14ac:dyDescent="0.3">
      <c r="B29" s="543">
        <v>2014</v>
      </c>
      <c r="C29" s="544" t="e">
        <f>-C79</f>
        <v>#DIV/0!</v>
      </c>
      <c r="D29" s="544" t="e">
        <f>-D79</f>
        <v>#DIV/0!</v>
      </c>
      <c r="E29" s="544" t="e">
        <f>-E83</f>
        <v>#DIV/0!</v>
      </c>
      <c r="F29" s="544" t="e">
        <f>-F83</f>
        <v>#DIV/0!</v>
      </c>
      <c r="G29" s="544" t="e">
        <f>-H83</f>
        <v>#DIV/0!</v>
      </c>
      <c r="H29" s="544" t="e">
        <f>-G83</f>
        <v>#DIV/0!</v>
      </c>
      <c r="I29" s="544" t="e">
        <f>-I79</f>
        <v>#DIV/0!</v>
      </c>
      <c r="J29" s="545"/>
    </row>
    <row r="30" spans="2:26" s="3" customFormat="1" ht="16.5" customHeight="1" x14ac:dyDescent="0.3">
      <c r="B30" s="98">
        <v>2015</v>
      </c>
      <c r="C30" s="343" t="e">
        <f>-C92</f>
        <v>#DIV/0!</v>
      </c>
      <c r="D30" s="343" t="e">
        <f t="shared" ref="D30:I30" si="1">-D92</f>
        <v>#DIV/0!</v>
      </c>
      <c r="E30" s="343" t="e">
        <f>-E96</f>
        <v>#DIV/0!</v>
      </c>
      <c r="F30" s="343" t="e">
        <f t="shared" ref="F30:H30" si="2">-F96</f>
        <v>#DIV/0!</v>
      </c>
      <c r="G30" s="343" t="e">
        <f t="shared" si="2"/>
        <v>#DIV/0!</v>
      </c>
      <c r="H30" s="343" t="e">
        <f t="shared" si="2"/>
        <v>#DIV/0!</v>
      </c>
      <c r="I30" s="343" t="e">
        <f t="shared" si="1"/>
        <v>#DIV/0!</v>
      </c>
      <c r="J30" s="99"/>
    </row>
    <row r="31" spans="2:26" s="3" customFormat="1" ht="16.5" customHeight="1" x14ac:dyDescent="0.3">
      <c r="B31" s="98">
        <v>2016</v>
      </c>
      <c r="C31" s="343" t="e">
        <f>-C105</f>
        <v>#DIV/0!</v>
      </c>
      <c r="D31" s="343" t="e">
        <f t="shared" ref="D31:I31" si="3">-D105</f>
        <v>#DIV/0!</v>
      </c>
      <c r="E31" s="343" t="e">
        <f>-E109</f>
        <v>#DIV/0!</v>
      </c>
      <c r="F31" s="343" t="e">
        <f t="shared" ref="F31:H31" si="4">-F109</f>
        <v>#DIV/0!</v>
      </c>
      <c r="G31" s="343" t="e">
        <f t="shared" si="4"/>
        <v>#DIV/0!</v>
      </c>
      <c r="H31" s="343" t="e">
        <f t="shared" si="4"/>
        <v>#DIV/0!</v>
      </c>
      <c r="I31" s="343" t="e">
        <f t="shared" si="3"/>
        <v>#DIV/0!</v>
      </c>
      <c r="J31" s="99"/>
    </row>
    <row r="32" spans="2:26" s="3" customFormat="1" ht="16.5" customHeight="1" x14ac:dyDescent="0.3">
      <c r="B32" s="98">
        <v>2017</v>
      </c>
      <c r="C32" s="343" t="e">
        <f>-C118</f>
        <v>#DIV/0!</v>
      </c>
      <c r="D32" s="343" t="e">
        <f t="shared" ref="D32:I32" si="5">-D118</f>
        <v>#DIV/0!</v>
      </c>
      <c r="E32" s="343" t="e">
        <f>-E122</f>
        <v>#DIV/0!</v>
      </c>
      <c r="F32" s="343" t="e">
        <f t="shared" ref="F32:H32" si="6">-F122</f>
        <v>#DIV/0!</v>
      </c>
      <c r="G32" s="343" t="e">
        <f t="shared" si="6"/>
        <v>#DIV/0!</v>
      </c>
      <c r="H32" s="343" t="e">
        <f t="shared" si="6"/>
        <v>#DIV/0!</v>
      </c>
      <c r="I32" s="343" t="e">
        <f t="shared" si="5"/>
        <v>#DIV/0!</v>
      </c>
      <c r="J32" s="99"/>
    </row>
    <row r="33" spans="1:14" s="3" customFormat="1" ht="15.75" customHeight="1" x14ac:dyDescent="0.3"/>
    <row r="34" spans="1:14" s="60" customFormat="1" ht="15.5" outlineLevel="1" x14ac:dyDescent="0.3">
      <c r="A34" s="283"/>
      <c r="B34" s="779" t="s">
        <v>386</v>
      </c>
      <c r="C34" s="779"/>
      <c r="D34" s="779"/>
      <c r="E34" s="779"/>
      <c r="F34" s="779"/>
      <c r="G34" s="779"/>
      <c r="H34" s="779"/>
      <c r="I34" s="779"/>
      <c r="J34" s="779"/>
      <c r="K34" s="779"/>
      <c r="L34" s="142"/>
      <c r="M34" s="142"/>
    </row>
    <row r="35" spans="1:14" s="60" customFormat="1" ht="14" outlineLevel="1" x14ac:dyDescent="0.3">
      <c r="A35" s="283"/>
      <c r="B35" s="63"/>
      <c r="C35" s="77"/>
      <c r="L35" s="142"/>
      <c r="M35" s="142"/>
      <c r="N35" s="305"/>
    </row>
    <row r="36" spans="1:14" s="313" customFormat="1" ht="28" outlineLevel="1" x14ac:dyDescent="0.3">
      <c r="B36" s="316">
        <v>2011</v>
      </c>
      <c r="C36" s="293" t="s">
        <v>38</v>
      </c>
      <c r="D36" s="293" t="s">
        <v>388</v>
      </c>
      <c r="E36" s="293" t="s">
        <v>389</v>
      </c>
      <c r="F36" s="293" t="s">
        <v>105</v>
      </c>
      <c r="G36" s="293" t="s">
        <v>115</v>
      </c>
      <c r="H36" s="293" t="s">
        <v>116</v>
      </c>
      <c r="I36" s="293" t="s">
        <v>117</v>
      </c>
      <c r="J36" s="293" t="s">
        <v>101</v>
      </c>
      <c r="K36" s="317" t="s">
        <v>35</v>
      </c>
      <c r="L36" s="314"/>
      <c r="M36" s="314"/>
      <c r="N36" s="318"/>
    </row>
    <row r="37" spans="1:14" s="60" customFormat="1" ht="14" outlineLevel="1" x14ac:dyDescent="0.3">
      <c r="B37" s="294" t="s">
        <v>36</v>
      </c>
      <c r="C37" s="295"/>
      <c r="D37" s="295"/>
      <c r="E37" s="295"/>
      <c r="F37" s="295"/>
      <c r="G37" s="295"/>
      <c r="H37" s="295"/>
      <c r="I37" s="295"/>
      <c r="J37" s="142"/>
      <c r="K37" s="319"/>
      <c r="L37" s="142"/>
      <c r="M37" s="142"/>
      <c r="N37" s="320"/>
    </row>
    <row r="38" spans="1:14" s="60" customFormat="1" ht="14" outlineLevel="1" x14ac:dyDescent="0.3">
      <c r="B38" s="462" t="s">
        <v>382</v>
      </c>
      <c r="C38" s="297"/>
      <c r="D38" s="297"/>
      <c r="E38" s="297"/>
      <c r="F38" s="297"/>
      <c r="G38" s="297"/>
      <c r="H38" s="297"/>
      <c r="I38" s="297"/>
      <c r="J38" s="297"/>
      <c r="K38" s="464">
        <f>SUM(C38:I38)</f>
        <v>0</v>
      </c>
      <c r="L38" s="142"/>
      <c r="M38" s="142"/>
      <c r="N38" s="305"/>
    </row>
    <row r="39" spans="1:14" s="60" customFormat="1" ht="14" outlineLevel="1" x14ac:dyDescent="0.3">
      <c r="B39" s="322" t="s">
        <v>113</v>
      </c>
      <c r="C39" s="542" t="e">
        <f>C38/$K$38</f>
        <v>#DIV/0!</v>
      </c>
      <c r="D39" s="460" t="e">
        <f t="shared" ref="D39:I39" si="7">D38/$K$38</f>
        <v>#DIV/0!</v>
      </c>
      <c r="E39" s="460" t="e">
        <f t="shared" si="7"/>
        <v>#DIV/0!</v>
      </c>
      <c r="F39" s="460" t="e">
        <f t="shared" si="7"/>
        <v>#DIV/0!</v>
      </c>
      <c r="G39" s="460" t="e">
        <f t="shared" si="7"/>
        <v>#DIV/0!</v>
      </c>
      <c r="H39" s="460" t="e">
        <f t="shared" si="7"/>
        <v>#DIV/0!</v>
      </c>
      <c r="I39" s="460" t="e">
        <f t="shared" si="7"/>
        <v>#DIV/0!</v>
      </c>
      <c r="J39" s="142"/>
      <c r="K39" s="461" t="e">
        <f>SUM(C39:I39)</f>
        <v>#DIV/0!</v>
      </c>
      <c r="L39" s="142"/>
      <c r="M39" s="142"/>
      <c r="N39" s="323"/>
    </row>
    <row r="40" spans="1:14" s="60" customFormat="1" ht="14" outlineLevel="1" x14ac:dyDescent="0.3">
      <c r="B40" s="322" t="s">
        <v>334</v>
      </c>
      <c r="C40" s="550" t="e">
        <f>-$C$14*C39</f>
        <v>#DIV/0!</v>
      </c>
      <c r="D40" s="550" t="e">
        <f t="shared" ref="D40:I40" si="8">-$C$14*D39</f>
        <v>#DIV/0!</v>
      </c>
      <c r="E40" s="550" t="e">
        <f t="shared" si="8"/>
        <v>#DIV/0!</v>
      </c>
      <c r="F40" s="550" t="e">
        <f t="shared" si="8"/>
        <v>#DIV/0!</v>
      </c>
      <c r="G40" s="550" t="e">
        <f t="shared" si="8"/>
        <v>#DIV/0!</v>
      </c>
      <c r="H40" s="550" t="e">
        <f t="shared" si="8"/>
        <v>#DIV/0!</v>
      </c>
      <c r="I40" s="550" t="e">
        <f t="shared" si="8"/>
        <v>#DIV/0!</v>
      </c>
      <c r="J40" s="547"/>
      <c r="K40" s="549" t="e">
        <f>SUM(C40:I40)</f>
        <v>#DIV/0!</v>
      </c>
      <c r="L40" s="142"/>
      <c r="M40" s="142"/>
    </row>
    <row r="41" spans="1:14" s="60" customFormat="1" ht="14" outlineLevel="1" x14ac:dyDescent="0.3">
      <c r="B41" s="322" t="s">
        <v>114</v>
      </c>
      <c r="C41" s="551" t="e">
        <f>C38+C40</f>
        <v>#DIV/0!</v>
      </c>
      <c r="D41" s="552" t="e">
        <f t="shared" ref="D41:I41" si="9">D38+D40</f>
        <v>#DIV/0!</v>
      </c>
      <c r="E41" s="552" t="e">
        <f t="shared" si="9"/>
        <v>#DIV/0!</v>
      </c>
      <c r="F41" s="552" t="e">
        <f t="shared" si="9"/>
        <v>#DIV/0!</v>
      </c>
      <c r="G41" s="552" t="e">
        <f t="shared" si="9"/>
        <v>#DIV/0!</v>
      </c>
      <c r="H41" s="552" t="e">
        <f t="shared" si="9"/>
        <v>#DIV/0!</v>
      </c>
      <c r="I41" s="552" t="e">
        <f t="shared" si="9"/>
        <v>#DIV/0!</v>
      </c>
      <c r="J41" s="547"/>
      <c r="K41" s="549" t="e">
        <f>SUM(C41:I41)</f>
        <v>#DIV/0!</v>
      </c>
      <c r="L41" s="142"/>
      <c r="M41" s="142"/>
    </row>
    <row r="42" spans="1:14" s="60" customFormat="1" ht="14" outlineLevel="1" x14ac:dyDescent="0.3">
      <c r="B42" s="294" t="s">
        <v>37</v>
      </c>
      <c r="C42" s="551"/>
      <c r="D42" s="552"/>
      <c r="E42" s="552"/>
      <c r="F42" s="552"/>
      <c r="G42" s="552"/>
      <c r="H42" s="552"/>
      <c r="I42" s="552"/>
      <c r="J42" s="547"/>
      <c r="K42" s="549"/>
      <c r="L42" s="142"/>
      <c r="M42" s="142"/>
    </row>
    <row r="43" spans="1:14" s="60" customFormat="1" ht="14" outlineLevel="1" x14ac:dyDescent="0.3">
      <c r="B43" s="462" t="s">
        <v>383</v>
      </c>
      <c r="C43" s="551"/>
      <c r="D43" s="552"/>
      <c r="E43" s="552">
        <f>E38*E46</f>
        <v>0</v>
      </c>
      <c r="F43" s="552">
        <f t="shared" ref="F43:H43" si="10">F38*F46</f>
        <v>0</v>
      </c>
      <c r="G43" s="552">
        <f t="shared" si="10"/>
        <v>0</v>
      </c>
      <c r="H43" s="552">
        <f t="shared" si="10"/>
        <v>0</v>
      </c>
      <c r="I43" s="552"/>
      <c r="J43" s="547"/>
      <c r="K43" s="549"/>
      <c r="L43" s="142"/>
      <c r="M43" s="142"/>
    </row>
    <row r="44" spans="1:14" s="60" customFormat="1" ht="14" outlineLevel="1" x14ac:dyDescent="0.3">
      <c r="B44" s="322" t="s">
        <v>118</v>
      </c>
      <c r="C44" s="551"/>
      <c r="D44" s="552"/>
      <c r="E44" s="552" t="e">
        <f>E40*E46</f>
        <v>#DIV/0!</v>
      </c>
      <c r="F44" s="552" t="e">
        <f t="shared" ref="F44:H44" si="11">F40*F46</f>
        <v>#DIV/0!</v>
      </c>
      <c r="G44" s="552" t="e">
        <f t="shared" si="11"/>
        <v>#DIV/0!</v>
      </c>
      <c r="H44" s="552" t="e">
        <f t="shared" si="11"/>
        <v>#DIV/0!</v>
      </c>
      <c r="I44" s="552"/>
      <c r="J44" s="547"/>
      <c r="K44" s="549" t="e">
        <f>SUM(C44:I44)</f>
        <v>#DIV/0!</v>
      </c>
      <c r="L44" s="142"/>
      <c r="M44" s="142"/>
    </row>
    <row r="45" spans="1:14" s="60" customFormat="1" ht="14" outlineLevel="1" x14ac:dyDescent="0.3">
      <c r="B45" s="322" t="s">
        <v>114</v>
      </c>
      <c r="C45" s="142"/>
      <c r="D45" s="142"/>
      <c r="E45" s="320" t="e">
        <f>E43+E44</f>
        <v>#DIV/0!</v>
      </c>
      <c r="F45" s="320" t="e">
        <f t="shared" ref="F45:H45" si="12">F43+F44</f>
        <v>#DIV/0!</v>
      </c>
      <c r="G45" s="320" t="e">
        <f t="shared" si="12"/>
        <v>#DIV/0!</v>
      </c>
      <c r="H45" s="320" t="e">
        <f t="shared" si="12"/>
        <v>#DIV/0!</v>
      </c>
      <c r="I45" s="142"/>
      <c r="J45" s="142"/>
      <c r="K45" s="324" t="e">
        <f>SUM(C45:I45)</f>
        <v>#DIV/0!</v>
      </c>
      <c r="L45" s="142"/>
      <c r="M45" s="142"/>
      <c r="N45" s="326"/>
    </row>
    <row r="46" spans="1:14" s="60" customFormat="1" ht="15" customHeight="1" outlineLevel="1" x14ac:dyDescent="0.3">
      <c r="B46" s="465" t="s">
        <v>380</v>
      </c>
      <c r="C46" s="298"/>
      <c r="D46" s="306"/>
      <c r="E46" s="484"/>
      <c r="F46" s="484"/>
      <c r="G46" s="484"/>
      <c r="H46" s="484"/>
      <c r="I46" s="483"/>
      <c r="J46" s="306"/>
      <c r="K46" s="379"/>
      <c r="L46" s="142"/>
      <c r="M46" s="142"/>
      <c r="N46" s="305"/>
    </row>
    <row r="47" spans="1:14" s="60" customFormat="1" ht="15" customHeight="1" outlineLevel="1" x14ac:dyDescent="0.3">
      <c r="B47" s="327"/>
      <c r="C47" s="299"/>
      <c r="D47" s="300"/>
      <c r="E47" s="142"/>
      <c r="F47" s="301"/>
      <c r="G47" s="301"/>
      <c r="H47" s="301"/>
      <c r="I47" s="301"/>
      <c r="J47" s="142"/>
      <c r="K47" s="142"/>
      <c r="L47" s="142"/>
      <c r="M47" s="142"/>
      <c r="N47" s="305"/>
    </row>
    <row r="48" spans="1:14" s="142" customFormat="1" ht="15" customHeight="1" outlineLevel="1" x14ac:dyDescent="0.3">
      <c r="B48" s="327"/>
      <c r="C48" s="299"/>
      <c r="D48" s="300"/>
      <c r="F48" s="301"/>
      <c r="G48" s="301"/>
      <c r="H48" s="301"/>
      <c r="I48" s="301"/>
      <c r="N48" s="305"/>
    </row>
    <row r="49" spans="2:14" s="312" customFormat="1" ht="36.75" customHeight="1" outlineLevel="1" x14ac:dyDescent="0.3">
      <c r="B49" s="316">
        <v>2012</v>
      </c>
      <c r="C49" s="293" t="s">
        <v>38</v>
      </c>
      <c r="D49" s="293" t="s">
        <v>388</v>
      </c>
      <c r="E49" s="293" t="s">
        <v>389</v>
      </c>
      <c r="F49" s="293" t="s">
        <v>105</v>
      </c>
      <c r="G49" s="293" t="s">
        <v>115</v>
      </c>
      <c r="H49" s="293" t="s">
        <v>116</v>
      </c>
      <c r="I49" s="293" t="s">
        <v>117</v>
      </c>
      <c r="J49" s="293" t="s">
        <v>101</v>
      </c>
      <c r="K49" s="317" t="s">
        <v>35</v>
      </c>
      <c r="L49" s="311"/>
      <c r="M49" s="311"/>
      <c r="N49" s="311"/>
    </row>
    <row r="50" spans="2:14" s="60" customFormat="1" ht="14" outlineLevel="1" x14ac:dyDescent="0.3">
      <c r="B50" s="294" t="s">
        <v>36</v>
      </c>
      <c r="C50" s="295"/>
      <c r="D50" s="295"/>
      <c r="E50" s="295"/>
      <c r="F50" s="295"/>
      <c r="G50" s="295"/>
      <c r="H50" s="295"/>
      <c r="I50" s="295"/>
      <c r="J50" s="142"/>
      <c r="K50" s="319"/>
      <c r="L50" s="142"/>
      <c r="M50" s="142"/>
      <c r="N50" s="305"/>
    </row>
    <row r="51" spans="2:14" s="60" customFormat="1" ht="14" outlineLevel="1" x14ac:dyDescent="0.3">
      <c r="B51" s="462" t="s">
        <v>382</v>
      </c>
      <c r="C51" s="297"/>
      <c r="D51" s="321"/>
      <c r="E51" s="321"/>
      <c r="F51" s="321"/>
      <c r="G51" s="321"/>
      <c r="H51" s="321"/>
      <c r="I51" s="321"/>
      <c r="J51" s="296"/>
      <c r="K51" s="466">
        <f>SUM(C51:I51)</f>
        <v>0</v>
      </c>
      <c r="L51" s="142"/>
      <c r="M51" s="142"/>
      <c r="N51" s="320"/>
    </row>
    <row r="52" spans="2:14" s="60" customFormat="1" ht="14" outlineLevel="1" x14ac:dyDescent="0.3">
      <c r="B52" s="322" t="s">
        <v>113</v>
      </c>
      <c r="C52" s="463" t="e">
        <f>C51/$K$51</f>
        <v>#DIV/0!</v>
      </c>
      <c r="D52" s="463" t="e">
        <f t="shared" ref="D52:I52" si="13">D51/$K$51</f>
        <v>#DIV/0!</v>
      </c>
      <c r="E52" s="463" t="e">
        <f t="shared" si="13"/>
        <v>#DIV/0!</v>
      </c>
      <c r="F52" s="463" t="e">
        <f t="shared" si="13"/>
        <v>#DIV/0!</v>
      </c>
      <c r="G52" s="463" t="e">
        <f t="shared" si="13"/>
        <v>#DIV/0!</v>
      </c>
      <c r="H52" s="463" t="e">
        <f t="shared" si="13"/>
        <v>#DIV/0!</v>
      </c>
      <c r="I52" s="463" t="e">
        <f t="shared" si="13"/>
        <v>#DIV/0!</v>
      </c>
      <c r="J52" s="142"/>
      <c r="K52" s="461" t="e">
        <f>SUM(C52:I52)</f>
        <v>#DIV/0!</v>
      </c>
      <c r="L52" s="142"/>
      <c r="M52" s="142"/>
      <c r="N52" s="305"/>
    </row>
    <row r="53" spans="2:14" s="60" customFormat="1" ht="14" outlineLevel="1" x14ac:dyDescent="0.3">
      <c r="B53" s="322" t="s">
        <v>334</v>
      </c>
      <c r="C53" s="480" t="e">
        <f>-$C$15*C52</f>
        <v>#DIV/0!</v>
      </c>
      <c r="D53" s="480" t="e">
        <f t="shared" ref="D53:I53" si="14">-$C$15*D52</f>
        <v>#DIV/0!</v>
      </c>
      <c r="E53" s="480" t="e">
        <f t="shared" si="14"/>
        <v>#DIV/0!</v>
      </c>
      <c r="F53" s="480" t="e">
        <f t="shared" si="14"/>
        <v>#DIV/0!</v>
      </c>
      <c r="G53" s="480" t="e">
        <f t="shared" si="14"/>
        <v>#DIV/0!</v>
      </c>
      <c r="H53" s="480" t="e">
        <f t="shared" si="14"/>
        <v>#DIV/0!</v>
      </c>
      <c r="I53" s="480" t="e">
        <f t="shared" si="14"/>
        <v>#DIV/0!</v>
      </c>
      <c r="J53" s="142"/>
      <c r="K53" s="324" t="e">
        <f>SUM(C53:I53)</f>
        <v>#DIV/0!</v>
      </c>
      <c r="L53" s="142"/>
      <c r="M53" s="142"/>
      <c r="N53" s="323"/>
    </row>
    <row r="54" spans="2:14" s="60" customFormat="1" ht="14" outlineLevel="1" x14ac:dyDescent="0.3">
      <c r="B54" s="322" t="s">
        <v>114</v>
      </c>
      <c r="C54" s="325" t="e">
        <f>C51+C53</f>
        <v>#DIV/0!</v>
      </c>
      <c r="D54" s="320" t="e">
        <f t="shared" ref="D54" si="15">D51+D53</f>
        <v>#DIV/0!</v>
      </c>
      <c r="E54" s="320" t="e">
        <f t="shared" ref="E54" si="16">E51+E53</f>
        <v>#DIV/0!</v>
      </c>
      <c r="F54" s="320" t="e">
        <f t="shared" ref="F54" si="17">F51+F53</f>
        <v>#DIV/0!</v>
      </c>
      <c r="G54" s="320" t="e">
        <f t="shared" ref="G54" si="18">G51+G53</f>
        <v>#DIV/0!</v>
      </c>
      <c r="H54" s="320" t="e">
        <f t="shared" ref="H54" si="19">H51+H53</f>
        <v>#DIV/0!</v>
      </c>
      <c r="I54" s="320" t="e">
        <f t="shared" ref="I54" si="20">I51+I53</f>
        <v>#DIV/0!</v>
      </c>
      <c r="J54" s="142"/>
      <c r="K54" s="324" t="e">
        <f>SUM(C54:I54)</f>
        <v>#DIV/0!</v>
      </c>
      <c r="L54" s="142"/>
      <c r="M54" s="142"/>
    </row>
    <row r="55" spans="2:14" s="60" customFormat="1" ht="14" outlineLevel="1" x14ac:dyDescent="0.3">
      <c r="B55" s="294" t="s">
        <v>37</v>
      </c>
      <c r="C55" s="142"/>
      <c r="D55" s="302"/>
      <c r="E55" s="328"/>
      <c r="F55" s="303"/>
      <c r="G55" s="304"/>
      <c r="H55" s="305"/>
      <c r="I55" s="142"/>
      <c r="J55" s="142"/>
      <c r="K55" s="329"/>
      <c r="L55" s="142"/>
      <c r="M55" s="142"/>
    </row>
    <row r="56" spans="2:14" s="60" customFormat="1" ht="14" outlineLevel="1" x14ac:dyDescent="0.3">
      <c r="B56" s="462" t="s">
        <v>383</v>
      </c>
      <c r="C56" s="142"/>
      <c r="D56" s="142"/>
      <c r="E56" s="320">
        <f>E51*E59</f>
        <v>0</v>
      </c>
      <c r="F56" s="320">
        <f>F51*F59</f>
        <v>0</v>
      </c>
      <c r="G56" s="320">
        <f>G51*G59</f>
        <v>0</v>
      </c>
      <c r="H56" s="320">
        <f>H51*H59</f>
        <v>0</v>
      </c>
      <c r="I56" s="142"/>
      <c r="J56" s="142"/>
      <c r="K56" s="324">
        <f>SUM(C56:I56)</f>
        <v>0</v>
      </c>
      <c r="L56" s="142"/>
    </row>
    <row r="57" spans="2:14" s="60" customFormat="1" ht="14" outlineLevel="1" x14ac:dyDescent="0.3">
      <c r="B57" s="322" t="s">
        <v>118</v>
      </c>
      <c r="C57" s="142"/>
      <c r="D57" s="142"/>
      <c r="E57" s="320" t="e">
        <f>E53*E59</f>
        <v>#DIV/0!</v>
      </c>
      <c r="F57" s="320" t="e">
        <f>F53*F59</f>
        <v>#DIV/0!</v>
      </c>
      <c r="G57" s="320" t="e">
        <f>G53*G59</f>
        <v>#DIV/0!</v>
      </c>
      <c r="H57" s="320" t="e">
        <f>H53*H59</f>
        <v>#DIV/0!</v>
      </c>
      <c r="I57" s="142"/>
      <c r="J57" s="142"/>
      <c r="K57" s="324" t="e">
        <f>SUM(C57:I57)</f>
        <v>#DIV/0!</v>
      </c>
      <c r="L57" s="142"/>
      <c r="M57" s="142"/>
    </row>
    <row r="58" spans="2:14" s="60" customFormat="1" ht="14" outlineLevel="1" x14ac:dyDescent="0.3">
      <c r="B58" s="322" t="s">
        <v>114</v>
      </c>
      <c r="C58" s="151"/>
      <c r="D58" s="151"/>
      <c r="E58" s="320" t="e">
        <f>E56+E57</f>
        <v>#DIV/0!</v>
      </c>
      <c r="F58" s="320" t="e">
        <f>F56+F57</f>
        <v>#DIV/0!</v>
      </c>
      <c r="G58" s="320" t="e">
        <f t="shared" ref="G58:H58" si="21">G56+G57</f>
        <v>#DIV/0!</v>
      </c>
      <c r="H58" s="320" t="e">
        <f t="shared" si="21"/>
        <v>#DIV/0!</v>
      </c>
      <c r="I58" s="151"/>
      <c r="J58" s="142"/>
      <c r="K58" s="324" t="e">
        <f>SUM(C58:I58)</f>
        <v>#DIV/0!</v>
      </c>
      <c r="L58" s="142"/>
      <c r="M58" s="142"/>
    </row>
    <row r="59" spans="2:14" s="60" customFormat="1" ht="14" outlineLevel="1" x14ac:dyDescent="0.3">
      <c r="B59" s="465" t="s">
        <v>380</v>
      </c>
      <c r="C59" s="307"/>
      <c r="D59" s="307"/>
      <c r="E59" s="484"/>
      <c r="F59" s="484"/>
      <c r="G59" s="484"/>
      <c r="H59" s="484"/>
      <c r="I59" s="307"/>
      <c r="J59" s="306"/>
      <c r="K59" s="467"/>
      <c r="L59" s="142"/>
      <c r="M59" s="142"/>
    </row>
    <row r="60" spans="2:14" s="60" customFormat="1" ht="14" outlineLevel="1" x14ac:dyDescent="0.3">
      <c r="B60" s="63"/>
      <c r="C60" s="77"/>
      <c r="D60" s="142"/>
      <c r="E60" s="142"/>
      <c r="F60" s="142"/>
      <c r="G60" s="142"/>
      <c r="H60" s="142"/>
      <c r="I60" s="142"/>
      <c r="J60" s="142"/>
      <c r="K60" s="142"/>
      <c r="L60" s="142"/>
      <c r="M60" s="142"/>
    </row>
    <row r="61" spans="2:14" s="60" customFormat="1" ht="14" outlineLevel="1" x14ac:dyDescent="0.3">
      <c r="B61" s="63"/>
      <c r="C61" s="77"/>
      <c r="D61" s="142"/>
      <c r="E61" s="142"/>
      <c r="F61" s="142"/>
      <c r="G61" s="142"/>
      <c r="H61" s="142"/>
      <c r="I61" s="142"/>
      <c r="J61" s="142"/>
      <c r="L61" s="142"/>
      <c r="M61" s="142"/>
    </row>
    <row r="62" spans="2:14" s="312" customFormat="1" ht="35.25" customHeight="1" outlineLevel="1" x14ac:dyDescent="0.3">
      <c r="B62" s="316">
        <v>2013</v>
      </c>
      <c r="C62" s="293" t="s">
        <v>38</v>
      </c>
      <c r="D62" s="293" t="s">
        <v>388</v>
      </c>
      <c r="E62" s="293" t="s">
        <v>389</v>
      </c>
      <c r="F62" s="293" t="s">
        <v>105</v>
      </c>
      <c r="G62" s="293" t="s">
        <v>115</v>
      </c>
      <c r="H62" s="293" t="s">
        <v>116</v>
      </c>
      <c r="I62" s="293" t="s">
        <v>117</v>
      </c>
      <c r="J62" s="293" t="s">
        <v>101</v>
      </c>
      <c r="K62" s="317" t="s">
        <v>35</v>
      </c>
      <c r="L62" s="311"/>
      <c r="M62" s="311"/>
    </row>
    <row r="63" spans="2:14" s="60" customFormat="1" ht="14" outlineLevel="1" x14ac:dyDescent="0.3">
      <c r="B63" s="308" t="s">
        <v>36</v>
      </c>
      <c r="C63" s="295"/>
      <c r="D63" s="295"/>
      <c r="E63" s="295"/>
      <c r="F63" s="295"/>
      <c r="G63" s="295"/>
      <c r="H63" s="295"/>
      <c r="I63" s="295"/>
      <c r="J63" s="142"/>
      <c r="K63" s="319"/>
      <c r="L63" s="142"/>
      <c r="M63" s="142"/>
    </row>
    <row r="64" spans="2:14" s="60" customFormat="1" ht="14" outlineLevel="1" x14ac:dyDescent="0.3">
      <c r="B64" s="462" t="s">
        <v>382</v>
      </c>
      <c r="C64" s="297"/>
      <c r="D64" s="321"/>
      <c r="E64" s="321"/>
      <c r="F64" s="321"/>
      <c r="G64" s="321"/>
      <c r="H64" s="321"/>
      <c r="I64" s="321"/>
      <c r="J64" s="296"/>
      <c r="K64" s="324">
        <f>SUM(C64:I64)</f>
        <v>0</v>
      </c>
      <c r="L64" s="142"/>
      <c r="M64" s="142"/>
    </row>
    <row r="65" spans="2:13" s="60" customFormat="1" ht="14" outlineLevel="1" x14ac:dyDescent="0.3">
      <c r="B65" s="322" t="s">
        <v>113</v>
      </c>
      <c r="C65" s="463" t="e">
        <f>C64/$K$64</f>
        <v>#DIV/0!</v>
      </c>
      <c r="D65" s="463" t="e">
        <f t="shared" ref="D65:I65" si="22">D64/$K$64</f>
        <v>#DIV/0!</v>
      </c>
      <c r="E65" s="463" t="e">
        <f>E64/$K$64</f>
        <v>#DIV/0!</v>
      </c>
      <c r="F65" s="463" t="e">
        <f t="shared" si="22"/>
        <v>#DIV/0!</v>
      </c>
      <c r="G65" s="463" t="e">
        <f t="shared" si="22"/>
        <v>#DIV/0!</v>
      </c>
      <c r="H65" s="463" t="e">
        <f t="shared" si="22"/>
        <v>#DIV/0!</v>
      </c>
      <c r="I65" s="463" t="e">
        <f t="shared" si="22"/>
        <v>#DIV/0!</v>
      </c>
      <c r="J65" s="142"/>
      <c r="K65" s="461" t="e">
        <f>SUM(C65:I65)</f>
        <v>#DIV/0!</v>
      </c>
      <c r="L65" s="142"/>
      <c r="M65" s="142"/>
    </row>
    <row r="66" spans="2:13" s="60" customFormat="1" ht="14" outlineLevel="1" x14ac:dyDescent="0.3">
      <c r="B66" s="322" t="s">
        <v>334</v>
      </c>
      <c r="C66" s="480" t="e">
        <f>-$C$16*C65</f>
        <v>#DIV/0!</v>
      </c>
      <c r="D66" s="480" t="e">
        <f>-$C$16*D65</f>
        <v>#DIV/0!</v>
      </c>
      <c r="E66" s="480" t="e">
        <f>-$C$16*E65</f>
        <v>#DIV/0!</v>
      </c>
      <c r="F66" s="480" t="e">
        <f t="shared" ref="F66:I66" si="23">-$C$16*F65</f>
        <v>#DIV/0!</v>
      </c>
      <c r="G66" s="480" t="e">
        <f t="shared" si="23"/>
        <v>#DIV/0!</v>
      </c>
      <c r="H66" s="480" t="e">
        <f t="shared" si="23"/>
        <v>#DIV/0!</v>
      </c>
      <c r="I66" s="480" t="e">
        <f t="shared" si="23"/>
        <v>#DIV/0!</v>
      </c>
      <c r="J66" s="142"/>
      <c r="K66" s="324" t="e">
        <f>SUM(C66:I66)</f>
        <v>#DIV/0!</v>
      </c>
      <c r="L66" s="142"/>
      <c r="M66" s="142"/>
    </row>
    <row r="67" spans="2:13" s="60" customFormat="1" ht="14" outlineLevel="1" x14ac:dyDescent="0.3">
      <c r="B67" s="322" t="s">
        <v>114</v>
      </c>
      <c r="C67" s="325" t="e">
        <f>C64+C66</f>
        <v>#DIV/0!</v>
      </c>
      <c r="D67" s="320" t="e">
        <f t="shared" ref="D67" si="24">D64+D66</f>
        <v>#DIV/0!</v>
      </c>
      <c r="E67" s="320" t="e">
        <f t="shared" ref="E67" si="25">E64+E66</f>
        <v>#DIV/0!</v>
      </c>
      <c r="F67" s="320" t="e">
        <f t="shared" ref="F67" si="26">F64+F66</f>
        <v>#DIV/0!</v>
      </c>
      <c r="G67" s="320" t="e">
        <f t="shared" ref="G67" si="27">G64+G66</f>
        <v>#DIV/0!</v>
      </c>
      <c r="H67" s="320" t="e">
        <f t="shared" ref="H67" si="28">H64+H66</f>
        <v>#DIV/0!</v>
      </c>
      <c r="I67" s="320" t="e">
        <f t="shared" ref="I67" si="29">I64+I66</f>
        <v>#DIV/0!</v>
      </c>
      <c r="J67" s="485"/>
      <c r="K67" s="324" t="e">
        <f>SUM(C67:I67)</f>
        <v>#DIV/0!</v>
      </c>
      <c r="L67" s="142"/>
      <c r="M67" s="142"/>
    </row>
    <row r="68" spans="2:13" s="60" customFormat="1" ht="14" outlineLevel="1" x14ac:dyDescent="0.3">
      <c r="B68" s="308" t="s">
        <v>37</v>
      </c>
      <c r="C68" s="142"/>
      <c r="D68" s="302"/>
      <c r="E68" s="328"/>
      <c r="F68" s="303"/>
      <c r="G68" s="304"/>
      <c r="H68" s="305"/>
      <c r="I68" s="142"/>
      <c r="J68" s="142"/>
      <c r="K68" s="329"/>
      <c r="L68" s="142"/>
      <c r="M68" s="142"/>
    </row>
    <row r="69" spans="2:13" s="60" customFormat="1" ht="14" outlineLevel="1" x14ac:dyDescent="0.3">
      <c r="B69" s="462" t="s">
        <v>383</v>
      </c>
      <c r="C69" s="142"/>
      <c r="D69" s="142"/>
      <c r="E69" s="320">
        <f>E64*E72</f>
        <v>0</v>
      </c>
      <c r="F69" s="320">
        <f t="shared" ref="F69:H69" si="30">F64*F72</f>
        <v>0</v>
      </c>
      <c r="G69" s="320">
        <f t="shared" si="30"/>
        <v>0</v>
      </c>
      <c r="H69" s="320">
        <f t="shared" si="30"/>
        <v>0</v>
      </c>
      <c r="I69" s="142"/>
      <c r="J69" s="142"/>
      <c r="K69" s="324">
        <f>SUM(C69:I69)</f>
        <v>0</v>
      </c>
      <c r="L69" s="142"/>
      <c r="M69" s="142"/>
    </row>
    <row r="70" spans="2:13" s="60" customFormat="1" ht="14" outlineLevel="1" x14ac:dyDescent="0.3">
      <c r="B70" s="322" t="s">
        <v>118</v>
      </c>
      <c r="C70" s="142"/>
      <c r="D70" s="142"/>
      <c r="E70" s="320" t="e">
        <f>E66*E72</f>
        <v>#DIV/0!</v>
      </c>
      <c r="F70" s="320" t="e">
        <f t="shared" ref="F70:H70" si="31">F66*F72</f>
        <v>#DIV/0!</v>
      </c>
      <c r="G70" s="320" t="e">
        <f t="shared" si="31"/>
        <v>#DIV/0!</v>
      </c>
      <c r="H70" s="320" t="e">
        <f t="shared" si="31"/>
        <v>#DIV/0!</v>
      </c>
      <c r="I70" s="142"/>
      <c r="J70" s="142"/>
      <c r="K70" s="330" t="e">
        <f>SUM(C70:I70)</f>
        <v>#DIV/0!</v>
      </c>
      <c r="L70" s="142"/>
      <c r="M70" s="142"/>
    </row>
    <row r="71" spans="2:13" s="60" customFormat="1" ht="14" outlineLevel="1" x14ac:dyDescent="0.3">
      <c r="B71" s="322" t="s">
        <v>114</v>
      </c>
      <c r="C71" s="142"/>
      <c r="D71" s="142"/>
      <c r="E71" s="320" t="e">
        <f>E69+E70</f>
        <v>#DIV/0!</v>
      </c>
      <c r="F71" s="320" t="e">
        <f t="shared" ref="F71" si="32">F69+F70</f>
        <v>#DIV/0!</v>
      </c>
      <c r="G71" s="320" t="e">
        <f t="shared" ref="G71" si="33">G69+G70</f>
        <v>#DIV/0!</v>
      </c>
      <c r="H71" s="320" t="e">
        <f t="shared" ref="H71" si="34">H69+H70</f>
        <v>#DIV/0!</v>
      </c>
      <c r="I71" s="142"/>
      <c r="J71" s="142"/>
      <c r="K71" s="324" t="e">
        <f>SUM(C71:I71)</f>
        <v>#DIV/0!</v>
      </c>
      <c r="L71" s="142"/>
      <c r="M71" s="142"/>
    </row>
    <row r="72" spans="2:13" s="60" customFormat="1" ht="14" outlineLevel="1" x14ac:dyDescent="0.3">
      <c r="B72" s="465" t="s">
        <v>381</v>
      </c>
      <c r="C72" s="307"/>
      <c r="D72" s="307"/>
      <c r="E72" s="484"/>
      <c r="F72" s="484"/>
      <c r="G72" s="484"/>
      <c r="H72" s="484"/>
      <c r="I72" s="307"/>
      <c r="J72" s="306"/>
      <c r="K72" s="467"/>
      <c r="L72" s="142"/>
      <c r="M72" s="142"/>
    </row>
    <row r="73" spans="2:13" s="60" customFormat="1" ht="14" outlineLevel="1" x14ac:dyDescent="0.3">
      <c r="B73" s="63"/>
      <c r="C73" s="77"/>
      <c r="L73" s="142"/>
    </row>
    <row r="74" spans="2:13" s="60" customFormat="1" ht="14" outlineLevel="1" x14ac:dyDescent="0.3">
      <c r="B74" s="63"/>
      <c r="C74" s="77"/>
    </row>
    <row r="75" spans="2:13" s="312" customFormat="1" ht="34.5" customHeight="1" outlineLevel="1" x14ac:dyDescent="0.3">
      <c r="B75" s="316">
        <v>2014</v>
      </c>
      <c r="C75" s="293" t="s">
        <v>38</v>
      </c>
      <c r="D75" s="293" t="s">
        <v>388</v>
      </c>
      <c r="E75" s="293" t="s">
        <v>389</v>
      </c>
      <c r="F75" s="293" t="s">
        <v>105</v>
      </c>
      <c r="G75" s="293" t="s">
        <v>115</v>
      </c>
      <c r="H75" s="293" t="s">
        <v>116</v>
      </c>
      <c r="I75" s="293" t="s">
        <v>117</v>
      </c>
      <c r="J75" s="293" t="s">
        <v>101</v>
      </c>
      <c r="K75" s="317" t="s">
        <v>35</v>
      </c>
    </row>
    <row r="76" spans="2:13" s="60" customFormat="1" ht="14" outlineLevel="1" x14ac:dyDescent="0.3">
      <c r="B76" s="308" t="s">
        <v>36</v>
      </c>
      <c r="C76" s="295"/>
      <c r="D76" s="295"/>
      <c r="E76" s="295"/>
      <c r="F76" s="295"/>
      <c r="G76" s="295"/>
      <c r="H76" s="295"/>
      <c r="I76" s="295"/>
      <c r="J76" s="142"/>
      <c r="K76" s="319"/>
    </row>
    <row r="77" spans="2:13" s="60" customFormat="1" ht="14" outlineLevel="1" x14ac:dyDescent="0.3">
      <c r="B77" s="322" t="s">
        <v>382</v>
      </c>
      <c r="C77" s="297"/>
      <c r="D77" s="321"/>
      <c r="E77" s="321"/>
      <c r="F77" s="321"/>
      <c r="G77" s="321"/>
      <c r="H77" s="321"/>
      <c r="I77" s="321"/>
      <c r="J77" s="296"/>
      <c r="K77" s="324">
        <f>SUM(C77:I77)</f>
        <v>0</v>
      </c>
    </row>
    <row r="78" spans="2:13" s="60" customFormat="1" ht="14" outlineLevel="1" x14ac:dyDescent="0.3">
      <c r="B78" s="322" t="s">
        <v>113</v>
      </c>
      <c r="C78" s="463" t="e">
        <f>C77/$K$77</f>
        <v>#DIV/0!</v>
      </c>
      <c r="D78" s="463" t="e">
        <f>D77/$K$77</f>
        <v>#DIV/0!</v>
      </c>
      <c r="E78" s="463" t="e">
        <f t="shared" ref="E78:I78" si="35">E77/$K$77</f>
        <v>#DIV/0!</v>
      </c>
      <c r="F78" s="463" t="e">
        <f t="shared" si="35"/>
        <v>#DIV/0!</v>
      </c>
      <c r="G78" s="463" t="e">
        <f t="shared" si="35"/>
        <v>#DIV/0!</v>
      </c>
      <c r="H78" s="463" t="e">
        <f t="shared" si="35"/>
        <v>#DIV/0!</v>
      </c>
      <c r="I78" s="463" t="e">
        <f t="shared" si="35"/>
        <v>#DIV/0!</v>
      </c>
      <c r="J78" s="142"/>
      <c r="K78" s="461" t="e">
        <f>SUM(C78:I78)</f>
        <v>#DIV/0!</v>
      </c>
    </row>
    <row r="79" spans="2:13" s="60" customFormat="1" ht="14" outlineLevel="1" x14ac:dyDescent="0.3">
      <c r="B79" s="322" t="s">
        <v>334</v>
      </c>
      <c r="C79" s="480" t="e">
        <f>-$C$17*C78</f>
        <v>#DIV/0!</v>
      </c>
      <c r="D79" s="480" t="e">
        <f t="shared" ref="D79:I79" si="36">-$C$17*D78</f>
        <v>#DIV/0!</v>
      </c>
      <c r="E79" s="480" t="e">
        <f t="shared" si="36"/>
        <v>#DIV/0!</v>
      </c>
      <c r="F79" s="480" t="e">
        <f t="shared" si="36"/>
        <v>#DIV/0!</v>
      </c>
      <c r="G79" s="480" t="e">
        <f t="shared" si="36"/>
        <v>#DIV/0!</v>
      </c>
      <c r="H79" s="480" t="e">
        <f t="shared" si="36"/>
        <v>#DIV/0!</v>
      </c>
      <c r="I79" s="480" t="e">
        <f t="shared" si="36"/>
        <v>#DIV/0!</v>
      </c>
      <c r="J79" s="142"/>
      <c r="K79" s="324" t="e">
        <f>SUM(C79:I79)</f>
        <v>#DIV/0!</v>
      </c>
    </row>
    <row r="80" spans="2:13" s="60" customFormat="1" ht="14" outlineLevel="1" x14ac:dyDescent="0.3">
      <c r="B80" s="322" t="s">
        <v>114</v>
      </c>
      <c r="C80" s="325" t="e">
        <f>C77+C79</f>
        <v>#DIV/0!</v>
      </c>
      <c r="D80" s="320" t="e">
        <f t="shared" ref="D80" si="37">D77+D79</f>
        <v>#DIV/0!</v>
      </c>
      <c r="E80" s="320" t="e">
        <f t="shared" ref="E80" si="38">E77+E79</f>
        <v>#DIV/0!</v>
      </c>
      <c r="F80" s="320" t="e">
        <f t="shared" ref="F80" si="39">F77+F79</f>
        <v>#DIV/0!</v>
      </c>
      <c r="G80" s="320" t="e">
        <f t="shared" ref="G80" si="40">G77+G79</f>
        <v>#DIV/0!</v>
      </c>
      <c r="H80" s="320" t="e">
        <f t="shared" ref="H80" si="41">H77+H79</f>
        <v>#DIV/0!</v>
      </c>
      <c r="I80" s="320" t="e">
        <f t="shared" ref="I80" si="42">I77+I79</f>
        <v>#DIV/0!</v>
      </c>
      <c r="J80" s="142"/>
      <c r="K80" s="324" t="e">
        <f>SUM(C80:I80)</f>
        <v>#DIV/0!</v>
      </c>
    </row>
    <row r="81" spans="2:11" s="60" customFormat="1" ht="14" outlineLevel="1" x14ac:dyDescent="0.3">
      <c r="B81" s="308" t="s">
        <v>37</v>
      </c>
      <c r="C81" s="142"/>
      <c r="D81" s="302"/>
      <c r="E81" s="328"/>
      <c r="F81" s="303"/>
      <c r="G81" s="304"/>
      <c r="H81" s="305"/>
      <c r="I81" s="142"/>
      <c r="J81" s="142"/>
      <c r="K81" s="329"/>
    </row>
    <row r="82" spans="2:11" s="60" customFormat="1" ht="14" outlineLevel="1" x14ac:dyDescent="0.3">
      <c r="B82" s="322" t="s">
        <v>383</v>
      </c>
      <c r="C82" s="142"/>
      <c r="D82" s="142"/>
      <c r="E82" s="320">
        <f>E77*E85</f>
        <v>0</v>
      </c>
      <c r="F82" s="320">
        <f t="shared" ref="F82:H82" si="43">F77*F85</f>
        <v>0</v>
      </c>
      <c r="G82" s="320">
        <f t="shared" si="43"/>
        <v>0</v>
      </c>
      <c r="H82" s="320">
        <f t="shared" si="43"/>
        <v>0</v>
      </c>
      <c r="I82" s="142"/>
      <c r="J82" s="142"/>
      <c r="K82" s="324">
        <f>SUM(C82:I82)</f>
        <v>0</v>
      </c>
    </row>
    <row r="83" spans="2:11" s="60" customFormat="1" ht="14" outlineLevel="1" x14ac:dyDescent="0.3">
      <c r="B83" s="322" t="s">
        <v>118</v>
      </c>
      <c r="C83" s="142"/>
      <c r="D83" s="142"/>
      <c r="E83" s="320" t="e">
        <f>E79*E85</f>
        <v>#DIV/0!</v>
      </c>
      <c r="F83" s="320" t="e">
        <f t="shared" ref="F83:H83" si="44">F79*F85</f>
        <v>#DIV/0!</v>
      </c>
      <c r="G83" s="320" t="e">
        <f t="shared" si="44"/>
        <v>#DIV/0!</v>
      </c>
      <c r="H83" s="320" t="e">
        <f t="shared" si="44"/>
        <v>#DIV/0!</v>
      </c>
      <c r="I83" s="142"/>
      <c r="J83" s="142"/>
      <c r="K83" s="330" t="e">
        <f>SUM(C83:I83)</f>
        <v>#DIV/0!</v>
      </c>
    </row>
    <row r="84" spans="2:11" s="60" customFormat="1" ht="14" outlineLevel="1" x14ac:dyDescent="0.3">
      <c r="B84" s="322" t="s">
        <v>114</v>
      </c>
      <c r="C84" s="142"/>
      <c r="D84" s="142"/>
      <c r="E84" s="320" t="e">
        <f>E82+E83</f>
        <v>#DIV/0!</v>
      </c>
      <c r="F84" s="320" t="e">
        <f t="shared" ref="F84" si="45">F82+F83</f>
        <v>#DIV/0!</v>
      </c>
      <c r="G84" s="320" t="e">
        <f t="shared" ref="G84" si="46">G82+G83</f>
        <v>#DIV/0!</v>
      </c>
      <c r="H84" s="320" t="e">
        <f t="shared" ref="H84" si="47">H82+H83</f>
        <v>#DIV/0!</v>
      </c>
      <c r="I84" s="142"/>
      <c r="J84" s="142"/>
      <c r="K84" s="324" t="e">
        <f>SUM(C84:I84)</f>
        <v>#DIV/0!</v>
      </c>
    </row>
    <row r="85" spans="2:11" s="60" customFormat="1" ht="14" outlineLevel="1" x14ac:dyDescent="0.3">
      <c r="B85" s="465" t="s">
        <v>380</v>
      </c>
      <c r="C85" s="307"/>
      <c r="D85" s="307"/>
      <c r="E85" s="484"/>
      <c r="F85" s="484"/>
      <c r="G85" s="484"/>
      <c r="H85" s="484"/>
      <c r="I85" s="307"/>
      <c r="J85" s="306"/>
      <c r="K85" s="467"/>
    </row>
    <row r="86" spans="2:11" s="60" customFormat="1" ht="14" outlineLevel="1" x14ac:dyDescent="0.3">
      <c r="C86" s="77"/>
    </row>
    <row r="87" spans="2:11" s="60" customFormat="1" ht="14" outlineLevel="1" x14ac:dyDescent="0.3">
      <c r="B87" s="77"/>
      <c r="C87" s="310"/>
    </row>
    <row r="88" spans="2:11" s="60" customFormat="1" ht="28" outlineLevel="1" x14ac:dyDescent="0.3">
      <c r="B88" s="316">
        <v>2015</v>
      </c>
      <c r="C88" s="293" t="s">
        <v>38</v>
      </c>
      <c r="D88" s="293" t="s">
        <v>388</v>
      </c>
      <c r="E88" s="293" t="s">
        <v>389</v>
      </c>
      <c r="F88" s="293" t="s">
        <v>105</v>
      </c>
      <c r="G88" s="293" t="s">
        <v>115</v>
      </c>
      <c r="H88" s="293" t="s">
        <v>116</v>
      </c>
      <c r="I88" s="293" t="s">
        <v>117</v>
      </c>
      <c r="J88" s="293" t="s">
        <v>101</v>
      </c>
      <c r="K88" s="317" t="s">
        <v>35</v>
      </c>
    </row>
    <row r="89" spans="2:11" s="60" customFormat="1" ht="14" outlineLevel="1" x14ac:dyDescent="0.3">
      <c r="B89" s="308" t="s">
        <v>36</v>
      </c>
      <c r="C89" s="295"/>
      <c r="D89" s="295"/>
      <c r="E89" s="295"/>
      <c r="F89" s="295"/>
      <c r="G89" s="295"/>
      <c r="H89" s="295"/>
      <c r="I89" s="295"/>
      <c r="J89" s="142"/>
      <c r="K89" s="319"/>
    </row>
    <row r="90" spans="2:11" s="60" customFormat="1" ht="14" outlineLevel="1" x14ac:dyDescent="0.3">
      <c r="B90" s="322" t="s">
        <v>382</v>
      </c>
      <c r="C90" s="297"/>
      <c r="D90" s="321"/>
      <c r="E90" s="321"/>
      <c r="F90" s="321"/>
      <c r="G90" s="321"/>
      <c r="H90" s="321"/>
      <c r="I90" s="321"/>
      <c r="J90" s="296"/>
      <c r="K90" s="324">
        <f>SUM(C90:I90)</f>
        <v>0</v>
      </c>
    </row>
    <row r="91" spans="2:11" s="60" customFormat="1" ht="14" outlineLevel="1" x14ac:dyDescent="0.3">
      <c r="B91" s="322" t="s">
        <v>113</v>
      </c>
      <c r="C91" s="463" t="e">
        <f>C90/$K$90</f>
        <v>#DIV/0!</v>
      </c>
      <c r="D91" s="463" t="e">
        <f>D90/$K$90</f>
        <v>#DIV/0!</v>
      </c>
      <c r="E91" s="463" t="e">
        <f>E90/$K$90</f>
        <v>#DIV/0!</v>
      </c>
      <c r="F91" s="463" t="e">
        <f t="shared" ref="F91:I91" si="48">F90/$K$90</f>
        <v>#DIV/0!</v>
      </c>
      <c r="G91" s="463" t="e">
        <f t="shared" si="48"/>
        <v>#DIV/0!</v>
      </c>
      <c r="H91" s="463" t="e">
        <f t="shared" si="48"/>
        <v>#DIV/0!</v>
      </c>
      <c r="I91" s="463" t="e">
        <f t="shared" si="48"/>
        <v>#DIV/0!</v>
      </c>
      <c r="J91" s="142"/>
      <c r="K91" s="461" t="e">
        <f>SUM(C91:I91)</f>
        <v>#DIV/0!</v>
      </c>
    </row>
    <row r="92" spans="2:11" s="60" customFormat="1" ht="14" outlineLevel="1" x14ac:dyDescent="0.3">
      <c r="B92" s="322" t="s">
        <v>334</v>
      </c>
      <c r="C92" s="480" t="e">
        <f>-$C$18*C91</f>
        <v>#DIV/0!</v>
      </c>
      <c r="D92" s="480" t="e">
        <f>-$C$18*D91</f>
        <v>#DIV/0!</v>
      </c>
      <c r="E92" s="480" t="e">
        <f>-$C$18*E91</f>
        <v>#DIV/0!</v>
      </c>
      <c r="F92" s="480" t="e">
        <f t="shared" ref="F92:I92" si="49">-$C$18*F91</f>
        <v>#DIV/0!</v>
      </c>
      <c r="G92" s="480" t="e">
        <f t="shared" si="49"/>
        <v>#DIV/0!</v>
      </c>
      <c r="H92" s="480" t="e">
        <f t="shared" si="49"/>
        <v>#DIV/0!</v>
      </c>
      <c r="I92" s="480" t="e">
        <f t="shared" si="49"/>
        <v>#DIV/0!</v>
      </c>
      <c r="J92" s="142"/>
      <c r="K92" s="324" t="e">
        <f>SUM(C92:I92)</f>
        <v>#DIV/0!</v>
      </c>
    </row>
    <row r="93" spans="2:11" s="60" customFormat="1" ht="14" outlineLevel="1" x14ac:dyDescent="0.3">
      <c r="B93" s="322" t="s">
        <v>114</v>
      </c>
      <c r="C93" s="325" t="e">
        <f>C90+C92</f>
        <v>#DIV/0!</v>
      </c>
      <c r="D93" s="320" t="e">
        <f t="shared" ref="D93:I93" si="50">D90+D92</f>
        <v>#DIV/0!</v>
      </c>
      <c r="E93" s="320" t="e">
        <f t="shared" si="50"/>
        <v>#DIV/0!</v>
      </c>
      <c r="F93" s="320" t="e">
        <f t="shared" si="50"/>
        <v>#DIV/0!</v>
      </c>
      <c r="G93" s="320" t="e">
        <f t="shared" si="50"/>
        <v>#DIV/0!</v>
      </c>
      <c r="H93" s="320" t="e">
        <f t="shared" si="50"/>
        <v>#DIV/0!</v>
      </c>
      <c r="I93" s="320" t="e">
        <f t="shared" si="50"/>
        <v>#DIV/0!</v>
      </c>
      <c r="J93" s="142"/>
      <c r="K93" s="324" t="e">
        <f>SUM(C93:I93)</f>
        <v>#DIV/0!</v>
      </c>
    </row>
    <row r="94" spans="2:11" s="60" customFormat="1" ht="14" outlineLevel="1" x14ac:dyDescent="0.3">
      <c r="B94" s="308" t="s">
        <v>37</v>
      </c>
      <c r="C94" s="142"/>
      <c r="D94" s="302"/>
      <c r="E94" s="328"/>
      <c r="F94" s="303"/>
      <c r="G94" s="304"/>
      <c r="H94" s="305"/>
      <c r="I94" s="142"/>
      <c r="J94" s="142"/>
      <c r="K94" s="329"/>
    </row>
    <row r="95" spans="2:11" s="60" customFormat="1" ht="14" outlineLevel="1" x14ac:dyDescent="0.3">
      <c r="B95" s="322" t="s">
        <v>383</v>
      </c>
      <c r="C95" s="142"/>
      <c r="D95" s="142"/>
      <c r="E95" s="320">
        <f>E90*E98</f>
        <v>0</v>
      </c>
      <c r="F95" s="320">
        <f t="shared" ref="F95:H95" si="51">F90*F98</f>
        <v>0</v>
      </c>
      <c r="G95" s="320">
        <f t="shared" si="51"/>
        <v>0</v>
      </c>
      <c r="H95" s="320">
        <f t="shared" si="51"/>
        <v>0</v>
      </c>
      <c r="I95" s="142"/>
      <c r="J95" s="142"/>
      <c r="K95" s="324">
        <f>SUM(C95:I95)</f>
        <v>0</v>
      </c>
    </row>
    <row r="96" spans="2:11" s="60" customFormat="1" ht="14" outlineLevel="1" x14ac:dyDescent="0.3">
      <c r="B96" s="322" t="s">
        <v>118</v>
      </c>
      <c r="C96" s="142"/>
      <c r="D96" s="142"/>
      <c r="E96" s="320" t="e">
        <f>E92*E98</f>
        <v>#DIV/0!</v>
      </c>
      <c r="F96" s="320" t="e">
        <f t="shared" ref="F96:H96" si="52">F92*F98</f>
        <v>#DIV/0!</v>
      </c>
      <c r="G96" s="320" t="e">
        <f t="shared" si="52"/>
        <v>#DIV/0!</v>
      </c>
      <c r="H96" s="320" t="e">
        <f t="shared" si="52"/>
        <v>#DIV/0!</v>
      </c>
      <c r="I96" s="142"/>
      <c r="J96" s="142"/>
      <c r="K96" s="330" t="e">
        <f>SUM(C96:I96)</f>
        <v>#DIV/0!</v>
      </c>
    </row>
    <row r="97" spans="2:12" s="60" customFormat="1" ht="14" outlineLevel="1" x14ac:dyDescent="0.3">
      <c r="B97" s="322" t="s">
        <v>114</v>
      </c>
      <c r="C97" s="142"/>
      <c r="D97" s="142"/>
      <c r="E97" s="320" t="e">
        <f>E95+E96</f>
        <v>#DIV/0!</v>
      </c>
      <c r="F97" s="320" t="e">
        <f t="shared" ref="F97:H97" si="53">F95+F96</f>
        <v>#DIV/0!</v>
      </c>
      <c r="G97" s="320" t="e">
        <f t="shared" si="53"/>
        <v>#DIV/0!</v>
      </c>
      <c r="H97" s="320" t="e">
        <f t="shared" si="53"/>
        <v>#DIV/0!</v>
      </c>
      <c r="I97" s="142"/>
      <c r="J97" s="142"/>
      <c r="K97" s="324" t="e">
        <f>SUM(C97:I97)</f>
        <v>#DIV/0!</v>
      </c>
    </row>
    <row r="98" spans="2:12" s="60" customFormat="1" ht="14" outlineLevel="1" x14ac:dyDescent="0.3">
      <c r="B98" s="465" t="s">
        <v>380</v>
      </c>
      <c r="C98" s="307"/>
      <c r="D98" s="307"/>
      <c r="E98" s="484"/>
      <c r="F98" s="484"/>
      <c r="G98" s="484"/>
      <c r="H98" s="484"/>
      <c r="I98" s="307"/>
      <c r="J98" s="306"/>
      <c r="K98" s="467"/>
    </row>
    <row r="99" spans="2:12" s="60" customFormat="1" ht="14" outlineLevel="1" x14ac:dyDescent="0.3">
      <c r="B99" s="77"/>
    </row>
    <row r="100" spans="2:12" s="60" customFormat="1" ht="14" outlineLevel="1" x14ac:dyDescent="0.3">
      <c r="B100" s="77"/>
    </row>
    <row r="101" spans="2:12" s="60" customFormat="1" ht="28" outlineLevel="1" x14ac:dyDescent="0.3">
      <c r="B101" s="316">
        <v>2016</v>
      </c>
      <c r="C101" s="293" t="s">
        <v>38</v>
      </c>
      <c r="D101" s="293" t="s">
        <v>388</v>
      </c>
      <c r="E101" s="293" t="s">
        <v>389</v>
      </c>
      <c r="F101" s="293" t="s">
        <v>105</v>
      </c>
      <c r="G101" s="293" t="s">
        <v>115</v>
      </c>
      <c r="H101" s="293" t="s">
        <v>116</v>
      </c>
      <c r="I101" s="293" t="s">
        <v>117</v>
      </c>
      <c r="J101" s="293" t="s">
        <v>101</v>
      </c>
      <c r="K101" s="317" t="s">
        <v>35</v>
      </c>
    </row>
    <row r="102" spans="2:12" s="60" customFormat="1" ht="14" outlineLevel="1" x14ac:dyDescent="0.3">
      <c r="B102" s="308" t="s">
        <v>36</v>
      </c>
      <c r="C102" s="295"/>
      <c r="D102" s="295"/>
      <c r="E102" s="295"/>
      <c r="F102" s="295"/>
      <c r="G102" s="295"/>
      <c r="H102" s="295"/>
      <c r="I102" s="295"/>
      <c r="J102" s="142"/>
      <c r="K102" s="319"/>
    </row>
    <row r="103" spans="2:12" s="60" customFormat="1" ht="14" outlineLevel="1" x14ac:dyDescent="0.3">
      <c r="B103" s="322" t="s">
        <v>382</v>
      </c>
      <c r="C103" s="297"/>
      <c r="D103" s="321"/>
      <c r="E103" s="321"/>
      <c r="F103" s="321"/>
      <c r="G103" s="321"/>
      <c r="H103" s="321"/>
      <c r="I103" s="321"/>
      <c r="J103" s="296"/>
      <c r="K103" s="324">
        <f>SUM(C103:I103)</f>
        <v>0</v>
      </c>
    </row>
    <row r="104" spans="2:12" s="20" customFormat="1" outlineLevel="1" x14ac:dyDescent="0.35">
      <c r="B104" s="322" t="s">
        <v>113</v>
      </c>
      <c r="C104" s="463" t="e">
        <f>C103/$K$103</f>
        <v>#DIV/0!</v>
      </c>
      <c r="D104" s="463" t="e">
        <f t="shared" ref="D104:I104" si="54">D103/$K$103</f>
        <v>#DIV/0!</v>
      </c>
      <c r="E104" s="463" t="e">
        <f t="shared" si="54"/>
        <v>#DIV/0!</v>
      </c>
      <c r="F104" s="463" t="e">
        <f t="shared" si="54"/>
        <v>#DIV/0!</v>
      </c>
      <c r="G104" s="463" t="e">
        <f t="shared" si="54"/>
        <v>#DIV/0!</v>
      </c>
      <c r="H104" s="463" t="e">
        <f t="shared" si="54"/>
        <v>#DIV/0!</v>
      </c>
      <c r="I104" s="463" t="e">
        <f t="shared" si="54"/>
        <v>#DIV/0!</v>
      </c>
      <c r="J104" s="142"/>
      <c r="K104" s="461" t="e">
        <f>SUM(C104:I104)</f>
        <v>#DIV/0!</v>
      </c>
      <c r="L104" s="60"/>
    </row>
    <row r="105" spans="2:12" s="20" customFormat="1" outlineLevel="1" x14ac:dyDescent="0.35">
      <c r="B105" s="322" t="s">
        <v>334</v>
      </c>
      <c r="C105" s="480" t="e">
        <f>-$C$19*C104</f>
        <v>#DIV/0!</v>
      </c>
      <c r="D105" s="480" t="e">
        <f t="shared" ref="D105:I105" si="55">-$C$19*D104</f>
        <v>#DIV/0!</v>
      </c>
      <c r="E105" s="480" t="e">
        <f t="shared" si="55"/>
        <v>#DIV/0!</v>
      </c>
      <c r="F105" s="480" t="e">
        <f t="shared" si="55"/>
        <v>#DIV/0!</v>
      </c>
      <c r="G105" s="480" t="e">
        <f t="shared" si="55"/>
        <v>#DIV/0!</v>
      </c>
      <c r="H105" s="480" t="e">
        <f t="shared" si="55"/>
        <v>#DIV/0!</v>
      </c>
      <c r="I105" s="480" t="e">
        <f t="shared" si="55"/>
        <v>#DIV/0!</v>
      </c>
      <c r="J105" s="142"/>
      <c r="K105" s="324" t="e">
        <f>SUM(C105:I105)</f>
        <v>#DIV/0!</v>
      </c>
    </row>
    <row r="106" spans="2:12" s="20" customFormat="1" outlineLevel="1" x14ac:dyDescent="0.35">
      <c r="B106" s="322" t="s">
        <v>114</v>
      </c>
      <c r="C106" s="325" t="e">
        <f>C103+C105</f>
        <v>#DIV/0!</v>
      </c>
      <c r="D106" s="320" t="e">
        <f t="shared" ref="D106:I106" si="56">D103+D105</f>
        <v>#DIV/0!</v>
      </c>
      <c r="E106" s="320" t="e">
        <f t="shared" si="56"/>
        <v>#DIV/0!</v>
      </c>
      <c r="F106" s="320" t="e">
        <f t="shared" si="56"/>
        <v>#DIV/0!</v>
      </c>
      <c r="G106" s="320" t="e">
        <f t="shared" si="56"/>
        <v>#DIV/0!</v>
      </c>
      <c r="H106" s="320" t="e">
        <f t="shared" si="56"/>
        <v>#DIV/0!</v>
      </c>
      <c r="I106" s="320" t="e">
        <f t="shared" si="56"/>
        <v>#DIV/0!</v>
      </c>
      <c r="J106" s="142"/>
      <c r="K106" s="324" t="e">
        <f>SUM(C106:I106)</f>
        <v>#DIV/0!</v>
      </c>
    </row>
    <row r="107" spans="2:12" s="20" customFormat="1" outlineLevel="1" x14ac:dyDescent="0.35">
      <c r="B107" s="308" t="s">
        <v>37</v>
      </c>
      <c r="C107" s="142"/>
      <c r="D107" s="302"/>
      <c r="E107" s="328"/>
      <c r="F107" s="303"/>
      <c r="G107" s="304"/>
      <c r="H107" s="305"/>
      <c r="I107" s="142"/>
      <c r="J107" s="142"/>
      <c r="K107" s="329"/>
    </row>
    <row r="108" spans="2:12" s="20" customFormat="1" outlineLevel="1" x14ac:dyDescent="0.35">
      <c r="B108" s="322" t="s">
        <v>383</v>
      </c>
      <c r="C108" s="142"/>
      <c r="D108" s="142"/>
      <c r="E108" s="320">
        <f>E103*E111</f>
        <v>0</v>
      </c>
      <c r="F108" s="320">
        <f t="shared" ref="F108:H108" si="57">F103*F111</f>
        <v>0</v>
      </c>
      <c r="G108" s="320">
        <f t="shared" si="57"/>
        <v>0</v>
      </c>
      <c r="H108" s="320">
        <f t="shared" si="57"/>
        <v>0</v>
      </c>
      <c r="I108" s="142"/>
      <c r="J108" s="142"/>
      <c r="K108" s="324">
        <f>SUM(C108:I108)</f>
        <v>0</v>
      </c>
    </row>
    <row r="109" spans="2:12" s="20" customFormat="1" outlineLevel="1" x14ac:dyDescent="0.35">
      <c r="B109" s="322" t="s">
        <v>118</v>
      </c>
      <c r="C109" s="142"/>
      <c r="D109" s="142"/>
      <c r="E109" s="320" t="e">
        <f>E105*E111</f>
        <v>#DIV/0!</v>
      </c>
      <c r="F109" s="320" t="e">
        <f t="shared" ref="F109:H109" si="58">F105*F111</f>
        <v>#DIV/0!</v>
      </c>
      <c r="G109" s="320" t="e">
        <f t="shared" si="58"/>
        <v>#DIV/0!</v>
      </c>
      <c r="H109" s="320" t="e">
        <f t="shared" si="58"/>
        <v>#DIV/0!</v>
      </c>
      <c r="I109" s="142"/>
      <c r="J109" s="142"/>
      <c r="K109" s="330" t="e">
        <f>SUM(C109:I109)</f>
        <v>#DIV/0!</v>
      </c>
    </row>
    <row r="110" spans="2:12" s="20" customFormat="1" outlineLevel="1" x14ac:dyDescent="0.35">
      <c r="B110" s="322" t="s">
        <v>114</v>
      </c>
      <c r="C110" s="142"/>
      <c r="D110" s="142"/>
      <c r="E110" s="320" t="e">
        <f>E108+E109</f>
        <v>#DIV/0!</v>
      </c>
      <c r="F110" s="320" t="e">
        <f t="shared" ref="F110:H110" si="59">F108+F109</f>
        <v>#DIV/0!</v>
      </c>
      <c r="G110" s="320" t="e">
        <f t="shared" si="59"/>
        <v>#DIV/0!</v>
      </c>
      <c r="H110" s="320" t="e">
        <f t="shared" si="59"/>
        <v>#DIV/0!</v>
      </c>
      <c r="I110" s="142"/>
      <c r="J110" s="142"/>
      <c r="K110" s="324" t="e">
        <f>SUM(C110:I110)</f>
        <v>#DIV/0!</v>
      </c>
    </row>
    <row r="111" spans="2:12" s="20" customFormat="1" outlineLevel="1" x14ac:dyDescent="0.35">
      <c r="B111" s="465" t="s">
        <v>380</v>
      </c>
      <c r="C111" s="307"/>
      <c r="D111" s="307"/>
      <c r="E111" s="484"/>
      <c r="F111" s="484"/>
      <c r="G111" s="484"/>
      <c r="H111" s="484"/>
      <c r="I111" s="307"/>
      <c r="J111" s="306"/>
      <c r="K111" s="467"/>
    </row>
    <row r="112" spans="2:12" s="20" customFormat="1" outlineLevel="1" x14ac:dyDescent="0.35">
      <c r="B112" s="59"/>
    </row>
    <row r="113" spans="2:12" s="20" customFormat="1" outlineLevel="1" x14ac:dyDescent="0.35">
      <c r="B113" s="59"/>
    </row>
    <row r="114" spans="2:12" s="20" customFormat="1" ht="28" outlineLevel="1" x14ac:dyDescent="0.35">
      <c r="B114" s="316">
        <v>2017</v>
      </c>
      <c r="C114" s="293" t="s">
        <v>38</v>
      </c>
      <c r="D114" s="293" t="s">
        <v>388</v>
      </c>
      <c r="E114" s="293" t="s">
        <v>389</v>
      </c>
      <c r="F114" s="293" t="s">
        <v>105</v>
      </c>
      <c r="G114" s="293" t="s">
        <v>115</v>
      </c>
      <c r="H114" s="293" t="s">
        <v>116</v>
      </c>
      <c r="I114" s="293" t="s">
        <v>117</v>
      </c>
      <c r="J114" s="293" t="s">
        <v>101</v>
      </c>
      <c r="K114" s="317" t="s">
        <v>35</v>
      </c>
    </row>
    <row r="115" spans="2:12" s="20" customFormat="1" outlineLevel="1" x14ac:dyDescent="0.35">
      <c r="B115" s="308" t="s">
        <v>36</v>
      </c>
      <c r="C115" s="295"/>
      <c r="D115" s="295"/>
      <c r="E115" s="295"/>
      <c r="F115" s="295"/>
      <c r="G115" s="295"/>
      <c r="H115" s="295"/>
      <c r="I115" s="295"/>
      <c r="J115" s="142"/>
      <c r="K115" s="319"/>
    </row>
    <row r="116" spans="2:12" s="20" customFormat="1" outlineLevel="1" x14ac:dyDescent="0.35">
      <c r="B116" s="322" t="s">
        <v>382</v>
      </c>
      <c r="C116" s="297"/>
      <c r="D116" s="321"/>
      <c r="E116" s="321"/>
      <c r="F116" s="321"/>
      <c r="G116" s="321"/>
      <c r="H116" s="321"/>
      <c r="I116" s="321"/>
      <c r="J116" s="296"/>
      <c r="K116" s="324">
        <f>SUM(C116:I116)</f>
        <v>0</v>
      </c>
    </row>
    <row r="117" spans="2:12" s="20" customFormat="1" outlineLevel="1" x14ac:dyDescent="0.35">
      <c r="B117" s="322" t="s">
        <v>113</v>
      </c>
      <c r="C117" s="463" t="e">
        <f>C116/$K$116</f>
        <v>#DIV/0!</v>
      </c>
      <c r="D117" s="463" t="e">
        <f>D116/$K$116</f>
        <v>#DIV/0!</v>
      </c>
      <c r="E117" s="463" t="e">
        <f t="shared" ref="E117:I117" si="60">E116/$K$116</f>
        <v>#DIV/0!</v>
      </c>
      <c r="F117" s="463" t="e">
        <f t="shared" si="60"/>
        <v>#DIV/0!</v>
      </c>
      <c r="G117" s="463" t="e">
        <f t="shared" si="60"/>
        <v>#DIV/0!</v>
      </c>
      <c r="H117" s="463" t="e">
        <f t="shared" si="60"/>
        <v>#DIV/0!</v>
      </c>
      <c r="I117" s="463" t="e">
        <f t="shared" si="60"/>
        <v>#DIV/0!</v>
      </c>
      <c r="J117" s="142"/>
      <c r="K117" s="461" t="e">
        <f>SUM(C117:I117)</f>
        <v>#DIV/0!</v>
      </c>
      <c r="L117" s="60"/>
    </row>
    <row r="118" spans="2:12" s="20" customFormat="1" outlineLevel="1" x14ac:dyDescent="0.35">
      <c r="B118" s="322" t="s">
        <v>334</v>
      </c>
      <c r="C118" s="480" t="e">
        <f>-$C$20*C117</f>
        <v>#DIV/0!</v>
      </c>
      <c r="D118" s="480" t="e">
        <f t="shared" ref="D118:I118" si="61">-$C$20*D117</f>
        <v>#DIV/0!</v>
      </c>
      <c r="E118" s="480" t="e">
        <f t="shared" si="61"/>
        <v>#DIV/0!</v>
      </c>
      <c r="F118" s="480" t="e">
        <f t="shared" si="61"/>
        <v>#DIV/0!</v>
      </c>
      <c r="G118" s="480" t="e">
        <f t="shared" si="61"/>
        <v>#DIV/0!</v>
      </c>
      <c r="H118" s="480" t="e">
        <f t="shared" si="61"/>
        <v>#DIV/0!</v>
      </c>
      <c r="I118" s="480" t="e">
        <f t="shared" si="61"/>
        <v>#DIV/0!</v>
      </c>
      <c r="J118" s="142"/>
      <c r="K118" s="324" t="e">
        <f>SUM(C118:I118)</f>
        <v>#DIV/0!</v>
      </c>
    </row>
    <row r="119" spans="2:12" s="20" customFormat="1" outlineLevel="1" x14ac:dyDescent="0.35">
      <c r="B119" s="322" t="s">
        <v>114</v>
      </c>
      <c r="C119" s="325" t="e">
        <f>C116+C118</f>
        <v>#DIV/0!</v>
      </c>
      <c r="D119" s="320" t="e">
        <f>D116+D118</f>
        <v>#DIV/0!</v>
      </c>
      <c r="E119" s="320" t="e">
        <f t="shared" ref="E119:I119" si="62">E116+E118</f>
        <v>#DIV/0!</v>
      </c>
      <c r="F119" s="320" t="e">
        <f t="shared" si="62"/>
        <v>#DIV/0!</v>
      </c>
      <c r="G119" s="320" t="e">
        <f t="shared" si="62"/>
        <v>#DIV/0!</v>
      </c>
      <c r="H119" s="320" t="e">
        <f t="shared" si="62"/>
        <v>#DIV/0!</v>
      </c>
      <c r="I119" s="320" t="e">
        <f t="shared" si="62"/>
        <v>#DIV/0!</v>
      </c>
      <c r="J119" s="142"/>
      <c r="K119" s="324" t="e">
        <f>SUM(C119:I119)</f>
        <v>#DIV/0!</v>
      </c>
    </row>
    <row r="120" spans="2:12" s="20" customFormat="1" outlineLevel="1" x14ac:dyDescent="0.35">
      <c r="B120" s="308" t="s">
        <v>37</v>
      </c>
      <c r="C120" s="142"/>
      <c r="D120" s="302"/>
      <c r="E120" s="328"/>
      <c r="F120" s="303"/>
      <c r="G120" s="304"/>
      <c r="H120" s="305"/>
      <c r="I120" s="142"/>
      <c r="J120" s="142"/>
      <c r="K120" s="329"/>
    </row>
    <row r="121" spans="2:12" s="20" customFormat="1" outlineLevel="1" x14ac:dyDescent="0.35">
      <c r="B121" s="322" t="s">
        <v>383</v>
      </c>
      <c r="C121" s="142"/>
      <c r="D121" s="142"/>
      <c r="E121" s="320">
        <f>E116*E124</f>
        <v>0</v>
      </c>
      <c r="F121" s="320">
        <f t="shared" ref="F121:H121" si="63">F116*F124</f>
        <v>0</v>
      </c>
      <c r="G121" s="320">
        <f t="shared" si="63"/>
        <v>0</v>
      </c>
      <c r="H121" s="320">
        <f t="shared" si="63"/>
        <v>0</v>
      </c>
      <c r="I121" s="142"/>
      <c r="J121" s="142"/>
      <c r="K121" s="324">
        <f>SUM(C121:I121)</f>
        <v>0</v>
      </c>
    </row>
    <row r="122" spans="2:12" s="20" customFormat="1" outlineLevel="1" x14ac:dyDescent="0.35">
      <c r="B122" s="322" t="s">
        <v>118</v>
      </c>
      <c r="C122" s="142"/>
      <c r="D122" s="142"/>
      <c r="E122" s="320" t="e">
        <f>E118*E124</f>
        <v>#DIV/0!</v>
      </c>
      <c r="F122" s="320" t="e">
        <f t="shared" ref="F122:H122" si="64">F118*F124</f>
        <v>#DIV/0!</v>
      </c>
      <c r="G122" s="320" t="e">
        <f t="shared" si="64"/>
        <v>#DIV/0!</v>
      </c>
      <c r="H122" s="320" t="e">
        <f t="shared" si="64"/>
        <v>#DIV/0!</v>
      </c>
      <c r="I122" s="142"/>
      <c r="J122" s="142"/>
      <c r="K122" s="330" t="e">
        <f>SUM(C122:I122)</f>
        <v>#DIV/0!</v>
      </c>
    </row>
    <row r="123" spans="2:12" s="20" customFormat="1" outlineLevel="1" x14ac:dyDescent="0.35">
      <c r="B123" s="322" t="s">
        <v>114</v>
      </c>
      <c r="C123" s="142"/>
      <c r="D123" s="142"/>
      <c r="E123" s="320" t="e">
        <f>E121+E122</f>
        <v>#DIV/0!</v>
      </c>
      <c r="F123" s="320" t="e">
        <f t="shared" ref="F123:H123" si="65">F121+F122</f>
        <v>#DIV/0!</v>
      </c>
      <c r="G123" s="320" t="e">
        <f t="shared" si="65"/>
        <v>#DIV/0!</v>
      </c>
      <c r="H123" s="320" t="e">
        <f t="shared" si="65"/>
        <v>#DIV/0!</v>
      </c>
      <c r="I123" s="142"/>
      <c r="J123" s="142"/>
      <c r="K123" s="324" t="e">
        <f>SUM(C123:I123)</f>
        <v>#DIV/0!</v>
      </c>
    </row>
    <row r="124" spans="2:12" s="20" customFormat="1" outlineLevel="1" x14ac:dyDescent="0.35">
      <c r="B124" s="465" t="s">
        <v>380</v>
      </c>
      <c r="C124" s="307"/>
      <c r="D124" s="307"/>
      <c r="E124" s="484"/>
      <c r="F124" s="484"/>
      <c r="G124" s="484"/>
      <c r="H124" s="484"/>
      <c r="I124" s="307"/>
      <c r="J124" s="306"/>
      <c r="K124" s="467"/>
    </row>
    <row r="125" spans="2:12" s="20" customFormat="1" outlineLevel="1" x14ac:dyDescent="0.35">
      <c r="B125" s="59"/>
    </row>
    <row r="126" spans="2:12" s="20" customFormat="1" outlineLevel="1" x14ac:dyDescent="0.35">
      <c r="B126" s="59"/>
    </row>
    <row r="127" spans="2:12" s="20" customFormat="1" outlineLevel="1" x14ac:dyDescent="0.35">
      <c r="B127" s="59"/>
    </row>
    <row r="128" spans="2:12" s="20" customFormat="1" x14ac:dyDescent="0.35">
      <c r="B128" s="59"/>
    </row>
    <row r="129" spans="2:11" s="49" customFormat="1" ht="16.5" customHeight="1" x14ac:dyDescent="0.3">
      <c r="B129" s="347" t="s">
        <v>392</v>
      </c>
      <c r="C129" s="97"/>
      <c r="D129" s="97"/>
      <c r="E129" s="97"/>
      <c r="F129" s="97"/>
      <c r="G129" s="97"/>
      <c r="H129" s="97"/>
      <c r="I129" s="97"/>
      <c r="J129" s="97"/>
      <c r="K129" s="97"/>
    </row>
    <row r="130" spans="2:11" s="3" customFormat="1" ht="9.75" customHeight="1" x14ac:dyDescent="0.3"/>
    <row r="131" spans="2:11" s="3" customFormat="1" ht="38.25" customHeight="1" x14ac:dyDescent="0.3">
      <c r="B131" s="88" t="s">
        <v>51</v>
      </c>
      <c r="C131" s="88" t="str">
        <f t="shared" ref="C131:J131" si="66">C24</f>
        <v>Residential</v>
      </c>
      <c r="D131" s="88" t="str">
        <f t="shared" si="66"/>
        <v>Competitive Sector Multi-Unit Residential (CSMUR)</v>
      </c>
      <c r="E131" s="88" t="str">
        <f t="shared" si="66"/>
        <v>General Service &lt;50 kW</v>
      </c>
      <c r="F131" s="88" t="str">
        <f t="shared" si="66"/>
        <v>General Service 50 - 999 kW</v>
      </c>
      <c r="G131" s="88" t="str">
        <f t="shared" si="66"/>
        <v>General Service 1,000 - 4,999 kW</v>
      </c>
      <c r="H131" s="88" t="str">
        <f t="shared" si="66"/>
        <v>Large Use</v>
      </c>
      <c r="I131" s="88" t="e">
        <f t="shared" si="66"/>
        <v>#REF!</v>
      </c>
      <c r="J131" s="88" t="str">
        <f t="shared" si="66"/>
        <v>Other</v>
      </c>
      <c r="K131" s="88" t="s">
        <v>35</v>
      </c>
    </row>
    <row r="132" spans="2:11" s="3" customFormat="1" ht="16.5" customHeight="1" x14ac:dyDescent="0.3">
      <c r="B132" s="88"/>
      <c r="C132" s="88" t="s">
        <v>39</v>
      </c>
      <c r="D132" s="88" t="s">
        <v>39</v>
      </c>
      <c r="E132" s="88" t="s">
        <v>39</v>
      </c>
      <c r="F132" s="88" t="s">
        <v>39</v>
      </c>
      <c r="G132" s="88" t="s">
        <v>39</v>
      </c>
      <c r="H132" s="88" t="s">
        <v>39</v>
      </c>
      <c r="I132" s="88" t="s">
        <v>39</v>
      </c>
      <c r="J132" s="88" t="s">
        <v>39</v>
      </c>
      <c r="K132" s="88" t="s">
        <v>39</v>
      </c>
    </row>
    <row r="133" spans="2:11" s="3" customFormat="1" ht="16.5" customHeight="1" x14ac:dyDescent="0.3">
      <c r="B133" s="98">
        <v>2011</v>
      </c>
      <c r="C133" s="68" t="e">
        <f>C26*'3.  Distribution Rates'!E33</f>
        <v>#DIV/0!</v>
      </c>
      <c r="D133" s="68" t="e">
        <f>D26*'3.  Distribution Rates'!E34</f>
        <v>#DIV/0!</v>
      </c>
      <c r="E133" s="68" t="e">
        <f>E26*'3.  Distribution Rates'!E35</f>
        <v>#DIV/0!</v>
      </c>
      <c r="F133" s="68" t="e">
        <f>F26*'3.  Distribution Rates'!E36</f>
        <v>#DIV/0!</v>
      </c>
      <c r="G133" s="68" t="e">
        <f>G26*'3.  Distribution Rates'!E37</f>
        <v>#DIV/0!</v>
      </c>
      <c r="H133" s="68" t="e">
        <f>H26*'3.  Distribution Rates'!E38</f>
        <v>#DIV/0!</v>
      </c>
      <c r="I133" s="68" t="e">
        <f>I26*'3.  Distribution Rates'!E39</f>
        <v>#DIV/0!</v>
      </c>
      <c r="J133" s="68"/>
      <c r="K133" s="68" t="e">
        <f t="shared" ref="K133:K139" si="67">SUM(C133:J133)</f>
        <v>#DIV/0!</v>
      </c>
    </row>
    <row r="134" spans="2:11" s="3" customFormat="1" ht="16.5" customHeight="1" x14ac:dyDescent="0.3">
      <c r="B134" s="98">
        <v>2012</v>
      </c>
      <c r="C134" s="68" t="e">
        <f>C27*'3.  Distribution Rates'!F33</f>
        <v>#DIV/0!</v>
      </c>
      <c r="D134" s="68" t="e">
        <f>D27*'3.  Distribution Rates'!F34</f>
        <v>#DIV/0!</v>
      </c>
      <c r="E134" s="68" t="e">
        <f>E27*'3.  Distribution Rates'!F35</f>
        <v>#DIV/0!</v>
      </c>
      <c r="F134" s="68" t="e">
        <f>F27*'3.  Distribution Rates'!F36</f>
        <v>#DIV/0!</v>
      </c>
      <c r="G134" s="68" t="e">
        <f>G27*'3.  Distribution Rates'!F37</f>
        <v>#DIV/0!</v>
      </c>
      <c r="H134" s="68" t="e">
        <f>H27*'3.  Distribution Rates'!F38</f>
        <v>#DIV/0!</v>
      </c>
      <c r="I134" s="68" t="e">
        <f>I27*'3.  Distribution Rates'!F39</f>
        <v>#DIV/0!</v>
      </c>
      <c r="J134" s="68"/>
      <c r="K134" s="68" t="e">
        <f t="shared" si="67"/>
        <v>#DIV/0!</v>
      </c>
    </row>
    <row r="135" spans="2:11" s="3" customFormat="1" ht="16.5" customHeight="1" x14ac:dyDescent="0.3">
      <c r="B135" s="98">
        <v>2013</v>
      </c>
      <c r="C135" s="68" t="e">
        <f>C28*'3.  Distribution Rates'!G33</f>
        <v>#DIV/0!</v>
      </c>
      <c r="D135" s="68" t="e">
        <f>D28*'3.  Distribution Rates'!G34</f>
        <v>#DIV/0!</v>
      </c>
      <c r="E135" s="68" t="e">
        <f>E28*'3.  Distribution Rates'!G35</f>
        <v>#DIV/0!</v>
      </c>
      <c r="F135" s="68" t="e">
        <f>F28*'3.  Distribution Rates'!G36</f>
        <v>#DIV/0!</v>
      </c>
      <c r="G135" s="68" t="e">
        <f>G28*'3.  Distribution Rates'!G37</f>
        <v>#DIV/0!</v>
      </c>
      <c r="H135" s="68" t="e">
        <f>H28*'3.  Distribution Rates'!G38</f>
        <v>#DIV/0!</v>
      </c>
      <c r="I135" s="68" t="e">
        <f>I28*'3.  Distribution Rates'!G39</f>
        <v>#DIV/0!</v>
      </c>
      <c r="J135" s="68"/>
      <c r="K135" s="68" t="e">
        <f t="shared" si="67"/>
        <v>#DIV/0!</v>
      </c>
    </row>
    <row r="136" spans="2:11" s="3" customFormat="1" ht="16.5" customHeight="1" x14ac:dyDescent="0.3">
      <c r="B136" s="543">
        <v>2014</v>
      </c>
      <c r="C136" s="546" t="e">
        <f>C29*'3.  Distribution Rates'!H33</f>
        <v>#DIV/0!</v>
      </c>
      <c r="D136" s="546" t="e">
        <f>D29*'3.  Distribution Rates'!H34</f>
        <v>#DIV/0!</v>
      </c>
      <c r="E136" s="546" t="e">
        <f>E29*'3.  Distribution Rates'!H35</f>
        <v>#DIV/0!</v>
      </c>
      <c r="F136" s="546" t="e">
        <f>F29*'3.  Distribution Rates'!H36</f>
        <v>#DIV/0!</v>
      </c>
      <c r="G136" s="546" t="e">
        <f>G29*'3.  Distribution Rates'!H37</f>
        <v>#DIV/0!</v>
      </c>
      <c r="H136" s="546" t="e">
        <f>H29*'3.  Distribution Rates'!H38</f>
        <v>#DIV/0!</v>
      </c>
      <c r="I136" s="546" t="e">
        <f>I29*'3.  Distribution Rates'!H39</f>
        <v>#DIV/0!</v>
      </c>
      <c r="J136" s="546"/>
      <c r="K136" s="546" t="e">
        <f t="shared" si="67"/>
        <v>#DIV/0!</v>
      </c>
    </row>
    <row r="137" spans="2:11" s="3" customFormat="1" ht="16.5" customHeight="1" x14ac:dyDescent="0.3">
      <c r="B137" s="98">
        <v>2015</v>
      </c>
      <c r="C137" s="69" t="e">
        <f>C30*'3.  Distribution Rates'!I33</f>
        <v>#DIV/0!</v>
      </c>
      <c r="D137" s="68" t="e">
        <f>D30*'3.  Distribution Rates'!I34</f>
        <v>#DIV/0!</v>
      </c>
      <c r="E137" s="69" t="e">
        <f>E30*'3.  Distribution Rates'!I35</f>
        <v>#DIV/0!</v>
      </c>
      <c r="F137" s="69" t="e">
        <f>F30*'3.  Distribution Rates'!I36</f>
        <v>#DIV/0!</v>
      </c>
      <c r="G137" s="69" t="e">
        <f>G30*'3.  Distribution Rates'!I37</f>
        <v>#DIV/0!</v>
      </c>
      <c r="H137" s="69" t="e">
        <f>H30*'3.  Distribution Rates'!I38</f>
        <v>#DIV/0!</v>
      </c>
      <c r="I137" s="68" t="e">
        <f>I30*'3.  Distribution Rates'!I39</f>
        <v>#DIV/0!</v>
      </c>
      <c r="J137" s="99"/>
      <c r="K137" s="69" t="e">
        <f t="shared" si="67"/>
        <v>#DIV/0!</v>
      </c>
    </row>
    <row r="138" spans="2:11" s="3" customFormat="1" ht="16.5" customHeight="1" x14ac:dyDescent="0.3">
      <c r="B138" s="98">
        <v>2016</v>
      </c>
      <c r="C138" s="69" t="e">
        <f>C31*'3.  Distribution Rates'!J33</f>
        <v>#DIV/0!</v>
      </c>
      <c r="D138" s="68" t="e">
        <f>D31*'3.  Distribution Rates'!J34</f>
        <v>#DIV/0!</v>
      </c>
      <c r="E138" s="69" t="e">
        <f>E31*'3.  Distribution Rates'!J35</f>
        <v>#DIV/0!</v>
      </c>
      <c r="F138" s="69" t="e">
        <f>F31*'3.  Distribution Rates'!J36</f>
        <v>#DIV/0!</v>
      </c>
      <c r="G138" s="69" t="e">
        <f>G31*'3.  Distribution Rates'!J37</f>
        <v>#DIV/0!</v>
      </c>
      <c r="H138" s="69" t="e">
        <f>H31*'3.  Distribution Rates'!J38</f>
        <v>#DIV/0!</v>
      </c>
      <c r="I138" s="68" t="e">
        <f>I31*'3.  Distribution Rates'!J39</f>
        <v>#DIV/0!</v>
      </c>
      <c r="J138" s="99"/>
      <c r="K138" s="69" t="e">
        <f t="shared" si="67"/>
        <v>#DIV/0!</v>
      </c>
    </row>
    <row r="139" spans="2:11" s="3" customFormat="1" ht="16.5" customHeight="1" x14ac:dyDescent="0.3">
      <c r="B139" s="98">
        <v>2017</v>
      </c>
      <c r="C139" s="69" t="e">
        <f>C32*'3.  Distribution Rates'!K33</f>
        <v>#DIV/0!</v>
      </c>
      <c r="D139" s="68" t="e">
        <f>D32*'3.  Distribution Rates'!K34</f>
        <v>#DIV/0!</v>
      </c>
      <c r="E139" s="69" t="e">
        <f>E32*'3.  Distribution Rates'!K35</f>
        <v>#DIV/0!</v>
      </c>
      <c r="F139" s="69" t="e">
        <f>F32*'3.  Distribution Rates'!K36</f>
        <v>#DIV/0!</v>
      </c>
      <c r="G139" s="69" t="e">
        <f>G32*'3.  Distribution Rates'!K37</f>
        <v>#DIV/0!</v>
      </c>
      <c r="H139" s="69" t="e">
        <f>H32*'3.  Distribution Rates'!K38</f>
        <v>#DIV/0!</v>
      </c>
      <c r="I139" s="68" t="e">
        <f>I32*'3.  Distribution Rates'!K39</f>
        <v>#DIV/0!</v>
      </c>
      <c r="J139" s="99"/>
      <c r="K139" s="69" t="e">
        <f t="shared" si="67"/>
        <v>#DIV/0!</v>
      </c>
    </row>
    <row r="140" spans="2:11" s="20" customFormat="1" x14ac:dyDescent="0.35">
      <c r="B140" s="59"/>
    </row>
    <row r="141" spans="2:11" s="20" customFormat="1" x14ac:dyDescent="0.35">
      <c r="B141" s="59"/>
    </row>
    <row r="142" spans="2:11" s="20" customFormat="1" x14ac:dyDescent="0.35">
      <c r="B142" s="59"/>
    </row>
    <row r="143" spans="2:11" s="20" customFormat="1" x14ac:dyDescent="0.35">
      <c r="B143" s="59"/>
    </row>
    <row r="144" spans="2:11" s="20" customFormat="1" x14ac:dyDescent="0.35">
      <c r="B144" s="59"/>
    </row>
    <row r="145" spans="2:2" s="20" customFormat="1" x14ac:dyDescent="0.35">
      <c r="B145" s="59"/>
    </row>
    <row r="146" spans="2:2" s="20" customFormat="1" x14ac:dyDescent="0.35">
      <c r="B146" s="59"/>
    </row>
    <row r="147" spans="2:2" s="20" customFormat="1" x14ac:dyDescent="0.35">
      <c r="B147" s="59"/>
    </row>
    <row r="148" spans="2:2" s="20" customFormat="1" x14ac:dyDescent="0.35">
      <c r="B148" s="59"/>
    </row>
    <row r="149" spans="2:2" s="20" customFormat="1" x14ac:dyDescent="0.35">
      <c r="B149" s="59"/>
    </row>
    <row r="150" spans="2:2" s="20" customFormat="1" x14ac:dyDescent="0.35">
      <c r="B150" s="59"/>
    </row>
    <row r="151" spans="2:2" s="20" customFormat="1" x14ac:dyDescent="0.35">
      <c r="B151" s="59"/>
    </row>
    <row r="152" spans="2:2" s="20" customFormat="1" x14ac:dyDescent="0.35">
      <c r="B152" s="59"/>
    </row>
    <row r="153" spans="2:2" s="20" customFormat="1" x14ac:dyDescent="0.35">
      <c r="B153" s="59"/>
    </row>
    <row r="154" spans="2:2" s="20" customFormat="1" x14ac:dyDescent="0.35">
      <c r="B154" s="59"/>
    </row>
    <row r="155" spans="2:2" s="20" customFormat="1" x14ac:dyDescent="0.35">
      <c r="B155" s="59"/>
    </row>
    <row r="156" spans="2:2" s="20" customFormat="1" x14ac:dyDescent="0.35">
      <c r="B156" s="59"/>
    </row>
    <row r="157" spans="2:2" s="20" customFormat="1" x14ac:dyDescent="0.35">
      <c r="B157" s="59"/>
    </row>
    <row r="158" spans="2:2" s="20" customFormat="1" x14ac:dyDescent="0.35">
      <c r="B158" s="59"/>
    </row>
    <row r="159" spans="2:2" s="20" customFormat="1" x14ac:dyDescent="0.35">
      <c r="B159" s="59"/>
    </row>
    <row r="160" spans="2:2" s="20" customFormat="1" x14ac:dyDescent="0.35">
      <c r="B160" s="59"/>
    </row>
    <row r="161" spans="2:2" s="20" customFormat="1" x14ac:dyDescent="0.35">
      <c r="B161" s="59"/>
    </row>
    <row r="162" spans="2:2" s="20" customFormat="1" x14ac:dyDescent="0.35">
      <c r="B162" s="59"/>
    </row>
    <row r="163" spans="2:2" s="20" customFormat="1" x14ac:dyDescent="0.35">
      <c r="B163" s="59"/>
    </row>
    <row r="164" spans="2:2" s="20" customFormat="1" x14ac:dyDescent="0.35">
      <c r="B164" s="59"/>
    </row>
    <row r="165" spans="2:2" s="20" customFormat="1" x14ac:dyDescent="0.35">
      <c r="B165" s="59"/>
    </row>
    <row r="166" spans="2:2" s="20" customFormat="1" x14ac:dyDescent="0.35">
      <c r="B166" s="59"/>
    </row>
    <row r="167" spans="2:2" s="20" customFormat="1" x14ac:dyDescent="0.35">
      <c r="B167" s="59"/>
    </row>
    <row r="168" spans="2:2" s="20" customFormat="1" x14ac:dyDescent="0.35">
      <c r="B168" s="59"/>
    </row>
    <row r="169" spans="2:2" s="20" customFormat="1" x14ac:dyDescent="0.35">
      <c r="B169" s="59"/>
    </row>
    <row r="170" spans="2:2" s="20" customFormat="1" x14ac:dyDescent="0.35">
      <c r="B170" s="59"/>
    </row>
    <row r="171" spans="2:2" s="20" customFormat="1" x14ac:dyDescent="0.35">
      <c r="B171" s="59"/>
    </row>
    <row r="172" spans="2:2" s="20" customFormat="1" x14ac:dyDescent="0.35">
      <c r="B172" s="59"/>
    </row>
    <row r="173" spans="2:2" s="20" customFormat="1" x14ac:dyDescent="0.35">
      <c r="B173" s="59"/>
    </row>
    <row r="174" spans="2:2" s="20" customFormat="1" x14ac:dyDescent="0.35">
      <c r="B174" s="59"/>
    </row>
    <row r="175" spans="2:2" s="20" customFormat="1" x14ac:dyDescent="0.35">
      <c r="B175" s="59"/>
    </row>
    <row r="176" spans="2:2" s="20" customFormat="1" x14ac:dyDescent="0.35">
      <c r="B176" s="59"/>
    </row>
    <row r="177" spans="2:2" s="20" customFormat="1" x14ac:dyDescent="0.35">
      <c r="B177" s="59"/>
    </row>
    <row r="178" spans="2:2" s="20" customFormat="1" x14ac:dyDescent="0.35">
      <c r="B178" s="59"/>
    </row>
  </sheetData>
  <mergeCells count="4">
    <mergeCell ref="B8:B9"/>
    <mergeCell ref="C5:J5"/>
    <mergeCell ref="B2:J2"/>
    <mergeCell ref="B34:K34"/>
  </mergeCells>
  <pageMargins left="0.70866141732283472" right="0.70866141732283472" top="0.74803149606299213" bottom="0.74803149606299213" header="0.31496062992125984" footer="0.31496062992125984"/>
  <pageSetup scale="50" fitToHeight="0" orientation="landscape" r:id="rId1"/>
  <headerFooter>
    <oddFooter>&amp;R&amp;P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90"/>
  <sheetViews>
    <sheetView showGridLines="0" view="pageBreakPreview" topLeftCell="A53" zoomScale="60" zoomScaleNormal="70" workbookViewId="0">
      <selection activeCell="C17" sqref="C17"/>
    </sheetView>
  </sheetViews>
  <sheetFormatPr defaultRowHeight="14.5" outlineLevelRow="1" x14ac:dyDescent="0.35"/>
  <cols>
    <col min="1" max="1" width="34" customWidth="1"/>
    <col min="2" max="2" width="18.6328125" customWidth="1"/>
    <col min="3" max="3" width="20.36328125" customWidth="1"/>
    <col min="4" max="4" width="24" customWidth="1"/>
    <col min="5" max="5" width="22.453125" customWidth="1"/>
    <col min="6" max="6" width="18.6328125" customWidth="1"/>
    <col min="7" max="7" width="19" customWidth="1"/>
    <col min="8" max="8" width="2" customWidth="1"/>
    <col min="9" max="9" width="20" customWidth="1"/>
    <col min="10" max="11" width="17.36328125" customWidth="1"/>
    <col min="12" max="12" width="2.36328125" customWidth="1"/>
    <col min="13" max="13" width="3.08984375" customWidth="1"/>
    <col min="14" max="16" width="16.90625" customWidth="1"/>
    <col min="17" max="17" width="4" customWidth="1"/>
    <col min="18" max="18" width="9.08984375" customWidth="1"/>
    <col min="21" max="21" width="2.6328125" customWidth="1"/>
    <col min="22" max="23" width="11" customWidth="1"/>
  </cols>
  <sheetData>
    <row r="1" spans="1:9" ht="48.75" customHeight="1" x14ac:dyDescent="0.35">
      <c r="A1" s="780" t="s">
        <v>524</v>
      </c>
      <c r="B1" s="780"/>
      <c r="C1" s="780"/>
      <c r="D1" s="780"/>
      <c r="E1" s="780"/>
      <c r="F1" s="780"/>
      <c r="G1" s="780"/>
    </row>
    <row r="3" spans="1:9" ht="15.5" x14ac:dyDescent="0.35">
      <c r="A3" s="97" t="s">
        <v>512</v>
      </c>
      <c r="B3" s="594"/>
      <c r="C3" s="594"/>
      <c r="D3" s="594"/>
      <c r="E3" s="594"/>
      <c r="F3" s="594"/>
      <c r="G3" s="594"/>
    </row>
    <row r="4" spans="1:9" x14ac:dyDescent="0.35">
      <c r="A4" s="553"/>
      <c r="B4" s="594"/>
      <c r="C4" s="594"/>
      <c r="D4" s="594"/>
      <c r="E4" s="594"/>
      <c r="F4" s="594"/>
      <c r="G4" s="594"/>
    </row>
    <row r="5" spans="1:9" ht="42" x14ac:dyDescent="0.35">
      <c r="A5" s="597" t="s">
        <v>513</v>
      </c>
      <c r="B5" s="595" t="s">
        <v>38</v>
      </c>
      <c r="C5" s="595" t="s">
        <v>509</v>
      </c>
      <c r="D5" s="595" t="s">
        <v>40</v>
      </c>
      <c r="E5" s="595" t="s">
        <v>104</v>
      </c>
      <c r="F5" s="595" t="s">
        <v>105</v>
      </c>
      <c r="G5" s="596" t="s">
        <v>511</v>
      </c>
    </row>
    <row r="6" spans="1:9" x14ac:dyDescent="0.35">
      <c r="A6" s="598"/>
      <c r="B6" s="548" t="s">
        <v>36</v>
      </c>
      <c r="C6" s="548" t="s">
        <v>36</v>
      </c>
      <c r="D6" s="548" t="s">
        <v>36</v>
      </c>
      <c r="E6" s="548" t="s">
        <v>37</v>
      </c>
      <c r="F6" s="548" t="s">
        <v>37</v>
      </c>
      <c r="G6" s="84" t="s">
        <v>37</v>
      </c>
    </row>
    <row r="7" spans="1:9" outlineLevel="1" x14ac:dyDescent="0.35">
      <c r="A7" s="610">
        <v>41640</v>
      </c>
      <c r="B7" s="588">
        <v>2460694.105567764</v>
      </c>
      <c r="C7" s="588">
        <v>50124.427928247875</v>
      </c>
      <c r="D7" s="588">
        <v>2640857.5999242901</v>
      </c>
      <c r="E7" s="588">
        <v>0</v>
      </c>
      <c r="F7" s="588">
        <v>5671.9820376826383</v>
      </c>
      <c r="G7" s="588">
        <v>5232.9526910632803</v>
      </c>
      <c r="H7" s="632"/>
      <c r="I7" s="562"/>
    </row>
    <row r="8" spans="1:9" outlineLevel="1" x14ac:dyDescent="0.35">
      <c r="A8" s="611">
        <v>41671</v>
      </c>
      <c r="B8" s="589">
        <v>2221536.544916898</v>
      </c>
      <c r="C8" s="589">
        <v>46299.549853691853</v>
      </c>
      <c r="D8" s="589">
        <v>2385290.735415488</v>
      </c>
      <c r="E8" s="589">
        <v>0</v>
      </c>
      <c r="F8" s="589">
        <v>5075.4237304371409</v>
      </c>
      <c r="G8" s="589">
        <v>4688.7871226437555</v>
      </c>
      <c r="I8" s="562"/>
    </row>
    <row r="9" spans="1:9" outlineLevel="1" x14ac:dyDescent="0.35">
      <c r="A9" s="611">
        <v>41699</v>
      </c>
      <c r="B9" s="589">
        <v>2457365.4290044541</v>
      </c>
      <c r="C9" s="589">
        <v>53453.104491557839</v>
      </c>
      <c r="D9" s="589">
        <v>2640857.5999242901</v>
      </c>
      <c r="E9" s="589">
        <v>0</v>
      </c>
      <c r="F9" s="589">
        <v>5713.4851795934419</v>
      </c>
      <c r="G9" s="589">
        <v>5346.2821661601492</v>
      </c>
    </row>
    <row r="10" spans="1:9" outlineLevel="1" x14ac:dyDescent="0.35">
      <c r="A10" s="611">
        <v>41730</v>
      </c>
      <c r="B10" s="589">
        <v>2376602.6661949996</v>
      </c>
      <c r="C10" s="589">
        <v>53221.721059206553</v>
      </c>
      <c r="D10" s="589">
        <v>2555668.645088023</v>
      </c>
      <c r="E10" s="589">
        <v>0</v>
      </c>
      <c r="F10" s="589">
        <v>5757.7255399448231</v>
      </c>
      <c r="G10" s="589">
        <v>5334.3461148170991</v>
      </c>
    </row>
    <row r="11" spans="1:9" outlineLevel="1" x14ac:dyDescent="0.35">
      <c r="A11" s="611">
        <v>41760</v>
      </c>
      <c r="B11" s="590">
        <v>2453977.0594473677</v>
      </c>
      <c r="C11" s="590">
        <v>56841.474048644173</v>
      </c>
      <c r="D11" s="590">
        <v>2640857.5999242901</v>
      </c>
      <c r="E11" s="590">
        <v>0</v>
      </c>
      <c r="F11" s="590">
        <v>5973.7349879236863</v>
      </c>
      <c r="G11" s="590">
        <v>5494.6938959582467</v>
      </c>
    </row>
    <row r="12" spans="1:9" outlineLevel="1" x14ac:dyDescent="0.35">
      <c r="A12" s="611">
        <v>41791</v>
      </c>
      <c r="B12" s="590">
        <v>2372871.5225186301</v>
      </c>
      <c r="C12" s="590">
        <v>56952.864735575793</v>
      </c>
      <c r="D12" s="590">
        <v>2555668.645088023</v>
      </c>
      <c r="E12" s="590">
        <v>0</v>
      </c>
      <c r="F12" s="590">
        <v>5887.9421569351098</v>
      </c>
      <c r="G12" s="590">
        <v>5347.6733518899946</v>
      </c>
    </row>
    <row r="13" spans="1:9" outlineLevel="1" x14ac:dyDescent="0.35">
      <c r="A13" s="611">
        <v>41821</v>
      </c>
      <c r="B13" s="590">
        <v>2451316.509119696</v>
      </c>
      <c r="C13" s="590">
        <v>59502.024376316193</v>
      </c>
      <c r="D13" s="590">
        <v>2640857.5999242901</v>
      </c>
      <c r="E13" s="590">
        <v>0</v>
      </c>
      <c r="F13" s="590">
        <v>5916.0623960786852</v>
      </c>
      <c r="G13" s="590">
        <v>5266.7492365475064</v>
      </c>
    </row>
    <row r="14" spans="1:9" outlineLevel="1" x14ac:dyDescent="0.35">
      <c r="A14" s="611">
        <v>41852</v>
      </c>
      <c r="B14" s="590">
        <v>2449827.8355960445</v>
      </c>
      <c r="C14" s="590">
        <v>60990.697899967432</v>
      </c>
      <c r="D14" s="590">
        <v>2640857.5999242901</v>
      </c>
      <c r="E14" s="590">
        <v>0</v>
      </c>
      <c r="F14" s="590">
        <v>6053.0072644803677</v>
      </c>
      <c r="G14" s="590">
        <v>5440.9558144441507</v>
      </c>
    </row>
    <row r="15" spans="1:9" outlineLevel="1" x14ac:dyDescent="0.35">
      <c r="A15" s="611">
        <v>41883</v>
      </c>
      <c r="B15" s="590">
        <v>2369787.6399423955</v>
      </c>
      <c r="C15" s="590">
        <v>60036.747311810344</v>
      </c>
      <c r="D15" s="590">
        <v>2555668.645088023</v>
      </c>
      <c r="E15" s="590">
        <v>0</v>
      </c>
      <c r="F15" s="590">
        <v>5722.0557597733496</v>
      </c>
      <c r="G15" s="590">
        <v>5273.7177585833751</v>
      </c>
    </row>
    <row r="16" spans="1:9" outlineLevel="1" x14ac:dyDescent="0.35">
      <c r="A16" s="611">
        <v>41913</v>
      </c>
      <c r="B16" s="590">
        <v>2447554.0870674993</v>
      </c>
      <c r="C16" s="590">
        <v>63264.446428512463</v>
      </c>
      <c r="D16" s="590">
        <v>2640857.5999242901</v>
      </c>
      <c r="E16" s="590">
        <v>0</v>
      </c>
      <c r="F16" s="590">
        <v>5809.4969151992682</v>
      </c>
      <c r="G16" s="590">
        <v>5585.3137244539375</v>
      </c>
    </row>
    <row r="17" spans="1:11" outlineLevel="1" x14ac:dyDescent="0.35">
      <c r="A17" s="611">
        <v>41944</v>
      </c>
      <c r="B17" s="590">
        <v>2366190.6658853674</v>
      </c>
      <c r="C17" s="590">
        <v>63633.721368838582</v>
      </c>
      <c r="D17" s="590">
        <v>2555668.645088023</v>
      </c>
      <c r="E17" s="590">
        <v>0</v>
      </c>
      <c r="F17" s="590">
        <v>5467.6835449947421</v>
      </c>
      <c r="G17" s="590">
        <v>5121.2906567710179</v>
      </c>
    </row>
    <row r="18" spans="1:11" outlineLevel="1" x14ac:dyDescent="0.35">
      <c r="A18" s="611">
        <v>41974</v>
      </c>
      <c r="B18" s="591">
        <v>2441759.5867026518</v>
      </c>
      <c r="C18" s="591">
        <v>69058.94679336017</v>
      </c>
      <c r="D18" s="591">
        <v>2640857.5999242901</v>
      </c>
      <c r="E18" s="591">
        <v>0</v>
      </c>
      <c r="F18" s="591">
        <v>5778.7441684283631</v>
      </c>
      <c r="G18" s="591">
        <v>5439.2475115981915</v>
      </c>
    </row>
    <row r="19" spans="1:11" x14ac:dyDescent="0.35">
      <c r="A19" s="617" t="s">
        <v>519</v>
      </c>
      <c r="B19" s="736">
        <f>SUM(B7:B18)</f>
        <v>28869483.65196377</v>
      </c>
      <c r="C19" s="736">
        <f t="shared" ref="C19:E19" si="0">SUM(C7:C18)</f>
        <v>693379.72629572928</v>
      </c>
      <c r="D19" s="736">
        <f>SUM(D7:D18)</f>
        <v>31093968.515237607</v>
      </c>
      <c r="E19" s="736">
        <f t="shared" si="0"/>
        <v>0</v>
      </c>
      <c r="F19" s="736">
        <f>SUM(F7:F18)</f>
        <v>68827.343681471611</v>
      </c>
      <c r="G19" s="736">
        <f>SUM(G7:G18)</f>
        <v>63572.010044930714</v>
      </c>
    </row>
    <row r="20" spans="1:11" x14ac:dyDescent="0.35">
      <c r="A20" s="618"/>
      <c r="B20" s="555"/>
      <c r="C20" s="555"/>
      <c r="D20" s="555"/>
      <c r="E20" s="555"/>
      <c r="F20" s="555"/>
      <c r="G20" s="555"/>
    </row>
    <row r="21" spans="1:11" x14ac:dyDescent="0.35">
      <c r="A21" s="599"/>
      <c r="B21" s="555"/>
      <c r="C21" s="555"/>
      <c r="D21" s="555"/>
      <c r="E21" s="555"/>
      <c r="F21" s="555"/>
      <c r="G21" s="555"/>
    </row>
    <row r="22" spans="1:11" ht="15.5" x14ac:dyDescent="0.35">
      <c r="A22" s="97" t="s">
        <v>561</v>
      </c>
      <c r="B22" s="555"/>
      <c r="C22" s="555"/>
      <c r="D22" s="555"/>
      <c r="E22" s="555"/>
      <c r="F22" s="555"/>
      <c r="G22" s="555"/>
    </row>
    <row r="23" spans="1:11" x14ac:dyDescent="0.35">
      <c r="A23" s="553"/>
      <c r="B23" s="553"/>
      <c r="C23" s="556"/>
      <c r="D23" s="553"/>
    </row>
    <row r="24" spans="1:11" ht="28" x14ac:dyDescent="0.35">
      <c r="A24" s="597" t="s">
        <v>525</v>
      </c>
      <c r="B24" s="595" t="s">
        <v>38</v>
      </c>
      <c r="C24" s="595" t="s">
        <v>488</v>
      </c>
      <c r="D24" s="595" t="s">
        <v>40</v>
      </c>
      <c r="E24" s="595" t="s">
        <v>104</v>
      </c>
      <c r="F24" s="595" t="s">
        <v>105</v>
      </c>
      <c r="G24" s="596" t="s">
        <v>511</v>
      </c>
    </row>
    <row r="25" spans="1:11" x14ac:dyDescent="0.35">
      <c r="A25" s="598"/>
      <c r="B25" s="548" t="s">
        <v>36</v>
      </c>
      <c r="C25" s="548" t="s">
        <v>36</v>
      </c>
      <c r="D25" s="548" t="s">
        <v>36</v>
      </c>
      <c r="E25" s="548" t="s">
        <v>37</v>
      </c>
      <c r="F25" s="548" t="s">
        <v>37</v>
      </c>
      <c r="G25" s="84" t="s">
        <v>37</v>
      </c>
      <c r="I25" s="562"/>
      <c r="J25" s="562"/>
      <c r="K25" s="562"/>
    </row>
    <row r="26" spans="1:11" outlineLevel="1" x14ac:dyDescent="0.35">
      <c r="A26" s="610">
        <v>41640</v>
      </c>
      <c r="B26" s="588">
        <f t="array" ref="B26:B37">TRANSPOSE('4.1. 2011-14 LRAM Monthly'!N6:Y6)</f>
        <v>3914802.254184084</v>
      </c>
      <c r="C26" s="588">
        <f t="array" ref="C26:C37">TRANSPOSE('4.1. 2011-14 LRAM Monthly'!N7:Y7)</f>
        <v>79744.663670939437</v>
      </c>
      <c r="D26" s="588">
        <f t="array" ref="D26:D37">TRANSPOSE('4.1. 2011-14 LRAM Monthly'!N8:Y8)</f>
        <v>7976972.2244261643</v>
      </c>
      <c r="E26" s="588">
        <f>'4.1. 2011-14 LRAM Monthly'!N9</f>
        <v>22852.282317428551</v>
      </c>
      <c r="F26" s="588">
        <f>'4.1. 2011-14 LRAM Monthly'!N10</f>
        <v>7019.5276515902815</v>
      </c>
      <c r="G26" s="588">
        <f>'4.1. 2011-14 LRAM Monthly'!N11</f>
        <v>7178.5266555516228</v>
      </c>
      <c r="H26" s="592"/>
      <c r="I26" s="593"/>
      <c r="J26" s="593"/>
      <c r="K26" s="593"/>
    </row>
    <row r="27" spans="1:11" outlineLevel="1" x14ac:dyDescent="0.35">
      <c r="A27" s="611">
        <v>41671</v>
      </c>
      <c r="B27" s="589">
        <v>4004044.2361445823</v>
      </c>
      <c r="C27" s="589">
        <v>83449.199392817114</v>
      </c>
      <c r="D27" s="589">
        <v>8056864.7846363429</v>
      </c>
      <c r="E27" s="589">
        <f>'4.1. 2011-14 LRAM Monthly'!O9</f>
        <v>23281.640504758521</v>
      </c>
      <c r="F27" s="589">
        <f>'4.1. 2011-14 LRAM Monthly'!O10</f>
        <v>7377.5612837371709</v>
      </c>
      <c r="G27" s="589">
        <f>'4.1. 2011-14 LRAM Monthly'!O11</f>
        <v>7464.5970198035811</v>
      </c>
      <c r="I27" s="562"/>
      <c r="J27" s="562"/>
      <c r="K27" s="562"/>
    </row>
    <row r="28" spans="1:11" outlineLevel="1" x14ac:dyDescent="0.35">
      <c r="A28" s="611">
        <v>41699</v>
      </c>
      <c r="B28" s="589">
        <v>4189153.7665511277</v>
      </c>
      <c r="C28" s="589">
        <v>91123.311082165412</v>
      </c>
      <c r="D28" s="589">
        <v>8223654.3206020007</v>
      </c>
      <c r="E28" s="589">
        <f>'4.1. 2011-14 LRAM Monthly'!P9</f>
        <v>24728.475661276061</v>
      </c>
      <c r="F28" s="589">
        <f>'4.1. 2011-14 LRAM Monthly'!P10</f>
        <v>8586.0108626179735</v>
      </c>
      <c r="G28" s="589">
        <f>'4.1. 2011-14 LRAM Monthly'!P11</f>
        <v>8434.0706742853872</v>
      </c>
      <c r="I28" s="562"/>
      <c r="J28" s="562"/>
      <c r="K28" s="562"/>
    </row>
    <row r="29" spans="1:11" outlineLevel="1" x14ac:dyDescent="0.35">
      <c r="A29" s="611">
        <v>41730</v>
      </c>
      <c r="B29" s="589">
        <v>2089527.9285120955</v>
      </c>
      <c r="C29" s="589">
        <v>46792.959687879258</v>
      </c>
      <c r="D29" s="589">
        <v>4029832.963955828</v>
      </c>
      <c r="E29" s="589">
        <f>'4.1. 2011-14 LRAM Monthly'!Q9</f>
        <v>25354.792279772617</v>
      </c>
      <c r="F29" s="589">
        <f>'4.1. 2011-14 LRAM Monthly'!Q10</f>
        <v>9108.472698495083</v>
      </c>
      <c r="G29" s="589">
        <f>'4.1. 2011-14 LRAM Monthly'!Q11</f>
        <v>8852.0970586064523</v>
      </c>
      <c r="H29" s="560"/>
      <c r="I29" s="562"/>
      <c r="J29" s="562"/>
      <c r="K29" s="562"/>
    </row>
    <row r="30" spans="1:11" outlineLevel="1" x14ac:dyDescent="0.35">
      <c r="A30" s="611">
        <v>41760</v>
      </c>
      <c r="B30" s="590">
        <v>2176904.9032869604</v>
      </c>
      <c r="C30" s="590">
        <v>50423.651393479471</v>
      </c>
      <c r="D30" s="590">
        <v>4108313.5152783915</v>
      </c>
      <c r="E30" s="590">
        <f>'4.1. 2011-14 LRAM Monthly'!R9</f>
        <v>26073.590860048778</v>
      </c>
      <c r="F30" s="590">
        <f>'4.1. 2011-14 LRAM Monthly'!R10</f>
        <v>9707.4639158932714</v>
      </c>
      <c r="G30" s="590">
        <f>'4.1. 2011-14 LRAM Monthly'!R11</f>
        <v>9332.2660754522603</v>
      </c>
      <c r="H30" s="592"/>
      <c r="I30" s="593"/>
      <c r="J30" s="593"/>
      <c r="K30" s="593"/>
    </row>
    <row r="31" spans="1:11" outlineLevel="1" x14ac:dyDescent="0.35">
      <c r="A31" s="611">
        <v>41791</v>
      </c>
      <c r="B31" s="590">
        <v>5593903.5325343227</v>
      </c>
      <c r="C31" s="590">
        <v>134262.99262653792</v>
      </c>
      <c r="D31" s="590">
        <v>10305477.170092547</v>
      </c>
      <c r="E31" s="590">
        <f>'4.1. 2011-14 LRAM Monthly'!S9</f>
        <v>34761.456628247877</v>
      </c>
      <c r="F31" s="590">
        <f>'4.1. 2011-14 LRAM Monthly'!S10</f>
        <v>12915.375937380395</v>
      </c>
      <c r="G31" s="590">
        <f>'4.1. 2011-14 LRAM Monthly'!S11</f>
        <v>12425.323627282451</v>
      </c>
      <c r="H31" s="592"/>
      <c r="I31" s="593"/>
      <c r="J31" s="593"/>
      <c r="K31" s="593"/>
    </row>
    <row r="32" spans="1:11" outlineLevel="1" x14ac:dyDescent="0.35">
      <c r="A32" s="611">
        <v>41821</v>
      </c>
      <c r="B32" s="590">
        <v>5872717.1620427957</v>
      </c>
      <c r="C32" s="590">
        <v>142543.55314900057</v>
      </c>
      <c r="D32" s="590">
        <v>10483283.077480236</v>
      </c>
      <c r="E32" s="590">
        <f>'4.1. 2011-14 LRAM Monthly'!T9</f>
        <v>40565.046826497768</v>
      </c>
      <c r="F32" s="590">
        <f>'4.1. 2011-14 LRAM Monthly'!T10</f>
        <v>15391.863562139331</v>
      </c>
      <c r="G32" s="590">
        <f>'4.1. 2011-14 LRAM Monthly'!T11</f>
        <v>14715.721713941221</v>
      </c>
      <c r="I32" s="562"/>
      <c r="J32" s="573"/>
      <c r="K32" s="562"/>
    </row>
    <row r="33" spans="1:25" outlineLevel="1" x14ac:dyDescent="0.35">
      <c r="A33" s="611">
        <v>41852</v>
      </c>
      <c r="B33" s="590">
        <v>5932365.5218934026</v>
      </c>
      <c r="C33" s="590">
        <v>147689.35478122998</v>
      </c>
      <c r="D33" s="590">
        <v>10593915.04342757</v>
      </c>
      <c r="E33" s="590">
        <f>'4.1. 2011-14 LRAM Monthly'!U9</f>
        <v>41221.65895307657</v>
      </c>
      <c r="F33" s="590">
        <f>'4.1. 2011-14 LRAM Monthly'!U10</f>
        <v>15946.852755256816</v>
      </c>
      <c r="G33" s="590">
        <f>'4.1. 2011-14 LRAM Monthly'!U11</f>
        <v>15158.767512799332</v>
      </c>
      <c r="H33" s="560"/>
      <c r="I33" s="562"/>
      <c r="J33" s="573"/>
      <c r="K33" s="562"/>
    </row>
    <row r="34" spans="1:25" outlineLevel="1" x14ac:dyDescent="0.35">
      <c r="A34" s="611">
        <v>41883</v>
      </c>
      <c r="B34" s="590">
        <v>6051345.3457937567</v>
      </c>
      <c r="C34" s="590">
        <v>153306.18060956377</v>
      </c>
      <c r="D34" s="590">
        <v>10714792.347473165</v>
      </c>
      <c r="E34" s="590">
        <f>'4.1. 2011-14 LRAM Monthly'!V9</f>
        <v>37323.87631017837</v>
      </c>
      <c r="F34" s="590">
        <f>'4.1. 2011-14 LRAM Monthly'!V10</f>
        <v>15074.552435210142</v>
      </c>
      <c r="G34" s="590">
        <f>'4.1. 2011-14 LRAM Monthly'!V11</f>
        <v>14153.10425514509</v>
      </c>
      <c r="H34" s="592"/>
      <c r="I34" s="593"/>
      <c r="J34" s="593"/>
      <c r="K34" s="593"/>
    </row>
    <row r="35" spans="1:25" outlineLevel="1" x14ac:dyDescent="0.35">
      <c r="A35" s="611">
        <v>41913</v>
      </c>
      <c r="B35" s="590">
        <v>2547328.524920932</v>
      </c>
      <c r="C35" s="590">
        <v>65843.418975172754</v>
      </c>
      <c r="D35" s="590">
        <v>4440027.6814104207</v>
      </c>
      <c r="E35" s="590">
        <f>'4.1. 2011-14 LRAM Monthly'!W9</f>
        <v>30727.891074233856</v>
      </c>
      <c r="F35" s="590">
        <f>'4.1. 2011-14 LRAM Monthly'!W10</f>
        <v>13587.773381177116</v>
      </c>
      <c r="G35" s="590">
        <f>'4.1. 2011-14 LRAM Monthly'!W11</f>
        <v>12445.209684387115</v>
      </c>
      <c r="I35" s="562"/>
      <c r="J35" s="562"/>
      <c r="K35" s="562"/>
    </row>
    <row r="36" spans="1:25" outlineLevel="1" x14ac:dyDescent="0.35">
      <c r="A36" s="611">
        <v>41944</v>
      </c>
      <c r="B36" s="590">
        <v>2727424.4963268703</v>
      </c>
      <c r="C36" s="590">
        <v>73348.345580080146</v>
      </c>
      <c r="D36" s="590">
        <v>4601069.6352848299</v>
      </c>
      <c r="E36" s="590">
        <f>'4.1. 2011-14 LRAM Monthly'!X9</f>
        <v>32660.308051880231</v>
      </c>
      <c r="F36" s="590">
        <f>'4.1. 2011-14 LRAM Monthly'!X10</f>
        <v>15199.649256443867</v>
      </c>
      <c r="G36" s="590">
        <f>'4.1. 2011-14 LRAM Monthly'!X11</f>
        <v>13733.083974719844</v>
      </c>
    </row>
    <row r="37" spans="1:25" outlineLevel="1" x14ac:dyDescent="0.35">
      <c r="A37" s="612">
        <v>41974</v>
      </c>
      <c r="B37" s="591">
        <v>6242775.8389633801</v>
      </c>
      <c r="C37" s="591">
        <v>176561.00433771222</v>
      </c>
      <c r="D37" s="591">
        <v>10065271.65000773</v>
      </c>
      <c r="E37" s="591">
        <f>'4.1. 2011-14 LRAM Monthly'!Y9</f>
        <v>34479.642203714102</v>
      </c>
      <c r="F37" s="591">
        <f>'4.1. 2011-14 LRAM Monthly'!Y10</f>
        <v>16714.758938526138</v>
      </c>
      <c r="G37" s="591">
        <f>'4.1. 2011-14 LRAM Monthly'!Y11</f>
        <v>14951.153290396012</v>
      </c>
    </row>
    <row r="38" spans="1:25" x14ac:dyDescent="0.35">
      <c r="A38" s="617" t="s">
        <v>519</v>
      </c>
      <c r="B38" s="736">
        <f>SUM(B26:B37)</f>
        <v>51342293.511154309</v>
      </c>
      <c r="C38" s="736">
        <f t="shared" ref="C38:F38" si="1">SUM(C26:C37)</f>
        <v>1245088.635286578</v>
      </c>
      <c r="D38" s="736">
        <f t="shared" si="1"/>
        <v>93599474.414075211</v>
      </c>
      <c r="E38" s="736">
        <f t="shared" si="1"/>
        <v>374030.66167111328</v>
      </c>
      <c r="F38" s="736">
        <f t="shared" si="1"/>
        <v>146629.86267846759</v>
      </c>
      <c r="G38" s="736">
        <f>SUM(G26:G37)</f>
        <v>138843.92154237037</v>
      </c>
    </row>
    <row r="39" spans="1:25" x14ac:dyDescent="0.35">
      <c r="A39" s="554"/>
      <c r="B39" s="555"/>
      <c r="C39" s="555"/>
      <c r="D39" s="555"/>
      <c r="E39" s="555"/>
      <c r="F39" s="555"/>
      <c r="G39" s="555"/>
    </row>
    <row r="40" spans="1:25" x14ac:dyDescent="0.35">
      <c r="A40" s="554"/>
      <c r="B40" s="555"/>
      <c r="C40" s="555"/>
      <c r="D40" s="555"/>
      <c r="E40" s="555"/>
      <c r="F40" s="555"/>
      <c r="G40" s="555"/>
    </row>
    <row r="41" spans="1:25" ht="15.5" x14ac:dyDescent="0.35">
      <c r="A41" s="702" t="s">
        <v>563</v>
      </c>
      <c r="N41" s="541"/>
      <c r="V41" s="541"/>
    </row>
    <row r="42" spans="1:25" x14ac:dyDescent="0.35">
      <c r="I42" t="s">
        <v>510</v>
      </c>
      <c r="N42" s="541" t="s">
        <v>514</v>
      </c>
      <c r="R42" s="745" t="s">
        <v>515</v>
      </c>
      <c r="V42" s="745" t="s">
        <v>516</v>
      </c>
    </row>
    <row r="43" spans="1:25" ht="46" x14ac:dyDescent="0.35">
      <c r="A43" s="626" t="s">
        <v>562</v>
      </c>
      <c r="B43" s="595" t="s">
        <v>38</v>
      </c>
      <c r="C43" s="595" t="s">
        <v>488</v>
      </c>
      <c r="D43" s="595" t="s">
        <v>40</v>
      </c>
      <c r="E43" s="595" t="s">
        <v>104</v>
      </c>
      <c r="F43" s="595" t="s">
        <v>105</v>
      </c>
      <c r="G43" s="596" t="s">
        <v>511</v>
      </c>
      <c r="H43" s="558"/>
      <c r="I43" s="595" t="s">
        <v>104</v>
      </c>
      <c r="J43" s="595" t="s">
        <v>105</v>
      </c>
      <c r="K43" s="596" t="s">
        <v>511</v>
      </c>
      <c r="L43" s="559"/>
      <c r="M43" s="559"/>
      <c r="N43" s="605" t="s">
        <v>104</v>
      </c>
      <c r="O43" s="605" t="s">
        <v>105</v>
      </c>
      <c r="P43" s="606" t="s">
        <v>511</v>
      </c>
      <c r="Q43" s="607"/>
      <c r="R43" s="744" t="s">
        <v>104</v>
      </c>
      <c r="S43" s="744" t="s">
        <v>105</v>
      </c>
      <c r="T43" s="744" t="s">
        <v>511</v>
      </c>
      <c r="U43" s="607"/>
      <c r="V43" s="744" t="s">
        <v>104</v>
      </c>
      <c r="W43" s="744" t="s">
        <v>105</v>
      </c>
      <c r="X43" s="744" t="s">
        <v>511</v>
      </c>
      <c r="Y43" s="607"/>
    </row>
    <row r="44" spans="1:25" x14ac:dyDescent="0.35">
      <c r="A44" s="598"/>
      <c r="B44" s="548" t="s">
        <v>36</v>
      </c>
      <c r="C44" s="548" t="s">
        <v>36</v>
      </c>
      <c r="D44" s="548" t="s">
        <v>36</v>
      </c>
      <c r="E44" s="548" t="s">
        <v>37</v>
      </c>
      <c r="F44" s="548" t="s">
        <v>37</v>
      </c>
      <c r="G44" s="84" t="s">
        <v>37</v>
      </c>
      <c r="I44" s="548" t="s">
        <v>510</v>
      </c>
      <c r="J44" s="548" t="s">
        <v>510</v>
      </c>
      <c r="K44" s="548" t="s">
        <v>510</v>
      </c>
      <c r="L44" s="559"/>
      <c r="M44" s="559"/>
      <c r="N44" s="559"/>
      <c r="O44" s="559"/>
      <c r="P44" s="559"/>
      <c r="R44" s="743"/>
      <c r="S44" s="743"/>
      <c r="T44" s="743"/>
      <c r="U44" s="562"/>
    </row>
    <row r="45" spans="1:25" x14ac:dyDescent="0.35">
      <c r="E45" s="561"/>
      <c r="F45" s="561"/>
      <c r="G45" s="561"/>
      <c r="I45" s="600"/>
      <c r="J45" s="600"/>
      <c r="K45" s="600"/>
      <c r="L45" s="559"/>
      <c r="M45" s="559"/>
      <c r="N45" s="559"/>
      <c r="O45" s="559"/>
      <c r="P45" s="559"/>
      <c r="R45" s="562"/>
      <c r="S45" s="562"/>
      <c r="T45" s="562"/>
    </row>
    <row r="46" spans="1:25" outlineLevel="1" x14ac:dyDescent="0.35">
      <c r="A46" s="610">
        <v>41640</v>
      </c>
      <c r="B46" s="588">
        <f>B26-B7</f>
        <v>1454108.14861632</v>
      </c>
      <c r="C46" s="588">
        <f t="shared" ref="B46:G58" si="2">C26-C7</f>
        <v>29620.235742691562</v>
      </c>
      <c r="D46" s="588">
        <f t="shared" si="2"/>
        <v>5336114.6245018747</v>
      </c>
      <c r="E46" s="588">
        <f t="shared" si="2"/>
        <v>22852.282317428551</v>
      </c>
      <c r="F46" s="588">
        <f t="shared" si="2"/>
        <v>1347.5456139076432</v>
      </c>
      <c r="G46" s="588">
        <f t="shared" si="2"/>
        <v>1945.5739644883424</v>
      </c>
      <c r="I46" s="588">
        <f>E46/R46</f>
        <v>24337.502205794946</v>
      </c>
      <c r="J46" s="588">
        <f>F46/S46</f>
        <v>1447.8001293470586</v>
      </c>
      <c r="K46" s="588">
        <f>G46/T46</f>
        <v>2094.1834999260614</v>
      </c>
      <c r="L46" s="559"/>
      <c r="M46" s="559"/>
      <c r="N46" s="588">
        <f>I46*V46</f>
        <v>4639.1084660319784</v>
      </c>
      <c r="O46" s="588">
        <f>J46*W46</f>
        <v>1111.9129673366222</v>
      </c>
      <c r="P46" s="588">
        <f>K46*X46</f>
        <v>1993.3055780432439</v>
      </c>
      <c r="R46" s="648">
        <v>0.93897402141733544</v>
      </c>
      <c r="S46" s="649">
        <v>0.9307538979951403</v>
      </c>
      <c r="T46" s="650">
        <v>0.9290370039478556</v>
      </c>
      <c r="U46" s="602"/>
      <c r="V46" s="656">
        <v>0.19061563618173483</v>
      </c>
      <c r="W46" s="657">
        <v>0.76800170465386142</v>
      </c>
      <c r="X46" s="658">
        <v>0.95182947345045021</v>
      </c>
    </row>
    <row r="47" spans="1:25" outlineLevel="1" x14ac:dyDescent="0.35">
      <c r="A47" s="611">
        <v>41671</v>
      </c>
      <c r="B47" s="589">
        <f t="shared" si="2"/>
        <v>1782507.6912276843</v>
      </c>
      <c r="C47" s="589">
        <f t="shared" si="2"/>
        <v>37149.649539125261</v>
      </c>
      <c r="D47" s="589">
        <f t="shared" si="2"/>
        <v>5671574.0492208544</v>
      </c>
      <c r="E47" s="589">
        <f t="shared" si="2"/>
        <v>23281.640504758521</v>
      </c>
      <c r="F47" s="589">
        <f t="shared" si="2"/>
        <v>2302.13755330003</v>
      </c>
      <c r="G47" s="589">
        <f t="shared" si="2"/>
        <v>2775.8098971598256</v>
      </c>
      <c r="I47" s="589">
        <f t="shared" ref="I47:K57" si="3">E47/R47</f>
        <v>24788.278018754456</v>
      </c>
      <c r="J47" s="589">
        <f t="shared" si="3"/>
        <v>2475.9417675255086</v>
      </c>
      <c r="K47" s="589">
        <f t="shared" si="3"/>
        <v>2988.6791564742912</v>
      </c>
      <c r="L47" s="559"/>
      <c r="M47" s="559"/>
      <c r="N47" s="589">
        <f t="shared" ref="N47:P57" si="4">I47*V47</f>
        <v>4587.1352910074856</v>
      </c>
      <c r="O47" s="589">
        <f t="shared" si="4"/>
        <v>1908.6406592349579</v>
      </c>
      <c r="P47" s="589">
        <f t="shared" si="4"/>
        <v>2835.0363977853067</v>
      </c>
      <c r="R47" s="651">
        <v>0.9392197589176613</v>
      </c>
      <c r="S47" s="603">
        <v>0.92980278595195687</v>
      </c>
      <c r="T47" s="652">
        <v>0.92877480379473554</v>
      </c>
      <c r="U47" s="602"/>
      <c r="V47" s="659">
        <v>0.18505259976255409</v>
      </c>
      <c r="W47" s="604">
        <v>0.7708746159819746</v>
      </c>
      <c r="X47" s="660">
        <v>0.94859175219389058</v>
      </c>
    </row>
    <row r="48" spans="1:25" outlineLevel="1" x14ac:dyDescent="0.35">
      <c r="A48" s="611">
        <v>41699</v>
      </c>
      <c r="B48" s="589">
        <f t="shared" si="2"/>
        <v>1731788.3375466736</v>
      </c>
      <c r="C48" s="589">
        <f t="shared" si="2"/>
        <v>37670.206590607573</v>
      </c>
      <c r="D48" s="589">
        <f t="shared" si="2"/>
        <v>5582796.7206777111</v>
      </c>
      <c r="E48" s="589">
        <f t="shared" si="2"/>
        <v>24728.475661276061</v>
      </c>
      <c r="F48" s="589">
        <f t="shared" si="2"/>
        <v>2872.5256830245316</v>
      </c>
      <c r="G48" s="589">
        <f t="shared" si="2"/>
        <v>3087.788508125238</v>
      </c>
      <c r="I48" s="589">
        <f t="shared" si="3"/>
        <v>26394.755196098973</v>
      </c>
      <c r="J48" s="589">
        <f t="shared" si="3"/>
        <v>3093.1882724285128</v>
      </c>
      <c r="K48" s="589">
        <f t="shared" si="3"/>
        <v>3301.4426327102765</v>
      </c>
      <c r="L48" s="559"/>
      <c r="M48" s="559"/>
      <c r="N48" s="589">
        <f t="shared" si="4"/>
        <v>5030.2781611356977</v>
      </c>
      <c r="O48" s="589">
        <f t="shared" si="4"/>
        <v>2388.6501144330809</v>
      </c>
      <c r="P48" s="589">
        <f t="shared" si="4"/>
        <v>3140.706817114602</v>
      </c>
      <c r="R48" s="651">
        <v>0.93687080927845923</v>
      </c>
      <c r="S48" s="603">
        <v>0.92866176579974702</v>
      </c>
      <c r="T48" s="652">
        <v>0.93528461695254661</v>
      </c>
      <c r="U48" s="602"/>
      <c r="V48" s="659">
        <v>0.19057870110040462</v>
      </c>
      <c r="W48" s="604">
        <v>0.772229138369813</v>
      </c>
      <c r="X48" s="660">
        <v>0.95131346096911562</v>
      </c>
    </row>
    <row r="49" spans="1:24" outlineLevel="1" x14ac:dyDescent="0.35">
      <c r="A49" s="611">
        <v>41730</v>
      </c>
      <c r="B49" s="589">
        <f t="shared" si="2"/>
        <v>-287074.73768290412</v>
      </c>
      <c r="C49" s="589">
        <f t="shared" si="2"/>
        <v>-6428.7613713272949</v>
      </c>
      <c r="D49" s="589">
        <f t="shared" si="2"/>
        <v>1474164.3188678049</v>
      </c>
      <c r="E49" s="589">
        <f t="shared" si="2"/>
        <v>25354.792279772617</v>
      </c>
      <c r="F49" s="589">
        <f t="shared" si="2"/>
        <v>3350.7471585502599</v>
      </c>
      <c r="G49" s="589">
        <f t="shared" si="2"/>
        <v>3517.7509437893532</v>
      </c>
      <c r="I49" s="589">
        <f t="shared" si="3"/>
        <v>27429.314010468483</v>
      </c>
      <c r="J49" s="589">
        <f t="shared" si="3"/>
        <v>3643.4190820885001</v>
      </c>
      <c r="K49" s="589">
        <f t="shared" si="3"/>
        <v>3809.3434409000374</v>
      </c>
      <c r="L49" s="559"/>
      <c r="M49" s="559"/>
      <c r="N49" s="589">
        <f t="shared" si="4"/>
        <v>5343.9089347650915</v>
      </c>
      <c r="O49" s="589">
        <f t="shared" si="4"/>
        <v>2840.814437867471</v>
      </c>
      <c r="P49" s="589">
        <f t="shared" si="4"/>
        <v>3628.4694061816399</v>
      </c>
      <c r="R49" s="651">
        <v>0.92436844283075692</v>
      </c>
      <c r="S49" s="603">
        <v>0.91967107902106249</v>
      </c>
      <c r="T49" s="652">
        <v>0.9234533452720689</v>
      </c>
      <c r="U49" s="602"/>
      <c r="V49" s="659">
        <v>0.19482473869837111</v>
      </c>
      <c r="W49" s="604">
        <v>0.77971113776981271</v>
      </c>
      <c r="X49" s="660">
        <v>0.95251831778243068</v>
      </c>
    </row>
    <row r="50" spans="1:24" outlineLevel="1" x14ac:dyDescent="0.35">
      <c r="A50" s="611">
        <v>41760</v>
      </c>
      <c r="B50" s="589">
        <f t="shared" si="2"/>
        <v>-277072.15616040723</v>
      </c>
      <c r="C50" s="589">
        <f t="shared" si="2"/>
        <v>-6417.8226551647022</v>
      </c>
      <c r="D50" s="590">
        <f t="shared" si="2"/>
        <v>1467455.9153541015</v>
      </c>
      <c r="E50" s="590">
        <f t="shared" si="2"/>
        <v>26073.590860048778</v>
      </c>
      <c r="F50" s="590">
        <f t="shared" si="2"/>
        <v>3733.7289279695851</v>
      </c>
      <c r="G50" s="590">
        <f t="shared" si="2"/>
        <v>3837.5721794940137</v>
      </c>
      <c r="I50" s="590">
        <f t="shared" si="3"/>
        <v>28576.426399826785</v>
      </c>
      <c r="J50" s="590">
        <f t="shared" si="3"/>
        <v>4092.2480447252665</v>
      </c>
      <c r="K50" s="590">
        <f t="shared" si="3"/>
        <v>4158.8253947830299</v>
      </c>
      <c r="L50" s="559"/>
      <c r="M50" s="559"/>
      <c r="N50" s="590">
        <f t="shared" si="4"/>
        <v>5677.0716404609957</v>
      </c>
      <c r="O50" s="590">
        <f t="shared" si="4"/>
        <v>3291.2677483716843</v>
      </c>
      <c r="P50" s="590">
        <f t="shared" si="4"/>
        <v>4058.5318829532575</v>
      </c>
      <c r="R50" s="651">
        <v>0.91241607663744906</v>
      </c>
      <c r="S50" s="603">
        <v>0.91239066820062453</v>
      </c>
      <c r="T50" s="652">
        <v>0.9227538584110776</v>
      </c>
      <c r="U50" s="602"/>
      <c r="V50" s="659">
        <v>0.19866275653331542</v>
      </c>
      <c r="W50" s="604">
        <v>0.80426887920784473</v>
      </c>
      <c r="X50" s="660">
        <v>0.97588417346023137</v>
      </c>
    </row>
    <row r="51" spans="1:24" outlineLevel="1" x14ac:dyDescent="0.35">
      <c r="A51" s="611">
        <v>41791</v>
      </c>
      <c r="B51" s="590">
        <f t="shared" si="2"/>
        <v>3221032.0100156926</v>
      </c>
      <c r="C51" s="590">
        <f t="shared" si="2"/>
        <v>77310.127890962118</v>
      </c>
      <c r="D51" s="590">
        <f t="shared" si="2"/>
        <v>7749808.5250045247</v>
      </c>
      <c r="E51" s="590">
        <f t="shared" si="2"/>
        <v>34761.456628247877</v>
      </c>
      <c r="F51" s="590">
        <f t="shared" si="2"/>
        <v>7027.4337804452853</v>
      </c>
      <c r="G51" s="590">
        <f t="shared" si="2"/>
        <v>7077.650275392456</v>
      </c>
      <c r="I51" s="590">
        <f t="shared" si="3"/>
        <v>38577.534686529958</v>
      </c>
      <c r="J51" s="590">
        <f t="shared" si="3"/>
        <v>7719.9678410897059</v>
      </c>
      <c r="K51" s="590">
        <f t="shared" si="3"/>
        <v>7689.7366708306581</v>
      </c>
      <c r="L51" s="559"/>
      <c r="M51" s="559"/>
      <c r="N51" s="590">
        <f t="shared" si="4"/>
        <v>7496.6001267547144</v>
      </c>
      <c r="O51" s="590">
        <f t="shared" si="4"/>
        <v>6099.2892125584603</v>
      </c>
      <c r="P51" s="590">
        <f t="shared" si="4"/>
        <v>7306.5144035445874</v>
      </c>
      <c r="R51" s="651">
        <v>0.90108030258308514</v>
      </c>
      <c r="S51" s="603">
        <v>0.91029314177212084</v>
      </c>
      <c r="T51" s="652">
        <v>0.92040216438619826</v>
      </c>
      <c r="U51" s="602"/>
      <c r="V51" s="659">
        <v>0.19432553655048071</v>
      </c>
      <c r="W51" s="604">
        <v>0.79006666065302156</v>
      </c>
      <c r="X51" s="660">
        <v>0.95016444857731719</v>
      </c>
    </row>
    <row r="52" spans="1:24" outlineLevel="1" x14ac:dyDescent="0.35">
      <c r="A52" s="611">
        <v>41821</v>
      </c>
      <c r="B52" s="590">
        <f t="shared" si="2"/>
        <v>3421400.6529230997</v>
      </c>
      <c r="C52" s="590">
        <f t="shared" si="2"/>
        <v>83041.528772684367</v>
      </c>
      <c r="D52" s="590">
        <f t="shared" si="2"/>
        <v>7842425.4775559455</v>
      </c>
      <c r="E52" s="590">
        <f t="shared" si="2"/>
        <v>40565.046826497768</v>
      </c>
      <c r="F52" s="590">
        <f t="shared" si="2"/>
        <v>9475.8011660606462</v>
      </c>
      <c r="G52" s="590">
        <f t="shared" si="2"/>
        <v>9448.9724773937141</v>
      </c>
      <c r="I52" s="590">
        <f t="shared" si="3"/>
        <v>44907.138886145382</v>
      </c>
      <c r="J52" s="590">
        <f t="shared" si="3"/>
        <v>10430.11840006917</v>
      </c>
      <c r="K52" s="590">
        <f t="shared" si="3"/>
        <v>10309.156294609869</v>
      </c>
      <c r="L52" s="559"/>
      <c r="M52" s="559"/>
      <c r="N52" s="590">
        <f t="shared" si="4"/>
        <v>8676.8345913362646</v>
      </c>
      <c r="O52" s="590">
        <f t="shared" si="4"/>
        <v>8244.4498057514011</v>
      </c>
      <c r="P52" s="590">
        <f t="shared" si="4"/>
        <v>9796.8951383729018</v>
      </c>
      <c r="R52" s="651">
        <v>0.90330953680535586</v>
      </c>
      <c r="S52" s="603">
        <v>0.90850370078232334</v>
      </c>
      <c r="T52" s="652">
        <v>0.91656118186258351</v>
      </c>
      <c r="U52" s="602"/>
      <c r="V52" s="659">
        <v>0.19321726581902585</v>
      </c>
      <c r="W52" s="604">
        <v>0.79044642539213417</v>
      </c>
      <c r="X52" s="660">
        <v>0.95031007954503488</v>
      </c>
    </row>
    <row r="53" spans="1:24" outlineLevel="1" x14ac:dyDescent="0.35">
      <c r="A53" s="611">
        <v>41852</v>
      </c>
      <c r="B53" s="590">
        <f t="shared" si="2"/>
        <v>3482537.686297358</v>
      </c>
      <c r="C53" s="590">
        <f t="shared" si="2"/>
        <v>86698.656881262548</v>
      </c>
      <c r="D53" s="590">
        <f t="shared" si="2"/>
        <v>7953057.4435032792</v>
      </c>
      <c r="E53" s="590">
        <f t="shared" si="2"/>
        <v>41221.65895307657</v>
      </c>
      <c r="F53" s="590">
        <f t="shared" si="2"/>
        <v>9893.8454907764481</v>
      </c>
      <c r="G53" s="590">
        <f t="shared" si="2"/>
        <v>9717.8116983551809</v>
      </c>
      <c r="I53" s="590">
        <f t="shared" si="3"/>
        <v>45787.340142490779</v>
      </c>
      <c r="J53" s="590">
        <f t="shared" si="3"/>
        <v>10881.191937939386</v>
      </c>
      <c r="K53" s="590">
        <f t="shared" si="3"/>
        <v>10655.553481808893</v>
      </c>
      <c r="L53" s="559"/>
      <c r="M53" s="559"/>
      <c r="N53" s="590">
        <f>I53*V53</f>
        <v>8906.7405585983361</v>
      </c>
      <c r="O53" s="590">
        <f t="shared" si="4"/>
        <v>8525.7800694863636</v>
      </c>
      <c r="P53" s="590">
        <f t="shared" si="4"/>
        <v>10155.872922394765</v>
      </c>
      <c r="R53" s="651">
        <v>0.90028507497474741</v>
      </c>
      <c r="S53" s="603">
        <v>0.90926118638525588</v>
      </c>
      <c r="T53" s="652">
        <v>0.91199501883645739</v>
      </c>
      <c r="U53" s="602"/>
      <c r="V53" s="659">
        <v>0.19452408746348768</v>
      </c>
      <c r="W53" s="604">
        <v>0.78353365312485468</v>
      </c>
      <c r="X53" s="660">
        <v>0.95310609061582952</v>
      </c>
    </row>
    <row r="54" spans="1:24" outlineLevel="1" x14ac:dyDescent="0.35">
      <c r="A54" s="611">
        <v>41883</v>
      </c>
      <c r="B54" s="590">
        <f t="shared" si="2"/>
        <v>3681557.7058513612</v>
      </c>
      <c r="C54" s="590">
        <f t="shared" si="2"/>
        <v>93269.433297753421</v>
      </c>
      <c r="D54" s="590">
        <f t="shared" si="2"/>
        <v>8159123.7023851424</v>
      </c>
      <c r="E54" s="590">
        <f t="shared" si="2"/>
        <v>37323.87631017837</v>
      </c>
      <c r="F54" s="590">
        <f t="shared" si="2"/>
        <v>9352.4966754367924</v>
      </c>
      <c r="G54" s="590">
        <f t="shared" si="2"/>
        <v>8879.386496561714</v>
      </c>
      <c r="I54" s="590">
        <f t="shared" si="3"/>
        <v>41412.574492751868</v>
      </c>
      <c r="J54" s="590">
        <f t="shared" si="3"/>
        <v>10269.588798481022</v>
      </c>
      <c r="K54" s="590">
        <f t="shared" si="3"/>
        <v>9679.194845208136</v>
      </c>
      <c r="L54" s="559"/>
      <c r="M54" s="559"/>
      <c r="N54" s="590">
        <f t="shared" si="4"/>
        <v>8296.1664743265501</v>
      </c>
      <c r="O54" s="590">
        <f t="shared" si="4"/>
        <v>8135.2243457497916</v>
      </c>
      <c r="P54" s="590">
        <f t="shared" si="4"/>
        <v>9206.2566862220156</v>
      </c>
      <c r="R54" s="651">
        <v>0.90126916202012242</v>
      </c>
      <c r="S54" s="603">
        <v>0.9106982625068808</v>
      </c>
      <c r="T54" s="652">
        <v>0.91736829752503823</v>
      </c>
      <c r="U54" s="602"/>
      <c r="V54" s="659">
        <v>0.20032964808257855</v>
      </c>
      <c r="W54" s="604">
        <v>0.79216651273837524</v>
      </c>
      <c r="X54" s="660">
        <v>0.95113868802628176</v>
      </c>
    </row>
    <row r="55" spans="1:24" outlineLevel="1" x14ac:dyDescent="0.35">
      <c r="A55" s="611">
        <v>41913</v>
      </c>
      <c r="B55" s="590">
        <f t="shared" si="2"/>
        <v>99774.437853432726</v>
      </c>
      <c r="C55" s="590">
        <f t="shared" si="2"/>
        <v>2578.9725466602904</v>
      </c>
      <c r="D55" s="590">
        <f t="shared" si="2"/>
        <v>1799170.0814861306</v>
      </c>
      <c r="E55" s="590">
        <f t="shared" si="2"/>
        <v>30727.891074233856</v>
      </c>
      <c r="F55" s="590">
        <f t="shared" si="2"/>
        <v>7778.2764659778477</v>
      </c>
      <c r="G55" s="590">
        <f t="shared" si="2"/>
        <v>6859.8959599331774</v>
      </c>
      <c r="I55" s="590">
        <f t="shared" si="3"/>
        <v>33813.352367285828</v>
      </c>
      <c r="J55" s="590">
        <f t="shared" si="3"/>
        <v>8466.2329805510271</v>
      </c>
      <c r="K55" s="590">
        <f t="shared" si="3"/>
        <v>7422.0583066289719</v>
      </c>
      <c r="L55" s="559"/>
      <c r="M55" s="559"/>
      <c r="N55" s="590">
        <f>I55*V55</f>
        <v>6714.2203510869622</v>
      </c>
      <c r="O55" s="590">
        <f t="shared" si="4"/>
        <v>6709.637912917593</v>
      </c>
      <c r="P55" s="590">
        <f t="shared" si="4"/>
        <v>7067.8070492604393</v>
      </c>
      <c r="R55" s="651">
        <v>0.90875021028565239</v>
      </c>
      <c r="S55" s="603">
        <v>0.91874113125003987</v>
      </c>
      <c r="T55" s="652">
        <v>0.92425789134616443</v>
      </c>
      <c r="U55" s="602"/>
      <c r="V55" s="659">
        <v>0.19856713046834484</v>
      </c>
      <c r="W55" s="604">
        <v>0.79251751379051871</v>
      </c>
      <c r="X55" s="660">
        <v>0.95227048310141471</v>
      </c>
    </row>
    <row r="56" spans="1:24" outlineLevel="1" x14ac:dyDescent="0.35">
      <c r="A56" s="611">
        <v>41944</v>
      </c>
      <c r="B56" s="590">
        <f t="shared" si="2"/>
        <v>361233.83044150285</v>
      </c>
      <c r="C56" s="590">
        <f t="shared" si="2"/>
        <v>9714.6242112415639</v>
      </c>
      <c r="D56" s="590">
        <f t="shared" si="2"/>
        <v>2045400.9901968068</v>
      </c>
      <c r="E56" s="590">
        <f t="shared" si="2"/>
        <v>32660.308051880231</v>
      </c>
      <c r="F56" s="590">
        <f t="shared" si="2"/>
        <v>9731.9657114491238</v>
      </c>
      <c r="G56" s="590">
        <f t="shared" si="2"/>
        <v>8611.7933179488264</v>
      </c>
      <c r="I56" s="590">
        <f t="shared" si="3"/>
        <v>35253.338080734422</v>
      </c>
      <c r="J56" s="590">
        <f t="shared" si="3"/>
        <v>10563.269312632594</v>
      </c>
      <c r="K56" s="590">
        <f t="shared" si="3"/>
        <v>9306.5982630912531</v>
      </c>
      <c r="L56" s="559"/>
      <c r="M56" s="559"/>
      <c r="N56" s="590">
        <f t="shared" si="4"/>
        <v>6970.7930954783569</v>
      </c>
      <c r="O56" s="590">
        <f t="shared" si="4"/>
        <v>8338.9548769908888</v>
      </c>
      <c r="P56" s="590">
        <f t="shared" si="4"/>
        <v>8843.9030965755446</v>
      </c>
      <c r="R56" s="651">
        <v>0.92644582981288648</v>
      </c>
      <c r="S56" s="603">
        <v>0.92130243236444653</v>
      </c>
      <c r="T56" s="652">
        <v>0.92534275945938993</v>
      </c>
      <c r="U56" s="602"/>
      <c r="V56" s="659">
        <v>0.19773427070975222</v>
      </c>
      <c r="W56" s="604">
        <v>0.78942935469971864</v>
      </c>
      <c r="X56" s="660">
        <v>0.95028310522968451</v>
      </c>
    </row>
    <row r="57" spans="1:24" outlineLevel="1" x14ac:dyDescent="0.35">
      <c r="A57" s="612">
        <v>41974</v>
      </c>
      <c r="B57" s="591">
        <f t="shared" si="2"/>
        <v>3801016.2522607283</v>
      </c>
      <c r="C57" s="591">
        <f t="shared" si="2"/>
        <v>107502.05754435205</v>
      </c>
      <c r="D57" s="591">
        <f t="shared" si="2"/>
        <v>7424414.0500834398</v>
      </c>
      <c r="E57" s="591">
        <f t="shared" si="2"/>
        <v>34479.642203714102</v>
      </c>
      <c r="F57" s="591">
        <f t="shared" si="2"/>
        <v>10936.014770097776</v>
      </c>
      <c r="G57" s="591">
        <f t="shared" si="2"/>
        <v>9511.9057787978199</v>
      </c>
      <c r="I57" s="591">
        <f t="shared" si="3"/>
        <v>36890.026944399666</v>
      </c>
      <c r="J57" s="591">
        <f t="shared" si="3"/>
        <v>11732.885215118808</v>
      </c>
      <c r="K57" s="591">
        <f t="shared" si="3"/>
        <v>10236.6181912265</v>
      </c>
      <c r="L57" s="559"/>
      <c r="M57" s="559"/>
      <c r="N57" s="591">
        <f t="shared" si="4"/>
        <v>6944.2870278035671</v>
      </c>
      <c r="O57" s="591">
        <f>J57*W57</f>
        <v>9098.0389583339711</v>
      </c>
      <c r="P57" s="591">
        <f t="shared" si="4"/>
        <v>9139.1633362782759</v>
      </c>
      <c r="R57" s="653">
        <v>0.93466026077133335</v>
      </c>
      <c r="S57" s="654">
        <v>0.93208231134877229</v>
      </c>
      <c r="T57" s="655">
        <v>0.92920392273203956</v>
      </c>
      <c r="U57" s="602"/>
      <c r="V57" s="661">
        <v>0.18824293726512961</v>
      </c>
      <c r="W57" s="662">
        <v>0.77543066275040218</v>
      </c>
      <c r="X57" s="663">
        <v>0.89279126812712228</v>
      </c>
    </row>
    <row r="58" spans="1:24" x14ac:dyDescent="0.35">
      <c r="A58" s="617" t="s">
        <v>517</v>
      </c>
      <c r="B58" s="736">
        <f>B38-B19</f>
        <v>22472809.859190539</v>
      </c>
      <c r="C58" s="736">
        <f>C38-C19</f>
        <v>551708.90899084869</v>
      </c>
      <c r="D58" s="736">
        <f t="shared" si="2"/>
        <v>62505505.898837604</v>
      </c>
      <c r="E58" s="736">
        <f t="shared" si="2"/>
        <v>374030.66167111328</v>
      </c>
      <c r="F58" s="736">
        <f t="shared" si="2"/>
        <v>77802.518996995976</v>
      </c>
      <c r="G58" s="736">
        <f t="shared" si="2"/>
        <v>75271.911497439665</v>
      </c>
      <c r="I58" s="736">
        <f>SUM(I46:I57)</f>
        <v>408167.58143128152</v>
      </c>
      <c r="J58" s="736">
        <f>SUM(J46:J57)</f>
        <v>84815.851781996549</v>
      </c>
      <c r="K58" s="736">
        <f>SUM(K46:K57)</f>
        <v>81651.39017819798</v>
      </c>
      <c r="L58" s="559"/>
      <c r="M58" s="559"/>
      <c r="N58" s="737">
        <f>SUM(N46:N57)</f>
        <v>79283.144718786003</v>
      </c>
      <c r="O58" s="737">
        <f>SUM(O46:O57)</f>
        <v>66692.661109032284</v>
      </c>
      <c r="P58" s="737">
        <f>SUM(P46:P57)</f>
        <v>77172.462714726571</v>
      </c>
      <c r="W58" s="562"/>
    </row>
    <row r="59" spans="1:24" x14ac:dyDescent="0.35">
      <c r="B59" s="703"/>
      <c r="C59" s="703"/>
      <c r="D59" s="703"/>
      <c r="E59" s="703"/>
      <c r="F59" s="703"/>
      <c r="G59" s="703"/>
      <c r="I59" s="601"/>
      <c r="J59" s="559"/>
      <c r="K59" s="559"/>
      <c r="L59" s="559"/>
      <c r="M59" s="559"/>
      <c r="N59" s="559"/>
      <c r="O59" s="559"/>
      <c r="P59" s="559"/>
    </row>
    <row r="60" spans="1:24" x14ac:dyDescent="0.35">
      <c r="I60" s="616"/>
      <c r="J60" s="559"/>
      <c r="K60" s="559"/>
      <c r="L60" s="559"/>
      <c r="M60" s="559"/>
      <c r="N60" s="559"/>
      <c r="O60" s="559"/>
      <c r="P60" s="559"/>
    </row>
    <row r="61" spans="1:24" ht="15.5" x14ac:dyDescent="0.35">
      <c r="A61" s="347" t="s">
        <v>533</v>
      </c>
      <c r="I61" s="616"/>
      <c r="J61" s="559"/>
      <c r="K61" s="559"/>
      <c r="L61" s="559"/>
      <c r="M61" s="559"/>
      <c r="N61" s="559"/>
      <c r="O61" s="559"/>
      <c r="P61" s="559"/>
    </row>
    <row r="62" spans="1:24" ht="15.5" x14ac:dyDescent="0.35">
      <c r="A62" s="347"/>
      <c r="I62" s="616"/>
      <c r="J62" s="559"/>
      <c r="K62" s="559"/>
      <c r="L62" s="559"/>
      <c r="M62" s="559"/>
      <c r="N62" s="559"/>
      <c r="O62" s="559"/>
      <c r="P62" s="559"/>
    </row>
    <row r="63" spans="1:24" x14ac:dyDescent="0.35">
      <c r="A63" s="608" t="s">
        <v>520</v>
      </c>
      <c r="B63" s="571">
        <v>1.516E-2</v>
      </c>
      <c r="C63" s="571">
        <v>2.58E-2</v>
      </c>
      <c r="D63" s="571">
        <v>2.2689999999999998E-2</v>
      </c>
      <c r="E63" s="624">
        <v>5.6562999999999999</v>
      </c>
      <c r="F63" s="609">
        <v>4.4972999999999992</v>
      </c>
      <c r="G63" s="565">
        <v>4.7915999999999999</v>
      </c>
      <c r="I63" s="562"/>
      <c r="J63" s="559"/>
      <c r="K63" s="559"/>
      <c r="L63" s="559"/>
      <c r="M63" s="559"/>
      <c r="N63" s="559"/>
      <c r="O63" s="559"/>
      <c r="P63" s="559"/>
    </row>
    <row r="64" spans="1:24" x14ac:dyDescent="0.35">
      <c r="A64" s="566" t="s">
        <v>521</v>
      </c>
      <c r="B64" s="572">
        <v>1.5389999999999999E-2</v>
      </c>
      <c r="C64" s="572">
        <v>2.6189999999999998E-2</v>
      </c>
      <c r="D64" s="572">
        <v>2.298E-2</v>
      </c>
      <c r="E64" s="625">
        <v>5.7261999999999995</v>
      </c>
      <c r="F64" s="619">
        <v>4.5533000000000001</v>
      </c>
      <c r="G64" s="620">
        <v>4.8510999999999997</v>
      </c>
      <c r="I64" s="562"/>
      <c r="J64" s="559"/>
      <c r="K64" s="559"/>
      <c r="L64" s="559"/>
      <c r="M64" s="559"/>
      <c r="N64" s="559"/>
      <c r="O64" s="559"/>
      <c r="P64" s="559"/>
    </row>
    <row r="65" spans="1:16" x14ac:dyDescent="0.35">
      <c r="A65" s="629" t="s">
        <v>516</v>
      </c>
      <c r="B65" s="627"/>
      <c r="C65" s="628"/>
      <c r="D65" s="628"/>
      <c r="E65" s="621">
        <v>-0.62</v>
      </c>
      <c r="F65" s="622">
        <v>-0.62</v>
      </c>
      <c r="G65" s="623">
        <v>-0.62</v>
      </c>
      <c r="I65" s="616"/>
      <c r="J65" s="559"/>
      <c r="K65" s="559"/>
      <c r="L65" s="559"/>
      <c r="M65" s="559"/>
      <c r="N65" s="559"/>
      <c r="O65" s="559"/>
      <c r="P65" s="559"/>
    </row>
    <row r="66" spans="1:16" x14ac:dyDescent="0.35">
      <c r="A66" s="560"/>
      <c r="B66" s="562"/>
      <c r="C66" s="567"/>
      <c r="D66" s="567"/>
      <c r="E66" s="568"/>
      <c r="F66" s="568"/>
      <c r="G66" s="568"/>
      <c r="I66" s="616"/>
      <c r="J66" s="559"/>
      <c r="K66" s="559"/>
      <c r="L66" s="559"/>
      <c r="M66" s="559"/>
      <c r="N66" s="559"/>
      <c r="O66" s="559"/>
      <c r="P66" s="559"/>
    </row>
    <row r="67" spans="1:16" x14ac:dyDescent="0.35">
      <c r="A67" s="574" t="s">
        <v>564</v>
      </c>
      <c r="B67" s="562"/>
      <c r="C67" s="567"/>
      <c r="D67" s="567"/>
      <c r="E67" s="568"/>
      <c r="F67" s="568"/>
      <c r="G67" s="568"/>
      <c r="I67" s="616"/>
      <c r="J67" s="559"/>
      <c r="K67" s="559"/>
      <c r="L67" s="559"/>
      <c r="M67" s="559"/>
      <c r="N67" s="559"/>
      <c r="O67" s="559"/>
      <c r="P67" s="559"/>
    </row>
    <row r="68" spans="1:16" x14ac:dyDescent="0.35">
      <c r="A68" s="574"/>
      <c r="B68" s="562"/>
      <c r="C68" s="567"/>
      <c r="D68" s="567"/>
      <c r="E68" s="568"/>
      <c r="F68" s="568"/>
      <c r="G68" s="568"/>
      <c r="I68" s="616"/>
      <c r="J68" s="559"/>
      <c r="K68" s="559"/>
      <c r="L68" s="559"/>
      <c r="M68" s="559"/>
      <c r="N68" s="559"/>
      <c r="O68" s="559"/>
      <c r="P68" s="559"/>
    </row>
    <row r="69" spans="1:16" ht="15.5" x14ac:dyDescent="0.35">
      <c r="A69" s="347" t="s">
        <v>534</v>
      </c>
      <c r="B69" s="562"/>
      <c r="C69" s="567"/>
      <c r="D69" s="567"/>
      <c r="E69" s="568"/>
      <c r="F69" s="568"/>
      <c r="G69" s="568"/>
      <c r="I69" s="616"/>
      <c r="J69" s="559"/>
      <c r="K69" s="559"/>
      <c r="L69" s="559"/>
      <c r="M69" s="559"/>
      <c r="N69" s="559"/>
      <c r="O69" s="559"/>
      <c r="P69" s="559"/>
    </row>
    <row r="70" spans="1:16" x14ac:dyDescent="0.35">
      <c r="A70" s="574"/>
      <c r="B70" s="562"/>
      <c r="C70" s="567"/>
      <c r="D70" s="567"/>
      <c r="E70" s="568"/>
      <c r="F70" s="568"/>
      <c r="G70" s="568"/>
      <c r="I70" s="559"/>
      <c r="J70" s="559"/>
      <c r="K70" s="642"/>
      <c r="L70" s="559"/>
      <c r="M70" s="559"/>
      <c r="N70" s="559"/>
      <c r="O70" s="559"/>
      <c r="P70" s="559"/>
    </row>
    <row r="71" spans="1:16" ht="28" x14ac:dyDescent="0.35">
      <c r="A71" s="597" t="s">
        <v>526</v>
      </c>
      <c r="B71" s="595" t="s">
        <v>38</v>
      </c>
      <c r="C71" s="595" t="s">
        <v>488</v>
      </c>
      <c r="D71" s="595" t="s">
        <v>40</v>
      </c>
      <c r="E71" s="595" t="s">
        <v>104</v>
      </c>
      <c r="F71" s="595" t="s">
        <v>105</v>
      </c>
      <c r="G71" s="596" t="s">
        <v>511</v>
      </c>
      <c r="I71" s="596" t="s">
        <v>519</v>
      </c>
      <c r="J71" s="645"/>
      <c r="K71" s="646" t="s">
        <v>518</v>
      </c>
      <c r="L71" s="559"/>
      <c r="M71" s="559"/>
      <c r="N71" s="559"/>
      <c r="O71" s="559"/>
      <c r="P71" s="559"/>
    </row>
    <row r="72" spans="1:16" ht="15.5" x14ac:dyDescent="0.35">
      <c r="A72" s="597"/>
      <c r="B72" s="739" t="s">
        <v>531</v>
      </c>
      <c r="C72" s="739" t="s">
        <v>531</v>
      </c>
      <c r="D72" s="739" t="s">
        <v>531</v>
      </c>
      <c r="E72" s="739" t="s">
        <v>531</v>
      </c>
      <c r="F72" s="739" t="s">
        <v>531</v>
      </c>
      <c r="G72" s="739" t="s">
        <v>531</v>
      </c>
      <c r="H72" s="740"/>
      <c r="I72" s="739" t="s">
        <v>531</v>
      </c>
      <c r="J72" s="645"/>
      <c r="K72" s="646"/>
      <c r="L72" s="559"/>
      <c r="M72" s="559"/>
      <c r="N72" s="559"/>
      <c r="O72" s="559"/>
      <c r="P72" s="559"/>
    </row>
    <row r="73" spans="1:16" outlineLevel="1" x14ac:dyDescent="0.35">
      <c r="A73" s="613">
        <v>41640</v>
      </c>
      <c r="B73" s="588">
        <f>B$63*B46</f>
        <v>22044.279533023411</v>
      </c>
      <c r="C73" s="588">
        <f t="shared" ref="B73:D76" si="5">C$63*C46</f>
        <v>764.20208216144226</v>
      </c>
      <c r="D73" s="588">
        <f>D$63*D46</f>
        <v>121076.44082994753</v>
      </c>
      <c r="E73" s="588">
        <f t="shared" ref="E73:G76" si="6">E$63*I46*$K73/30+N46*E$65*$K73/30</f>
        <v>139276.76536028806</v>
      </c>
      <c r="F73" s="588">
        <f>F$63*J46*$K73/30+O46*F$65*$K73/30</f>
        <v>6015.8656646959471</v>
      </c>
      <c r="G73" s="588">
        <f t="shared" si="6"/>
        <v>9091.9282065208681</v>
      </c>
      <c r="H73" s="738"/>
      <c r="I73" s="588">
        <f>SUM(B73:G73)</f>
        <v>298269.48167663731</v>
      </c>
      <c r="J73" s="645"/>
      <c r="K73" s="647">
        <v>31</v>
      </c>
      <c r="L73" s="559"/>
      <c r="M73" s="559"/>
      <c r="N73" s="559"/>
      <c r="O73" s="559"/>
      <c r="P73" s="559"/>
    </row>
    <row r="74" spans="1:16" outlineLevel="1" x14ac:dyDescent="0.35">
      <c r="A74" s="614">
        <v>41671</v>
      </c>
      <c r="B74" s="589">
        <f t="shared" si="5"/>
        <v>27022.816599011694</v>
      </c>
      <c r="C74" s="589">
        <f t="shared" si="5"/>
        <v>958.46095810943177</v>
      </c>
      <c r="D74" s="589">
        <f t="shared" si="5"/>
        <v>128688.01517682118</v>
      </c>
      <c r="E74" s="589">
        <f t="shared" si="6"/>
        <v>128208.18553858576</v>
      </c>
      <c r="F74" s="589">
        <f t="shared" si="6"/>
        <v>9288.249322209007</v>
      </c>
      <c r="G74" s="589">
        <f t="shared" si="6"/>
        <v>11725.310314232967</v>
      </c>
      <c r="H74" s="738"/>
      <c r="I74" s="589">
        <f t="shared" ref="I74:I83" si="7">SUM(B74:G74)</f>
        <v>305891.03790896997</v>
      </c>
      <c r="J74" s="645"/>
      <c r="K74" s="644">
        <v>28</v>
      </c>
      <c r="L74" s="559"/>
      <c r="M74" s="559"/>
      <c r="N74" s="559"/>
      <c r="O74" s="559"/>
      <c r="P74" s="559"/>
    </row>
    <row r="75" spans="1:16" outlineLevel="1" x14ac:dyDescent="0.35">
      <c r="A75" s="614">
        <v>41699</v>
      </c>
      <c r="B75" s="589">
        <f t="shared" si="5"/>
        <v>26253.91119720757</v>
      </c>
      <c r="C75" s="589">
        <f t="shared" si="5"/>
        <v>971.8913300376754</v>
      </c>
      <c r="D75" s="589">
        <f t="shared" si="5"/>
        <v>126673.65759217726</v>
      </c>
      <c r="E75" s="589">
        <f t="shared" si="6"/>
        <v>151050.47740098354</v>
      </c>
      <c r="F75" s="589">
        <f t="shared" si="6"/>
        <v>12844.366964865712</v>
      </c>
      <c r="G75" s="589">
        <f t="shared" si="6"/>
        <v>14334.352768692957</v>
      </c>
      <c r="H75" s="738"/>
      <c r="I75" s="589">
        <f t="shared" si="7"/>
        <v>332128.65725396469</v>
      </c>
      <c r="J75" s="645"/>
      <c r="K75" s="644">
        <v>31</v>
      </c>
      <c r="L75" s="559"/>
      <c r="M75" s="559"/>
      <c r="N75" s="559"/>
      <c r="O75" s="559"/>
      <c r="P75" s="559"/>
    </row>
    <row r="76" spans="1:16" outlineLevel="1" x14ac:dyDescent="0.35">
      <c r="A76" s="614">
        <v>41730</v>
      </c>
      <c r="B76" s="589">
        <f t="shared" si="5"/>
        <v>-4352.0530232728261</v>
      </c>
      <c r="C76" s="589">
        <f t="shared" si="5"/>
        <v>-165.86204338024422</v>
      </c>
      <c r="D76" s="589">
        <f t="shared" si="5"/>
        <v>33448.788395110489</v>
      </c>
      <c r="E76" s="589">
        <f t="shared" si="6"/>
        <v>151835.20529785851</v>
      </c>
      <c r="F76" s="589">
        <f t="shared" si="6"/>
        <v>14624.243686398775</v>
      </c>
      <c r="G76" s="589">
        <f t="shared" si="6"/>
        <v>16003.198999584003</v>
      </c>
      <c r="H76" s="738"/>
      <c r="I76" s="589">
        <f t="shared" si="7"/>
        <v>211393.52131229872</v>
      </c>
      <c r="J76" s="645"/>
      <c r="K76" s="644">
        <v>30</v>
      </c>
      <c r="L76" s="559"/>
      <c r="M76" s="559"/>
      <c r="N76" s="559"/>
      <c r="O76" s="559"/>
      <c r="P76" s="559"/>
    </row>
    <row r="77" spans="1:16" outlineLevel="1" x14ac:dyDescent="0.35">
      <c r="A77" s="614">
        <v>41760</v>
      </c>
      <c r="B77" s="589">
        <f>B$64*B50</f>
        <v>-4264.1404833086672</v>
      </c>
      <c r="C77" s="589">
        <f t="shared" ref="B77:D84" si="8">C$64*C50</f>
        <v>-168.08277533876353</v>
      </c>
      <c r="D77" s="590">
        <f t="shared" si="8"/>
        <v>33722.136934837254</v>
      </c>
      <c r="E77" s="590">
        <f t="shared" ref="E77:G84" si="9">E$64*I50*$K77/30+N50*E$65*$K77/30</f>
        <v>165451.70004805573</v>
      </c>
      <c r="F77" s="590">
        <f t="shared" si="9"/>
        <v>17145.735251992352</v>
      </c>
      <c r="G77" s="590">
        <f t="shared" si="9"/>
        <v>18247.207708707632</v>
      </c>
      <c r="H77" s="738"/>
      <c r="I77" s="590">
        <f t="shared" si="7"/>
        <v>230134.55668494554</v>
      </c>
      <c r="J77" s="645"/>
      <c r="K77" s="644">
        <v>31</v>
      </c>
      <c r="L77" s="559"/>
      <c r="M77" s="559"/>
      <c r="N77" s="559"/>
      <c r="O77" s="559"/>
      <c r="P77" s="559"/>
    </row>
    <row r="78" spans="1:16" outlineLevel="1" x14ac:dyDescent="0.35">
      <c r="A78" s="614">
        <v>41791</v>
      </c>
      <c r="B78" s="590">
        <f t="shared" si="8"/>
        <v>49571.682634141507</v>
      </c>
      <c r="C78" s="590">
        <f t="shared" si="8"/>
        <v>2024.7522494642976</v>
      </c>
      <c r="D78" s="590">
        <f t="shared" si="8"/>
        <v>178090.59990460399</v>
      </c>
      <c r="E78" s="590">
        <f t="shared" si="9"/>
        <v>216254.7870434199</v>
      </c>
      <c r="F78" s="590">
        <f t="shared" si="9"/>
        <v>31369.770259047516</v>
      </c>
      <c r="G78" s="590">
        <f t="shared" si="9"/>
        <v>32773.642633668955</v>
      </c>
      <c r="H78" s="738"/>
      <c r="I78" s="590">
        <f t="shared" si="7"/>
        <v>510085.2347243462</v>
      </c>
      <c r="J78" s="645"/>
      <c r="K78" s="644">
        <v>30</v>
      </c>
      <c r="L78" s="559"/>
      <c r="M78" s="559"/>
      <c r="N78" s="559"/>
      <c r="O78" s="559"/>
      <c r="P78" s="559"/>
    </row>
    <row r="79" spans="1:16" outlineLevel="1" x14ac:dyDescent="0.35">
      <c r="A79" s="614">
        <v>41821</v>
      </c>
      <c r="B79" s="590">
        <f t="shared" si="8"/>
        <v>52655.356048486501</v>
      </c>
      <c r="C79" s="590">
        <f t="shared" si="8"/>
        <v>2174.8576385566034</v>
      </c>
      <c r="D79" s="590">
        <f t="shared" si="8"/>
        <v>180218.93747423563</v>
      </c>
      <c r="E79" s="590">
        <f t="shared" si="9"/>
        <v>260159.87528465773</v>
      </c>
      <c r="F79" s="590">
        <f t="shared" si="9"/>
        <v>43792.562539184721</v>
      </c>
      <c r="G79" s="590">
        <f t="shared" si="9"/>
        <v>45401.228885490433</v>
      </c>
      <c r="H79" s="738"/>
      <c r="I79" s="590">
        <f t="shared" si="7"/>
        <v>584402.81787061167</v>
      </c>
      <c r="J79" s="645"/>
      <c r="K79" s="644">
        <v>31</v>
      </c>
      <c r="L79" s="559"/>
      <c r="M79" s="559"/>
      <c r="N79" s="559"/>
      <c r="O79" s="559"/>
      <c r="P79" s="559"/>
    </row>
    <row r="80" spans="1:16" outlineLevel="1" x14ac:dyDescent="0.35">
      <c r="A80" s="614">
        <v>41852</v>
      </c>
      <c r="B80" s="590">
        <f t="shared" si="8"/>
        <v>53596.254992116337</v>
      </c>
      <c r="C80" s="590">
        <f t="shared" si="8"/>
        <v>2270.6378237202662</v>
      </c>
      <c r="D80" s="590">
        <f t="shared" si="8"/>
        <v>182761.26005170535</v>
      </c>
      <c r="E80" s="590">
        <f t="shared" si="9"/>
        <v>265220.79757685307</v>
      </c>
      <c r="F80" s="590">
        <f t="shared" si="9"/>
        <v>45734.659194869128</v>
      </c>
      <c r="G80" s="590">
        <f t="shared" si="9"/>
        <v>46907.664759842315</v>
      </c>
      <c r="H80" s="738"/>
      <c r="I80" s="590">
        <f t="shared" si="7"/>
        <v>596491.27439910651</v>
      </c>
      <c r="J80" s="645"/>
      <c r="K80" s="644">
        <v>31</v>
      </c>
      <c r="L80" s="559"/>
      <c r="M80" s="559"/>
      <c r="N80" s="559"/>
      <c r="O80" s="559"/>
      <c r="P80" s="559"/>
    </row>
    <row r="81" spans="1:16" outlineLevel="1" x14ac:dyDescent="0.35">
      <c r="A81" s="614">
        <v>41883</v>
      </c>
      <c r="B81" s="590">
        <f t="shared" si="8"/>
        <v>56659.173093052443</v>
      </c>
      <c r="C81" s="590">
        <f t="shared" si="8"/>
        <v>2442.7264580681617</v>
      </c>
      <c r="D81" s="590">
        <f t="shared" si="8"/>
        <v>187496.66268081058</v>
      </c>
      <c r="E81" s="590">
        <f t="shared" si="9"/>
        <v>231993.06084631325</v>
      </c>
      <c r="F81" s="590">
        <f t="shared" si="9"/>
        <v>41716.679581758777</v>
      </c>
      <c r="G81" s="590">
        <f t="shared" si="9"/>
        <v>41246.862968131536</v>
      </c>
      <c r="H81" s="738"/>
      <c r="I81" s="590">
        <f t="shared" si="7"/>
        <v>561555.16562813474</v>
      </c>
      <c r="J81" s="645"/>
      <c r="K81" s="644">
        <v>30</v>
      </c>
      <c r="L81" s="559"/>
      <c r="M81" s="559"/>
      <c r="N81" s="559"/>
      <c r="O81" s="559"/>
      <c r="P81" s="559"/>
    </row>
    <row r="82" spans="1:16" outlineLevel="1" x14ac:dyDescent="0.35">
      <c r="A82" s="614">
        <v>41913</v>
      </c>
      <c r="B82" s="590">
        <f t="shared" si="8"/>
        <v>1535.5285985643295</v>
      </c>
      <c r="C82" s="590">
        <f t="shared" si="8"/>
        <v>67.543290997032997</v>
      </c>
      <c r="D82" s="590">
        <f t="shared" si="8"/>
        <v>41344.928472551284</v>
      </c>
      <c r="E82" s="590">
        <f t="shared" si="9"/>
        <v>195774.5084314741</v>
      </c>
      <c r="F82" s="590">
        <f t="shared" si="9"/>
        <v>35535.63389514522</v>
      </c>
      <c r="G82" s="590">
        <f t="shared" si="9"/>
        <v>32677.210236771207</v>
      </c>
      <c r="H82" s="738"/>
      <c r="I82" s="590">
        <f t="shared" si="7"/>
        <v>306935.35292550316</v>
      </c>
      <c r="J82" s="645"/>
      <c r="K82" s="644">
        <v>31</v>
      </c>
      <c r="L82" s="559"/>
      <c r="M82" s="559"/>
      <c r="N82" s="559"/>
      <c r="O82" s="559"/>
      <c r="P82" s="559"/>
    </row>
    <row r="83" spans="1:16" outlineLevel="1" x14ac:dyDescent="0.35">
      <c r="A83" s="614">
        <v>41944</v>
      </c>
      <c r="B83" s="590">
        <f t="shared" si="8"/>
        <v>5559.3886504947286</v>
      </c>
      <c r="C83" s="590">
        <f t="shared" si="8"/>
        <v>254.42600809241654</v>
      </c>
      <c r="D83" s="590">
        <f t="shared" si="8"/>
        <v>47003.314754722625</v>
      </c>
      <c r="E83" s="590">
        <f t="shared" si="9"/>
        <v>197545.77279870486</v>
      </c>
      <c r="F83" s="590">
        <f t="shared" si="9"/>
        <v>42927.582137475642</v>
      </c>
      <c r="G83" s="590">
        <f t="shared" si="9"/>
        <v>39664.018914205146</v>
      </c>
      <c r="H83" s="738"/>
      <c r="I83" s="590">
        <f t="shared" si="7"/>
        <v>332954.5032636954</v>
      </c>
      <c r="J83" s="645"/>
      <c r="K83" s="644">
        <v>30</v>
      </c>
      <c r="L83" s="559"/>
      <c r="M83" s="559"/>
      <c r="N83" s="559"/>
      <c r="O83" s="559"/>
      <c r="P83" s="559"/>
    </row>
    <row r="84" spans="1:16" outlineLevel="1" x14ac:dyDescent="0.35">
      <c r="A84" s="615">
        <v>41974</v>
      </c>
      <c r="B84" s="591">
        <f t="shared" si="8"/>
        <v>58497.640122292607</v>
      </c>
      <c r="C84" s="591">
        <f t="shared" si="8"/>
        <v>2815.47888708658</v>
      </c>
      <c r="D84" s="591">
        <f t="shared" si="8"/>
        <v>170613.03487091744</v>
      </c>
      <c r="E84" s="591">
        <f t="shared" si="9"/>
        <v>213832.0214761759</v>
      </c>
      <c r="F84" s="591">
        <f t="shared" si="9"/>
        <v>49375.314165694523</v>
      </c>
      <c r="G84" s="591">
        <f t="shared" si="9"/>
        <v>45458.996480265225</v>
      </c>
      <c r="H84" s="738"/>
      <c r="I84" s="591">
        <f>SUM(B84:G84)</f>
        <v>540592.48600243218</v>
      </c>
      <c r="J84" s="645"/>
      <c r="K84" s="644">
        <v>31</v>
      </c>
      <c r="L84" s="559"/>
      <c r="M84" s="559"/>
      <c r="N84" s="559"/>
      <c r="O84" s="559"/>
      <c r="P84" s="559"/>
    </row>
    <row r="85" spans="1:16" x14ac:dyDescent="0.35">
      <c r="A85" s="617" t="s">
        <v>519</v>
      </c>
      <c r="B85" s="741">
        <f>SUM(B73:B84)</f>
        <v>344779.83796180965</v>
      </c>
      <c r="C85" s="741">
        <f>SUM(C73:C84)</f>
        <v>14411.031907574899</v>
      </c>
      <c r="D85" s="741">
        <f>SUM(D73:D84)</f>
        <v>1431137.7771384406</v>
      </c>
      <c r="E85" s="741">
        <f t="shared" ref="E85:G85" si="10">SUM(E73:E84)</f>
        <v>2316603.1571033709</v>
      </c>
      <c r="F85" s="741">
        <f t="shared" si="10"/>
        <v>350370.66266333737</v>
      </c>
      <c r="G85" s="741">
        <f t="shared" si="10"/>
        <v>353531.62287611328</v>
      </c>
      <c r="H85" s="742"/>
      <c r="I85" s="741">
        <f>SUM(B85:G85)</f>
        <v>4810834.0896506468</v>
      </c>
      <c r="K85" s="643"/>
    </row>
    <row r="86" spans="1:16" x14ac:dyDescent="0.35">
      <c r="A86" s="557"/>
      <c r="B86" s="665"/>
      <c r="C86" s="665"/>
      <c r="D86" s="665"/>
      <c r="E86" s="734"/>
      <c r="F86" s="665"/>
      <c r="G86" s="665"/>
      <c r="H86" s="665"/>
      <c r="I86" s="665"/>
    </row>
    <row r="87" spans="1:16" x14ac:dyDescent="0.35">
      <c r="E87" s="557"/>
      <c r="F87" s="557"/>
      <c r="G87" s="666"/>
      <c r="H87" s="562"/>
      <c r="I87" s="569"/>
    </row>
    <row r="88" spans="1:16" x14ac:dyDescent="0.35">
      <c r="G88" s="570"/>
    </row>
    <row r="89" spans="1:16" x14ac:dyDescent="0.35">
      <c r="B89" s="664"/>
      <c r="C89" s="664"/>
      <c r="D89" s="664"/>
      <c r="E89" s="664"/>
      <c r="F89" s="664"/>
      <c r="G89" s="664"/>
    </row>
    <row r="90" spans="1:16" x14ac:dyDescent="0.35">
      <c r="B90" s="569"/>
      <c r="C90" s="569"/>
      <c r="D90" s="569"/>
    </row>
  </sheetData>
  <mergeCells count="1">
    <mergeCell ref="A1:G1"/>
  </mergeCells>
  <printOptions horizontalCentered="1"/>
  <pageMargins left="0.35433070866141703" right="0.27559055118110198" top="1.25984251968504" bottom="0.511811023622047" header="0.23622047244094499" footer="0.31496062992126"/>
  <pageSetup scale="40" fitToHeight="0" orientation="landscape" horizontalDpi="1200" verticalDpi="1200" r:id="rId1"/>
  <headerFooter>
    <oddHeader>&amp;RToronto Hydro-Electric System Limited
EB-2016-0254
Tab 4
Schedule 1
Filed:  2016 Aug 22
Page &amp;P of &amp;N</oddHeader>
    <oddFooter>&amp;C&amp;A</oddFooter>
  </headerFooter>
  <rowBreaks count="1" manualBreakCount="1">
    <brk id="67"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40"/>
  <sheetViews>
    <sheetView zoomScale="90" zoomScaleNormal="90" workbookViewId="0">
      <pane ySplit="3" topLeftCell="A37" activePane="bottomLeft" state="frozen"/>
      <selection pane="bottomLeft" activeCell="F41" sqref="F41"/>
    </sheetView>
  </sheetViews>
  <sheetFormatPr defaultColWidth="9.08984375" defaultRowHeight="14.5" outlineLevelRow="1" x14ac:dyDescent="0.35"/>
  <cols>
    <col min="1" max="1" width="7.54296875" style="7" customWidth="1"/>
    <col min="2" max="2" width="39.453125" style="8" customWidth="1"/>
    <col min="3" max="3" width="13.08984375" style="8" customWidth="1"/>
    <col min="4" max="8" width="15.453125" style="8" customWidth="1"/>
    <col min="9" max="11" width="13.54296875" style="8" customWidth="1"/>
    <col min="12" max="12" width="4.453125" style="8" customWidth="1"/>
    <col min="13" max="16384" width="9.08984375" style="8"/>
  </cols>
  <sheetData>
    <row r="1" spans="1:26" ht="161.25" customHeight="1" x14ac:dyDescent="0.35">
      <c r="B1" s="42"/>
      <c r="C1" s="42"/>
    </row>
    <row r="2" spans="1:26" s="42" customFormat="1" x14ac:dyDescent="0.35">
      <c r="A2" s="7"/>
    </row>
    <row r="3" spans="1:26" ht="20" x14ac:dyDescent="0.4">
      <c r="B3" s="785" t="s">
        <v>197</v>
      </c>
      <c r="C3" s="785"/>
      <c r="D3" s="785"/>
      <c r="E3" s="785"/>
      <c r="F3" s="785"/>
      <c r="G3" s="785"/>
      <c r="H3" s="785"/>
      <c r="I3" s="785"/>
      <c r="J3" s="785"/>
      <c r="K3" s="785"/>
    </row>
    <row r="4" spans="1:26" s="42" customFormat="1" ht="20" x14ac:dyDescent="0.4">
      <c r="A4" s="7"/>
      <c r="B4" s="215"/>
      <c r="C4" s="215"/>
      <c r="D4" s="215"/>
      <c r="E4" s="215"/>
      <c r="F4" s="215"/>
      <c r="G4" s="215"/>
      <c r="H4" s="215"/>
      <c r="I4" s="215"/>
      <c r="J4" s="215"/>
      <c r="K4" s="215"/>
    </row>
    <row r="5" spans="1:26" ht="54" customHeight="1" outlineLevel="1" x14ac:dyDescent="0.35">
      <c r="B5" s="786" t="s">
        <v>377</v>
      </c>
      <c r="C5" s="789" t="s">
        <v>483</v>
      </c>
      <c r="D5" s="789"/>
      <c r="E5" s="789"/>
      <c r="F5" s="789"/>
      <c r="G5" s="789"/>
      <c r="H5" s="789"/>
      <c r="I5" s="789"/>
      <c r="J5" s="789"/>
      <c r="K5" s="789"/>
    </row>
    <row r="6" spans="1:26" s="42" customFormat="1" ht="34.5" customHeight="1" outlineLevel="1" x14ac:dyDescent="0.35">
      <c r="A6" s="7"/>
      <c r="B6" s="786"/>
      <c r="C6" s="789" t="s">
        <v>387</v>
      </c>
      <c r="D6" s="789"/>
      <c r="E6" s="789"/>
      <c r="F6" s="789"/>
      <c r="G6" s="789"/>
      <c r="H6" s="789"/>
      <c r="I6" s="789"/>
      <c r="J6" s="789"/>
      <c r="K6" s="789"/>
    </row>
    <row r="7" spans="1:26" s="42" customFormat="1" ht="21" customHeight="1" outlineLevel="1" x14ac:dyDescent="0.35">
      <c r="A7" s="7"/>
      <c r="B7" s="786" t="s">
        <v>337</v>
      </c>
      <c r="C7" s="787" t="s">
        <v>366</v>
      </c>
      <c r="D7" s="787"/>
      <c r="E7" s="222"/>
    </row>
    <row r="8" spans="1:26" outlineLevel="1" x14ac:dyDescent="0.35">
      <c r="B8" s="786"/>
      <c r="C8" s="788" t="s">
        <v>338</v>
      </c>
      <c r="D8" s="788"/>
      <c r="E8" s="788"/>
      <c r="M8" s="9"/>
      <c r="N8" s="9"/>
      <c r="O8" s="9"/>
      <c r="P8" s="9"/>
      <c r="Q8" s="9"/>
      <c r="R8" s="9"/>
      <c r="S8" s="9"/>
      <c r="T8" s="9"/>
      <c r="U8" s="9"/>
      <c r="V8" s="9"/>
      <c r="W8" s="9"/>
      <c r="X8" s="9"/>
      <c r="Y8" s="9"/>
      <c r="Z8" s="9"/>
    </row>
    <row r="9" spans="1:26" s="5" customFormat="1" ht="10.5" customHeight="1" outlineLevel="1" x14ac:dyDescent="0.35">
      <c r="B9" s="42"/>
      <c r="C9" s="223"/>
      <c r="D9" s="224"/>
      <c r="E9" s="224"/>
      <c r="M9" s="9"/>
      <c r="N9" s="9"/>
      <c r="O9" s="9"/>
      <c r="P9" s="9"/>
      <c r="Q9" s="9"/>
      <c r="R9" s="9"/>
      <c r="S9" s="9"/>
      <c r="T9" s="9"/>
      <c r="U9" s="9"/>
      <c r="V9" s="9"/>
      <c r="W9" s="9"/>
      <c r="X9" s="9"/>
      <c r="Y9" s="9"/>
      <c r="Z9" s="9"/>
    </row>
    <row r="10" spans="1:26" s="5" customFormat="1" ht="5.25" customHeight="1" outlineLevel="1" x14ac:dyDescent="0.35">
      <c r="B10" s="42"/>
      <c r="C10" s="223"/>
      <c r="D10" s="224"/>
      <c r="E10" s="224"/>
      <c r="M10" s="9"/>
      <c r="N10" s="9"/>
      <c r="O10" s="9"/>
      <c r="P10" s="9"/>
      <c r="Q10" s="9"/>
      <c r="R10" s="9"/>
      <c r="S10" s="9"/>
      <c r="T10" s="9"/>
      <c r="U10" s="9"/>
      <c r="V10" s="9"/>
      <c r="W10" s="9"/>
      <c r="X10" s="9"/>
      <c r="Y10" s="9"/>
      <c r="Z10" s="9"/>
    </row>
    <row r="11" spans="1:26" s="5" customFormat="1" ht="12.75" customHeight="1" outlineLevel="1" x14ac:dyDescent="0.35">
      <c r="B11" s="42"/>
      <c r="C11" s="35"/>
      <c r="M11" s="9"/>
      <c r="N11" s="9"/>
      <c r="O11" s="9"/>
      <c r="P11" s="9"/>
      <c r="Q11" s="9"/>
      <c r="R11" s="9"/>
      <c r="S11" s="9"/>
      <c r="T11" s="9"/>
      <c r="U11" s="9"/>
      <c r="V11" s="9"/>
      <c r="W11" s="9"/>
      <c r="X11" s="9"/>
      <c r="Y11" s="9"/>
      <c r="Z11" s="9"/>
    </row>
    <row r="12" spans="1:26" s="35" customFormat="1" ht="18.5" outlineLevel="1" x14ac:dyDescent="0.35">
      <c r="A12" s="107"/>
      <c r="B12" s="97" t="s">
        <v>341</v>
      </c>
      <c r="C12" s="72"/>
      <c r="D12" s="72"/>
      <c r="E12" s="72"/>
      <c r="F12" s="72"/>
      <c r="G12" s="72"/>
      <c r="H12" s="72"/>
      <c r="I12" s="72"/>
      <c r="J12" s="72"/>
      <c r="K12" s="72"/>
      <c r="M12" s="107"/>
      <c r="N12" s="107"/>
      <c r="O12" s="107"/>
      <c r="P12" s="107"/>
      <c r="Q12" s="107"/>
      <c r="R12" s="107"/>
      <c r="S12" s="107"/>
      <c r="T12" s="107"/>
      <c r="U12" s="107"/>
      <c r="V12" s="107"/>
      <c r="W12" s="107"/>
      <c r="X12" s="107"/>
      <c r="Y12" s="107"/>
      <c r="Z12" s="107"/>
    </row>
    <row r="13" spans="1:26" s="42" customFormat="1" ht="6.75" customHeight="1" outlineLevel="1" x14ac:dyDescent="0.35">
      <c r="A13" s="9"/>
      <c r="B13" s="72"/>
      <c r="C13" s="72"/>
      <c r="D13" s="72"/>
      <c r="E13" s="72"/>
      <c r="F13" s="72"/>
      <c r="G13" s="72"/>
      <c r="H13" s="72"/>
      <c r="I13" s="72"/>
      <c r="J13" s="72"/>
      <c r="K13" s="72"/>
      <c r="M13" s="9"/>
      <c r="N13" s="9"/>
      <c r="O13" s="9"/>
      <c r="P13" s="9"/>
      <c r="Q13" s="9"/>
      <c r="R13" s="9"/>
      <c r="S13" s="9"/>
      <c r="T13" s="9"/>
      <c r="U13" s="9"/>
      <c r="V13" s="9"/>
      <c r="W13" s="9"/>
      <c r="X13" s="9"/>
      <c r="Y13" s="9"/>
      <c r="Z13" s="9"/>
    </row>
    <row r="14" spans="1:26" ht="32.25" customHeight="1" outlineLevel="1" x14ac:dyDescent="0.35">
      <c r="B14" s="109" t="s">
        <v>350</v>
      </c>
      <c r="C14" s="110"/>
      <c r="D14" s="187" t="s">
        <v>204</v>
      </c>
      <c r="E14" s="187" t="s">
        <v>205</v>
      </c>
      <c r="F14" s="187" t="s">
        <v>206</v>
      </c>
      <c r="G14" s="187" t="s">
        <v>207</v>
      </c>
      <c r="H14" s="187" t="s">
        <v>208</v>
      </c>
      <c r="I14" s="187" t="s">
        <v>342</v>
      </c>
      <c r="J14" s="187" t="s">
        <v>343</v>
      </c>
      <c r="K14" s="187" t="s">
        <v>344</v>
      </c>
    </row>
    <row r="15" spans="1:26" s="11" customFormat="1" ht="14.25" customHeight="1" outlineLevel="1" x14ac:dyDescent="0.3">
      <c r="A15" s="9"/>
      <c r="B15" s="64"/>
      <c r="C15" s="64"/>
      <c r="D15" s="64"/>
      <c r="E15" s="64"/>
      <c r="F15" s="64"/>
      <c r="G15" s="64"/>
      <c r="H15" s="64"/>
      <c r="I15" s="64"/>
      <c r="J15" s="64"/>
      <c r="K15" s="64"/>
      <c r="L15" s="12"/>
    </row>
    <row r="16" spans="1:26" s="339" customFormat="1" ht="46.5" customHeight="1" outlineLevel="1" thickBot="1" x14ac:dyDescent="0.4">
      <c r="A16" s="338"/>
      <c r="B16" s="119" t="s">
        <v>52</v>
      </c>
      <c r="C16" s="120" t="s">
        <v>53</v>
      </c>
      <c r="D16" s="188" t="s">
        <v>106</v>
      </c>
      <c r="E16" s="188" t="s">
        <v>107</v>
      </c>
      <c r="F16" s="188" t="s">
        <v>108</v>
      </c>
      <c r="G16" s="188" t="s">
        <v>111</v>
      </c>
      <c r="H16" s="188" t="s">
        <v>112</v>
      </c>
      <c r="I16" s="188" t="s">
        <v>421</v>
      </c>
      <c r="J16" s="188" t="s">
        <v>421</v>
      </c>
      <c r="K16" s="188" t="s">
        <v>421</v>
      </c>
    </row>
    <row r="17" spans="1:12" s="11" customFormat="1" outlineLevel="1" x14ac:dyDescent="0.25">
      <c r="A17" s="7"/>
      <c r="B17" s="116" t="s">
        <v>385</v>
      </c>
      <c r="C17" s="117"/>
      <c r="D17" s="118">
        <v>2010</v>
      </c>
      <c r="E17" s="118">
        <v>2011</v>
      </c>
      <c r="F17" s="118">
        <v>2012</v>
      </c>
      <c r="G17" s="118">
        <v>2013</v>
      </c>
      <c r="H17" s="118">
        <v>2014</v>
      </c>
      <c r="I17" s="118">
        <v>2015</v>
      </c>
      <c r="J17" s="118">
        <v>2016</v>
      </c>
      <c r="K17" s="118">
        <v>2017</v>
      </c>
    </row>
    <row r="18" spans="1:12" s="11" customFormat="1" outlineLevel="1" x14ac:dyDescent="0.25">
      <c r="A18" s="7"/>
      <c r="B18" s="114" t="s">
        <v>109</v>
      </c>
      <c r="C18" s="115"/>
      <c r="D18" s="443"/>
      <c r="E18" s="190"/>
      <c r="F18" s="190"/>
      <c r="G18" s="190"/>
      <c r="H18" s="190"/>
      <c r="I18" s="190"/>
      <c r="J18" s="190"/>
      <c r="K18" s="190"/>
    </row>
    <row r="19" spans="1:12" s="11" customFormat="1" outlineLevel="1" x14ac:dyDescent="0.25">
      <c r="A19" s="7"/>
      <c r="B19" s="114" t="s">
        <v>110</v>
      </c>
      <c r="C19" s="115"/>
      <c r="D19" s="189">
        <f>12-D18</f>
        <v>12</v>
      </c>
      <c r="E19" s="189">
        <f>12-E18</f>
        <v>12</v>
      </c>
      <c r="F19" s="189">
        <f t="shared" ref="F19:K19" si="0">12-F18</f>
        <v>12</v>
      </c>
      <c r="G19" s="189">
        <f t="shared" si="0"/>
        <v>12</v>
      </c>
      <c r="H19" s="189">
        <f t="shared" si="0"/>
        <v>12</v>
      </c>
      <c r="I19" s="189">
        <f t="shared" si="0"/>
        <v>12</v>
      </c>
      <c r="J19" s="189">
        <f t="shared" si="0"/>
        <v>12</v>
      </c>
      <c r="K19" s="189">
        <f t="shared" si="0"/>
        <v>12</v>
      </c>
    </row>
    <row r="20" spans="1:12" s="11" customFormat="1" ht="14" outlineLevel="1" x14ac:dyDescent="0.3">
      <c r="A20" s="10"/>
      <c r="B20" s="93" t="str">
        <f>'2.  CDM Allocation'!C24</f>
        <v>Residential</v>
      </c>
      <c r="C20" s="73" t="str">
        <f>'2.  CDM Allocation'!C25</f>
        <v>kWh</v>
      </c>
      <c r="D20" s="191"/>
      <c r="E20" s="191"/>
      <c r="F20" s="191"/>
      <c r="G20" s="191"/>
      <c r="H20" s="191"/>
      <c r="I20" s="191"/>
      <c r="J20" s="191"/>
      <c r="K20" s="191"/>
      <c r="L20" s="12"/>
    </row>
    <row r="21" spans="1:12" ht="28" outlineLevel="1" x14ac:dyDescent="0.35">
      <c r="B21" s="93" t="str">
        <f>'2.  CDM Allocation'!D24</f>
        <v>Competitive Sector Multi-Unit Residential (CSMUR)</v>
      </c>
      <c r="C21" s="73" t="str">
        <f>'2.  CDM Allocation'!D25</f>
        <v>kWh</v>
      </c>
      <c r="D21" s="191"/>
      <c r="E21" s="191"/>
      <c r="F21" s="191"/>
      <c r="G21" s="191"/>
      <c r="H21" s="191"/>
      <c r="I21" s="191"/>
      <c r="J21" s="191"/>
      <c r="K21" s="191"/>
    </row>
    <row r="22" spans="1:12" s="5" customFormat="1" ht="14" outlineLevel="1" x14ac:dyDescent="0.3">
      <c r="B22" s="93" t="str">
        <f>'2.  CDM Allocation'!E24</f>
        <v>General Service &lt;50 kW</v>
      </c>
      <c r="C22" s="73" t="str">
        <f>'2.  CDM Allocation'!E25</f>
        <v>kW</v>
      </c>
      <c r="D22" s="191"/>
      <c r="E22" s="191"/>
      <c r="F22" s="191"/>
      <c r="G22" s="191"/>
      <c r="H22" s="191"/>
      <c r="I22" s="191"/>
      <c r="J22" s="191"/>
      <c r="K22" s="191"/>
    </row>
    <row r="23" spans="1:12" s="5" customFormat="1" ht="14" outlineLevel="1" x14ac:dyDescent="0.3">
      <c r="A23" s="7"/>
      <c r="B23" s="93" t="str">
        <f>'2.  CDM Allocation'!F24</f>
        <v>General Service 50 - 999 kW</v>
      </c>
      <c r="C23" s="73" t="str">
        <f>'2.  CDM Allocation'!F25</f>
        <v>kW</v>
      </c>
      <c r="D23" s="191"/>
      <c r="E23" s="191"/>
      <c r="F23" s="191"/>
      <c r="G23" s="191"/>
      <c r="H23" s="191"/>
      <c r="I23" s="191"/>
      <c r="J23" s="191"/>
      <c r="K23" s="191"/>
    </row>
    <row r="24" spans="1:12" s="5" customFormat="1" ht="14" outlineLevel="1" x14ac:dyDescent="0.3">
      <c r="A24" s="7"/>
      <c r="B24" s="93" t="str">
        <f>'2.  CDM Allocation'!G24</f>
        <v>General Service 1,000 - 4,999 kW</v>
      </c>
      <c r="C24" s="73" t="str">
        <f>'2.  CDM Allocation'!G25</f>
        <v>kW</v>
      </c>
      <c r="D24" s="191"/>
      <c r="E24" s="191"/>
      <c r="F24" s="191"/>
      <c r="G24" s="191"/>
      <c r="H24" s="191"/>
      <c r="I24" s="191"/>
      <c r="J24" s="191"/>
      <c r="K24" s="191"/>
    </row>
    <row r="25" spans="1:12" s="5" customFormat="1" ht="14" outlineLevel="1" x14ac:dyDescent="0.3">
      <c r="A25" s="7"/>
      <c r="B25" s="93" t="str">
        <f>'2.  CDM Allocation'!H24</f>
        <v>Large Use</v>
      </c>
      <c r="C25" s="73" t="str">
        <f>'2.  CDM Allocation'!H25</f>
        <v>kW</v>
      </c>
      <c r="D25" s="191"/>
      <c r="E25" s="191"/>
      <c r="F25" s="191"/>
      <c r="G25" s="191"/>
      <c r="H25" s="191"/>
      <c r="I25" s="191"/>
      <c r="J25" s="191"/>
      <c r="K25" s="191"/>
    </row>
    <row r="26" spans="1:12" s="5" customFormat="1" ht="14" outlineLevel="1" x14ac:dyDescent="0.3">
      <c r="A26" s="7"/>
      <c r="B26" s="93" t="e">
        <f>'2.  CDM Allocation'!I24</f>
        <v>#REF!</v>
      </c>
      <c r="C26" s="73" t="str">
        <f>'2.  CDM Allocation'!I25</f>
        <v>kWh</v>
      </c>
      <c r="D26" s="191"/>
      <c r="E26" s="191"/>
      <c r="F26" s="191"/>
      <c r="G26" s="191"/>
      <c r="H26" s="191"/>
      <c r="I26" s="191"/>
      <c r="J26" s="191"/>
      <c r="K26" s="191"/>
    </row>
    <row r="27" spans="1:12" s="5" customFormat="1" ht="14" outlineLevel="1" x14ac:dyDescent="0.3">
      <c r="A27" s="7"/>
      <c r="B27" s="94" t="s">
        <v>101</v>
      </c>
      <c r="C27" s="95"/>
      <c r="D27" s="192"/>
      <c r="E27" s="192"/>
      <c r="F27" s="192"/>
      <c r="G27" s="192"/>
      <c r="H27" s="192"/>
      <c r="I27" s="193"/>
      <c r="J27" s="193"/>
      <c r="K27" s="193"/>
    </row>
    <row r="28" spans="1:12" s="5" customFormat="1" ht="14" outlineLevel="1" x14ac:dyDescent="0.3">
      <c r="A28" s="7"/>
      <c r="B28" s="218"/>
      <c r="C28" s="266"/>
      <c r="D28" s="344"/>
      <c r="E28" s="344"/>
      <c r="F28" s="344"/>
      <c r="G28" s="344"/>
      <c r="H28" s="344"/>
      <c r="I28" s="345"/>
      <c r="J28" s="345"/>
      <c r="K28" s="345"/>
    </row>
    <row r="29" spans="1:12" s="5" customFormat="1" outlineLevel="1" x14ac:dyDescent="0.35">
      <c r="A29" s="7"/>
      <c r="B29" s="32"/>
      <c r="C29" s="33"/>
      <c r="D29" s="34"/>
      <c r="E29" s="34"/>
      <c r="F29" s="34"/>
      <c r="G29" s="34"/>
      <c r="H29" s="34"/>
      <c r="I29" s="35"/>
      <c r="J29" s="35"/>
      <c r="K29" s="35"/>
    </row>
    <row r="30" spans="1:12" s="35" customFormat="1" ht="18.5" x14ac:dyDescent="0.35">
      <c r="A30" s="108"/>
      <c r="B30" s="347" t="s">
        <v>391</v>
      </c>
      <c r="C30" s="72"/>
      <c r="D30" s="72"/>
      <c r="E30" s="72"/>
      <c r="F30" s="72"/>
      <c r="G30" s="72"/>
      <c r="H30" s="72"/>
      <c r="I30" s="72"/>
      <c r="J30" s="72"/>
      <c r="K30" s="72"/>
    </row>
    <row r="31" spans="1:12" ht="9" customHeight="1" x14ac:dyDescent="0.35">
      <c r="B31" s="11"/>
      <c r="C31" s="11"/>
      <c r="D31" s="11"/>
      <c r="E31" s="11"/>
      <c r="F31" s="11"/>
      <c r="G31" s="11"/>
      <c r="H31" s="11"/>
      <c r="I31" s="11"/>
      <c r="J31" s="11"/>
      <c r="K31" s="11"/>
    </row>
    <row r="32" spans="1:12" ht="27" customHeight="1" x14ac:dyDescent="0.35">
      <c r="B32" s="262" t="s">
        <v>52</v>
      </c>
      <c r="C32" s="781" t="s">
        <v>53</v>
      </c>
      <c r="D32" s="782"/>
      <c r="E32" s="263">
        <v>2011</v>
      </c>
      <c r="F32" s="263">
        <v>2012</v>
      </c>
      <c r="G32" s="263">
        <v>2013</v>
      </c>
      <c r="H32" s="263">
        <v>2014</v>
      </c>
      <c r="I32" s="263">
        <v>2015</v>
      </c>
      <c r="J32" s="263">
        <v>2016</v>
      </c>
      <c r="K32" s="264">
        <v>2017</v>
      </c>
    </row>
    <row r="33" spans="2:11" ht="19.5" customHeight="1" x14ac:dyDescent="0.35">
      <c r="B33" s="267" t="s">
        <v>38</v>
      </c>
      <c r="C33" s="783" t="s">
        <v>36</v>
      </c>
      <c r="D33" s="783"/>
      <c r="E33" s="265">
        <f t="shared" ref="E33:E39" si="1">SUM(D20*$E$18+E20*$E$19)/12</f>
        <v>0</v>
      </c>
      <c r="F33" s="265">
        <f t="shared" ref="F33:F39" si="2">SUM(E20*$F$18+F20*$F$19)/12</f>
        <v>0</v>
      </c>
      <c r="G33" s="265">
        <f>SUM(F20*$G$18+G20*$G$19)/12</f>
        <v>0</v>
      </c>
      <c r="H33" s="265">
        <f t="shared" ref="H33:H39" si="3">SUM(G20*$H$18+H20*$H$19)/12</f>
        <v>0</v>
      </c>
      <c r="I33" s="265">
        <f t="shared" ref="I33:I39" si="4">SUM(H20*$I$18+I20*$I$19)/12</f>
        <v>0</v>
      </c>
      <c r="J33" s="265">
        <f t="shared" ref="J33:J39" si="5">SUM(I20*$J$18+J20*$J$19)/12</f>
        <v>0</v>
      </c>
      <c r="K33" s="268">
        <f>SUM(J20*$K$18+K20*$K$19)/12</f>
        <v>0</v>
      </c>
    </row>
    <row r="34" spans="2:11" ht="19.5" customHeight="1" x14ac:dyDescent="0.35">
      <c r="B34" s="267" t="s">
        <v>40</v>
      </c>
      <c r="C34" s="784" t="s">
        <v>36</v>
      </c>
      <c r="D34" s="784"/>
      <c r="E34" s="265">
        <f t="shared" si="1"/>
        <v>0</v>
      </c>
      <c r="F34" s="265">
        <f t="shared" si="2"/>
        <v>0</v>
      </c>
      <c r="G34" s="265">
        <f>SUM(F21*$G$18+G21*$G$19)/12</f>
        <v>0</v>
      </c>
      <c r="H34" s="265">
        <f t="shared" si="3"/>
        <v>0</v>
      </c>
      <c r="I34" s="265">
        <f t="shared" si="4"/>
        <v>0</v>
      </c>
      <c r="J34" s="265">
        <f t="shared" si="5"/>
        <v>0</v>
      </c>
      <c r="K34" s="268">
        <f t="shared" ref="K34:K39" si="6">SUM(J21*$K$18+K21*$K$19)/12</f>
        <v>0</v>
      </c>
    </row>
    <row r="35" spans="2:11" ht="19.5" customHeight="1" x14ac:dyDescent="0.35">
      <c r="B35" s="267" t="s">
        <v>104</v>
      </c>
      <c r="C35" s="784" t="s">
        <v>37</v>
      </c>
      <c r="D35" s="784"/>
      <c r="E35" s="265">
        <f t="shared" si="1"/>
        <v>0</v>
      </c>
      <c r="F35" s="265">
        <f t="shared" si="2"/>
        <v>0</v>
      </c>
      <c r="G35" s="265">
        <f t="shared" ref="G35:G39" si="7">SUM(F22*$G$18+G22*$G$19)/12</f>
        <v>0</v>
      </c>
      <c r="H35" s="265">
        <f t="shared" si="3"/>
        <v>0</v>
      </c>
      <c r="I35" s="265">
        <f t="shared" si="4"/>
        <v>0</v>
      </c>
      <c r="J35" s="265">
        <f t="shared" si="5"/>
        <v>0</v>
      </c>
      <c r="K35" s="268">
        <f t="shared" si="6"/>
        <v>0</v>
      </c>
    </row>
    <row r="36" spans="2:11" ht="19.5" customHeight="1" x14ac:dyDescent="0.35">
      <c r="B36" s="267" t="s">
        <v>105</v>
      </c>
      <c r="C36" s="784" t="s">
        <v>37</v>
      </c>
      <c r="D36" s="784"/>
      <c r="E36" s="265">
        <f t="shared" si="1"/>
        <v>0</v>
      </c>
      <c r="F36" s="265">
        <f t="shared" si="2"/>
        <v>0</v>
      </c>
      <c r="G36" s="265">
        <f t="shared" si="7"/>
        <v>0</v>
      </c>
      <c r="H36" s="265">
        <f t="shared" si="3"/>
        <v>0</v>
      </c>
      <c r="I36" s="265">
        <f t="shared" si="4"/>
        <v>0</v>
      </c>
      <c r="J36" s="265">
        <f t="shared" si="5"/>
        <v>0</v>
      </c>
      <c r="K36" s="268">
        <f t="shared" si="6"/>
        <v>0</v>
      </c>
    </row>
    <row r="37" spans="2:11" ht="19.5" customHeight="1" x14ac:dyDescent="0.35">
      <c r="B37" s="267" t="s">
        <v>41</v>
      </c>
      <c r="C37" s="784" t="s">
        <v>37</v>
      </c>
      <c r="D37" s="784"/>
      <c r="E37" s="265">
        <f t="shared" si="1"/>
        <v>0</v>
      </c>
      <c r="F37" s="265">
        <f t="shared" si="2"/>
        <v>0</v>
      </c>
      <c r="G37" s="265">
        <f t="shared" si="7"/>
        <v>0</v>
      </c>
      <c r="H37" s="265">
        <f t="shared" si="3"/>
        <v>0</v>
      </c>
      <c r="I37" s="265">
        <f t="shared" si="4"/>
        <v>0</v>
      </c>
      <c r="J37" s="265">
        <f t="shared" si="5"/>
        <v>0</v>
      </c>
      <c r="K37" s="268">
        <f t="shared" si="6"/>
        <v>0</v>
      </c>
    </row>
    <row r="38" spans="2:11" ht="19.5" customHeight="1" x14ac:dyDescent="0.35">
      <c r="B38" s="267" t="s">
        <v>42</v>
      </c>
      <c r="C38" s="784" t="s">
        <v>37</v>
      </c>
      <c r="D38" s="784"/>
      <c r="E38" s="265">
        <f t="shared" si="1"/>
        <v>0</v>
      </c>
      <c r="F38" s="265">
        <f t="shared" si="2"/>
        <v>0</v>
      </c>
      <c r="G38" s="265">
        <f t="shared" si="7"/>
        <v>0</v>
      </c>
      <c r="H38" s="265">
        <f t="shared" si="3"/>
        <v>0</v>
      </c>
      <c r="I38" s="265">
        <f t="shared" si="4"/>
        <v>0</v>
      </c>
      <c r="J38" s="265">
        <f t="shared" si="5"/>
        <v>0</v>
      </c>
      <c r="K38" s="268">
        <f t="shared" si="6"/>
        <v>0</v>
      </c>
    </row>
    <row r="39" spans="2:11" ht="19.5" customHeight="1" x14ac:dyDescent="0.35">
      <c r="B39" s="267" t="s">
        <v>43</v>
      </c>
      <c r="C39" s="784" t="s">
        <v>36</v>
      </c>
      <c r="D39" s="784"/>
      <c r="E39" s="265">
        <f t="shared" si="1"/>
        <v>0</v>
      </c>
      <c r="F39" s="265">
        <f t="shared" si="2"/>
        <v>0</v>
      </c>
      <c r="G39" s="265">
        <f t="shared" si="7"/>
        <v>0</v>
      </c>
      <c r="H39" s="265">
        <f t="shared" si="3"/>
        <v>0</v>
      </c>
      <c r="I39" s="265">
        <f t="shared" si="4"/>
        <v>0</v>
      </c>
      <c r="J39" s="265">
        <f t="shared" si="5"/>
        <v>0</v>
      </c>
      <c r="K39" s="268">
        <f t="shared" si="6"/>
        <v>0</v>
      </c>
    </row>
    <row r="40" spans="2:11" ht="19.5" customHeight="1" x14ac:dyDescent="0.35">
      <c r="B40" s="269" t="s">
        <v>101</v>
      </c>
      <c r="C40" s="790"/>
      <c r="D40" s="790"/>
      <c r="E40" s="270"/>
      <c r="F40" s="270"/>
      <c r="G40" s="270"/>
      <c r="H40" s="270"/>
      <c r="I40" s="270"/>
      <c r="J40" s="270"/>
      <c r="K40" s="271"/>
    </row>
  </sheetData>
  <mergeCells count="16">
    <mergeCell ref="C36:D36"/>
    <mergeCell ref="C37:D37"/>
    <mergeCell ref="C38:D38"/>
    <mergeCell ref="C39:D39"/>
    <mergeCell ref="C40:D40"/>
    <mergeCell ref="C32:D32"/>
    <mergeCell ref="C33:D33"/>
    <mergeCell ref="C34:D34"/>
    <mergeCell ref="C35:D35"/>
    <mergeCell ref="B3:K3"/>
    <mergeCell ref="B7:B8"/>
    <mergeCell ref="C7:D7"/>
    <mergeCell ref="C8:E8"/>
    <mergeCell ref="C5:K5"/>
    <mergeCell ref="C6:K6"/>
    <mergeCell ref="B5:B6"/>
  </mergeCells>
  <pageMargins left="0.7" right="0.7" top="0.75" bottom="0.75" header="0.3" footer="0.3"/>
  <pageSetup scale="58"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324"/>
  <sheetViews>
    <sheetView view="pageBreakPreview" topLeftCell="A297" zoomScale="50" zoomScaleNormal="70" zoomScaleSheetLayoutView="50" zoomScalePageLayoutView="85" workbookViewId="0">
      <selection activeCell="C17" sqref="C17"/>
    </sheetView>
  </sheetViews>
  <sheetFormatPr defaultColWidth="9.08984375" defaultRowHeight="15.5" outlineLevelRow="1" x14ac:dyDescent="0.35"/>
  <cols>
    <col min="1" max="1" width="5.08984375" style="40" customWidth="1"/>
    <col min="2" max="2" width="4.54296875" style="22" customWidth="1"/>
    <col min="3" max="3" width="37.36328125" style="15" customWidth="1"/>
    <col min="4" max="4" width="17.90625" style="22" customWidth="1"/>
    <col min="5" max="5" width="12.54296875" style="22" customWidth="1"/>
    <col min="6" max="6" width="19" style="23" customWidth="1"/>
    <col min="7" max="7" width="19.08984375" style="23" customWidth="1"/>
    <col min="8" max="8" width="14.453125" style="23" bestFit="1" customWidth="1"/>
    <col min="9" max="9" width="14.453125" style="529" customWidth="1"/>
    <col min="10" max="10" width="30.6328125" style="23" bestFit="1" customWidth="1"/>
    <col min="11" max="11" width="13" style="23" customWidth="1"/>
    <col min="12" max="12" width="15.54296875" style="23" customWidth="1"/>
    <col min="13" max="13" width="12.54296875" style="23" customWidth="1"/>
    <col min="14" max="14" width="14.6328125" style="23" customWidth="1"/>
    <col min="15" max="15" width="3.08984375" style="23" customWidth="1"/>
    <col min="16" max="16" width="14.90625" style="23" customWidth="1"/>
    <col min="17" max="17" width="15" style="23" bestFit="1" customWidth="1"/>
    <col min="18" max="18" width="9.6328125" style="23" customWidth="1"/>
    <col min="19" max="19" width="11.08984375" style="23" customWidth="1"/>
    <col min="20" max="20" width="12.08984375" style="23" customWidth="1"/>
    <col min="21" max="21" width="10.36328125" style="23" bestFit="1" customWidth="1"/>
    <col min="22" max="26" width="9.08984375" style="23"/>
    <col min="27" max="27" width="6.453125" style="23" bestFit="1" customWidth="1"/>
    <col min="28" max="16384" width="9.08984375" style="23"/>
  </cols>
  <sheetData>
    <row r="1" spans="1:14" ht="164.25" customHeight="1" x14ac:dyDescent="0.35"/>
    <row r="2" spans="1:14" ht="23.25" customHeight="1" x14ac:dyDescent="0.35"/>
    <row r="3" spans="1:14" ht="20" x14ac:dyDescent="0.4">
      <c r="A3" s="58"/>
      <c r="B3" s="770" t="s">
        <v>353</v>
      </c>
      <c r="C3" s="770"/>
      <c r="D3" s="770"/>
      <c r="E3" s="770"/>
      <c r="F3" s="770"/>
      <c r="G3" s="770"/>
      <c r="H3" s="770"/>
      <c r="I3" s="770"/>
      <c r="J3" s="770"/>
      <c r="K3" s="770"/>
      <c r="L3" s="770"/>
      <c r="M3" s="770"/>
      <c r="N3" s="770"/>
    </row>
    <row r="4" spans="1:14" ht="18.75" customHeight="1" outlineLevel="1" x14ac:dyDescent="0.4">
      <c r="A4" s="58"/>
      <c r="B4" s="113"/>
      <c r="C4" s="215"/>
      <c r="D4" s="350"/>
      <c r="E4" s="215"/>
      <c r="F4" s="113"/>
      <c r="G4" s="113"/>
      <c r="H4" s="113"/>
      <c r="I4" s="634"/>
      <c r="J4" s="113"/>
      <c r="K4" s="113"/>
      <c r="L4" s="113"/>
      <c r="M4" s="113"/>
      <c r="N4" s="113"/>
    </row>
    <row r="5" spans="1:14" outlineLevel="1" x14ac:dyDescent="0.35">
      <c r="A5" s="58"/>
      <c r="C5" s="348" t="s">
        <v>377</v>
      </c>
      <c r="D5" s="351" t="s">
        <v>394</v>
      </c>
      <c r="E5" s="282"/>
    </row>
    <row r="6" spans="1:14" outlineLevel="1" x14ac:dyDescent="0.35">
      <c r="A6" s="58"/>
      <c r="C6" s="282"/>
      <c r="D6" s="351" t="s">
        <v>464</v>
      </c>
      <c r="E6" s="282"/>
    </row>
    <row r="7" spans="1:14" s="60" customFormat="1" outlineLevel="1" x14ac:dyDescent="0.35">
      <c r="A7" s="112"/>
      <c r="B7" s="63"/>
      <c r="C7" s="64"/>
      <c r="D7" s="351" t="s">
        <v>354</v>
      </c>
      <c r="E7" s="352"/>
    </row>
    <row r="8" spans="1:14" outlineLevel="1" x14ac:dyDescent="0.35">
      <c r="A8" s="58"/>
      <c r="C8" s="23"/>
      <c r="D8" s="153" t="s">
        <v>361</v>
      </c>
    </row>
    <row r="9" spans="1:14" s="60" customFormat="1" outlineLevel="1" x14ac:dyDescent="0.35">
      <c r="A9" s="112"/>
      <c r="B9" s="63"/>
      <c r="C9" s="63"/>
      <c r="D9" s="153"/>
      <c r="E9" s="63"/>
    </row>
    <row r="10" spans="1:14" outlineLevel="1" x14ac:dyDescent="0.35">
      <c r="A10" s="58"/>
      <c r="C10" s="22"/>
      <c r="D10" s="153" t="s">
        <v>359</v>
      </c>
    </row>
    <row r="11" spans="1:14" outlineLevel="1" x14ac:dyDescent="0.35">
      <c r="A11" s="58"/>
      <c r="C11" s="22"/>
      <c r="D11" s="153" t="s">
        <v>360</v>
      </c>
    </row>
    <row r="12" spans="1:14" outlineLevel="1" x14ac:dyDescent="0.35">
      <c r="A12" s="58"/>
      <c r="C12" s="777" t="s">
        <v>337</v>
      </c>
      <c r="D12" s="152"/>
      <c r="E12" s="42"/>
    </row>
    <row r="13" spans="1:14" outlineLevel="1" x14ac:dyDescent="0.35">
      <c r="A13" s="58"/>
      <c r="C13" s="777"/>
      <c r="D13" s="787" t="s">
        <v>366</v>
      </c>
      <c r="E13" s="787"/>
    </row>
    <row r="14" spans="1:14" outlineLevel="1" x14ac:dyDescent="0.35">
      <c r="A14" s="58"/>
      <c r="C14" s="777"/>
      <c r="D14" s="788" t="s">
        <v>338</v>
      </c>
      <c r="E14" s="788"/>
    </row>
    <row r="15" spans="1:14" outlineLevel="1" x14ac:dyDescent="0.35">
      <c r="A15" s="58"/>
      <c r="C15" s="78"/>
      <c r="D15" s="63"/>
      <c r="E15" s="42"/>
    </row>
    <row r="16" spans="1:14" x14ac:dyDescent="0.35">
      <c r="A16" s="58"/>
      <c r="C16" s="78"/>
      <c r="D16" s="232"/>
      <c r="E16" s="42"/>
    </row>
    <row r="17" spans="1:16" x14ac:dyDescent="0.35">
      <c r="B17" s="794" t="s">
        <v>355</v>
      </c>
      <c r="C17" s="794"/>
      <c r="D17" s="794"/>
      <c r="E17" s="794"/>
      <c r="F17" s="794"/>
      <c r="G17" s="794"/>
      <c r="H17" s="794"/>
      <c r="I17" s="794"/>
      <c r="J17" s="794"/>
      <c r="K17" s="794"/>
      <c r="L17" s="794"/>
      <c r="M17" s="794"/>
      <c r="N17" s="794"/>
    </row>
    <row r="18" spans="1:16" ht="18.5" x14ac:dyDescent="0.45">
      <c r="B18" s="16"/>
      <c r="C18" s="17"/>
      <c r="D18" s="16"/>
      <c r="E18" s="16"/>
      <c r="F18" s="16"/>
      <c r="G18" s="16"/>
      <c r="H18" s="16"/>
      <c r="I18" s="16"/>
      <c r="J18" s="16"/>
      <c r="K18" s="16"/>
      <c r="L18" s="16"/>
      <c r="M18" s="16"/>
      <c r="N18" s="16"/>
    </row>
    <row r="19" spans="1:16" s="24" customFormat="1" ht="50.25" customHeight="1" x14ac:dyDescent="0.35">
      <c r="A19" s="40"/>
      <c r="B19" s="798" t="s">
        <v>54</v>
      </c>
      <c r="C19" s="800" t="s">
        <v>0</v>
      </c>
      <c r="D19" s="800" t="s">
        <v>45</v>
      </c>
      <c r="E19" s="800" t="s">
        <v>201</v>
      </c>
      <c r="F19" s="250" t="s">
        <v>46</v>
      </c>
      <c r="G19" s="250" t="s">
        <v>198</v>
      </c>
      <c r="H19" s="795" t="s">
        <v>55</v>
      </c>
      <c r="I19" s="796"/>
      <c r="J19" s="796"/>
      <c r="K19" s="796"/>
      <c r="L19" s="796"/>
      <c r="M19" s="796"/>
      <c r="N19" s="797"/>
      <c r="O19" s="4"/>
    </row>
    <row r="20" spans="1:16" s="24" customFormat="1" ht="43.5" customHeight="1" x14ac:dyDescent="0.3">
      <c r="A20" s="249"/>
      <c r="B20" s="811"/>
      <c r="C20" s="810"/>
      <c r="D20" s="810"/>
      <c r="E20" s="810"/>
      <c r="F20" s="199" t="s">
        <v>47</v>
      </c>
      <c r="G20" s="199" t="s">
        <v>48</v>
      </c>
      <c r="H20" s="122" t="s">
        <v>38</v>
      </c>
      <c r="I20" s="199" t="s">
        <v>488</v>
      </c>
      <c r="J20" s="122" t="s">
        <v>40</v>
      </c>
      <c r="K20" s="122" t="s">
        <v>104</v>
      </c>
      <c r="L20" s="122" t="s">
        <v>105</v>
      </c>
      <c r="M20" s="199" t="s">
        <v>511</v>
      </c>
      <c r="N20" s="359" t="s">
        <v>35</v>
      </c>
      <c r="O20" s="4"/>
    </row>
    <row r="21" spans="1:16" s="18" customFormat="1" ht="21" customHeight="1" outlineLevel="1" x14ac:dyDescent="0.35">
      <c r="A21" s="804">
        <v>2011</v>
      </c>
      <c r="B21" s="226"/>
      <c r="C21" s="803" t="s">
        <v>1</v>
      </c>
      <c r="D21" s="803"/>
      <c r="E21" s="227"/>
      <c r="F21" s="228"/>
      <c r="G21" s="228"/>
      <c r="H21" s="228"/>
      <c r="I21" s="228"/>
      <c r="J21" s="228"/>
      <c r="K21" s="228"/>
      <c r="L21" s="228"/>
      <c r="M21" s="228"/>
      <c r="N21" s="229"/>
      <c r="O21" s="124"/>
      <c r="P21" s="526"/>
    </row>
    <row r="22" spans="1:16" s="24" customFormat="1" ht="14" outlineLevel="1" x14ac:dyDescent="0.3">
      <c r="A22" s="804"/>
      <c r="B22" s="251">
        <v>1</v>
      </c>
      <c r="C22" s="233" t="s">
        <v>2</v>
      </c>
      <c r="D22" s="231" t="s">
        <v>34</v>
      </c>
      <c r="E22" s="231"/>
      <c r="F22" s="275">
        <v>349.33800000000002</v>
      </c>
      <c r="G22" s="275">
        <v>2343820.327</v>
      </c>
      <c r="H22" s="508">
        <v>0.97499999999999998</v>
      </c>
      <c r="I22" s="508">
        <v>2.5000000000000001E-2</v>
      </c>
      <c r="J22" s="508"/>
      <c r="K22" s="508"/>
      <c r="L22" s="508"/>
      <c r="M22" s="508"/>
      <c r="N22" s="230">
        <f t="shared" ref="N22:N29" si="0">SUM(H22:M22)</f>
        <v>1</v>
      </c>
      <c r="O22" s="4"/>
      <c r="P22" s="524"/>
    </row>
    <row r="23" spans="1:16" s="24" customFormat="1" ht="14" outlineLevel="1" x14ac:dyDescent="0.3">
      <c r="A23" s="804"/>
      <c r="B23" s="251">
        <v>2</v>
      </c>
      <c r="C23" s="233" t="s">
        <v>3</v>
      </c>
      <c r="D23" s="231" t="s">
        <v>34</v>
      </c>
      <c r="E23" s="231"/>
      <c r="F23" s="275">
        <v>52.097999999999999</v>
      </c>
      <c r="G23" s="275">
        <v>57878.669000000002</v>
      </c>
      <c r="H23" s="508">
        <v>0.97499999999999998</v>
      </c>
      <c r="I23" s="508">
        <v>2.5000000000000001E-2</v>
      </c>
      <c r="J23" s="508"/>
      <c r="K23" s="508"/>
      <c r="L23" s="508"/>
      <c r="M23" s="508"/>
      <c r="N23" s="230">
        <f t="shared" si="0"/>
        <v>1</v>
      </c>
      <c r="O23" s="4"/>
      <c r="P23" s="524"/>
    </row>
    <row r="24" spans="1:16" s="24" customFormat="1" ht="14" outlineLevel="1" x14ac:dyDescent="0.3">
      <c r="A24" s="804"/>
      <c r="B24" s="251">
        <v>3</v>
      </c>
      <c r="C24" s="233" t="s">
        <v>4</v>
      </c>
      <c r="D24" s="231" t="s">
        <v>34</v>
      </c>
      <c r="E24" s="231"/>
      <c r="F24" s="275">
        <v>5674.3620000000001</v>
      </c>
      <c r="G24" s="275">
        <v>10493166.045</v>
      </c>
      <c r="H24" s="508">
        <v>1</v>
      </c>
      <c r="I24" s="508"/>
      <c r="J24" s="508"/>
      <c r="K24" s="508"/>
      <c r="L24" s="508"/>
      <c r="M24" s="508"/>
      <c r="N24" s="230">
        <f t="shared" si="0"/>
        <v>1</v>
      </c>
      <c r="O24" s="4"/>
      <c r="P24" s="524"/>
    </row>
    <row r="25" spans="1:16" s="24" customFormat="1" ht="14" outlineLevel="1" x14ac:dyDescent="0.3">
      <c r="A25" s="804"/>
      <c r="B25" s="251">
        <v>4</v>
      </c>
      <c r="C25" s="233" t="s">
        <v>5</v>
      </c>
      <c r="D25" s="231" t="s">
        <v>34</v>
      </c>
      <c r="E25" s="231"/>
      <c r="F25" s="275">
        <v>149.87299999999999</v>
      </c>
      <c r="G25" s="275">
        <v>2439880.7480000001</v>
      </c>
      <c r="H25" s="508">
        <v>0.95</v>
      </c>
      <c r="I25" s="508">
        <v>0.05</v>
      </c>
      <c r="J25" s="508"/>
      <c r="K25" s="508"/>
      <c r="L25" s="508"/>
      <c r="M25" s="508"/>
      <c r="N25" s="230">
        <f t="shared" si="0"/>
        <v>1</v>
      </c>
      <c r="O25" s="4"/>
      <c r="P25" s="524"/>
    </row>
    <row r="26" spans="1:16" s="24" customFormat="1" ht="14" outlineLevel="1" x14ac:dyDescent="0.3">
      <c r="A26" s="804"/>
      <c r="B26" s="251">
        <v>5</v>
      </c>
      <c r="C26" s="233" t="s">
        <v>6</v>
      </c>
      <c r="D26" s="231" t="s">
        <v>34</v>
      </c>
      <c r="E26" s="231"/>
      <c r="F26" s="275">
        <v>215.19399999999999</v>
      </c>
      <c r="G26" s="275">
        <v>3760986.0839999998</v>
      </c>
      <c r="H26" s="508">
        <v>0.95</v>
      </c>
      <c r="I26" s="508">
        <v>0.05</v>
      </c>
      <c r="J26" s="508"/>
      <c r="K26" s="508"/>
      <c r="L26" s="508"/>
      <c r="M26" s="508"/>
      <c r="N26" s="230">
        <f t="shared" si="0"/>
        <v>1</v>
      </c>
      <c r="O26" s="4"/>
      <c r="P26" s="524"/>
    </row>
    <row r="27" spans="1:16" s="24" customFormat="1" ht="14" outlineLevel="1" x14ac:dyDescent="0.3">
      <c r="A27" s="804"/>
      <c r="B27" s="251">
        <v>6</v>
      </c>
      <c r="C27" s="233" t="s">
        <v>7</v>
      </c>
      <c r="D27" s="231" t="s">
        <v>34</v>
      </c>
      <c r="E27" s="231"/>
      <c r="F27" s="275">
        <v>1.0999999999999999E-2</v>
      </c>
      <c r="G27" s="275">
        <v>229.72900000000001</v>
      </c>
      <c r="H27" s="508">
        <v>1</v>
      </c>
      <c r="I27" s="508"/>
      <c r="J27" s="508"/>
      <c r="K27" s="508"/>
      <c r="L27" s="508"/>
      <c r="M27" s="508"/>
      <c r="N27" s="230">
        <f t="shared" si="0"/>
        <v>1</v>
      </c>
      <c r="O27" s="4"/>
      <c r="P27" s="524"/>
    </row>
    <row r="28" spans="1:16" s="24" customFormat="1" ht="14" outlineLevel="1" x14ac:dyDescent="0.3">
      <c r="A28" s="804"/>
      <c r="B28" s="251">
        <v>7</v>
      </c>
      <c r="C28" s="233" t="s">
        <v>56</v>
      </c>
      <c r="D28" s="231" t="s">
        <v>34</v>
      </c>
      <c r="E28" s="231"/>
      <c r="F28" s="275">
        <v>743.42</v>
      </c>
      <c r="G28" s="275">
        <v>1924.15</v>
      </c>
      <c r="H28" s="508">
        <v>1</v>
      </c>
      <c r="I28" s="508"/>
      <c r="J28" s="508"/>
      <c r="K28" s="508"/>
      <c r="L28" s="508"/>
      <c r="M28" s="508"/>
      <c r="N28" s="230">
        <f t="shared" si="0"/>
        <v>1</v>
      </c>
      <c r="O28" s="4"/>
      <c r="P28" s="524"/>
    </row>
    <row r="29" spans="1:16" s="24" customFormat="1" ht="14" outlineLevel="1" x14ac:dyDescent="0.3">
      <c r="A29" s="804"/>
      <c r="B29" s="251">
        <v>8</v>
      </c>
      <c r="C29" s="233" t="s">
        <v>8</v>
      </c>
      <c r="D29" s="231" t="s">
        <v>34</v>
      </c>
      <c r="E29" s="231"/>
      <c r="F29" s="275">
        <v>0</v>
      </c>
      <c r="G29" s="275">
        <v>0</v>
      </c>
      <c r="H29" s="508">
        <v>1</v>
      </c>
      <c r="I29" s="508"/>
      <c r="J29" s="508"/>
      <c r="K29" s="508"/>
      <c r="L29" s="508"/>
      <c r="M29" s="508"/>
      <c r="N29" s="230">
        <f t="shared" si="0"/>
        <v>1</v>
      </c>
      <c r="O29" s="4"/>
      <c r="P29" s="524"/>
    </row>
    <row r="30" spans="1:16" s="24" customFormat="1" ht="14" outlineLevel="1" x14ac:dyDescent="0.3">
      <c r="A30" s="804"/>
      <c r="B30" s="251"/>
      <c r="C30" s="475" t="s">
        <v>255</v>
      </c>
      <c r="D30" s="231" t="s">
        <v>254</v>
      </c>
      <c r="E30" s="231"/>
      <c r="F30" s="237"/>
      <c r="G30" s="237"/>
      <c r="H30" s="508"/>
      <c r="I30" s="508"/>
      <c r="J30" s="508"/>
      <c r="K30" s="508"/>
      <c r="L30" s="508"/>
      <c r="M30" s="508"/>
      <c r="N30" s="230"/>
      <c r="O30" s="4"/>
      <c r="P30" s="524"/>
    </row>
    <row r="31" spans="1:16" s="24" customFormat="1" ht="14" outlineLevel="1" x14ac:dyDescent="0.3">
      <c r="A31" s="804"/>
      <c r="B31" s="251"/>
      <c r="C31" s="793"/>
      <c r="D31" s="793"/>
      <c r="E31" s="246"/>
      <c r="F31" s="237"/>
      <c r="G31" s="237"/>
      <c r="H31" s="508"/>
      <c r="I31" s="508"/>
      <c r="J31" s="508"/>
      <c r="K31" s="508"/>
      <c r="L31" s="508"/>
      <c r="M31" s="508"/>
      <c r="N31" s="230"/>
      <c r="O31" s="4"/>
      <c r="P31" s="524"/>
    </row>
    <row r="32" spans="1:16" s="24" customFormat="1" ht="14" outlineLevel="1" x14ac:dyDescent="0.3">
      <c r="A32" s="804"/>
      <c r="B32" s="251"/>
      <c r="C32" s="793"/>
      <c r="D32" s="793"/>
      <c r="E32" s="246"/>
      <c r="F32" s="276"/>
      <c r="G32" s="276"/>
      <c r="H32" s="508"/>
      <c r="I32" s="508"/>
      <c r="J32" s="508"/>
      <c r="K32" s="508"/>
      <c r="L32" s="508"/>
      <c r="M32" s="508"/>
      <c r="N32" s="230"/>
      <c r="O32" s="4"/>
      <c r="P32" s="524"/>
    </row>
    <row r="33" spans="1:28" s="18" customFormat="1" ht="20.25" customHeight="1" outlineLevel="1" x14ac:dyDescent="0.35">
      <c r="A33" s="804"/>
      <c r="B33" s="226"/>
      <c r="C33" s="803" t="s">
        <v>9</v>
      </c>
      <c r="D33" s="803"/>
      <c r="E33" s="227"/>
      <c r="F33" s="228"/>
      <c r="G33" s="228"/>
      <c r="H33" s="507"/>
      <c r="I33" s="507"/>
      <c r="J33" s="507"/>
      <c r="K33" s="507"/>
      <c r="L33" s="507"/>
      <c r="M33" s="507"/>
      <c r="N33" s="229"/>
      <c r="O33" s="124"/>
      <c r="P33" s="524"/>
      <c r="Q33" s="24"/>
    </row>
    <row r="34" spans="1:28" s="24" customFormat="1" ht="14" outlineLevel="1" x14ac:dyDescent="0.3">
      <c r="A34" s="804"/>
      <c r="B34" s="133">
        <v>9</v>
      </c>
      <c r="C34" s="235" t="s">
        <v>27</v>
      </c>
      <c r="D34" s="231" t="s">
        <v>34</v>
      </c>
      <c r="E34" s="530">
        <v>8.94</v>
      </c>
      <c r="F34" s="275">
        <v>7527.4579999999996</v>
      </c>
      <c r="G34" s="275">
        <v>43007031.737999998</v>
      </c>
      <c r="H34" s="508"/>
      <c r="I34" s="508"/>
      <c r="J34" s="508">
        <v>0.19733338304716341</v>
      </c>
      <c r="K34" s="508">
        <v>0.68169888607207652</v>
      </c>
      <c r="L34" s="508">
        <v>9.2455112934926323E-2</v>
      </c>
      <c r="M34" s="508">
        <v>2.8512617945833676E-2</v>
      </c>
      <c r="N34" s="230">
        <f t="shared" ref="N34:N40" si="1">SUM(H34:M34)</f>
        <v>1</v>
      </c>
      <c r="O34" s="4"/>
      <c r="P34" s="524"/>
      <c r="Q34" s="527"/>
      <c r="R34" s="527"/>
      <c r="S34" s="527"/>
      <c r="T34" s="527"/>
      <c r="U34" s="527"/>
      <c r="V34" s="527"/>
      <c r="W34" s="527"/>
      <c r="X34" s="527"/>
      <c r="Y34" s="527"/>
      <c r="Z34" s="527"/>
      <c r="AA34" s="527"/>
      <c r="AB34" s="527"/>
    </row>
    <row r="35" spans="1:28" s="24" customFormat="1" ht="14" outlineLevel="1" x14ac:dyDescent="0.3">
      <c r="A35" s="804"/>
      <c r="B35" s="133">
        <v>10</v>
      </c>
      <c r="C35" s="233" t="s">
        <v>25</v>
      </c>
      <c r="D35" s="231" t="s">
        <v>34</v>
      </c>
      <c r="E35" s="530">
        <v>8.94</v>
      </c>
      <c r="F35" s="275">
        <v>4902.8559999999998</v>
      </c>
      <c r="G35" s="275">
        <v>12683557.801999999</v>
      </c>
      <c r="H35" s="508"/>
      <c r="I35" s="508"/>
      <c r="J35" s="508">
        <v>0.95</v>
      </c>
      <c r="K35" s="508">
        <v>2.5000000000000001E-2</v>
      </c>
      <c r="L35" s="508">
        <v>2.5000000000000001E-2</v>
      </c>
      <c r="M35" s="508"/>
      <c r="N35" s="230">
        <f t="shared" si="1"/>
        <v>1</v>
      </c>
      <c r="O35" s="4"/>
      <c r="P35" s="524"/>
      <c r="Q35" s="527"/>
      <c r="R35" s="527"/>
      <c r="S35" s="527"/>
      <c r="T35" s="527"/>
      <c r="U35" s="527"/>
      <c r="V35" s="527"/>
      <c r="W35" s="527"/>
      <c r="X35" s="527"/>
      <c r="Y35" s="527"/>
      <c r="Z35" s="527"/>
      <c r="AA35" s="527"/>
      <c r="AB35" s="527"/>
    </row>
    <row r="36" spans="1:28" s="24" customFormat="1" ht="15" customHeight="1" outlineLevel="1" x14ac:dyDescent="0.3">
      <c r="A36" s="804"/>
      <c r="B36" s="133">
        <v>11</v>
      </c>
      <c r="C36" s="233" t="s">
        <v>28</v>
      </c>
      <c r="D36" s="231" t="s">
        <v>34</v>
      </c>
      <c r="E36" s="236">
        <v>3</v>
      </c>
      <c r="F36" s="275">
        <v>0</v>
      </c>
      <c r="G36" s="275">
        <v>0</v>
      </c>
      <c r="H36" s="508"/>
      <c r="I36" s="508"/>
      <c r="J36" s="508">
        <v>0</v>
      </c>
      <c r="K36" s="508">
        <v>0</v>
      </c>
      <c r="L36" s="508">
        <v>0</v>
      </c>
      <c r="M36" s="508"/>
      <c r="N36" s="230">
        <f t="shared" si="1"/>
        <v>0</v>
      </c>
      <c r="O36" s="4"/>
      <c r="P36" s="524"/>
      <c r="Q36" s="527"/>
      <c r="R36" s="527"/>
      <c r="S36" s="527"/>
      <c r="T36" s="527"/>
      <c r="U36" s="527"/>
      <c r="V36" s="527"/>
      <c r="W36" s="527"/>
      <c r="X36" s="527"/>
      <c r="Y36" s="527"/>
      <c r="Z36" s="527"/>
      <c r="AA36" s="527"/>
      <c r="AB36" s="527"/>
    </row>
    <row r="37" spans="1:28" s="24" customFormat="1" ht="14" outlineLevel="1" x14ac:dyDescent="0.3">
      <c r="A37" s="804"/>
      <c r="B37" s="133">
        <v>12</v>
      </c>
      <c r="C37" s="233" t="s">
        <v>29</v>
      </c>
      <c r="D37" s="231" t="s">
        <v>34</v>
      </c>
      <c r="E37" s="530">
        <v>8.94</v>
      </c>
      <c r="F37" s="275">
        <v>0</v>
      </c>
      <c r="G37" s="275">
        <v>0</v>
      </c>
      <c r="H37" s="508"/>
      <c r="I37" s="508"/>
      <c r="J37" s="508">
        <v>0.75</v>
      </c>
      <c r="K37" s="508">
        <v>0.25</v>
      </c>
      <c r="L37" s="508">
        <v>0</v>
      </c>
      <c r="M37" s="508"/>
      <c r="N37" s="230">
        <f t="shared" si="1"/>
        <v>1</v>
      </c>
      <c r="O37" s="4"/>
      <c r="P37" s="524"/>
      <c r="Q37" s="527"/>
      <c r="R37" s="527"/>
      <c r="S37" s="527"/>
      <c r="T37" s="527"/>
      <c r="U37" s="527"/>
      <c r="V37" s="527"/>
      <c r="W37" s="527"/>
      <c r="X37" s="527"/>
      <c r="Y37" s="527"/>
      <c r="Z37" s="527"/>
      <c r="AA37" s="527"/>
      <c r="AB37" s="527"/>
    </row>
    <row r="38" spans="1:28" s="24" customFormat="1" ht="14" outlineLevel="1" x14ac:dyDescent="0.3">
      <c r="A38" s="804"/>
      <c r="B38" s="133">
        <v>13</v>
      </c>
      <c r="C38" s="233" t="s">
        <v>23</v>
      </c>
      <c r="D38" s="231" t="s">
        <v>34</v>
      </c>
      <c r="E38" s="530">
        <v>8.94</v>
      </c>
      <c r="F38" s="275">
        <v>0</v>
      </c>
      <c r="G38" s="275">
        <v>0</v>
      </c>
      <c r="H38" s="508"/>
      <c r="I38" s="508"/>
      <c r="J38" s="508">
        <v>0.1</v>
      </c>
      <c r="K38" s="508">
        <v>0.4</v>
      </c>
      <c r="L38" s="508">
        <v>0.4</v>
      </c>
      <c r="M38" s="508">
        <v>0.1</v>
      </c>
      <c r="N38" s="230">
        <f t="shared" si="1"/>
        <v>1</v>
      </c>
      <c r="O38" s="4"/>
      <c r="P38" s="524"/>
      <c r="Q38" s="527"/>
      <c r="R38" s="527"/>
      <c r="S38" s="527"/>
      <c r="T38" s="527"/>
      <c r="U38" s="527"/>
      <c r="V38" s="527"/>
      <c r="W38" s="527"/>
      <c r="X38" s="527"/>
      <c r="Y38" s="527"/>
      <c r="Z38" s="527"/>
      <c r="AA38" s="527"/>
      <c r="AB38" s="527"/>
    </row>
    <row r="39" spans="1:28" s="24" customFormat="1" ht="28" outlineLevel="1" x14ac:dyDescent="0.3">
      <c r="A39" s="804"/>
      <c r="B39" s="133">
        <v>14</v>
      </c>
      <c r="C39" s="233" t="s">
        <v>57</v>
      </c>
      <c r="D39" s="530" t="s">
        <v>34</v>
      </c>
      <c r="E39" s="530">
        <v>0</v>
      </c>
      <c r="F39" s="275">
        <v>23.04</v>
      </c>
      <c r="G39" s="275">
        <v>84.24</v>
      </c>
      <c r="H39" s="508"/>
      <c r="I39" s="508"/>
      <c r="J39" s="508">
        <v>1</v>
      </c>
      <c r="K39" s="508">
        <v>0</v>
      </c>
      <c r="L39" s="508">
        <v>0</v>
      </c>
      <c r="M39" s="508"/>
      <c r="N39" s="230">
        <f t="shared" si="1"/>
        <v>1</v>
      </c>
      <c r="O39" s="4"/>
      <c r="P39" s="524"/>
      <c r="Q39" s="527"/>
      <c r="R39" s="527"/>
      <c r="S39" s="527"/>
      <c r="T39" s="527"/>
      <c r="U39" s="527"/>
      <c r="V39" s="527"/>
      <c r="W39" s="527"/>
      <c r="X39" s="527"/>
      <c r="Y39" s="527"/>
      <c r="Z39" s="527"/>
      <c r="AA39" s="527"/>
      <c r="AB39" s="527"/>
    </row>
    <row r="40" spans="1:28" s="24" customFormat="1" ht="14" outlineLevel="1" x14ac:dyDescent="0.3">
      <c r="A40" s="804"/>
      <c r="B40" s="251">
        <v>15</v>
      </c>
      <c r="C40" s="233" t="s">
        <v>10</v>
      </c>
      <c r="D40" s="231" t="s">
        <v>34</v>
      </c>
      <c r="E40" s="231">
        <v>0</v>
      </c>
      <c r="F40" s="275">
        <v>1915.2049999999999</v>
      </c>
      <c r="G40" s="275">
        <v>75009.55</v>
      </c>
      <c r="H40" s="508"/>
      <c r="I40" s="508"/>
      <c r="J40" s="508">
        <v>0</v>
      </c>
      <c r="K40" s="508">
        <v>0.28999999999999998</v>
      </c>
      <c r="L40" s="508">
        <v>0.46</v>
      </c>
      <c r="M40" s="508">
        <v>0.25</v>
      </c>
      <c r="N40" s="230">
        <f t="shared" si="1"/>
        <v>1</v>
      </c>
      <c r="O40" s="4"/>
      <c r="P40" s="524"/>
      <c r="Q40" s="527"/>
      <c r="R40" s="527"/>
      <c r="S40" s="527"/>
      <c r="T40" s="527"/>
      <c r="U40" s="527"/>
      <c r="V40" s="527"/>
      <c r="W40" s="527"/>
      <c r="X40" s="527"/>
      <c r="Y40" s="527"/>
      <c r="Z40" s="527"/>
      <c r="AA40" s="527"/>
      <c r="AB40" s="527"/>
    </row>
    <row r="41" spans="1:28" s="24" customFormat="1" ht="14" outlineLevel="1" x14ac:dyDescent="0.3">
      <c r="A41" s="804"/>
      <c r="B41" s="251"/>
      <c r="C41" s="234" t="s">
        <v>255</v>
      </c>
      <c r="D41" s="231" t="s">
        <v>254</v>
      </c>
      <c r="E41" s="231"/>
      <c r="F41" s="237"/>
      <c r="G41" s="237"/>
      <c r="H41" s="508"/>
      <c r="I41" s="508"/>
      <c r="J41" s="508"/>
      <c r="K41" s="508"/>
      <c r="L41" s="508"/>
      <c r="M41" s="508"/>
      <c r="N41" s="230"/>
      <c r="O41" s="4"/>
      <c r="P41" s="524"/>
      <c r="Q41" s="527"/>
      <c r="R41" s="527"/>
      <c r="S41" s="527"/>
      <c r="T41" s="527"/>
      <c r="U41" s="527"/>
      <c r="V41" s="527"/>
      <c r="W41" s="527"/>
      <c r="X41" s="527"/>
      <c r="Y41" s="527"/>
      <c r="Z41" s="527"/>
      <c r="AA41" s="527"/>
      <c r="AB41" s="527"/>
    </row>
    <row r="42" spans="1:28" s="24" customFormat="1" ht="14" outlineLevel="1" x14ac:dyDescent="0.3">
      <c r="A42" s="804"/>
      <c r="B42" s="251"/>
      <c r="C42" s="793"/>
      <c r="D42" s="793"/>
      <c r="E42" s="231"/>
      <c r="F42" s="237"/>
      <c r="G42" s="237"/>
      <c r="H42" s="508"/>
      <c r="I42" s="508"/>
      <c r="J42" s="508"/>
      <c r="K42" s="508"/>
      <c r="L42" s="508"/>
      <c r="M42" s="508"/>
      <c r="N42" s="230"/>
      <c r="O42" s="4"/>
      <c r="P42" s="524"/>
      <c r="Q42" s="527"/>
      <c r="R42" s="527"/>
      <c r="S42" s="527"/>
      <c r="T42" s="527"/>
      <c r="U42" s="527"/>
      <c r="V42" s="527"/>
      <c r="W42" s="527"/>
      <c r="X42" s="527"/>
      <c r="Y42" s="527"/>
      <c r="Z42" s="527"/>
      <c r="AA42" s="527"/>
      <c r="AB42" s="527"/>
    </row>
    <row r="43" spans="1:28" s="24" customFormat="1" ht="14" outlineLevel="1" x14ac:dyDescent="0.3">
      <c r="A43" s="804"/>
      <c r="B43" s="251"/>
      <c r="C43" s="793"/>
      <c r="D43" s="793"/>
      <c r="E43" s="231"/>
      <c r="F43" s="276"/>
      <c r="G43" s="276"/>
      <c r="H43" s="508"/>
      <c r="I43" s="508"/>
      <c r="J43" s="508"/>
      <c r="K43" s="508"/>
      <c r="L43" s="508"/>
      <c r="M43" s="508"/>
      <c r="N43" s="230"/>
      <c r="O43" s="4"/>
      <c r="P43" s="524"/>
      <c r="Q43" s="527"/>
      <c r="R43" s="527"/>
      <c r="S43" s="527"/>
      <c r="T43" s="527"/>
      <c r="U43" s="527"/>
      <c r="V43" s="527"/>
      <c r="W43" s="527"/>
      <c r="X43" s="527"/>
      <c r="Y43" s="527"/>
      <c r="Z43" s="527"/>
      <c r="AA43" s="527"/>
      <c r="AB43" s="527"/>
    </row>
    <row r="44" spans="1:28" s="18" customFormat="1" ht="18" customHeight="1" outlineLevel="1" x14ac:dyDescent="0.35">
      <c r="A44" s="804"/>
      <c r="B44" s="226"/>
      <c r="C44" s="803" t="s">
        <v>11</v>
      </c>
      <c r="D44" s="803"/>
      <c r="E44" s="227"/>
      <c r="F44" s="228"/>
      <c r="G44" s="228"/>
      <c r="H44" s="507"/>
      <c r="I44" s="507"/>
      <c r="J44" s="507"/>
      <c r="K44" s="507"/>
      <c r="L44" s="507"/>
      <c r="M44" s="507"/>
      <c r="N44" s="229"/>
      <c r="O44" s="124"/>
      <c r="P44" s="524"/>
      <c r="Q44" s="527"/>
      <c r="R44" s="527"/>
      <c r="S44" s="527"/>
      <c r="T44" s="527"/>
      <c r="U44" s="527"/>
      <c r="V44" s="527"/>
      <c r="W44" s="527"/>
      <c r="X44" s="527"/>
      <c r="Y44" s="527"/>
      <c r="Z44" s="527"/>
      <c r="AA44" s="527"/>
      <c r="AB44" s="527"/>
    </row>
    <row r="45" spans="1:28" s="24" customFormat="1" ht="14" outlineLevel="1" x14ac:dyDescent="0.3">
      <c r="A45" s="804"/>
      <c r="B45" s="133">
        <v>16</v>
      </c>
      <c r="C45" s="233" t="s">
        <v>12</v>
      </c>
      <c r="D45" s="231" t="s">
        <v>34</v>
      </c>
      <c r="E45" s="530">
        <v>8.94</v>
      </c>
      <c r="F45" s="275"/>
      <c r="G45" s="275"/>
      <c r="H45" s="508"/>
      <c r="I45" s="508"/>
      <c r="J45" s="508">
        <v>0</v>
      </c>
      <c r="K45" s="508">
        <v>0</v>
      </c>
      <c r="L45" s="508">
        <v>0</v>
      </c>
      <c r="M45" s="508"/>
      <c r="N45" s="230">
        <f>SUM(H45:M45)</f>
        <v>0</v>
      </c>
      <c r="O45" s="4"/>
      <c r="P45" s="524"/>
      <c r="Q45" s="527"/>
      <c r="R45" s="527"/>
      <c r="S45" s="527"/>
      <c r="T45" s="527"/>
      <c r="U45" s="527"/>
      <c r="V45" s="527"/>
      <c r="W45" s="527"/>
      <c r="X45" s="527"/>
      <c r="Y45" s="527"/>
      <c r="Z45" s="527"/>
      <c r="AA45" s="527"/>
      <c r="AB45" s="527"/>
    </row>
    <row r="46" spans="1:28" s="24" customFormat="1" ht="14" outlineLevel="1" x14ac:dyDescent="0.3">
      <c r="A46" s="804"/>
      <c r="B46" s="133">
        <v>17</v>
      </c>
      <c r="C46" s="233" t="s">
        <v>13</v>
      </c>
      <c r="D46" s="231" t="s">
        <v>34</v>
      </c>
      <c r="E46" s="530">
        <v>8.94</v>
      </c>
      <c r="F46" s="237"/>
      <c r="G46" s="237"/>
      <c r="H46" s="508"/>
      <c r="I46" s="508"/>
      <c r="J46" s="508">
        <v>0</v>
      </c>
      <c r="K46" s="508">
        <v>0</v>
      </c>
      <c r="L46" s="508">
        <v>0</v>
      </c>
      <c r="M46" s="508"/>
      <c r="N46" s="230">
        <f>SUM(H46:M46)</f>
        <v>0</v>
      </c>
      <c r="O46" s="4"/>
      <c r="P46" s="524"/>
      <c r="Q46" s="527"/>
      <c r="R46" s="527"/>
      <c r="S46" s="527"/>
      <c r="T46" s="527"/>
      <c r="U46" s="527"/>
      <c r="V46" s="527"/>
      <c r="W46" s="527"/>
      <c r="X46" s="527"/>
      <c r="Y46" s="527"/>
      <c r="Z46" s="527"/>
      <c r="AA46" s="527"/>
      <c r="AB46" s="527"/>
    </row>
    <row r="47" spans="1:28" s="24" customFormat="1" ht="14" outlineLevel="1" x14ac:dyDescent="0.3">
      <c r="A47" s="804"/>
      <c r="B47" s="133">
        <v>18</v>
      </c>
      <c r="C47" s="233" t="s">
        <v>14</v>
      </c>
      <c r="D47" s="231" t="s">
        <v>34</v>
      </c>
      <c r="E47" s="530">
        <v>8.94</v>
      </c>
      <c r="F47" s="237"/>
      <c r="G47" s="237"/>
      <c r="H47" s="508"/>
      <c r="I47" s="508"/>
      <c r="J47" s="508">
        <v>0</v>
      </c>
      <c r="K47" s="508">
        <v>0.1</v>
      </c>
      <c r="L47" s="508">
        <v>0.4</v>
      </c>
      <c r="M47" s="508">
        <v>0.5</v>
      </c>
      <c r="N47" s="230">
        <f>SUM(H47:M47)</f>
        <v>1</v>
      </c>
      <c r="O47" s="4"/>
      <c r="P47" s="524"/>
      <c r="Q47" s="527"/>
      <c r="R47" s="527"/>
      <c r="S47" s="527"/>
      <c r="T47" s="527"/>
      <c r="U47" s="527"/>
      <c r="V47" s="527"/>
      <c r="W47" s="527"/>
      <c r="X47" s="527"/>
      <c r="Y47" s="527"/>
      <c r="Z47" s="527"/>
      <c r="AA47" s="527"/>
      <c r="AB47" s="527"/>
    </row>
    <row r="48" spans="1:28" s="24" customFormat="1" ht="14" outlineLevel="1" x14ac:dyDescent="0.3">
      <c r="A48" s="804"/>
      <c r="B48" s="133">
        <v>19</v>
      </c>
      <c r="C48" s="235" t="s">
        <v>27</v>
      </c>
      <c r="D48" s="231" t="s">
        <v>34</v>
      </c>
      <c r="E48" s="530">
        <v>8.94</v>
      </c>
      <c r="F48" s="237">
        <v>521.58799999999997</v>
      </c>
      <c r="G48" s="237">
        <v>3017531.8689999999</v>
      </c>
      <c r="H48" s="508"/>
      <c r="I48" s="508"/>
      <c r="J48" s="508">
        <v>0.19733338304716341</v>
      </c>
      <c r="K48" s="508">
        <v>0.68169888607207652</v>
      </c>
      <c r="L48" s="508">
        <v>9.2455112934926323E-2</v>
      </c>
      <c r="M48" s="508">
        <v>2.8512617945833676E-2</v>
      </c>
      <c r="N48" s="230">
        <f>SUM(H48:M48)</f>
        <v>1</v>
      </c>
      <c r="O48" s="4"/>
      <c r="P48" s="524"/>
      <c r="Q48" s="527"/>
      <c r="R48" s="527"/>
      <c r="S48" s="527"/>
      <c r="T48" s="527"/>
      <c r="U48" s="527"/>
      <c r="V48" s="527"/>
      <c r="W48" s="527"/>
      <c r="X48" s="527"/>
      <c r="Y48" s="527"/>
      <c r="Z48" s="527"/>
      <c r="AA48" s="527"/>
      <c r="AB48" s="527"/>
    </row>
    <row r="49" spans="1:28" s="24" customFormat="1" ht="14" outlineLevel="1" x14ac:dyDescent="0.3">
      <c r="A49" s="804"/>
      <c r="B49" s="133">
        <v>20</v>
      </c>
      <c r="C49" s="233" t="s">
        <v>10</v>
      </c>
      <c r="D49" s="231" t="s">
        <v>34</v>
      </c>
      <c r="E49" s="231">
        <v>0</v>
      </c>
      <c r="F49" s="237">
        <v>10023.790000000001</v>
      </c>
      <c r="G49" s="237">
        <v>588385.4</v>
      </c>
      <c r="H49" s="508"/>
      <c r="I49" s="508"/>
      <c r="J49" s="508"/>
      <c r="K49" s="508">
        <v>0.09</v>
      </c>
      <c r="L49" s="508">
        <v>0.06</v>
      </c>
      <c r="M49" s="508">
        <v>0.85</v>
      </c>
      <c r="N49" s="230">
        <f>SUM(H49:M49)</f>
        <v>1</v>
      </c>
      <c r="O49" s="4"/>
      <c r="P49" s="524"/>
      <c r="Q49" s="527"/>
      <c r="R49" s="527"/>
      <c r="S49" s="527"/>
      <c r="T49" s="527"/>
      <c r="U49" s="527"/>
      <c r="V49" s="527"/>
      <c r="W49" s="527"/>
      <c r="X49" s="527"/>
      <c r="Y49" s="527"/>
      <c r="Z49" s="527"/>
      <c r="AA49" s="527"/>
      <c r="AB49" s="527"/>
    </row>
    <row r="50" spans="1:28" s="24" customFormat="1" ht="14" outlineLevel="1" x14ac:dyDescent="0.3">
      <c r="A50" s="804"/>
      <c r="B50" s="133"/>
      <c r="C50" s="234" t="s">
        <v>255</v>
      </c>
      <c r="D50" s="231" t="s">
        <v>254</v>
      </c>
      <c r="E50" s="231"/>
      <c r="F50" s="237"/>
      <c r="G50" s="237"/>
      <c r="H50" s="508"/>
      <c r="I50" s="508"/>
      <c r="J50" s="508"/>
      <c r="K50" s="508"/>
      <c r="L50" s="508"/>
      <c r="M50" s="508"/>
      <c r="N50" s="230"/>
      <c r="O50" s="4"/>
      <c r="P50" s="524"/>
      <c r="Q50" s="527"/>
      <c r="R50" s="527"/>
      <c r="S50" s="527"/>
      <c r="T50" s="527"/>
      <c r="U50" s="527"/>
      <c r="V50" s="527"/>
      <c r="W50" s="527"/>
      <c r="X50" s="527"/>
      <c r="Y50" s="527"/>
      <c r="Z50" s="527"/>
      <c r="AA50" s="527"/>
      <c r="AB50" s="527"/>
    </row>
    <row r="51" spans="1:28" s="24" customFormat="1" ht="14" outlineLevel="1" x14ac:dyDescent="0.3">
      <c r="A51" s="804"/>
      <c r="B51" s="133"/>
      <c r="C51" s="793"/>
      <c r="D51" s="793"/>
      <c r="E51" s="246"/>
      <c r="F51" s="237"/>
      <c r="G51" s="237"/>
      <c r="H51" s="508"/>
      <c r="I51" s="508"/>
      <c r="J51" s="508"/>
      <c r="K51" s="508"/>
      <c r="L51" s="508"/>
      <c r="M51" s="508"/>
      <c r="N51" s="230"/>
      <c r="O51" s="4"/>
      <c r="P51" s="524"/>
      <c r="Q51" s="527"/>
      <c r="R51" s="527"/>
      <c r="S51" s="527"/>
      <c r="T51" s="527"/>
      <c r="U51" s="527"/>
      <c r="V51" s="527"/>
      <c r="W51" s="527"/>
      <c r="X51" s="527"/>
      <c r="Y51" s="527"/>
      <c r="Z51" s="527"/>
      <c r="AA51" s="527"/>
      <c r="AB51" s="527"/>
    </row>
    <row r="52" spans="1:28" s="24" customFormat="1" ht="14" outlineLevel="1" x14ac:dyDescent="0.3">
      <c r="A52" s="804"/>
      <c r="B52" s="133"/>
      <c r="C52" s="793"/>
      <c r="D52" s="793"/>
      <c r="E52" s="246"/>
      <c r="F52" s="276"/>
      <c r="G52" s="276"/>
      <c r="H52" s="508"/>
      <c r="I52" s="508"/>
      <c r="J52" s="508"/>
      <c r="K52" s="508"/>
      <c r="L52" s="508"/>
      <c r="M52" s="508"/>
      <c r="N52" s="230"/>
      <c r="O52" s="4"/>
      <c r="P52" s="524"/>
      <c r="Q52" s="527"/>
      <c r="R52" s="527"/>
      <c r="S52" s="527"/>
      <c r="T52" s="527"/>
      <c r="U52" s="527"/>
      <c r="V52" s="527"/>
      <c r="W52" s="527"/>
      <c r="X52" s="527"/>
      <c r="Y52" s="527"/>
      <c r="Z52" s="527"/>
      <c r="AA52" s="527"/>
      <c r="AB52" s="527"/>
    </row>
    <row r="53" spans="1:28" s="18" customFormat="1" ht="20.25" customHeight="1" outlineLevel="1" x14ac:dyDescent="0.35">
      <c r="A53" s="804"/>
      <c r="B53" s="226"/>
      <c r="C53" s="803" t="s">
        <v>15</v>
      </c>
      <c r="D53" s="803"/>
      <c r="E53" s="227"/>
      <c r="F53" s="228"/>
      <c r="G53" s="228"/>
      <c r="H53" s="507"/>
      <c r="I53" s="507"/>
      <c r="J53" s="507"/>
      <c r="K53" s="507"/>
      <c r="L53" s="507"/>
      <c r="M53" s="507"/>
      <c r="N53" s="229"/>
      <c r="O53" s="124"/>
      <c r="P53" s="524"/>
      <c r="Q53" s="527"/>
      <c r="R53" s="527"/>
      <c r="S53" s="527"/>
      <c r="T53" s="527"/>
      <c r="U53" s="527"/>
      <c r="V53" s="527"/>
      <c r="W53" s="527"/>
      <c r="X53" s="527"/>
      <c r="Y53" s="527"/>
      <c r="Z53" s="527"/>
      <c r="AA53" s="527"/>
      <c r="AB53" s="527"/>
    </row>
    <row r="54" spans="1:28" s="24" customFormat="1" ht="14" outlineLevel="1" x14ac:dyDescent="0.3">
      <c r="A54" s="804"/>
      <c r="B54" s="251">
        <v>21</v>
      </c>
      <c r="C54" s="233" t="s">
        <v>15</v>
      </c>
      <c r="D54" s="231" t="s">
        <v>34</v>
      </c>
      <c r="E54" s="231"/>
      <c r="F54" s="275">
        <v>0</v>
      </c>
      <c r="G54" s="275">
        <v>0</v>
      </c>
      <c r="H54" s="508">
        <v>0.05</v>
      </c>
      <c r="I54" s="508">
        <v>2.5000000000000001E-2</v>
      </c>
      <c r="J54" s="508">
        <v>0</v>
      </c>
      <c r="K54" s="508">
        <v>0.9</v>
      </c>
      <c r="L54" s="508">
        <v>2.5000000000000001E-2</v>
      </c>
      <c r="M54" s="508"/>
      <c r="N54" s="230">
        <f>SUM(H54:M54)</f>
        <v>1</v>
      </c>
      <c r="O54" s="4"/>
      <c r="P54" s="524"/>
      <c r="Q54" s="527"/>
      <c r="R54" s="527"/>
      <c r="S54" s="527"/>
      <c r="T54" s="527"/>
      <c r="U54" s="527"/>
      <c r="V54" s="527"/>
      <c r="W54" s="527"/>
      <c r="X54" s="527"/>
      <c r="Y54" s="527"/>
      <c r="Z54" s="527"/>
      <c r="AA54" s="527"/>
      <c r="AB54" s="527"/>
    </row>
    <row r="55" spans="1:28" s="24" customFormat="1" ht="14" outlineLevel="1" x14ac:dyDescent="0.3">
      <c r="A55" s="804"/>
      <c r="B55" s="251"/>
      <c r="C55" s="234" t="s">
        <v>255</v>
      </c>
      <c r="D55" s="231" t="s">
        <v>254</v>
      </c>
      <c r="E55" s="231"/>
      <c r="F55" s="237"/>
      <c r="G55" s="237"/>
      <c r="H55" s="508"/>
      <c r="I55" s="508"/>
      <c r="J55" s="508"/>
      <c r="K55" s="508"/>
      <c r="L55" s="508"/>
      <c r="M55" s="508"/>
      <c r="N55" s="230"/>
      <c r="O55" s="4"/>
      <c r="P55" s="524"/>
      <c r="Q55" s="527"/>
      <c r="R55" s="527"/>
      <c r="S55" s="527"/>
      <c r="T55" s="527"/>
      <c r="U55" s="527"/>
      <c r="V55" s="527"/>
      <c r="W55" s="527"/>
      <c r="X55" s="527"/>
      <c r="Y55" s="527"/>
      <c r="Z55" s="527"/>
      <c r="AA55" s="527"/>
      <c r="AB55" s="527"/>
    </row>
    <row r="56" spans="1:28" s="24" customFormat="1" ht="14" outlineLevel="1" x14ac:dyDescent="0.3">
      <c r="A56" s="804"/>
      <c r="B56" s="251"/>
      <c r="C56" s="793"/>
      <c r="D56" s="793"/>
      <c r="E56" s="246"/>
      <c r="F56" s="237"/>
      <c r="G56" s="237"/>
      <c r="H56" s="508"/>
      <c r="I56" s="508"/>
      <c r="J56" s="508"/>
      <c r="K56" s="508"/>
      <c r="L56" s="508"/>
      <c r="M56" s="508"/>
      <c r="N56" s="230"/>
      <c r="O56" s="4"/>
      <c r="P56" s="524"/>
      <c r="Q56" s="527"/>
      <c r="R56" s="527"/>
      <c r="S56" s="527"/>
      <c r="T56" s="527"/>
      <c r="U56" s="527"/>
      <c r="V56" s="527"/>
      <c r="W56" s="527"/>
      <c r="X56" s="527"/>
      <c r="Y56" s="527"/>
      <c r="Z56" s="527"/>
      <c r="AA56" s="527"/>
      <c r="AB56" s="527"/>
    </row>
    <row r="57" spans="1:28" s="24" customFormat="1" ht="14" outlineLevel="1" x14ac:dyDescent="0.3">
      <c r="A57" s="804"/>
      <c r="B57" s="251"/>
      <c r="C57" s="793"/>
      <c r="D57" s="793"/>
      <c r="E57" s="246"/>
      <c r="F57" s="276"/>
      <c r="G57" s="276"/>
      <c r="H57" s="508"/>
      <c r="I57" s="508"/>
      <c r="J57" s="508"/>
      <c r="K57" s="508"/>
      <c r="L57" s="508"/>
      <c r="M57" s="508"/>
      <c r="N57" s="230"/>
      <c r="O57" s="4"/>
      <c r="P57" s="524"/>
      <c r="Q57" s="527"/>
      <c r="R57" s="527"/>
      <c r="S57" s="527"/>
      <c r="T57" s="527"/>
      <c r="U57" s="527"/>
      <c r="V57" s="527"/>
      <c r="W57" s="527"/>
      <c r="X57" s="527"/>
      <c r="Y57" s="527"/>
      <c r="Z57" s="527"/>
      <c r="AA57" s="527"/>
      <c r="AB57" s="527"/>
    </row>
    <row r="58" spans="1:28" s="18" customFormat="1" ht="18.75" customHeight="1" outlineLevel="1" x14ac:dyDescent="0.35">
      <c r="A58" s="804"/>
      <c r="B58" s="226"/>
      <c r="C58" s="803" t="s">
        <v>16</v>
      </c>
      <c r="D58" s="803"/>
      <c r="E58" s="227"/>
      <c r="F58" s="228"/>
      <c r="G58" s="228"/>
      <c r="H58" s="507"/>
      <c r="I58" s="507"/>
      <c r="J58" s="507"/>
      <c r="K58" s="507"/>
      <c r="L58" s="507"/>
      <c r="M58" s="507"/>
      <c r="N58" s="229"/>
      <c r="O58" s="124"/>
      <c r="P58" s="524"/>
      <c r="Q58" s="527"/>
      <c r="R58" s="527"/>
      <c r="S58" s="527"/>
      <c r="T58" s="527"/>
      <c r="U58" s="527"/>
      <c r="V58" s="527"/>
      <c r="W58" s="527"/>
      <c r="X58" s="527"/>
      <c r="Y58" s="527"/>
      <c r="Z58" s="527"/>
      <c r="AA58" s="527"/>
      <c r="AB58" s="527"/>
    </row>
    <row r="59" spans="1:28" s="24" customFormat="1" ht="14" outlineLevel="1" x14ac:dyDescent="0.3">
      <c r="A59" s="804"/>
      <c r="B59" s="251">
        <v>22</v>
      </c>
      <c r="C59" s="233" t="s">
        <v>17</v>
      </c>
      <c r="D59" s="231" t="s">
        <v>34</v>
      </c>
      <c r="E59" s="231"/>
      <c r="F59" s="275"/>
      <c r="G59" s="275"/>
      <c r="H59" s="508"/>
      <c r="I59" s="508"/>
      <c r="J59" s="508"/>
      <c r="K59" s="508"/>
      <c r="L59" s="508"/>
      <c r="M59" s="508"/>
      <c r="N59" s="230">
        <f>SUM(H59:M59)</f>
        <v>0</v>
      </c>
      <c r="O59" s="4"/>
      <c r="P59" s="524"/>
      <c r="Q59" s="527"/>
      <c r="R59" s="527"/>
      <c r="S59" s="527"/>
      <c r="T59" s="527"/>
      <c r="U59" s="527"/>
      <c r="V59" s="527"/>
      <c r="W59" s="527"/>
      <c r="X59" s="527"/>
      <c r="Y59" s="527"/>
      <c r="Z59" s="527"/>
      <c r="AA59" s="527"/>
      <c r="AB59" s="527"/>
    </row>
    <row r="60" spans="1:28" s="24" customFormat="1" ht="14" outlineLevel="1" x14ac:dyDescent="0.3">
      <c r="A60" s="804"/>
      <c r="B60" s="251">
        <v>23</v>
      </c>
      <c r="C60" s="233" t="s">
        <v>18</v>
      </c>
      <c r="D60" s="231" t="s">
        <v>34</v>
      </c>
      <c r="E60" s="530">
        <v>8.94</v>
      </c>
      <c r="F60" s="237">
        <v>16.451000000000001</v>
      </c>
      <c r="G60" s="237">
        <v>84493.966</v>
      </c>
      <c r="H60" s="508"/>
      <c r="I60" s="508"/>
      <c r="J60" s="508">
        <v>0.10109914886421284</v>
      </c>
      <c r="K60" s="508">
        <v>0.35363282791274453</v>
      </c>
      <c r="L60" s="508">
        <v>0.27800574939405898</v>
      </c>
      <c r="M60" s="508">
        <v>0.26726227382898371</v>
      </c>
      <c r="N60" s="230">
        <f>SUM(H60:M60)</f>
        <v>1</v>
      </c>
      <c r="O60" s="4"/>
      <c r="P60" s="524"/>
      <c r="Q60" s="527"/>
      <c r="R60" s="527"/>
      <c r="S60" s="527"/>
      <c r="T60" s="527"/>
      <c r="U60" s="527"/>
      <c r="V60" s="527"/>
      <c r="W60" s="527"/>
      <c r="X60" s="527"/>
      <c r="Y60" s="527"/>
      <c r="Z60" s="527"/>
      <c r="AA60" s="527"/>
      <c r="AB60" s="527"/>
    </row>
    <row r="61" spans="1:28" s="24" customFormat="1" ht="14" outlineLevel="1" x14ac:dyDescent="0.3">
      <c r="A61" s="804"/>
      <c r="B61" s="251">
        <v>24</v>
      </c>
      <c r="C61" s="233" t="s">
        <v>19</v>
      </c>
      <c r="D61" s="231" t="s">
        <v>34</v>
      </c>
      <c r="E61" s="530">
        <v>8.94</v>
      </c>
      <c r="F61" s="237">
        <v>15804.964</v>
      </c>
      <c r="G61" s="237">
        <v>86964886.206</v>
      </c>
      <c r="H61" s="508"/>
      <c r="I61" s="508"/>
      <c r="J61" s="508">
        <v>0.10109914886421284</v>
      </c>
      <c r="K61" s="508">
        <v>0.35363282791274453</v>
      </c>
      <c r="L61" s="508">
        <v>0.27800574939405898</v>
      </c>
      <c r="M61" s="508">
        <v>0.26726227382898371</v>
      </c>
      <c r="N61" s="230">
        <f>SUM(H61:M61)</f>
        <v>1</v>
      </c>
      <c r="O61" s="4"/>
      <c r="P61" s="524"/>
      <c r="Q61" s="527"/>
      <c r="R61" s="527"/>
      <c r="S61" s="527"/>
      <c r="T61" s="527"/>
      <c r="U61" s="527"/>
      <c r="V61" s="527"/>
      <c r="W61" s="527"/>
      <c r="X61" s="527"/>
      <c r="Y61" s="527"/>
      <c r="Z61" s="527"/>
      <c r="AA61" s="527"/>
      <c r="AB61" s="527"/>
    </row>
    <row r="62" spans="1:28" s="24" customFormat="1" ht="14" outlineLevel="1" x14ac:dyDescent="0.3">
      <c r="A62" s="804"/>
      <c r="B62" s="251">
        <v>25</v>
      </c>
      <c r="C62" s="233" t="s">
        <v>20</v>
      </c>
      <c r="D62" s="231" t="s">
        <v>34</v>
      </c>
      <c r="E62" s="231">
        <v>8.94</v>
      </c>
      <c r="F62" s="237">
        <v>1905.518</v>
      </c>
      <c r="G62" s="237">
        <v>7400834.5630000001</v>
      </c>
      <c r="H62" s="508"/>
      <c r="I62" s="508"/>
      <c r="J62" s="508">
        <v>0.10109914886421284</v>
      </c>
      <c r="K62" s="508">
        <v>0.35363282791274453</v>
      </c>
      <c r="L62" s="508">
        <v>0.27800574939405898</v>
      </c>
      <c r="M62" s="508">
        <v>0.26726227382898371</v>
      </c>
      <c r="N62" s="230">
        <f>SUM(H62:M62)</f>
        <v>1</v>
      </c>
      <c r="O62" s="4"/>
      <c r="P62" s="524"/>
      <c r="Q62" s="527"/>
      <c r="R62" s="527"/>
      <c r="S62" s="527"/>
      <c r="T62" s="527"/>
      <c r="U62" s="527"/>
      <c r="V62" s="527"/>
      <c r="W62" s="527"/>
      <c r="X62" s="527"/>
      <c r="Y62" s="527"/>
      <c r="Z62" s="527"/>
      <c r="AA62" s="527"/>
      <c r="AB62" s="527"/>
    </row>
    <row r="63" spans="1:28" s="24" customFormat="1" ht="14" outlineLevel="1" x14ac:dyDescent="0.3">
      <c r="A63" s="804"/>
      <c r="B63" s="251"/>
      <c r="C63" s="234" t="s">
        <v>255</v>
      </c>
      <c r="D63" s="231" t="s">
        <v>254</v>
      </c>
      <c r="E63" s="231"/>
      <c r="F63" s="237"/>
      <c r="G63" s="237"/>
      <c r="H63" s="508"/>
      <c r="I63" s="508"/>
      <c r="J63" s="508"/>
      <c r="K63" s="508"/>
      <c r="L63" s="508"/>
      <c r="M63" s="508"/>
      <c r="N63" s="230"/>
      <c r="O63" s="4"/>
      <c r="P63" s="524"/>
      <c r="Q63" s="527"/>
      <c r="R63" s="527"/>
      <c r="S63" s="527"/>
      <c r="T63" s="527"/>
      <c r="U63" s="527"/>
      <c r="V63" s="527"/>
      <c r="W63" s="527"/>
      <c r="X63" s="527"/>
      <c r="Y63" s="527"/>
      <c r="Z63" s="527"/>
      <c r="AA63" s="527"/>
      <c r="AB63" s="527"/>
    </row>
    <row r="64" spans="1:28" s="24" customFormat="1" ht="14" outlineLevel="1" x14ac:dyDescent="0.3">
      <c r="A64" s="804"/>
      <c r="B64" s="251"/>
      <c r="C64" s="793" t="s">
        <v>485</v>
      </c>
      <c r="D64" s="793"/>
      <c r="E64" s="246"/>
      <c r="F64" s="237">
        <v>0</v>
      </c>
      <c r="G64" s="237">
        <v>0</v>
      </c>
      <c r="H64" s="508"/>
      <c r="I64" s="508"/>
      <c r="J64" s="508"/>
      <c r="K64" s="508"/>
      <c r="L64" s="508"/>
      <c r="M64" s="508"/>
      <c r="N64" s="230"/>
      <c r="O64" s="4"/>
      <c r="P64" s="524"/>
      <c r="Q64" s="527"/>
      <c r="R64" s="527"/>
      <c r="S64" s="527"/>
      <c r="T64" s="527"/>
      <c r="U64" s="527"/>
      <c r="V64" s="527"/>
      <c r="W64" s="527"/>
      <c r="X64" s="527"/>
      <c r="Y64" s="527"/>
      <c r="Z64" s="527"/>
      <c r="AA64" s="527"/>
      <c r="AB64" s="527"/>
    </row>
    <row r="65" spans="1:28" s="24" customFormat="1" ht="14" outlineLevel="1" x14ac:dyDescent="0.3">
      <c r="A65" s="804"/>
      <c r="B65" s="251"/>
      <c r="C65" s="793"/>
      <c r="D65" s="793"/>
      <c r="E65" s="246"/>
      <c r="F65" s="237"/>
      <c r="G65" s="237"/>
      <c r="H65" s="272"/>
      <c r="I65" s="273"/>
      <c r="J65" s="273"/>
      <c r="K65" s="273"/>
      <c r="L65" s="273"/>
      <c r="M65" s="273"/>
      <c r="N65" s="230"/>
      <c r="O65" s="4"/>
      <c r="P65" s="527"/>
      <c r="Q65" s="527"/>
      <c r="R65" s="527"/>
      <c r="S65" s="527"/>
      <c r="T65" s="527"/>
      <c r="U65" s="527"/>
      <c r="V65" s="527"/>
      <c r="W65" s="527"/>
      <c r="X65" s="527"/>
      <c r="Y65" s="527"/>
      <c r="Z65" s="527"/>
      <c r="AA65" s="527"/>
      <c r="AB65" s="527"/>
    </row>
    <row r="66" spans="1:28" s="24" customFormat="1" ht="14" outlineLevel="1" x14ac:dyDescent="0.3">
      <c r="A66" s="804"/>
      <c r="B66" s="251"/>
      <c r="C66" s="802"/>
      <c r="D66" s="802"/>
      <c r="E66" s="331"/>
      <c r="F66" s="276"/>
      <c r="G66" s="276"/>
      <c r="H66" s="272"/>
      <c r="I66" s="273"/>
      <c r="J66" s="273"/>
      <c r="K66" s="273"/>
      <c r="L66" s="273"/>
      <c r="M66" s="273"/>
      <c r="N66" s="230"/>
      <c r="O66" s="4"/>
      <c r="P66" s="527"/>
      <c r="Q66" s="527"/>
      <c r="R66" s="527"/>
      <c r="S66" s="527"/>
      <c r="T66" s="527"/>
      <c r="U66" s="527"/>
      <c r="V66" s="527"/>
      <c r="W66" s="527"/>
      <c r="X66" s="527"/>
      <c r="Y66" s="527"/>
      <c r="Z66" s="527"/>
      <c r="AA66" s="527"/>
      <c r="AB66" s="527"/>
    </row>
    <row r="67" spans="1:28" s="24" customFormat="1" ht="14" x14ac:dyDescent="0.3">
      <c r="A67" s="804"/>
      <c r="B67" s="332"/>
      <c r="C67" s="808" t="s">
        <v>222</v>
      </c>
      <c r="D67" s="808"/>
      <c r="E67" s="333"/>
      <c r="F67" s="334">
        <f>SUM(F22:F65)</f>
        <v>49825.165999999997</v>
      </c>
      <c r="G67" s="334">
        <f>SUM(G22:G65)</f>
        <v>172919701.086</v>
      </c>
      <c r="H67" s="335">
        <f>SUMPRODUCT(G22:G66,H22:H66)</f>
        <v>18727799.935499996</v>
      </c>
      <c r="I67" s="533">
        <f>SUMPRODUCT($G22:$G66,I$22:I$66)</f>
        <v>370085.81650000002</v>
      </c>
      <c r="J67" s="335">
        <f>SUMPRODUCT($G22:$G66,J$22:J$66)</f>
        <v>30680483.311489299</v>
      </c>
      <c r="K67" s="336"/>
      <c r="L67" s="333"/>
      <c r="M67" s="333"/>
      <c r="N67" s="337">
        <f>SUM(H67:M67)</f>
        <v>49778369.063489296</v>
      </c>
      <c r="O67" s="4"/>
    </row>
    <row r="68" spans="1:28" s="24" customFormat="1" ht="14" x14ac:dyDescent="0.3">
      <c r="A68" s="804"/>
      <c r="B68" s="468"/>
      <c r="C68" s="469" t="s">
        <v>481</v>
      </c>
      <c r="D68" s="469"/>
      <c r="E68" s="470"/>
      <c r="F68" s="471"/>
      <c r="G68" s="471"/>
      <c r="H68" s="472">
        <f>H67-(G28*H28)</f>
        <v>18725875.785499997</v>
      </c>
      <c r="I68" s="472">
        <f>I67-SUM(K39*I39,K40*I40)</f>
        <v>370085.81650000002</v>
      </c>
      <c r="J68" s="472">
        <f>J67-SUM(G39*J39,G40*J40)</f>
        <v>30680399.071489301</v>
      </c>
      <c r="K68" s="473"/>
      <c r="L68" s="470"/>
      <c r="M68" s="470"/>
      <c r="N68" s="534">
        <f>SUM(H68:M68)</f>
        <v>49776360.673489302</v>
      </c>
      <c r="O68" s="4"/>
    </row>
    <row r="69" spans="1:28" s="24" customFormat="1" ht="14" x14ac:dyDescent="0.3">
      <c r="A69" s="804"/>
      <c r="B69" s="252"/>
      <c r="C69" s="793" t="s">
        <v>318</v>
      </c>
      <c r="D69" s="793"/>
      <c r="E69" s="247"/>
      <c r="F69" s="245"/>
      <c r="G69" s="245"/>
      <c r="H69" s="247"/>
      <c r="I69" s="247"/>
      <c r="J69" s="247"/>
      <c r="K69" s="248">
        <f>SUMPRODUCT($E34:$E64,$F34:$F64,K34:K64)</f>
        <v>106193.09750002473</v>
      </c>
      <c r="L69" s="531">
        <f>SUMPRODUCT($E34:$E64,$F34:$F64,L34:L64)</f>
        <v>51806.72918164092</v>
      </c>
      <c r="M69" s="531">
        <f>SUMPRODUCT($E34:$E64,$F34:$F64,M34:M64)</f>
        <v>44407.123767483165</v>
      </c>
      <c r="N69" s="253">
        <f>SUM(H69:M69)</f>
        <v>202406.9504491488</v>
      </c>
      <c r="O69" s="4"/>
    </row>
    <row r="70" spans="1:28" s="24" customFormat="1" ht="14" x14ac:dyDescent="0.3">
      <c r="A70" s="804"/>
      <c r="B70" s="252"/>
      <c r="C70" s="793" t="s">
        <v>477</v>
      </c>
      <c r="D70" s="793"/>
      <c r="E70" s="247"/>
      <c r="F70" s="245"/>
      <c r="G70" s="245"/>
      <c r="H70" s="247"/>
      <c r="I70" s="247"/>
      <c r="J70" s="247"/>
      <c r="K70" s="248">
        <f>K69-($E$36*$F$36*K36)</f>
        <v>106193.09750002473</v>
      </c>
      <c r="L70" s="248">
        <f>L69-($E$36*$F$36*L36)</f>
        <v>51806.72918164092</v>
      </c>
      <c r="M70" s="531">
        <f>M69-($E$36*$F$36*M36)</f>
        <v>44407.123767483165</v>
      </c>
      <c r="N70" s="532">
        <f>SUM(H70:M70)</f>
        <v>202406.9504491488</v>
      </c>
      <c r="O70" s="4"/>
    </row>
    <row r="71" spans="1:28" s="24" customFormat="1" ht="14" x14ac:dyDescent="0.3">
      <c r="A71" s="804"/>
      <c r="B71" s="254"/>
      <c r="C71" s="809"/>
      <c r="D71" s="809"/>
      <c r="E71" s="240"/>
      <c r="F71" s="238"/>
      <c r="G71" s="238"/>
      <c r="H71" s="238"/>
      <c r="I71" s="240"/>
      <c r="J71" s="238"/>
      <c r="K71" s="238"/>
      <c r="L71" s="240"/>
      <c r="M71" s="240"/>
      <c r="N71" s="255"/>
      <c r="O71" s="4"/>
    </row>
    <row r="72" spans="1:28" s="6" customFormat="1" ht="14" hidden="1" x14ac:dyDescent="0.3">
      <c r="A72" s="804"/>
      <c r="B72" s="254"/>
      <c r="C72" s="791" t="s">
        <v>320</v>
      </c>
      <c r="D72" s="791"/>
      <c r="E72" s="231"/>
      <c r="F72" s="242"/>
      <c r="G72" s="231"/>
      <c r="H72" s="243">
        <f>'3.  Distribution Rates'!E33</f>
        <v>0</v>
      </c>
      <c r="I72" s="243">
        <f>'3.  Distribution Rates'!E37</f>
        <v>0</v>
      </c>
      <c r="J72" s="243">
        <f>'3.  Distribution Rates'!E34</f>
        <v>0</v>
      </c>
      <c r="K72" s="243">
        <f>'3.  Distribution Rates'!E35</f>
        <v>0</v>
      </c>
      <c r="L72" s="243">
        <f>'3.  Distribution Rates'!E36</f>
        <v>0</v>
      </c>
      <c r="M72" s="243"/>
      <c r="N72" s="256"/>
      <c r="O72" s="125"/>
    </row>
    <row r="73" spans="1:28" s="24" customFormat="1" ht="14" hidden="1" x14ac:dyDescent="0.3">
      <c r="A73" s="804"/>
      <c r="B73" s="254"/>
      <c r="C73" s="809" t="s">
        <v>58</v>
      </c>
      <c r="D73" s="809"/>
      <c r="E73" s="240"/>
      <c r="F73" s="242"/>
      <c r="G73" s="231"/>
      <c r="H73" s="244">
        <f>H67*H72</f>
        <v>0</v>
      </c>
      <c r="I73" s="244">
        <f>I69*I72</f>
        <v>0</v>
      </c>
      <c r="J73" s="244">
        <f>J67*J72</f>
        <v>0</v>
      </c>
      <c r="K73" s="244">
        <f>K69*K72</f>
        <v>0</v>
      </c>
      <c r="L73" s="244">
        <f>L69*L72</f>
        <v>0</v>
      </c>
      <c r="M73" s="240"/>
      <c r="N73" s="257">
        <f>SUM(H73:M73)</f>
        <v>0</v>
      </c>
      <c r="O73" s="4"/>
    </row>
    <row r="74" spans="1:28" s="24" customFormat="1" ht="14" x14ac:dyDescent="0.3">
      <c r="A74" s="804"/>
      <c r="B74" s="254"/>
      <c r="C74" s="791" t="s">
        <v>59</v>
      </c>
      <c r="D74" s="791"/>
      <c r="E74" s="240"/>
      <c r="F74" s="238"/>
      <c r="G74" s="238"/>
      <c r="H74" s="530">
        <f>H68*'6.  Persistence Rates'!$E$25</f>
        <v>18712580.718669102</v>
      </c>
      <c r="I74" s="530">
        <f>I68*'6.  Persistence Rates'!$E$25</f>
        <v>369823.06159764482</v>
      </c>
      <c r="J74" s="530">
        <f>J68*'6.  Persistence Rates'!$E$25</f>
        <v>30658616.487821311</v>
      </c>
      <c r="K74" s="530">
        <f>K70*'6.  Persistence Rates'!$Q$25</f>
        <v>106068.04786036498</v>
      </c>
      <c r="L74" s="530">
        <f>L70*'6.  Persistence Rates'!$Q$25</f>
        <v>51745.723212621961</v>
      </c>
      <c r="M74" s="530">
        <f>M70*'6.  Persistence Rates'!$Q$25</f>
        <v>44354.831340233381</v>
      </c>
      <c r="N74" s="255"/>
      <c r="O74" s="4"/>
      <c r="S74" s="530"/>
    </row>
    <row r="75" spans="1:28" s="24" customFormat="1" ht="14" x14ac:dyDescent="0.3">
      <c r="A75" s="804"/>
      <c r="B75" s="254"/>
      <c r="C75" s="791" t="s">
        <v>60</v>
      </c>
      <c r="D75" s="791"/>
      <c r="E75" s="240"/>
      <c r="F75" s="238"/>
      <c r="G75" s="238"/>
      <c r="H75" s="530">
        <f>H68*'6.  Persistence Rates'!$F$25</f>
        <v>18591585.770955261</v>
      </c>
      <c r="I75" s="530">
        <f>I68*'6.  Persistence Rates'!$F$25</f>
        <v>367431.79752380511</v>
      </c>
      <c r="J75" s="530">
        <f>J68*'6.  Persistence Rates'!$F$25</f>
        <v>30460378.855359334</v>
      </c>
      <c r="K75" s="530">
        <f>K70*'6.  Persistence Rates'!$R$25</f>
        <v>104958.04671218769</v>
      </c>
      <c r="L75" s="530">
        <f>L70*'6.  Persistence Rates'!$R$25</f>
        <v>51204.20469372841</v>
      </c>
      <c r="M75" s="530">
        <f>M70*'6.  Persistence Rates'!$R$25</f>
        <v>43890.658437007289</v>
      </c>
      <c r="N75" s="255"/>
      <c r="O75" s="4"/>
      <c r="S75" s="530"/>
    </row>
    <row r="76" spans="1:28" s="24" customFormat="1" ht="14" x14ac:dyDescent="0.3">
      <c r="A76" s="804"/>
      <c r="B76" s="258"/>
      <c r="C76" s="792" t="s">
        <v>61</v>
      </c>
      <c r="D76" s="792"/>
      <c r="E76" s="259"/>
      <c r="F76" s="260"/>
      <c r="G76" s="260"/>
      <c r="H76" s="501">
        <f>H68*'6.  Persistence Rates'!$G$25</f>
        <v>18144024.046123382</v>
      </c>
      <c r="I76" s="501">
        <f>I68*'6.  Persistence Rates'!$G$25</f>
        <v>358586.48378436378</v>
      </c>
      <c r="J76" s="501">
        <f>J68*'6.  Persistence Rates'!$G$25</f>
        <v>29727095.53743843</v>
      </c>
      <c r="K76" s="501">
        <f>K70*'6.  Persistence Rates'!$S$25</f>
        <v>100681.10929846327</v>
      </c>
      <c r="L76" s="501">
        <f>L70*'6.  Persistence Rates'!$S$25</f>
        <v>49117.683596445255</v>
      </c>
      <c r="M76" s="501">
        <f>M70*'6.  Persistence Rates'!$S$25</f>
        <v>42102.157173288193</v>
      </c>
      <c r="N76" s="261"/>
      <c r="O76" s="4"/>
      <c r="S76" s="530"/>
    </row>
    <row r="77" spans="1:28" s="24" customFormat="1" ht="14" hidden="1" x14ac:dyDescent="0.3">
      <c r="A77" s="225"/>
      <c r="B77" s="254"/>
      <c r="C77" s="493" t="s">
        <v>396</v>
      </c>
      <c r="D77" s="493"/>
      <c r="E77" s="240"/>
      <c r="F77" s="238"/>
      <c r="G77" s="238"/>
      <c r="H77" s="231">
        <f>$H$68*'6.  Persistence Rates'!$H$25</f>
        <v>0</v>
      </c>
      <c r="I77" s="530">
        <f>$H$68*'6.  Persistence Rates'!$H$25</f>
        <v>0</v>
      </c>
      <c r="J77" s="231">
        <f>$J$68*'6.  Persistence Rates'!$H$25</f>
        <v>0</v>
      </c>
      <c r="K77" s="231">
        <f>$K$70*'6.  Persistence Rates'!$T$25</f>
        <v>0</v>
      </c>
      <c r="L77" s="231">
        <f>$L$70*'6.  Persistence Rates'!$T$25</f>
        <v>0</v>
      </c>
      <c r="M77" s="530">
        <f>$K$70*'6.  Persistence Rates'!$T$25</f>
        <v>0</v>
      </c>
      <c r="N77" s="255"/>
      <c r="O77" s="4"/>
    </row>
    <row r="78" spans="1:28" s="24" customFormat="1" ht="14" hidden="1" x14ac:dyDescent="0.3">
      <c r="A78" s="225"/>
      <c r="B78" s="254"/>
      <c r="C78" s="493" t="s">
        <v>397</v>
      </c>
      <c r="D78" s="493"/>
      <c r="E78" s="240"/>
      <c r="F78" s="238"/>
      <c r="G78" s="238"/>
      <c r="H78" s="231">
        <f>$H$68*'6.  Persistence Rates'!$I$25</f>
        <v>0</v>
      </c>
      <c r="I78" s="530">
        <f>$H$68*'6.  Persistence Rates'!$I$25</f>
        <v>0</v>
      </c>
      <c r="J78" s="231">
        <f>$J$68*'6.  Persistence Rates'!$I$25</f>
        <v>0</v>
      </c>
      <c r="K78" s="231">
        <f>$K$70*'6.  Persistence Rates'!$U$25</f>
        <v>0</v>
      </c>
      <c r="L78" s="231">
        <f>$L$70*'6.  Persistence Rates'!$U$25</f>
        <v>0</v>
      </c>
      <c r="M78" s="530">
        <f>$K$70*'6.  Persistence Rates'!$U$25</f>
        <v>0</v>
      </c>
      <c r="N78" s="255"/>
      <c r="O78" s="4"/>
    </row>
    <row r="79" spans="1:28" s="24" customFormat="1" ht="14" hidden="1" x14ac:dyDescent="0.3">
      <c r="A79" s="225"/>
      <c r="B79" s="254"/>
      <c r="C79" s="493" t="s">
        <v>398</v>
      </c>
      <c r="D79" s="493"/>
      <c r="E79" s="240"/>
      <c r="F79" s="238"/>
      <c r="G79" s="238"/>
      <c r="H79" s="231">
        <f>$H$68*'6.  Persistence Rates'!$J$25</f>
        <v>0</v>
      </c>
      <c r="I79" s="530">
        <f>$H$68*'6.  Persistence Rates'!$J$25</f>
        <v>0</v>
      </c>
      <c r="J79" s="231">
        <f>$J$68*'6.  Persistence Rates'!$J$25</f>
        <v>0</v>
      </c>
      <c r="K79" s="231">
        <f>$K$70*'6.  Persistence Rates'!$V$25</f>
        <v>0</v>
      </c>
      <c r="L79" s="231">
        <f>$L$70*'6.  Persistence Rates'!$V$25</f>
        <v>0</v>
      </c>
      <c r="M79" s="530">
        <f>$K$70*'6.  Persistence Rates'!$V$25</f>
        <v>0</v>
      </c>
      <c r="N79" s="255"/>
      <c r="O79" s="4"/>
    </row>
    <row r="80" spans="1:28" s="24" customFormat="1" ht="14" hidden="1" x14ac:dyDescent="0.3">
      <c r="A80" s="225"/>
      <c r="B80" s="254"/>
      <c r="C80" s="493" t="s">
        <v>399</v>
      </c>
      <c r="D80" s="493"/>
      <c r="E80" s="240"/>
      <c r="F80" s="238"/>
      <c r="G80" s="238"/>
      <c r="H80" s="231">
        <f>$H$68*'6.  Persistence Rates'!$K$25</f>
        <v>0</v>
      </c>
      <c r="I80" s="530">
        <f>$H$68*'6.  Persistence Rates'!$K$25</f>
        <v>0</v>
      </c>
      <c r="J80" s="231">
        <f>$J$68*'6.  Persistence Rates'!$K$25</f>
        <v>0</v>
      </c>
      <c r="K80" s="231">
        <f>$K$70*'6.  Persistence Rates'!$W$25</f>
        <v>0</v>
      </c>
      <c r="L80" s="231">
        <f>$L$70*'6.  Persistence Rates'!$W$25</f>
        <v>0</v>
      </c>
      <c r="M80" s="530">
        <f>$K$70*'6.  Persistence Rates'!$W$25</f>
        <v>0</v>
      </c>
      <c r="N80" s="255"/>
      <c r="O80" s="4"/>
    </row>
    <row r="81" spans="1:16" s="24" customFormat="1" ht="14" hidden="1" x14ac:dyDescent="0.3">
      <c r="A81" s="225"/>
      <c r="B81" s="254"/>
      <c r="C81" s="493" t="s">
        <v>400</v>
      </c>
      <c r="D81" s="493"/>
      <c r="E81" s="240"/>
      <c r="F81" s="238"/>
      <c r="G81" s="238"/>
      <c r="H81" s="231">
        <f>$H$68*'6.  Persistence Rates'!$L$25</f>
        <v>0</v>
      </c>
      <c r="I81" s="530">
        <f>$H$68*'6.  Persistence Rates'!$L$25</f>
        <v>0</v>
      </c>
      <c r="J81" s="231">
        <f>$J$68*'6.  Persistence Rates'!$L$25</f>
        <v>0</v>
      </c>
      <c r="K81" s="231">
        <f>$K$70*'6.  Persistence Rates'!$X$25</f>
        <v>0</v>
      </c>
      <c r="L81" s="231">
        <f>$L$70*'6.  Persistence Rates'!$X$25</f>
        <v>0</v>
      </c>
      <c r="M81" s="530">
        <f>$K$70*'6.  Persistence Rates'!$X$25</f>
        <v>0</v>
      </c>
      <c r="N81" s="255"/>
      <c r="O81" s="4"/>
    </row>
    <row r="82" spans="1:16" hidden="1" x14ac:dyDescent="0.35">
      <c r="B82" s="376"/>
      <c r="C82" s="494" t="s">
        <v>401</v>
      </c>
      <c r="D82" s="377"/>
      <c r="E82" s="377"/>
      <c r="F82" s="378"/>
      <c r="G82" s="378"/>
      <c r="H82" s="501">
        <f>$H$68*'6.  Persistence Rates'!$M$25</f>
        <v>0</v>
      </c>
      <c r="I82" s="501">
        <f>$H$68*'6.  Persistence Rates'!$M$25</f>
        <v>0</v>
      </c>
      <c r="J82" s="501">
        <f>$J$68*'6.  Persistence Rates'!$M$25</f>
        <v>0</v>
      </c>
      <c r="K82" s="501">
        <f>$K$70*'6.  Persistence Rates'!$Y$25</f>
        <v>0</v>
      </c>
      <c r="L82" s="501">
        <f>$L$70*'6.  Persistence Rates'!$Y$25</f>
        <v>0</v>
      </c>
      <c r="M82" s="501">
        <f>$K$70*'6.  Persistence Rates'!$Y$25</f>
        <v>0</v>
      </c>
      <c r="N82" s="379"/>
      <c r="O82" s="129"/>
    </row>
    <row r="83" spans="1:16" x14ac:dyDescent="0.35">
      <c r="B83" s="63"/>
      <c r="C83" s="241"/>
      <c r="D83" s="127"/>
      <c r="E83" s="127"/>
      <c r="F83" s="128"/>
      <c r="G83" s="128"/>
      <c r="H83" s="60"/>
      <c r="I83" s="60"/>
      <c r="J83" s="60"/>
      <c r="K83" s="60"/>
      <c r="L83" s="60"/>
      <c r="M83" s="60"/>
      <c r="N83" s="60"/>
      <c r="O83" s="129"/>
    </row>
    <row r="84" spans="1:16" x14ac:dyDescent="0.35">
      <c r="B84" s="63"/>
      <c r="C84" s="126"/>
      <c r="D84" s="63"/>
      <c r="E84" s="63"/>
      <c r="F84" s="60"/>
      <c r="G84" s="60"/>
      <c r="H84" s="60"/>
      <c r="I84" s="60"/>
      <c r="J84" s="60"/>
      <c r="K84" s="60"/>
      <c r="L84" s="60"/>
      <c r="M84" s="60"/>
      <c r="N84" s="60"/>
      <c r="O84" s="60"/>
    </row>
    <row r="85" spans="1:16" x14ac:dyDescent="0.35">
      <c r="B85" s="794" t="s">
        <v>356</v>
      </c>
      <c r="C85" s="794"/>
      <c r="D85" s="794"/>
      <c r="E85" s="794"/>
      <c r="F85" s="794"/>
      <c r="G85" s="794"/>
      <c r="H85" s="794"/>
      <c r="I85" s="794"/>
      <c r="J85" s="794"/>
      <c r="K85" s="794"/>
      <c r="L85" s="794"/>
      <c r="M85" s="794"/>
      <c r="N85" s="794"/>
      <c r="O85" s="60"/>
    </row>
    <row r="86" spans="1:16" ht="18" x14ac:dyDescent="0.4">
      <c r="B86" s="130"/>
      <c r="C86" s="131"/>
      <c r="D86" s="130"/>
      <c r="E86" s="130"/>
      <c r="F86" s="87"/>
      <c r="G86" s="130"/>
      <c r="H86" s="130"/>
      <c r="I86" s="130"/>
      <c r="J86" s="130"/>
      <c r="K86" s="130"/>
      <c r="L86" s="130"/>
      <c r="M86" s="130"/>
      <c r="N86" s="130"/>
      <c r="O86" s="60"/>
    </row>
    <row r="87" spans="1:16" ht="42" x14ac:dyDescent="0.35">
      <c r="B87" s="798" t="s">
        <v>54</v>
      </c>
      <c r="C87" s="800" t="s">
        <v>0</v>
      </c>
      <c r="D87" s="800" t="s">
        <v>45</v>
      </c>
      <c r="E87" s="800" t="s">
        <v>201</v>
      </c>
      <c r="F87" s="250" t="s">
        <v>46</v>
      </c>
      <c r="G87" s="250" t="s">
        <v>198</v>
      </c>
      <c r="H87" s="795" t="s">
        <v>55</v>
      </c>
      <c r="I87" s="796"/>
      <c r="J87" s="796"/>
      <c r="K87" s="796"/>
      <c r="L87" s="796"/>
      <c r="M87" s="796"/>
      <c r="N87" s="797"/>
      <c r="O87" s="60"/>
    </row>
    <row r="88" spans="1:16" ht="42" x14ac:dyDescent="0.35">
      <c r="B88" s="799"/>
      <c r="C88" s="801"/>
      <c r="D88" s="801"/>
      <c r="E88" s="801"/>
      <c r="F88" s="122" t="s">
        <v>89</v>
      </c>
      <c r="G88" s="122" t="s">
        <v>90</v>
      </c>
      <c r="H88" s="122" t="s">
        <v>38</v>
      </c>
      <c r="I88" s="199" t="s">
        <v>488</v>
      </c>
      <c r="J88" s="122" t="s">
        <v>40</v>
      </c>
      <c r="K88" s="122" t="s">
        <v>104</v>
      </c>
      <c r="L88" s="122" t="s">
        <v>105</v>
      </c>
      <c r="M88" s="199" t="s">
        <v>511</v>
      </c>
      <c r="N88" s="359" t="s">
        <v>35</v>
      </c>
      <c r="O88" s="60"/>
    </row>
    <row r="89" spans="1:16" s="18" customFormat="1" ht="19.5" customHeight="1" outlineLevel="1" x14ac:dyDescent="0.35">
      <c r="A89" s="40"/>
      <c r="B89" s="353"/>
      <c r="C89" s="805" t="s">
        <v>1</v>
      </c>
      <c r="D89" s="805"/>
      <c r="E89" s="354"/>
      <c r="F89" s="355"/>
      <c r="G89" s="355"/>
      <c r="H89" s="355"/>
      <c r="I89" s="355"/>
      <c r="J89" s="355"/>
      <c r="K89" s="355"/>
      <c r="L89" s="355"/>
      <c r="M89" s="355"/>
      <c r="N89" s="356"/>
      <c r="O89" s="124"/>
    </row>
    <row r="90" spans="1:16" ht="14.5" outlineLevel="1" x14ac:dyDescent="0.35">
      <c r="A90" s="807">
        <v>2012</v>
      </c>
      <c r="B90" s="251">
        <v>1</v>
      </c>
      <c r="C90" s="233" t="s">
        <v>2</v>
      </c>
      <c r="D90" s="231" t="s">
        <v>34</v>
      </c>
      <c r="E90" s="231"/>
      <c r="F90" s="275">
        <v>161.31899999999999</v>
      </c>
      <c r="G90" s="275">
        <v>1091608.6329999999</v>
      </c>
      <c r="H90" s="510">
        <v>0.97499999999999998</v>
      </c>
      <c r="I90" s="510">
        <v>2.5000000000000001E-2</v>
      </c>
      <c r="J90" s="510"/>
      <c r="K90" s="510"/>
      <c r="L90" s="510"/>
      <c r="M90" s="510"/>
      <c r="N90" s="511">
        <f t="shared" ref="N90:N98" si="2">SUM(H90:M90)</f>
        <v>1</v>
      </c>
      <c r="O90" s="60"/>
      <c r="P90" s="522"/>
    </row>
    <row r="91" spans="1:16" ht="14.5" outlineLevel="1" x14ac:dyDescent="0.35">
      <c r="A91" s="807"/>
      <c r="B91" s="251">
        <v>2</v>
      </c>
      <c r="C91" s="233" t="s">
        <v>3</v>
      </c>
      <c r="D91" s="231" t="s">
        <v>34</v>
      </c>
      <c r="E91" s="231"/>
      <c r="F91" s="275">
        <v>82.795000000000002</v>
      </c>
      <c r="G91" s="275">
        <v>143607.42499999999</v>
      </c>
      <c r="H91" s="510">
        <v>0.97499999999999998</v>
      </c>
      <c r="I91" s="510">
        <v>2.5000000000000001E-2</v>
      </c>
      <c r="J91" s="510"/>
      <c r="K91" s="510"/>
      <c r="L91" s="510"/>
      <c r="M91" s="510"/>
      <c r="N91" s="511">
        <f t="shared" si="2"/>
        <v>1</v>
      </c>
      <c r="O91" s="60"/>
      <c r="P91" s="522"/>
    </row>
    <row r="92" spans="1:16" ht="14.5" outlineLevel="1" x14ac:dyDescent="0.35">
      <c r="A92" s="807"/>
      <c r="B92" s="251">
        <v>3</v>
      </c>
      <c r="C92" s="233" t="s">
        <v>4</v>
      </c>
      <c r="D92" s="231" t="s">
        <v>34</v>
      </c>
      <c r="E92" s="231"/>
      <c r="F92" s="275">
        <v>2820.5239999999999</v>
      </c>
      <c r="G92" s="275">
        <v>4781806.3720000004</v>
      </c>
      <c r="H92" s="510">
        <v>1</v>
      </c>
      <c r="I92" s="510"/>
      <c r="J92" s="510"/>
      <c r="K92" s="510"/>
      <c r="L92" s="510"/>
      <c r="M92" s="510"/>
      <c r="N92" s="511">
        <f t="shared" si="2"/>
        <v>1</v>
      </c>
      <c r="O92" s="60"/>
      <c r="P92" s="522"/>
    </row>
    <row r="93" spans="1:16" ht="14.5" outlineLevel="1" x14ac:dyDescent="0.35">
      <c r="A93" s="807"/>
      <c r="B93" s="251">
        <v>4</v>
      </c>
      <c r="C93" s="233" t="s">
        <v>5</v>
      </c>
      <c r="D93" s="231" t="s">
        <v>34</v>
      </c>
      <c r="E93" s="231"/>
      <c r="F93" s="275">
        <v>29.488</v>
      </c>
      <c r="G93" s="275">
        <v>178940.82</v>
      </c>
      <c r="H93" s="510">
        <v>0.95</v>
      </c>
      <c r="I93" s="510">
        <v>0.05</v>
      </c>
      <c r="J93" s="510"/>
      <c r="K93" s="510"/>
      <c r="L93" s="510"/>
      <c r="M93" s="510"/>
      <c r="N93" s="511">
        <f t="shared" si="2"/>
        <v>1</v>
      </c>
      <c r="O93" s="60"/>
      <c r="P93" s="522"/>
    </row>
    <row r="94" spans="1:16" ht="14.5" outlineLevel="1" x14ac:dyDescent="0.35">
      <c r="A94" s="807"/>
      <c r="B94" s="251">
        <v>5</v>
      </c>
      <c r="C94" s="233" t="s">
        <v>6</v>
      </c>
      <c r="D94" s="231" t="s">
        <v>34</v>
      </c>
      <c r="E94" s="231"/>
      <c r="F94" s="275">
        <v>189.40700000000001</v>
      </c>
      <c r="G94" s="275">
        <v>3427498.5049999999</v>
      </c>
      <c r="H94" s="510">
        <v>0.95</v>
      </c>
      <c r="I94" s="510">
        <v>0.05</v>
      </c>
      <c r="J94" s="510"/>
      <c r="K94" s="510"/>
      <c r="L94" s="510"/>
      <c r="M94" s="510"/>
      <c r="N94" s="511">
        <f t="shared" si="2"/>
        <v>1</v>
      </c>
      <c r="O94" s="60"/>
      <c r="P94" s="522"/>
    </row>
    <row r="95" spans="1:16" ht="14.5" outlineLevel="1" x14ac:dyDescent="0.35">
      <c r="A95" s="807"/>
      <c r="B95" s="251">
        <v>6</v>
      </c>
      <c r="C95" s="233" t="s">
        <v>7</v>
      </c>
      <c r="D95" s="231" t="s">
        <v>34</v>
      </c>
      <c r="E95" s="231"/>
      <c r="F95" s="275">
        <v>0</v>
      </c>
      <c r="G95" s="275">
        <v>0</v>
      </c>
      <c r="H95" s="510">
        <v>1</v>
      </c>
      <c r="I95" s="510"/>
      <c r="J95" s="510"/>
      <c r="K95" s="510"/>
      <c r="L95" s="510"/>
      <c r="M95" s="510"/>
      <c r="N95" s="511">
        <f t="shared" si="2"/>
        <v>1</v>
      </c>
      <c r="O95" s="60"/>
      <c r="P95" s="522"/>
    </row>
    <row r="96" spans="1:16" ht="28" outlineLevel="1" x14ac:dyDescent="0.35">
      <c r="A96" s="807"/>
      <c r="B96" s="251">
        <v>7</v>
      </c>
      <c r="C96" s="233" t="s">
        <v>33</v>
      </c>
      <c r="D96" s="231" t="s">
        <v>34</v>
      </c>
      <c r="E96" s="231"/>
      <c r="F96" s="275">
        <v>22939.696</v>
      </c>
      <c r="G96" s="275">
        <v>168943.44899999999</v>
      </c>
      <c r="H96" s="510">
        <v>1</v>
      </c>
      <c r="I96" s="510"/>
      <c r="J96" s="510"/>
      <c r="K96" s="510"/>
      <c r="L96" s="510"/>
      <c r="M96" s="510"/>
      <c r="N96" s="511">
        <f t="shared" si="2"/>
        <v>1</v>
      </c>
      <c r="O96" s="60"/>
      <c r="P96" s="522"/>
    </row>
    <row r="97" spans="1:17" ht="14.5" outlineLevel="1" x14ac:dyDescent="0.35">
      <c r="A97" s="807"/>
      <c r="B97" s="251">
        <v>8</v>
      </c>
      <c r="C97" s="233" t="s">
        <v>26</v>
      </c>
      <c r="D97" s="231" t="s">
        <v>34</v>
      </c>
      <c r="E97" s="231"/>
      <c r="F97" s="275">
        <v>0</v>
      </c>
      <c r="G97" s="275">
        <v>0</v>
      </c>
      <c r="H97" s="510"/>
      <c r="I97" s="510"/>
      <c r="J97" s="510"/>
      <c r="K97" s="510"/>
      <c r="L97" s="510"/>
      <c r="M97" s="510"/>
      <c r="N97" s="511">
        <f t="shared" si="2"/>
        <v>0</v>
      </c>
      <c r="O97" s="60"/>
      <c r="P97" s="522"/>
    </row>
    <row r="98" spans="1:17" ht="14.5" outlineLevel="1" x14ac:dyDescent="0.35">
      <c r="A98" s="807"/>
      <c r="B98" s="251">
        <v>9</v>
      </c>
      <c r="C98" s="233" t="s">
        <v>8</v>
      </c>
      <c r="D98" s="231" t="s">
        <v>34</v>
      </c>
      <c r="E98" s="231"/>
      <c r="F98" s="275">
        <v>0</v>
      </c>
      <c r="G98" s="275">
        <v>0</v>
      </c>
      <c r="H98" s="510"/>
      <c r="I98" s="510"/>
      <c r="J98" s="510"/>
      <c r="K98" s="510"/>
      <c r="L98" s="510"/>
      <c r="M98" s="510"/>
      <c r="N98" s="511">
        <f t="shared" si="2"/>
        <v>0</v>
      </c>
      <c r="O98" s="60"/>
      <c r="P98" s="522"/>
    </row>
    <row r="99" spans="1:17" ht="14.5" outlineLevel="1" x14ac:dyDescent="0.35">
      <c r="A99" s="807"/>
      <c r="B99" s="251"/>
      <c r="C99" s="234" t="s">
        <v>256</v>
      </c>
      <c r="D99" s="231" t="s">
        <v>254</v>
      </c>
      <c r="E99" s="231"/>
      <c r="F99" s="275"/>
      <c r="G99" s="275"/>
      <c r="H99" s="510"/>
      <c r="I99" s="510"/>
      <c r="J99" s="510"/>
      <c r="K99" s="510"/>
      <c r="L99" s="510"/>
      <c r="M99" s="510"/>
      <c r="N99" s="511"/>
      <c r="O99" s="60"/>
      <c r="P99" s="522"/>
    </row>
    <row r="100" spans="1:17" ht="14.5" outlineLevel="1" x14ac:dyDescent="0.35">
      <c r="A100" s="807"/>
      <c r="B100" s="251"/>
      <c r="C100" s="793"/>
      <c r="D100" s="793"/>
      <c r="E100" s="246"/>
      <c r="F100" s="275"/>
      <c r="G100" s="275"/>
      <c r="H100" s="510"/>
      <c r="I100" s="510"/>
      <c r="J100" s="510"/>
      <c r="K100" s="510"/>
      <c r="L100" s="510"/>
      <c r="M100" s="510"/>
      <c r="N100" s="511"/>
      <c r="O100" s="60"/>
      <c r="P100" s="522"/>
    </row>
    <row r="101" spans="1:17" ht="14.5" outlineLevel="1" x14ac:dyDescent="0.35">
      <c r="A101" s="807"/>
      <c r="B101" s="251"/>
      <c r="C101" s="793"/>
      <c r="D101" s="793"/>
      <c r="E101" s="246"/>
      <c r="F101" s="275"/>
      <c r="G101" s="275"/>
      <c r="H101" s="272"/>
      <c r="I101" s="274"/>
      <c r="J101" s="274"/>
      <c r="K101" s="274"/>
      <c r="L101" s="274"/>
      <c r="M101" s="274"/>
      <c r="N101" s="511"/>
      <c r="O101" s="60"/>
      <c r="P101" s="522"/>
    </row>
    <row r="102" spans="1:17" s="18" customFormat="1" ht="18.75" customHeight="1" outlineLevel="1" x14ac:dyDescent="0.35">
      <c r="A102" s="807"/>
      <c r="B102" s="226"/>
      <c r="C102" s="803" t="s">
        <v>9</v>
      </c>
      <c r="D102" s="803"/>
      <c r="E102" s="227"/>
      <c r="F102" s="228"/>
      <c r="G102" s="228"/>
      <c r="H102" s="227"/>
      <c r="I102" s="227"/>
      <c r="J102" s="227"/>
      <c r="K102" s="227"/>
      <c r="L102" s="227"/>
      <c r="M102" s="227"/>
      <c r="N102" s="512"/>
      <c r="O102" s="124"/>
      <c r="P102" s="522"/>
      <c r="Q102" s="24"/>
    </row>
    <row r="103" spans="1:17" ht="14.5" outlineLevel="1" x14ac:dyDescent="0.35">
      <c r="A103" s="807"/>
      <c r="B103" s="133">
        <v>10</v>
      </c>
      <c r="C103" s="235" t="s">
        <v>27</v>
      </c>
      <c r="D103" s="231" t="s">
        <v>34</v>
      </c>
      <c r="E103" s="231">
        <v>8.94</v>
      </c>
      <c r="F103" s="275">
        <v>15972.5</v>
      </c>
      <c r="G103" s="275">
        <v>80294445.268999994</v>
      </c>
      <c r="H103" s="528"/>
      <c r="I103" s="523"/>
      <c r="J103" s="523">
        <v>0.19733338304716341</v>
      </c>
      <c r="K103" s="523">
        <v>0.68169888607207652</v>
      </c>
      <c r="L103" s="523">
        <v>9.2455112934926323E-2</v>
      </c>
      <c r="M103" s="523">
        <v>2.8512617945833676E-2</v>
      </c>
      <c r="N103" s="511">
        <f t="shared" ref="N103:N110" si="3">SUM(H103:M103)</f>
        <v>1</v>
      </c>
      <c r="O103" s="60"/>
      <c r="P103" s="522"/>
    </row>
    <row r="104" spans="1:17" ht="14.5" outlineLevel="1" x14ac:dyDescent="0.35">
      <c r="A104" s="807"/>
      <c r="B104" s="133">
        <v>11</v>
      </c>
      <c r="C104" s="233" t="s">
        <v>25</v>
      </c>
      <c r="D104" s="231" t="s">
        <v>34</v>
      </c>
      <c r="E104" s="530">
        <v>8.94</v>
      </c>
      <c r="F104" s="275">
        <v>2502.1060000000002</v>
      </c>
      <c r="G104" s="275">
        <v>9383019.8680000007</v>
      </c>
      <c r="H104" s="528"/>
      <c r="I104" s="523"/>
      <c r="J104" s="525">
        <v>0.95</v>
      </c>
      <c r="K104" s="525">
        <v>2.5000000000000001E-2</v>
      </c>
      <c r="L104" s="525">
        <v>2.5000000000000001E-2</v>
      </c>
      <c r="M104" s="523"/>
      <c r="N104" s="511">
        <f t="shared" si="3"/>
        <v>1</v>
      </c>
      <c r="O104" s="60"/>
      <c r="P104" s="522"/>
    </row>
    <row r="105" spans="1:17" ht="14.5" outlineLevel="1" x14ac:dyDescent="0.35">
      <c r="A105" s="807"/>
      <c r="B105" s="133">
        <v>12</v>
      </c>
      <c r="C105" s="233" t="s">
        <v>28</v>
      </c>
      <c r="D105" s="231" t="s">
        <v>34</v>
      </c>
      <c r="E105" s="231">
        <v>3</v>
      </c>
      <c r="F105" s="275">
        <v>0</v>
      </c>
      <c r="G105" s="275">
        <v>0</v>
      </c>
      <c r="H105" s="528"/>
      <c r="I105" s="523"/>
      <c r="J105" s="523">
        <v>0</v>
      </c>
      <c r="K105" s="523">
        <v>0</v>
      </c>
      <c r="L105" s="523">
        <v>0</v>
      </c>
      <c r="M105" s="523"/>
      <c r="N105" s="511">
        <f t="shared" si="3"/>
        <v>0</v>
      </c>
      <c r="O105" s="60"/>
      <c r="P105" s="522"/>
    </row>
    <row r="106" spans="1:17" ht="14.5" outlineLevel="1" x14ac:dyDescent="0.35">
      <c r="A106" s="807"/>
      <c r="B106" s="133">
        <v>13</v>
      </c>
      <c r="C106" s="233" t="s">
        <v>29</v>
      </c>
      <c r="D106" s="231" t="s">
        <v>34</v>
      </c>
      <c r="E106" s="530">
        <v>8.94</v>
      </c>
      <c r="F106" s="275">
        <v>150.898</v>
      </c>
      <c r="G106" s="275">
        <v>269820.80300000001</v>
      </c>
      <c r="H106" s="528"/>
      <c r="I106" s="523"/>
      <c r="J106" s="523">
        <v>0.75</v>
      </c>
      <c r="K106" s="523">
        <v>0.25</v>
      </c>
      <c r="L106" s="523">
        <v>0</v>
      </c>
      <c r="M106" s="523"/>
      <c r="N106" s="511">
        <f t="shared" si="3"/>
        <v>1</v>
      </c>
      <c r="O106" s="60"/>
      <c r="P106" s="522"/>
    </row>
    <row r="107" spans="1:17" ht="14.5" outlineLevel="1" x14ac:dyDescent="0.35">
      <c r="A107" s="807"/>
      <c r="B107" s="133">
        <v>14</v>
      </c>
      <c r="C107" s="233" t="s">
        <v>23</v>
      </c>
      <c r="D107" s="231" t="s">
        <v>34</v>
      </c>
      <c r="E107" s="530">
        <v>8.94</v>
      </c>
      <c r="F107" s="275">
        <v>393.46499999999997</v>
      </c>
      <c r="G107" s="275">
        <v>1913395.3389999999</v>
      </c>
      <c r="H107" s="528"/>
      <c r="I107" s="523"/>
      <c r="J107" s="523">
        <v>0.1</v>
      </c>
      <c r="K107" s="523">
        <v>0.4</v>
      </c>
      <c r="L107" s="523">
        <v>0.4</v>
      </c>
      <c r="M107" s="523">
        <v>0.1</v>
      </c>
      <c r="N107" s="511">
        <f t="shared" si="3"/>
        <v>1</v>
      </c>
      <c r="O107" s="60"/>
      <c r="P107" s="522"/>
    </row>
    <row r="108" spans="1:17" ht="28" outlineLevel="1" x14ac:dyDescent="0.35">
      <c r="A108" s="807"/>
      <c r="B108" s="251">
        <v>15</v>
      </c>
      <c r="C108" s="233" t="s">
        <v>30</v>
      </c>
      <c r="D108" s="231" t="s">
        <v>34</v>
      </c>
      <c r="E108" s="231">
        <v>0</v>
      </c>
      <c r="F108" s="275">
        <v>83.8</v>
      </c>
      <c r="G108" s="275">
        <v>478</v>
      </c>
      <c r="H108" s="528"/>
      <c r="I108" s="523"/>
      <c r="J108" s="523">
        <v>1</v>
      </c>
      <c r="K108" s="523">
        <v>0</v>
      </c>
      <c r="L108" s="523">
        <v>0</v>
      </c>
      <c r="M108" s="523"/>
      <c r="N108" s="511">
        <f t="shared" si="3"/>
        <v>1</v>
      </c>
      <c r="O108" s="60"/>
      <c r="P108" s="522"/>
    </row>
    <row r="109" spans="1:17" ht="28" outlineLevel="1" x14ac:dyDescent="0.35">
      <c r="A109" s="807"/>
      <c r="B109" s="251">
        <v>16</v>
      </c>
      <c r="C109" s="233" t="s">
        <v>31</v>
      </c>
      <c r="D109" s="231" t="s">
        <v>34</v>
      </c>
      <c r="E109" s="231">
        <v>0</v>
      </c>
      <c r="F109" s="275">
        <v>0</v>
      </c>
      <c r="G109" s="275">
        <v>0</v>
      </c>
      <c r="H109" s="528"/>
      <c r="I109" s="523"/>
      <c r="J109" s="523"/>
      <c r="K109" s="523"/>
      <c r="L109" s="523"/>
      <c r="M109" s="523"/>
      <c r="N109" s="511">
        <f t="shared" si="3"/>
        <v>0</v>
      </c>
      <c r="O109" s="60"/>
      <c r="P109" s="522"/>
    </row>
    <row r="110" spans="1:17" ht="14.5" outlineLevel="1" x14ac:dyDescent="0.35">
      <c r="A110" s="807"/>
      <c r="B110" s="251">
        <v>17</v>
      </c>
      <c r="C110" s="233" t="s">
        <v>10</v>
      </c>
      <c r="D110" s="231" t="s">
        <v>34</v>
      </c>
      <c r="E110" s="231">
        <v>0</v>
      </c>
      <c r="F110" s="275">
        <v>4412.8530000000001</v>
      </c>
      <c r="G110" s="275">
        <v>64142.23</v>
      </c>
      <c r="H110" s="528"/>
      <c r="I110" s="523"/>
      <c r="J110" s="523">
        <v>0</v>
      </c>
      <c r="K110" s="523">
        <v>0.28999999999999998</v>
      </c>
      <c r="L110" s="523">
        <v>0.46</v>
      </c>
      <c r="M110" s="523">
        <v>0.25</v>
      </c>
      <c r="N110" s="511">
        <f t="shared" si="3"/>
        <v>1</v>
      </c>
      <c r="O110" s="60"/>
      <c r="P110" s="522"/>
    </row>
    <row r="111" spans="1:17" ht="14.5" outlineLevel="1" x14ac:dyDescent="0.35">
      <c r="A111" s="807"/>
      <c r="B111" s="251"/>
      <c r="C111" s="234" t="s">
        <v>256</v>
      </c>
      <c r="D111" s="231" t="s">
        <v>254</v>
      </c>
      <c r="E111" s="231"/>
      <c r="F111" s="275"/>
      <c r="G111" s="275"/>
      <c r="H111" s="528"/>
      <c r="I111" s="523"/>
      <c r="J111" s="523"/>
      <c r="K111" s="523"/>
      <c r="L111" s="523"/>
      <c r="M111" s="523"/>
      <c r="N111" s="511"/>
      <c r="O111" s="60"/>
      <c r="P111" s="522"/>
    </row>
    <row r="112" spans="1:17" ht="14.5" outlineLevel="1" x14ac:dyDescent="0.35">
      <c r="A112" s="807"/>
      <c r="B112" s="251"/>
      <c r="C112" s="793"/>
      <c r="D112" s="793"/>
      <c r="E112" s="246"/>
      <c r="F112" s="275"/>
      <c r="G112" s="275"/>
      <c r="H112" s="528"/>
      <c r="I112" s="523"/>
      <c r="J112" s="523"/>
      <c r="K112" s="523"/>
      <c r="L112" s="523"/>
      <c r="M112" s="523"/>
      <c r="N112" s="511"/>
      <c r="O112" s="60"/>
      <c r="P112" s="522"/>
    </row>
    <row r="113" spans="1:16" ht="14.5" outlineLevel="1" x14ac:dyDescent="0.35">
      <c r="A113" s="807"/>
      <c r="B113" s="251"/>
      <c r="C113" s="793"/>
      <c r="D113" s="793"/>
      <c r="E113" s="246"/>
      <c r="F113" s="275"/>
      <c r="G113" s="275"/>
      <c r="H113" s="528"/>
      <c r="I113" s="523"/>
      <c r="J113" s="523"/>
      <c r="K113" s="523"/>
      <c r="L113" s="523"/>
      <c r="M113" s="523"/>
      <c r="N113" s="511"/>
      <c r="O113" s="60"/>
      <c r="P113" s="522"/>
    </row>
    <row r="114" spans="1:16" s="18" customFormat="1" ht="18" customHeight="1" outlineLevel="1" x14ac:dyDescent="0.35">
      <c r="A114" s="807"/>
      <c r="B114" s="226"/>
      <c r="C114" s="803" t="s">
        <v>11</v>
      </c>
      <c r="D114" s="803"/>
      <c r="E114" s="227"/>
      <c r="F114" s="228"/>
      <c r="G114" s="228"/>
      <c r="H114" s="521"/>
      <c r="I114" s="521"/>
      <c r="J114" s="521"/>
      <c r="K114" s="521"/>
      <c r="L114" s="521"/>
      <c r="M114" s="521"/>
      <c r="N114" s="512"/>
      <c r="O114" s="124"/>
      <c r="P114" s="522"/>
    </row>
    <row r="115" spans="1:16" ht="14.5" outlineLevel="1" x14ac:dyDescent="0.35">
      <c r="A115" s="807"/>
      <c r="B115" s="133">
        <v>18</v>
      </c>
      <c r="C115" s="233" t="s">
        <v>12</v>
      </c>
      <c r="D115" s="231" t="s">
        <v>34</v>
      </c>
      <c r="E115" s="530">
        <v>8.94</v>
      </c>
      <c r="F115" s="275">
        <v>0</v>
      </c>
      <c r="G115" s="275">
        <v>0</v>
      </c>
      <c r="H115" s="528"/>
      <c r="I115" s="523"/>
      <c r="J115" s="523"/>
      <c r="K115" s="523"/>
      <c r="L115" s="523"/>
      <c r="M115" s="523"/>
      <c r="N115" s="511">
        <f>SUM(H115:M115)</f>
        <v>0</v>
      </c>
      <c r="O115" s="60"/>
      <c r="P115" s="522"/>
    </row>
    <row r="116" spans="1:16" ht="14.5" outlineLevel="1" x14ac:dyDescent="0.35">
      <c r="A116" s="807"/>
      <c r="B116" s="133">
        <v>19</v>
      </c>
      <c r="C116" s="233" t="s">
        <v>13</v>
      </c>
      <c r="D116" s="231" t="s">
        <v>34</v>
      </c>
      <c r="E116" s="530">
        <v>8.94</v>
      </c>
      <c r="F116" s="275">
        <v>0</v>
      </c>
      <c r="G116" s="275">
        <v>0</v>
      </c>
      <c r="H116" s="528"/>
      <c r="I116" s="523"/>
      <c r="J116" s="523"/>
      <c r="K116" s="523"/>
      <c r="L116" s="523"/>
      <c r="M116" s="523"/>
      <c r="N116" s="511">
        <f>SUM(H116:M116)</f>
        <v>0</v>
      </c>
      <c r="O116" s="60"/>
      <c r="P116" s="522"/>
    </row>
    <row r="117" spans="1:16" ht="14.5" outlineLevel="1" x14ac:dyDescent="0.35">
      <c r="A117" s="807"/>
      <c r="B117" s="133">
        <v>20</v>
      </c>
      <c r="C117" s="233" t="s">
        <v>14</v>
      </c>
      <c r="D117" s="231" t="s">
        <v>34</v>
      </c>
      <c r="E117" s="530">
        <v>8.94</v>
      </c>
      <c r="F117" s="275">
        <v>784.596</v>
      </c>
      <c r="G117" s="275">
        <v>5639288.875</v>
      </c>
      <c r="H117" s="528"/>
      <c r="I117" s="523"/>
      <c r="J117" s="523">
        <v>0</v>
      </c>
      <c r="K117" s="523">
        <v>0.1</v>
      </c>
      <c r="L117" s="523">
        <v>0.4</v>
      </c>
      <c r="M117" s="523">
        <v>0.5</v>
      </c>
      <c r="N117" s="511">
        <f>SUM(H117:M117)</f>
        <v>1</v>
      </c>
      <c r="O117" s="60"/>
      <c r="P117" s="522"/>
    </row>
    <row r="118" spans="1:16" ht="14.5" outlineLevel="1" x14ac:dyDescent="0.35">
      <c r="A118" s="807"/>
      <c r="B118" s="133">
        <v>21</v>
      </c>
      <c r="C118" s="235" t="s">
        <v>27</v>
      </c>
      <c r="D118" s="231" t="s">
        <v>34</v>
      </c>
      <c r="E118" s="530">
        <v>8.94</v>
      </c>
      <c r="F118" s="275">
        <v>0</v>
      </c>
      <c r="G118" s="275">
        <v>0</v>
      </c>
      <c r="H118" s="528"/>
      <c r="I118" s="523"/>
      <c r="J118" s="523">
        <v>0.19733338304716341</v>
      </c>
      <c r="K118" s="523">
        <v>0.68169888607207652</v>
      </c>
      <c r="L118" s="523">
        <v>9.2455112934926323E-2</v>
      </c>
      <c r="M118" s="523">
        <v>2.8512617945833676E-2</v>
      </c>
      <c r="N118" s="511">
        <f>SUM(H118:M118)</f>
        <v>1</v>
      </c>
      <c r="O118" s="60"/>
      <c r="P118" s="522"/>
    </row>
    <row r="119" spans="1:16" ht="14.5" outlineLevel="1" x14ac:dyDescent="0.35">
      <c r="A119" s="807"/>
      <c r="B119" s="133">
        <v>22</v>
      </c>
      <c r="C119" s="233" t="s">
        <v>10</v>
      </c>
      <c r="D119" s="231" t="s">
        <v>34</v>
      </c>
      <c r="E119" s="231">
        <v>0</v>
      </c>
      <c r="F119" s="275">
        <v>10274.465</v>
      </c>
      <c r="G119" s="275">
        <v>247610.1</v>
      </c>
      <c r="H119" s="528"/>
      <c r="I119" s="523"/>
      <c r="J119" s="523"/>
      <c r="K119" s="523">
        <v>0.09</v>
      </c>
      <c r="L119" s="523">
        <v>0.06</v>
      </c>
      <c r="M119" s="523">
        <v>0.85</v>
      </c>
      <c r="N119" s="511">
        <f>SUM(H119:M119)</f>
        <v>1</v>
      </c>
      <c r="O119" s="60"/>
      <c r="P119" s="522"/>
    </row>
    <row r="120" spans="1:16" ht="14.5" outlineLevel="1" x14ac:dyDescent="0.35">
      <c r="A120" s="807"/>
      <c r="B120" s="133"/>
      <c r="C120" s="234" t="s">
        <v>256</v>
      </c>
      <c r="D120" s="231" t="s">
        <v>254</v>
      </c>
      <c r="E120" s="231"/>
      <c r="F120" s="275"/>
      <c r="G120" s="275"/>
      <c r="H120" s="528"/>
      <c r="I120" s="523"/>
      <c r="J120" s="523"/>
      <c r="K120" s="523"/>
      <c r="L120" s="523"/>
      <c r="M120" s="523"/>
      <c r="N120" s="511"/>
      <c r="O120" s="60"/>
      <c r="P120" s="522"/>
    </row>
    <row r="121" spans="1:16" ht="14.5" outlineLevel="1" x14ac:dyDescent="0.35">
      <c r="A121" s="807"/>
      <c r="B121" s="133"/>
      <c r="C121" s="793"/>
      <c r="D121" s="793"/>
      <c r="E121" s="246"/>
      <c r="F121" s="275"/>
      <c r="G121" s="275"/>
      <c r="H121" s="528"/>
      <c r="I121" s="523"/>
      <c r="J121" s="523"/>
      <c r="K121" s="523"/>
      <c r="L121" s="523"/>
      <c r="M121" s="523"/>
      <c r="N121" s="511"/>
      <c r="O121" s="60"/>
      <c r="P121" s="522"/>
    </row>
    <row r="122" spans="1:16" ht="14.5" outlineLevel="1" x14ac:dyDescent="0.35">
      <c r="A122" s="807"/>
      <c r="B122" s="133"/>
      <c r="C122" s="793"/>
      <c r="D122" s="793"/>
      <c r="E122" s="246"/>
      <c r="F122" s="275"/>
      <c r="G122" s="275"/>
      <c r="H122" s="528"/>
      <c r="I122" s="523"/>
      <c r="J122" s="523"/>
      <c r="K122" s="523"/>
      <c r="L122" s="523"/>
      <c r="M122" s="523"/>
      <c r="N122" s="511"/>
      <c r="O122" s="60"/>
      <c r="P122" s="522"/>
    </row>
    <row r="123" spans="1:16" ht="14.5" outlineLevel="1" x14ac:dyDescent="0.35">
      <c r="A123" s="807"/>
      <c r="B123" s="133"/>
      <c r="C123" s="793"/>
      <c r="D123" s="793"/>
      <c r="E123" s="246"/>
      <c r="F123" s="275"/>
      <c r="G123" s="275"/>
      <c r="H123" s="528"/>
      <c r="I123" s="523"/>
      <c r="J123" s="523"/>
      <c r="K123" s="523"/>
      <c r="L123" s="523"/>
      <c r="M123" s="523"/>
      <c r="N123" s="511"/>
      <c r="O123" s="60"/>
      <c r="P123" s="522"/>
    </row>
    <row r="124" spans="1:16" s="37" customFormat="1" ht="14.5" outlineLevel="1" x14ac:dyDescent="0.35">
      <c r="A124" s="807"/>
      <c r="B124" s="226"/>
      <c r="C124" s="803" t="s">
        <v>15</v>
      </c>
      <c r="D124" s="803"/>
      <c r="E124" s="227"/>
      <c r="F124" s="228"/>
      <c r="G124" s="228"/>
      <c r="H124" s="521"/>
      <c r="I124" s="521"/>
      <c r="J124" s="521"/>
      <c r="K124" s="521"/>
      <c r="L124" s="521"/>
      <c r="M124" s="521"/>
      <c r="N124" s="512"/>
      <c r="O124" s="132"/>
      <c r="P124" s="522"/>
    </row>
    <row r="125" spans="1:16" ht="14.5" outlineLevel="1" x14ac:dyDescent="0.35">
      <c r="A125" s="807"/>
      <c r="B125" s="251">
        <v>23</v>
      </c>
      <c r="C125" s="233" t="s">
        <v>15</v>
      </c>
      <c r="D125" s="231" t="s">
        <v>34</v>
      </c>
      <c r="E125" s="231">
        <v>8.94</v>
      </c>
      <c r="F125" s="275">
        <v>97.625</v>
      </c>
      <c r="G125" s="275">
        <v>790242.10600000003</v>
      </c>
      <c r="H125" s="523">
        <v>0.05</v>
      </c>
      <c r="I125" s="523">
        <v>2.5000000000000001E-2</v>
      </c>
      <c r="J125" s="523">
        <v>0</v>
      </c>
      <c r="K125" s="523">
        <v>0.9</v>
      </c>
      <c r="L125" s="523">
        <v>2.5000000000000001E-2</v>
      </c>
      <c r="M125" s="523"/>
      <c r="N125" s="511">
        <f>SUM(H125:M125)</f>
        <v>1</v>
      </c>
      <c r="O125" s="60"/>
      <c r="P125" s="522"/>
    </row>
    <row r="126" spans="1:16" ht="14.5" outlineLevel="1" x14ac:dyDescent="0.35">
      <c r="A126" s="807"/>
      <c r="B126" s="251"/>
      <c r="C126" s="234" t="s">
        <v>256</v>
      </c>
      <c r="D126" s="231" t="s">
        <v>254</v>
      </c>
      <c r="E126" s="231"/>
      <c r="F126" s="275"/>
      <c r="G126" s="275"/>
      <c r="H126" s="528"/>
      <c r="I126" s="523"/>
      <c r="J126" s="523"/>
      <c r="K126" s="523"/>
      <c r="L126" s="523"/>
      <c r="M126" s="523"/>
      <c r="N126" s="511"/>
      <c r="O126" s="60"/>
      <c r="P126" s="522"/>
    </row>
    <row r="127" spans="1:16" ht="14.5" outlineLevel="1" x14ac:dyDescent="0.35">
      <c r="A127" s="807"/>
      <c r="B127" s="251"/>
      <c r="C127" s="793"/>
      <c r="D127" s="793"/>
      <c r="E127" s="246"/>
      <c r="F127" s="275"/>
      <c r="G127" s="275"/>
      <c r="H127" s="528"/>
      <c r="I127" s="523"/>
      <c r="J127" s="523"/>
      <c r="K127" s="523"/>
      <c r="L127" s="523"/>
      <c r="M127" s="523"/>
      <c r="N127" s="511"/>
      <c r="O127" s="60"/>
      <c r="P127" s="522"/>
    </row>
    <row r="128" spans="1:16" ht="14.5" outlineLevel="1" x14ac:dyDescent="0.35">
      <c r="A128" s="807"/>
      <c r="B128" s="251"/>
      <c r="C128" s="793"/>
      <c r="D128" s="793"/>
      <c r="E128" s="246"/>
      <c r="F128" s="275"/>
      <c r="G128" s="275"/>
      <c r="H128" s="528"/>
      <c r="I128" s="523"/>
      <c r="J128" s="523"/>
      <c r="K128" s="523"/>
      <c r="L128" s="523"/>
      <c r="M128" s="523"/>
      <c r="N128" s="511"/>
      <c r="O128" s="60"/>
      <c r="P128" s="522"/>
    </row>
    <row r="129" spans="1:16" s="37" customFormat="1" ht="14.5" outlineLevel="1" x14ac:dyDescent="0.35">
      <c r="A129" s="807"/>
      <c r="B129" s="226"/>
      <c r="C129" s="803" t="s">
        <v>16</v>
      </c>
      <c r="D129" s="803"/>
      <c r="E129" s="227"/>
      <c r="F129" s="228"/>
      <c r="G129" s="228"/>
      <c r="H129" s="521"/>
      <c r="I129" s="521"/>
      <c r="J129" s="521"/>
      <c r="K129" s="521"/>
      <c r="L129" s="521"/>
      <c r="M129" s="521"/>
      <c r="N129" s="512"/>
      <c r="O129" s="132"/>
      <c r="P129" s="522"/>
    </row>
    <row r="130" spans="1:16" ht="14.5" outlineLevel="1" x14ac:dyDescent="0.35">
      <c r="A130" s="807"/>
      <c r="B130" s="251">
        <v>24</v>
      </c>
      <c r="C130" s="233" t="s">
        <v>17</v>
      </c>
      <c r="D130" s="231" t="s">
        <v>34</v>
      </c>
      <c r="E130" s="231"/>
      <c r="F130" s="275">
        <v>0</v>
      </c>
      <c r="G130" s="275">
        <v>0</v>
      </c>
      <c r="H130" s="528"/>
      <c r="I130" s="523"/>
      <c r="J130" s="523"/>
      <c r="K130" s="523"/>
      <c r="L130" s="523"/>
      <c r="M130" s="523"/>
      <c r="N130" s="511">
        <f>SUM(H130:M130)</f>
        <v>0</v>
      </c>
      <c r="O130" s="60"/>
      <c r="P130" s="522"/>
    </row>
    <row r="131" spans="1:16" ht="14.5" outlineLevel="1" x14ac:dyDescent="0.35">
      <c r="A131" s="807"/>
      <c r="B131" s="251">
        <v>25</v>
      </c>
      <c r="C131" s="233" t="s">
        <v>18</v>
      </c>
      <c r="D131" s="231" t="s">
        <v>34</v>
      </c>
      <c r="E131" s="530">
        <v>8.94</v>
      </c>
      <c r="F131" s="275">
        <v>14.462</v>
      </c>
      <c r="G131" s="275">
        <v>14010.976000000001</v>
      </c>
      <c r="H131" s="528"/>
      <c r="I131" s="520"/>
      <c r="J131" s="520">
        <v>0.10109914886421284</v>
      </c>
      <c r="K131" s="520">
        <v>0.35363282791274453</v>
      </c>
      <c r="L131" s="520">
        <v>0.27800574939405898</v>
      </c>
      <c r="M131" s="520">
        <v>0.26726227382898371</v>
      </c>
      <c r="N131" s="511">
        <f>SUM(H131:M131)</f>
        <v>1</v>
      </c>
      <c r="O131" s="60"/>
      <c r="P131" s="522"/>
    </row>
    <row r="132" spans="1:16" ht="14.5" outlineLevel="1" x14ac:dyDescent="0.35">
      <c r="A132" s="807"/>
      <c r="B132" s="251">
        <v>26</v>
      </c>
      <c r="C132" s="233" t="s">
        <v>19</v>
      </c>
      <c r="D132" s="231" t="s">
        <v>34</v>
      </c>
      <c r="E132" s="231"/>
      <c r="F132" s="275">
        <v>0</v>
      </c>
      <c r="G132" s="275">
        <v>0</v>
      </c>
      <c r="H132" s="528"/>
      <c r="I132" s="523"/>
      <c r="J132" s="523"/>
      <c r="K132" s="523"/>
      <c r="L132" s="523"/>
      <c r="M132" s="523"/>
      <c r="N132" s="511">
        <f>SUM(H132:M132)</f>
        <v>0</v>
      </c>
      <c r="O132" s="60"/>
      <c r="P132" s="522"/>
    </row>
    <row r="133" spans="1:16" ht="14.5" outlineLevel="1" x14ac:dyDescent="0.35">
      <c r="A133" s="807"/>
      <c r="B133" s="251">
        <v>27</v>
      </c>
      <c r="C133" s="233" t="s">
        <v>20</v>
      </c>
      <c r="D133" s="231" t="s">
        <v>34</v>
      </c>
      <c r="E133" s="231"/>
      <c r="F133" s="275">
        <v>0</v>
      </c>
      <c r="G133" s="275">
        <v>0</v>
      </c>
      <c r="H133" s="528"/>
      <c r="I133" s="523"/>
      <c r="J133" s="523"/>
      <c r="K133" s="523"/>
      <c r="L133" s="523"/>
      <c r="M133" s="523"/>
      <c r="N133" s="511">
        <f>SUM(H133:M133)</f>
        <v>0</v>
      </c>
      <c r="O133" s="60"/>
      <c r="P133" s="522"/>
    </row>
    <row r="134" spans="1:16" ht="14.5" outlineLevel="1" x14ac:dyDescent="0.35">
      <c r="A134" s="807"/>
      <c r="B134" s="251">
        <v>28</v>
      </c>
      <c r="C134" s="233" t="s">
        <v>100</v>
      </c>
      <c r="D134" s="231" t="s">
        <v>34</v>
      </c>
      <c r="E134" s="231"/>
      <c r="F134" s="275">
        <v>0</v>
      </c>
      <c r="G134" s="275">
        <v>0</v>
      </c>
      <c r="H134" s="528"/>
      <c r="I134" s="523"/>
      <c r="J134" s="523"/>
      <c r="K134" s="523"/>
      <c r="L134" s="523"/>
      <c r="M134" s="523"/>
      <c r="N134" s="511">
        <f>SUM(H134:M134)</f>
        <v>0</v>
      </c>
      <c r="O134" s="60"/>
      <c r="P134" s="522"/>
    </row>
    <row r="135" spans="1:16" ht="14.5" outlineLevel="1" x14ac:dyDescent="0.35">
      <c r="A135" s="807"/>
      <c r="B135" s="251"/>
      <c r="C135" s="234" t="s">
        <v>256</v>
      </c>
      <c r="D135" s="231" t="s">
        <v>254</v>
      </c>
      <c r="E135" s="231"/>
      <c r="F135" s="275"/>
      <c r="G135" s="275"/>
      <c r="H135" s="528"/>
      <c r="I135" s="523"/>
      <c r="J135" s="523"/>
      <c r="K135" s="523"/>
      <c r="L135" s="523"/>
      <c r="M135" s="523"/>
      <c r="N135" s="511"/>
      <c r="O135" s="60"/>
      <c r="P135" s="522"/>
    </row>
    <row r="136" spans="1:16" ht="14.5" outlineLevel="1" x14ac:dyDescent="0.35">
      <c r="A136" s="807"/>
      <c r="B136" s="251"/>
      <c r="C136" s="793"/>
      <c r="D136" s="793"/>
      <c r="E136" s="246"/>
      <c r="F136" s="275"/>
      <c r="G136" s="275"/>
      <c r="H136" s="528"/>
      <c r="I136" s="523"/>
      <c r="J136" s="523"/>
      <c r="K136" s="523"/>
      <c r="L136" s="523"/>
      <c r="M136" s="523"/>
      <c r="N136" s="511"/>
      <c r="O136" s="60"/>
      <c r="P136" s="522"/>
    </row>
    <row r="137" spans="1:16" ht="14.5" outlineLevel="1" x14ac:dyDescent="0.35">
      <c r="A137" s="807"/>
      <c r="B137" s="251"/>
      <c r="C137" s="793"/>
      <c r="D137" s="793"/>
      <c r="E137" s="246"/>
      <c r="F137" s="275"/>
      <c r="G137" s="275"/>
      <c r="H137" s="528"/>
      <c r="I137" s="523"/>
      <c r="J137" s="523"/>
      <c r="K137" s="523"/>
      <c r="L137" s="523"/>
      <c r="M137" s="523"/>
      <c r="N137" s="511"/>
      <c r="O137" s="60"/>
      <c r="P137" s="522"/>
    </row>
    <row r="138" spans="1:16" ht="14.5" outlineLevel="1" x14ac:dyDescent="0.35">
      <c r="A138" s="807"/>
      <c r="B138" s="251"/>
      <c r="C138" s="793"/>
      <c r="D138" s="793"/>
      <c r="E138" s="246"/>
      <c r="F138" s="275"/>
      <c r="G138" s="275"/>
      <c r="H138" s="528"/>
      <c r="I138" s="523"/>
      <c r="J138" s="523"/>
      <c r="K138" s="523"/>
      <c r="L138" s="523"/>
      <c r="M138" s="523"/>
      <c r="N138" s="511"/>
      <c r="O138" s="60"/>
      <c r="P138" s="522"/>
    </row>
    <row r="139" spans="1:16" s="37" customFormat="1" ht="14.5" outlineLevel="1" x14ac:dyDescent="0.35">
      <c r="A139" s="807"/>
      <c r="B139" s="226"/>
      <c r="C139" s="803" t="s">
        <v>101</v>
      </c>
      <c r="D139" s="803"/>
      <c r="E139" s="227"/>
      <c r="F139" s="228"/>
      <c r="G139" s="228"/>
      <c r="H139" s="521"/>
      <c r="I139" s="521"/>
      <c r="J139" s="521"/>
      <c r="K139" s="521"/>
      <c r="L139" s="521"/>
      <c r="M139" s="521"/>
      <c r="N139" s="512"/>
      <c r="O139" s="132"/>
      <c r="P139" s="522"/>
    </row>
    <row r="140" spans="1:16" ht="14.5" outlineLevel="1" x14ac:dyDescent="0.35">
      <c r="A140" s="807"/>
      <c r="B140" s="133">
        <v>29</v>
      </c>
      <c r="C140" s="233" t="s">
        <v>103</v>
      </c>
      <c r="D140" s="231" t="s">
        <v>34</v>
      </c>
      <c r="E140" s="231"/>
      <c r="F140" s="275">
        <v>0</v>
      </c>
      <c r="G140" s="275">
        <v>0</v>
      </c>
      <c r="H140" s="528"/>
      <c r="I140" s="523"/>
      <c r="J140" s="523"/>
      <c r="K140" s="523"/>
      <c r="L140" s="523"/>
      <c r="M140" s="523">
        <v>1</v>
      </c>
      <c r="N140" s="511">
        <f>SUM(H140:M140)</f>
        <v>1</v>
      </c>
      <c r="O140" s="60"/>
      <c r="P140" s="522"/>
    </row>
    <row r="141" spans="1:16" ht="14.5" outlineLevel="1" x14ac:dyDescent="0.35">
      <c r="A141" s="807"/>
      <c r="B141" s="133">
        <v>30</v>
      </c>
      <c r="C141" s="233" t="s">
        <v>102</v>
      </c>
      <c r="D141" s="231" t="s">
        <v>34</v>
      </c>
      <c r="E141" s="231"/>
      <c r="F141" s="275">
        <v>0</v>
      </c>
      <c r="G141" s="275">
        <v>0</v>
      </c>
      <c r="H141" s="528"/>
      <c r="I141" s="523"/>
      <c r="J141" s="523"/>
      <c r="K141" s="523"/>
      <c r="L141" s="523"/>
      <c r="M141" s="523"/>
      <c r="N141" s="511">
        <f>SUM(H141:M141)</f>
        <v>0</v>
      </c>
      <c r="O141" s="60"/>
      <c r="P141" s="522"/>
    </row>
    <row r="142" spans="1:16" ht="14.5" outlineLevel="1" x14ac:dyDescent="0.35">
      <c r="A142" s="807"/>
      <c r="B142" s="133"/>
      <c r="C142" s="234" t="s">
        <v>256</v>
      </c>
      <c r="D142" s="231" t="s">
        <v>254</v>
      </c>
      <c r="E142" s="231"/>
      <c r="F142" s="275"/>
      <c r="G142" s="275"/>
      <c r="H142" s="528"/>
      <c r="I142" s="523"/>
      <c r="J142" s="523"/>
      <c r="K142" s="523"/>
      <c r="L142" s="523"/>
      <c r="M142" s="523"/>
      <c r="N142" s="230"/>
      <c r="O142" s="60"/>
      <c r="P142" s="522"/>
    </row>
    <row r="143" spans="1:16" ht="14.5" outlineLevel="1" x14ac:dyDescent="0.35">
      <c r="A143" s="807"/>
      <c r="B143" s="133"/>
      <c r="C143" s="793" t="s">
        <v>486</v>
      </c>
      <c r="D143" s="793"/>
      <c r="E143" s="530">
        <v>8.94</v>
      </c>
      <c r="F143" s="275">
        <v>177.81200000000001</v>
      </c>
      <c r="G143" s="275">
        <v>3791693.5890000002</v>
      </c>
      <c r="H143" s="520">
        <v>0.2</v>
      </c>
      <c r="I143" s="520"/>
      <c r="J143" s="520">
        <v>0.2</v>
      </c>
      <c r="K143" s="520">
        <v>0.2</v>
      </c>
      <c r="L143" s="520">
        <v>0.2</v>
      </c>
      <c r="M143" s="520">
        <v>0.2</v>
      </c>
      <c r="N143" s="230"/>
      <c r="O143" s="60"/>
      <c r="P143" s="522"/>
    </row>
    <row r="144" spans="1:16" ht="14.5" outlineLevel="1" x14ac:dyDescent="0.35">
      <c r="A144" s="807"/>
      <c r="B144" s="133"/>
      <c r="C144" s="802"/>
      <c r="D144" s="802"/>
      <c r="E144" s="331"/>
      <c r="F144" s="380"/>
      <c r="G144" s="380"/>
      <c r="H144" s="518"/>
      <c r="I144" s="519"/>
      <c r="J144" s="519"/>
      <c r="K144" s="519"/>
      <c r="L144" s="519"/>
      <c r="M144" s="519"/>
      <c r="N144" s="230"/>
      <c r="O144" s="60"/>
      <c r="P144" s="522"/>
    </row>
    <row r="145" spans="1:15" ht="14.5" x14ac:dyDescent="0.35">
      <c r="A145" s="807"/>
      <c r="B145" s="332"/>
      <c r="C145" s="808" t="s">
        <v>222</v>
      </c>
      <c r="D145" s="808"/>
      <c r="E145" s="333"/>
      <c r="F145" s="334">
        <f>SUM(F89:F143)</f>
        <v>61087.810999999994</v>
      </c>
      <c r="G145" s="334">
        <f>SUM(G89:G143)</f>
        <v>112200552.359</v>
      </c>
      <c r="H145" s="335">
        <f>SUMPRODUCT(G90:G143,H90:H143)</f>
        <v>10379053.659399999</v>
      </c>
      <c r="I145" s="533">
        <f>SUMPRODUCT($G90:$G143,I90:I143)</f>
        <v>230958.42035</v>
      </c>
      <c r="J145" s="335">
        <f>SUMPRODUCT($G90:$G143,J90:J143)</f>
        <v>25912581.751125429</v>
      </c>
      <c r="K145" s="336"/>
      <c r="L145" s="333"/>
      <c r="M145" s="333"/>
      <c r="N145" s="337">
        <f>SUM(H145:M145)</f>
        <v>36522593.830875427</v>
      </c>
      <c r="O145" s="60"/>
    </row>
    <row r="146" spans="1:15" ht="14.5" x14ac:dyDescent="0.35">
      <c r="A146" s="807"/>
      <c r="B146" s="468"/>
      <c r="C146" s="469" t="s">
        <v>481</v>
      </c>
      <c r="D146" s="469"/>
      <c r="E146" s="470"/>
      <c r="F146" s="471"/>
      <c r="G146" s="471"/>
      <c r="H146" s="472">
        <f>H145-SUM(G96*H96,G97*H97)</f>
        <v>10210110.2104</v>
      </c>
      <c r="I146" s="472">
        <f>I145-SUM(K108*I108,K109*I109,K110*I110)</f>
        <v>230958.42035</v>
      </c>
      <c r="J146" s="472">
        <f>J145-SUM(G108*J108,G109*J109,G110*J110)</f>
        <v>25912103.751125429</v>
      </c>
      <c r="K146" s="473"/>
      <c r="L146" s="470"/>
      <c r="M146" s="470"/>
      <c r="N146" s="474"/>
      <c r="O146" s="60"/>
    </row>
    <row r="147" spans="1:15" ht="14.5" x14ac:dyDescent="0.35">
      <c r="A147" s="807"/>
      <c r="B147" s="252"/>
      <c r="C147" s="793" t="s">
        <v>318</v>
      </c>
      <c r="D147" s="793"/>
      <c r="E147" s="247"/>
      <c r="F147" s="245"/>
      <c r="G147" s="245"/>
      <c r="H147" s="247"/>
      <c r="I147" s="247"/>
      <c r="J147" s="247"/>
      <c r="K147" s="531">
        <f>SUMPRODUCT($E$103:$E$143,$F$103:$F$143,K103:K143)</f>
        <v>101496.69027094703</v>
      </c>
      <c r="L147" s="531">
        <f>SUMPRODUCT($E$103:$E$143,$F$103:$F$143,L103:L143)</f>
        <v>18349.706576377575</v>
      </c>
      <c r="M147" s="531">
        <f>SUMPRODUCT($E$103:$E$143,$F$103:$F$143,M103:M143)</f>
        <v>8282.8191440668525</v>
      </c>
      <c r="N147" s="532">
        <f>SUM(H147:M147)</f>
        <v>128129.21599139145</v>
      </c>
      <c r="O147" s="60"/>
    </row>
    <row r="148" spans="1:15" ht="14.5" x14ac:dyDescent="0.35">
      <c r="A148" s="807"/>
      <c r="B148" s="252"/>
      <c r="C148" s="793" t="s">
        <v>477</v>
      </c>
      <c r="D148" s="793"/>
      <c r="E148" s="247"/>
      <c r="F148" s="245"/>
      <c r="G148" s="245"/>
      <c r="H148" s="247"/>
      <c r="I148" s="247"/>
      <c r="J148" s="247"/>
      <c r="K148" s="531">
        <f>K147-($E$105*$F$105*K105)</f>
        <v>101496.69027094703</v>
      </c>
      <c r="L148" s="531">
        <f>L147-($E$105*$F$105*L105)</f>
        <v>18349.706576377575</v>
      </c>
      <c r="M148" s="531">
        <f>M147-($E$105*$F$105*M105)</f>
        <v>8282.8191440668525</v>
      </c>
      <c r="N148" s="532"/>
      <c r="O148" s="60"/>
    </row>
    <row r="149" spans="1:15" ht="14.5" x14ac:dyDescent="0.35">
      <c r="A149" s="807"/>
      <c r="B149" s="254"/>
      <c r="C149" s="809"/>
      <c r="D149" s="809"/>
      <c r="E149" s="240"/>
      <c r="F149" s="238"/>
      <c r="G149" s="238"/>
      <c r="H149" s="240"/>
      <c r="I149" s="240"/>
      <c r="J149" s="240"/>
      <c r="K149" s="240"/>
      <c r="L149" s="240"/>
      <c r="M149" s="240"/>
      <c r="N149" s="255"/>
      <c r="O149" s="60"/>
    </row>
    <row r="150" spans="1:15" ht="14.5" hidden="1" x14ac:dyDescent="0.35">
      <c r="A150" s="807"/>
      <c r="B150" s="360"/>
      <c r="C150" s="791" t="s">
        <v>321</v>
      </c>
      <c r="D150" s="791"/>
      <c r="E150" s="530"/>
      <c r="F150" s="242"/>
      <c r="G150" s="530"/>
      <c r="H150" s="243">
        <f>'3.  Distribution Rates'!F33</f>
        <v>0</v>
      </c>
      <c r="I150" s="243">
        <f>'3.  Distribution Rates'!F37</f>
        <v>0</v>
      </c>
      <c r="J150" s="243">
        <f>'3.  Distribution Rates'!F34</f>
        <v>0</v>
      </c>
      <c r="K150" s="243">
        <f>'3.  Distribution Rates'!F35</f>
        <v>0</v>
      </c>
      <c r="L150" s="243">
        <f>'3.  Distribution Rates'!F36</f>
        <v>0</v>
      </c>
      <c r="M150" s="243"/>
      <c r="N150" s="361"/>
      <c r="O150" s="60"/>
    </row>
    <row r="151" spans="1:15" ht="14.5" hidden="1" x14ac:dyDescent="0.35">
      <c r="A151" s="807"/>
      <c r="B151" s="360"/>
      <c r="C151" s="791" t="s">
        <v>234</v>
      </c>
      <c r="D151" s="791"/>
      <c r="E151" s="240"/>
      <c r="F151" s="242"/>
      <c r="G151" s="242"/>
      <c r="H151" s="357">
        <f>'4.  2011-14 LRAM'!H74*H150</f>
        <v>0</v>
      </c>
      <c r="I151" s="357">
        <f>'4.  2011-14 LRAM'!I74*I150</f>
        <v>0</v>
      </c>
      <c r="J151" s="357">
        <f>'4.  2011-14 LRAM'!J74*J150</f>
        <v>0</v>
      </c>
      <c r="K151" s="357">
        <f>'4.  2011-14 LRAM'!K74*K150</f>
        <v>0</v>
      </c>
      <c r="L151" s="357">
        <f>'4.  2011-14 LRAM'!L74*L150</f>
        <v>0</v>
      </c>
      <c r="M151" s="530"/>
      <c r="N151" s="256">
        <f>SUM(H151:M151)</f>
        <v>0</v>
      </c>
      <c r="O151" s="60"/>
    </row>
    <row r="152" spans="1:15" ht="14.5" hidden="1" x14ac:dyDescent="0.35">
      <c r="A152" s="807"/>
      <c r="B152" s="360"/>
      <c r="C152" s="791" t="s">
        <v>235</v>
      </c>
      <c r="D152" s="791"/>
      <c r="E152" s="240"/>
      <c r="F152" s="242"/>
      <c r="G152" s="242"/>
      <c r="H152" s="357">
        <f>H145*H150</f>
        <v>0</v>
      </c>
      <c r="I152" s="357">
        <f>I147*I150</f>
        <v>0</v>
      </c>
      <c r="J152" s="357">
        <f>J145*J150</f>
        <v>0</v>
      </c>
      <c r="K152" s="357">
        <f>K147*K150</f>
        <v>0</v>
      </c>
      <c r="L152" s="357">
        <f>L147*L150</f>
        <v>0</v>
      </c>
      <c r="M152" s="530"/>
      <c r="N152" s="256">
        <f>SUM(H152:M152)</f>
        <v>0</v>
      </c>
      <c r="O152" s="60"/>
    </row>
    <row r="153" spans="1:15" ht="14.5" hidden="1" x14ac:dyDescent="0.35">
      <c r="A153" s="807"/>
      <c r="B153" s="254"/>
      <c r="C153" s="358" t="s">
        <v>93</v>
      </c>
      <c r="D153" s="240"/>
      <c r="E153" s="240"/>
      <c r="F153" s="238"/>
      <c r="G153" s="238"/>
      <c r="H153" s="244">
        <f>SUM(H151:H152)</f>
        <v>0</v>
      </c>
      <c r="I153" s="244">
        <f>SUM(I151:I152)</f>
        <v>0</v>
      </c>
      <c r="J153" s="244">
        <f>SUM(J151:J152)</f>
        <v>0</v>
      </c>
      <c r="K153" s="244">
        <f>SUM(K151:K152)</f>
        <v>0</v>
      </c>
      <c r="L153" s="244">
        <f t="shared" ref="L153" si="4">SUM(L151:L152)</f>
        <v>0</v>
      </c>
      <c r="M153" s="240"/>
      <c r="N153" s="257">
        <f>SUM(N151:N152)</f>
        <v>0</v>
      </c>
      <c r="O153" s="60"/>
    </row>
    <row r="154" spans="1:15" s="20" customFormat="1" ht="14.5" x14ac:dyDescent="0.35">
      <c r="A154" s="807"/>
      <c r="B154" s="360"/>
      <c r="C154" s="791" t="s">
        <v>91</v>
      </c>
      <c r="D154" s="791"/>
      <c r="E154" s="530"/>
      <c r="F154" s="242"/>
      <c r="G154" s="242"/>
      <c r="H154" s="530">
        <f>H146*'6.  Persistence Rates'!$F$26</f>
        <v>10129103.467389366</v>
      </c>
      <c r="I154" s="530">
        <f>I146*'6.  Persistence Rates'!$F$26</f>
        <v>229126.00238213345</v>
      </c>
      <c r="J154" s="530">
        <f>J146*'6.  Persistence Rates'!$F$26</f>
        <v>25706517.808743119</v>
      </c>
      <c r="K154" s="530">
        <f>K148*'6.  Persistence Rates'!$R$26</f>
        <v>100320.09352614889</v>
      </c>
      <c r="L154" s="530">
        <f>L148*'6.  Persistence Rates'!$R$26</f>
        <v>18136.988260458784</v>
      </c>
      <c r="M154" s="530">
        <f>M148*'6.  Persistence Rates'!$R$26</f>
        <v>8186.8008599568493</v>
      </c>
      <c r="N154" s="361"/>
      <c r="O154" s="60"/>
    </row>
    <row r="155" spans="1:15" s="20" customFormat="1" ht="14.5" x14ac:dyDescent="0.35">
      <c r="A155" s="807"/>
      <c r="B155" s="360"/>
      <c r="C155" s="792" t="s">
        <v>92</v>
      </c>
      <c r="D155" s="792"/>
      <c r="E155" s="501"/>
      <c r="F155" s="746"/>
      <c r="G155" s="746"/>
      <c r="H155" s="501">
        <f>H146*'6.  Persistence Rates'!$G$26</f>
        <v>10001156.512472102</v>
      </c>
      <c r="I155" s="501">
        <f>I146*'6.  Persistence Rates'!$G$26</f>
        <v>226231.77048969181</v>
      </c>
      <c r="J155" s="501">
        <f>J146*'6.  Persistence Rates'!$G$26</f>
        <v>25381802.922993928</v>
      </c>
      <c r="K155" s="501">
        <f>K148*'6.  Persistence Rates'!$S$26</f>
        <v>98735.360810099184</v>
      </c>
      <c r="L155" s="501">
        <f>L148*'6.  Persistence Rates'!$S$26</f>
        <v>17850.482559988453</v>
      </c>
      <c r="M155" s="501">
        <f>M148*'6.  Persistence Rates'!$S$26</f>
        <v>8057.4759091265778</v>
      </c>
      <c r="N155" s="747"/>
      <c r="O155" s="60"/>
    </row>
    <row r="156" spans="1:15" s="20" customFormat="1" ht="14.5" hidden="1" x14ac:dyDescent="0.35">
      <c r="A156" s="225"/>
      <c r="B156" s="360"/>
      <c r="C156" s="241" t="s">
        <v>402</v>
      </c>
      <c r="D156" s="241"/>
      <c r="E156" s="231"/>
      <c r="F156" s="242"/>
      <c r="G156" s="242"/>
      <c r="H156" s="231">
        <f>$H$146*'6.  Persistence Rates'!$H$26</f>
        <v>0</v>
      </c>
      <c r="I156" s="231">
        <f>$I$147*'6.  Persistence Rates'!$T$26</f>
        <v>0</v>
      </c>
      <c r="J156" s="231">
        <f>$J$146*'6.  Persistence Rates'!$H$26</f>
        <v>0</v>
      </c>
      <c r="K156" s="231">
        <f>$K$148*'6.  Persistence Rates'!$T$26</f>
        <v>0</v>
      </c>
      <c r="L156" s="231">
        <f>$L$148*'6.  Persistence Rates'!$T$26</f>
        <v>0</v>
      </c>
      <c r="M156" s="530">
        <f>$I$147*'6.  Persistence Rates'!$T$26</f>
        <v>0</v>
      </c>
      <c r="N156" s="361"/>
      <c r="O156" s="60"/>
    </row>
    <row r="157" spans="1:15" s="20" customFormat="1" ht="14.5" hidden="1" x14ac:dyDescent="0.35">
      <c r="A157" s="225"/>
      <c r="B157" s="360"/>
      <c r="C157" s="241" t="s">
        <v>403</v>
      </c>
      <c r="D157" s="241"/>
      <c r="E157" s="231"/>
      <c r="F157" s="242"/>
      <c r="G157" s="242"/>
      <c r="H157" s="231">
        <f>$H$146*'6.  Persistence Rates'!$I$26</f>
        <v>0</v>
      </c>
      <c r="I157" s="231">
        <f>$I$147*'6.  Persistence Rates'!$U$26</f>
        <v>0</v>
      </c>
      <c r="J157" s="231">
        <f>$J$146*'6.  Persistence Rates'!$I$26</f>
        <v>0</v>
      </c>
      <c r="K157" s="231">
        <f>$K$148*'6.  Persistence Rates'!$U$26</f>
        <v>0</v>
      </c>
      <c r="L157" s="231">
        <f>$L$148*'6.  Persistence Rates'!$U$26</f>
        <v>0</v>
      </c>
      <c r="M157" s="530">
        <f>$I$147*'6.  Persistence Rates'!$U$26</f>
        <v>0</v>
      </c>
      <c r="N157" s="361"/>
      <c r="O157" s="60"/>
    </row>
    <row r="158" spans="1:15" s="20" customFormat="1" ht="14.5" hidden="1" x14ac:dyDescent="0.35">
      <c r="A158" s="225"/>
      <c r="B158" s="360"/>
      <c r="C158" s="241" t="s">
        <v>404</v>
      </c>
      <c r="D158" s="241"/>
      <c r="E158" s="231"/>
      <c r="F158" s="242"/>
      <c r="G158" s="242"/>
      <c r="H158" s="231">
        <f>$H$146*'6.  Persistence Rates'!$J$26</f>
        <v>0</v>
      </c>
      <c r="I158" s="231">
        <f>$I$147*'6.  Persistence Rates'!$V$26</f>
        <v>0</v>
      </c>
      <c r="J158" s="231">
        <f>$J$146*'6.  Persistence Rates'!$J$26</f>
        <v>0</v>
      </c>
      <c r="K158" s="231">
        <f>$K$148*'6.  Persistence Rates'!$V$26</f>
        <v>0</v>
      </c>
      <c r="L158" s="231">
        <f>$L$148*'6.  Persistence Rates'!$V$26</f>
        <v>0</v>
      </c>
      <c r="M158" s="530">
        <f>$I$147*'6.  Persistence Rates'!$V$26</f>
        <v>0</v>
      </c>
      <c r="N158" s="361"/>
      <c r="O158" s="60"/>
    </row>
    <row r="159" spans="1:15" s="20" customFormat="1" ht="14.5" hidden="1" x14ac:dyDescent="0.35">
      <c r="A159" s="225"/>
      <c r="B159" s="360"/>
      <c r="C159" s="241" t="s">
        <v>405</v>
      </c>
      <c r="D159" s="241"/>
      <c r="E159" s="231"/>
      <c r="F159" s="242"/>
      <c r="G159" s="242"/>
      <c r="H159" s="231">
        <f>$H$146*'6.  Persistence Rates'!$K$26</f>
        <v>0</v>
      </c>
      <c r="I159" s="231">
        <f>$I$147*'6.  Persistence Rates'!$W$26</f>
        <v>0</v>
      </c>
      <c r="J159" s="231">
        <f>$J$146*'6.  Persistence Rates'!$K$26</f>
        <v>0</v>
      </c>
      <c r="K159" s="231">
        <f>$K$148*'6.  Persistence Rates'!$W$26</f>
        <v>0</v>
      </c>
      <c r="L159" s="231">
        <f>$L$148*'6.  Persistence Rates'!$W$26</f>
        <v>0</v>
      </c>
      <c r="M159" s="530">
        <f>$I$147*'6.  Persistence Rates'!$W$26</f>
        <v>0</v>
      </c>
      <c r="N159" s="361"/>
      <c r="O159" s="60"/>
    </row>
    <row r="160" spans="1:15" s="20" customFormat="1" ht="14.5" hidden="1" x14ac:dyDescent="0.35">
      <c r="A160" s="225"/>
      <c r="B160" s="360"/>
      <c r="C160" s="488" t="s">
        <v>406</v>
      </c>
      <c r="D160" s="488"/>
      <c r="E160" s="231"/>
      <c r="F160" s="242"/>
      <c r="G160" s="242"/>
      <c r="H160" s="231">
        <f>$H$146*'6.  Persistence Rates'!$L$26</f>
        <v>0</v>
      </c>
      <c r="I160" s="231">
        <f>$I$147*'6.  Persistence Rates'!$X$26</f>
        <v>0</v>
      </c>
      <c r="J160" s="231">
        <f>$J$146*'6.  Persistence Rates'!$L$26</f>
        <v>0</v>
      </c>
      <c r="K160" s="231">
        <f>$K$148*'6.  Persistence Rates'!$X$26</f>
        <v>0</v>
      </c>
      <c r="L160" s="231">
        <f>$L$148*'6.  Persistence Rates'!$X$26</f>
        <v>0</v>
      </c>
      <c r="M160" s="530">
        <f>$I$147*'6.  Persistence Rates'!$X$26</f>
        <v>0</v>
      </c>
      <c r="N160" s="361"/>
      <c r="O160" s="60"/>
    </row>
    <row r="161" spans="1:16" hidden="1" x14ac:dyDescent="0.35">
      <c r="B161" s="376"/>
      <c r="C161" s="489" t="s">
        <v>407</v>
      </c>
      <c r="D161" s="377"/>
      <c r="E161" s="377"/>
      <c r="F161" s="378"/>
      <c r="G161" s="378"/>
      <c r="H161" s="501">
        <f>$H$146*'6.  Persistence Rates'!$M$26</f>
        <v>0</v>
      </c>
      <c r="I161" s="501">
        <f>$I$147*'6.  Persistence Rates'!$Y$26</f>
        <v>0</v>
      </c>
      <c r="J161" s="501">
        <f>$J$146*'6.  Persistence Rates'!$M$26</f>
        <v>0</v>
      </c>
      <c r="K161" s="501">
        <f>$K$148*'6.  Persistence Rates'!$Y$26</f>
        <v>0</v>
      </c>
      <c r="L161" s="501">
        <f>$L$148*'6.  Persistence Rates'!$Y$26</f>
        <v>0</v>
      </c>
      <c r="M161" s="501">
        <f>$I$147*'6.  Persistence Rates'!$Y$26</f>
        <v>0</v>
      </c>
      <c r="N161" s="379"/>
      <c r="O161" s="60"/>
    </row>
    <row r="162" spans="1:16" x14ac:dyDescent="0.35">
      <c r="B162" s="63"/>
      <c r="C162" s="126"/>
      <c r="D162" s="63"/>
      <c r="E162" s="63"/>
      <c r="F162" s="60"/>
      <c r="G162" s="60"/>
      <c r="H162" s="60"/>
      <c r="I162" s="60"/>
      <c r="J162" s="60"/>
      <c r="K162" s="60"/>
      <c r="L162" s="60"/>
      <c r="M162" s="60"/>
      <c r="N162" s="60"/>
      <c r="O162" s="60"/>
    </row>
    <row r="163" spans="1:16" x14ac:dyDescent="0.35">
      <c r="B163" s="63"/>
      <c r="C163" s="126"/>
      <c r="D163" s="63"/>
      <c r="E163" s="63"/>
      <c r="F163" s="60"/>
      <c r="G163" s="60"/>
      <c r="H163" s="60"/>
      <c r="I163" s="60"/>
      <c r="J163" s="60"/>
      <c r="K163" s="60"/>
      <c r="L163" s="60"/>
      <c r="M163" s="60"/>
      <c r="N163" s="60"/>
      <c r="O163" s="60"/>
    </row>
    <row r="164" spans="1:16" x14ac:dyDescent="0.35">
      <c r="B164" s="794" t="s">
        <v>357</v>
      </c>
      <c r="C164" s="794"/>
      <c r="D164" s="794"/>
      <c r="E164" s="794"/>
      <c r="F164" s="794"/>
      <c r="G164" s="794"/>
      <c r="H164" s="794"/>
      <c r="I164" s="794"/>
      <c r="J164" s="794"/>
      <c r="K164" s="794"/>
      <c r="L164" s="794"/>
      <c r="M164" s="794"/>
      <c r="N164" s="794"/>
      <c r="O164" s="60"/>
    </row>
    <row r="165" spans="1:16" x14ac:dyDescent="0.35">
      <c r="B165" s="63"/>
      <c r="C165" s="126"/>
      <c r="D165" s="63"/>
      <c r="E165" s="63"/>
      <c r="F165" s="60"/>
      <c r="G165" s="60"/>
      <c r="H165" s="60"/>
      <c r="I165" s="60"/>
      <c r="J165" s="60"/>
      <c r="K165" s="60"/>
      <c r="L165" s="60"/>
      <c r="M165" s="60"/>
      <c r="N165" s="60"/>
      <c r="O165" s="60"/>
    </row>
    <row r="166" spans="1:16" ht="42" x14ac:dyDescent="0.35">
      <c r="B166" s="798" t="s">
        <v>54</v>
      </c>
      <c r="C166" s="800" t="s">
        <v>0</v>
      </c>
      <c r="D166" s="800" t="s">
        <v>45</v>
      </c>
      <c r="E166" s="800" t="s">
        <v>201</v>
      </c>
      <c r="F166" s="250" t="s">
        <v>46</v>
      </c>
      <c r="G166" s="250" t="s">
        <v>198</v>
      </c>
      <c r="H166" s="795" t="s">
        <v>55</v>
      </c>
      <c r="I166" s="796"/>
      <c r="J166" s="796"/>
      <c r="K166" s="796"/>
      <c r="L166" s="796"/>
      <c r="M166" s="796"/>
      <c r="N166" s="797"/>
      <c r="O166" s="60"/>
    </row>
    <row r="167" spans="1:16" ht="42" x14ac:dyDescent="0.35">
      <c r="B167" s="799"/>
      <c r="C167" s="801"/>
      <c r="D167" s="801"/>
      <c r="E167" s="801"/>
      <c r="F167" s="122" t="s">
        <v>95</v>
      </c>
      <c r="G167" s="122" t="s">
        <v>96</v>
      </c>
      <c r="H167" s="122" t="s">
        <v>38</v>
      </c>
      <c r="I167" s="199" t="s">
        <v>488</v>
      </c>
      <c r="J167" s="122" t="s">
        <v>40</v>
      </c>
      <c r="K167" s="122" t="s">
        <v>104</v>
      </c>
      <c r="L167" s="122" t="s">
        <v>105</v>
      </c>
      <c r="M167" s="199" t="s">
        <v>511</v>
      </c>
      <c r="N167" s="359" t="s">
        <v>35</v>
      </c>
      <c r="O167" s="60"/>
    </row>
    <row r="168" spans="1:16" s="37" customFormat="1" ht="15" customHeight="1" outlineLevel="1" x14ac:dyDescent="0.35">
      <c r="A168" s="804">
        <v>2013</v>
      </c>
      <c r="B168" s="353"/>
      <c r="C168" s="805" t="s">
        <v>1</v>
      </c>
      <c r="D168" s="805"/>
      <c r="E168" s="354"/>
      <c r="F168" s="355"/>
      <c r="G168" s="355"/>
      <c r="H168" s="355"/>
      <c r="I168" s="355"/>
      <c r="J168" s="355"/>
      <c r="K168" s="355"/>
      <c r="L168" s="355"/>
      <c r="M168" s="355"/>
      <c r="N168" s="356"/>
      <c r="O168" s="132"/>
    </row>
    <row r="169" spans="1:16" ht="14.5" outlineLevel="1" x14ac:dyDescent="0.35">
      <c r="A169" s="804"/>
      <c r="B169" s="251">
        <v>1</v>
      </c>
      <c r="C169" s="233" t="s">
        <v>2</v>
      </c>
      <c r="D169" s="231" t="s">
        <v>34</v>
      </c>
      <c r="E169" s="231"/>
      <c r="F169" s="275">
        <v>100.205</v>
      </c>
      <c r="G169" s="275">
        <v>656268.24800000002</v>
      </c>
      <c r="H169" s="517">
        <v>0.97499999999999998</v>
      </c>
      <c r="I169" s="517">
        <v>2.5000000000000001E-2</v>
      </c>
      <c r="J169" s="517"/>
      <c r="K169" s="517"/>
      <c r="L169" s="517"/>
      <c r="M169" s="517"/>
      <c r="N169" s="230">
        <f t="shared" ref="N169:N177" si="5">SUM(H169:M169)</f>
        <v>1</v>
      </c>
      <c r="O169" s="60"/>
    </row>
    <row r="170" spans="1:16" ht="14.5" outlineLevel="1" x14ac:dyDescent="0.35">
      <c r="A170" s="804"/>
      <c r="B170" s="251">
        <v>2</v>
      </c>
      <c r="C170" s="233" t="s">
        <v>3</v>
      </c>
      <c r="D170" s="231" t="s">
        <v>34</v>
      </c>
      <c r="E170" s="231"/>
      <c r="F170" s="275">
        <v>82.256</v>
      </c>
      <c r="G170" s="275">
        <v>146667.63200000001</v>
      </c>
      <c r="H170" s="517">
        <v>0.97499999999999998</v>
      </c>
      <c r="I170" s="517">
        <v>2.5000000000000001E-2</v>
      </c>
      <c r="J170" s="517"/>
      <c r="K170" s="517"/>
      <c r="L170" s="517"/>
      <c r="M170" s="517"/>
      <c r="N170" s="230">
        <f t="shared" si="5"/>
        <v>1</v>
      </c>
      <c r="O170" s="60"/>
      <c r="P170" s="529"/>
    </row>
    <row r="171" spans="1:16" ht="14.5" outlineLevel="1" x14ac:dyDescent="0.35">
      <c r="A171" s="804"/>
      <c r="B171" s="251">
        <v>3</v>
      </c>
      <c r="C171" s="233" t="s">
        <v>4</v>
      </c>
      <c r="D171" s="231" t="s">
        <v>34</v>
      </c>
      <c r="E171" s="231"/>
      <c r="F171" s="275">
        <v>3015.23</v>
      </c>
      <c r="G171" s="275">
        <v>5189758.0959999999</v>
      </c>
      <c r="H171" s="517">
        <v>1</v>
      </c>
      <c r="I171" s="517"/>
      <c r="J171" s="517"/>
      <c r="K171" s="517"/>
      <c r="L171" s="517"/>
      <c r="M171" s="517"/>
      <c r="N171" s="230">
        <f t="shared" si="5"/>
        <v>1</v>
      </c>
      <c r="O171" s="60"/>
      <c r="P171" s="529"/>
    </row>
    <row r="172" spans="1:16" ht="14.5" outlineLevel="1" x14ac:dyDescent="0.35">
      <c r="A172" s="804"/>
      <c r="B172" s="251">
        <v>4</v>
      </c>
      <c r="C172" s="233" t="s">
        <v>5</v>
      </c>
      <c r="D172" s="231" t="s">
        <v>34</v>
      </c>
      <c r="E172" s="231"/>
      <c r="F172" s="275">
        <v>66.111999999999995</v>
      </c>
      <c r="G172" s="275">
        <v>986409.38100000005</v>
      </c>
      <c r="H172" s="517">
        <v>0.95</v>
      </c>
      <c r="I172" s="517">
        <v>0.05</v>
      </c>
      <c r="J172" s="517"/>
      <c r="K172" s="517"/>
      <c r="L172" s="517"/>
      <c r="M172" s="517"/>
      <c r="N172" s="230">
        <f t="shared" si="5"/>
        <v>1</v>
      </c>
      <c r="O172" s="60"/>
      <c r="P172" s="529"/>
    </row>
    <row r="173" spans="1:16" ht="14.5" outlineLevel="1" x14ac:dyDescent="0.35">
      <c r="A173" s="804"/>
      <c r="B173" s="251">
        <v>5</v>
      </c>
      <c r="C173" s="233" t="s">
        <v>6</v>
      </c>
      <c r="D173" s="231" t="s">
        <v>34</v>
      </c>
      <c r="E173" s="231"/>
      <c r="F173" s="275">
        <v>151.48400000000001</v>
      </c>
      <c r="G173" s="275">
        <v>2198663.1069999998</v>
      </c>
      <c r="H173" s="517">
        <v>0.95</v>
      </c>
      <c r="I173" s="517">
        <v>0.05</v>
      </c>
      <c r="J173" s="517"/>
      <c r="K173" s="517"/>
      <c r="L173" s="517"/>
      <c r="M173" s="517"/>
      <c r="N173" s="230">
        <f t="shared" si="5"/>
        <v>1</v>
      </c>
      <c r="O173" s="60"/>
      <c r="P173" s="529"/>
    </row>
    <row r="174" spans="1:16" ht="14.5" outlineLevel="1" x14ac:dyDescent="0.35">
      <c r="A174" s="804"/>
      <c r="B174" s="251">
        <v>6</v>
      </c>
      <c r="C174" s="233" t="s">
        <v>7</v>
      </c>
      <c r="D174" s="231" t="s">
        <v>34</v>
      </c>
      <c r="E174" s="231"/>
      <c r="F174" s="275">
        <v>0</v>
      </c>
      <c r="G174" s="275">
        <v>0</v>
      </c>
      <c r="H174" s="517">
        <v>1</v>
      </c>
      <c r="I174" s="517"/>
      <c r="J174" s="517"/>
      <c r="K174" s="517"/>
      <c r="L174" s="517"/>
      <c r="M174" s="517"/>
      <c r="N174" s="230">
        <f t="shared" si="5"/>
        <v>1</v>
      </c>
      <c r="O174" s="60"/>
      <c r="P174" s="529"/>
    </row>
    <row r="175" spans="1:16" ht="28" outlineLevel="1" x14ac:dyDescent="0.35">
      <c r="A175" s="804"/>
      <c r="B175" s="251">
        <v>7</v>
      </c>
      <c r="C175" s="233" t="s">
        <v>33</v>
      </c>
      <c r="D175" s="231" t="s">
        <v>34</v>
      </c>
      <c r="E175" s="231"/>
      <c r="F175" s="275">
        <v>34491.375</v>
      </c>
      <c r="G175" s="275">
        <v>239477.34400000001</v>
      </c>
      <c r="H175" s="517">
        <v>1</v>
      </c>
      <c r="I175" s="517"/>
      <c r="J175" s="517"/>
      <c r="K175" s="517"/>
      <c r="L175" s="517"/>
      <c r="M175" s="517"/>
      <c r="N175" s="230">
        <f t="shared" si="5"/>
        <v>1</v>
      </c>
      <c r="O175" s="60"/>
      <c r="P175" s="529"/>
    </row>
    <row r="176" spans="1:16" ht="14.5" outlineLevel="1" x14ac:dyDescent="0.35">
      <c r="A176" s="804"/>
      <c r="B176" s="251">
        <v>8</v>
      </c>
      <c r="C176" s="233" t="s">
        <v>26</v>
      </c>
      <c r="D176" s="231" t="s">
        <v>34</v>
      </c>
      <c r="E176" s="231"/>
      <c r="F176" s="275">
        <v>0</v>
      </c>
      <c r="G176" s="275">
        <v>0</v>
      </c>
      <c r="H176" s="517">
        <v>1</v>
      </c>
      <c r="I176" s="517"/>
      <c r="J176" s="517"/>
      <c r="K176" s="517"/>
      <c r="L176" s="517"/>
      <c r="M176" s="517"/>
      <c r="N176" s="230">
        <f t="shared" si="5"/>
        <v>1</v>
      </c>
      <c r="O176" s="60"/>
      <c r="P176" s="529"/>
    </row>
    <row r="177" spans="1:16" ht="14.5" outlineLevel="1" x14ac:dyDescent="0.35">
      <c r="A177" s="804"/>
      <c r="B177" s="251">
        <v>9</v>
      </c>
      <c r="C177" s="233" t="s">
        <v>8</v>
      </c>
      <c r="D177" s="231" t="s">
        <v>34</v>
      </c>
      <c r="E177" s="231"/>
      <c r="F177" s="275">
        <v>13.742000000000001</v>
      </c>
      <c r="G177" s="275">
        <v>105821.656</v>
      </c>
      <c r="H177" s="517">
        <v>1</v>
      </c>
      <c r="I177" s="517"/>
      <c r="J177" s="517"/>
      <c r="K177" s="517"/>
      <c r="L177" s="517"/>
      <c r="M177" s="517"/>
      <c r="N177" s="230">
        <f t="shared" si="5"/>
        <v>1</v>
      </c>
      <c r="O177" s="60"/>
      <c r="P177" s="529"/>
    </row>
    <row r="178" spans="1:16" ht="14.5" outlineLevel="1" x14ac:dyDescent="0.35">
      <c r="A178" s="804"/>
      <c r="B178" s="251"/>
      <c r="C178" s="234" t="s">
        <v>257</v>
      </c>
      <c r="D178" s="231" t="s">
        <v>254</v>
      </c>
      <c r="E178" s="231"/>
      <c r="F178" s="275"/>
      <c r="G178" s="275"/>
      <c r="H178" s="517"/>
      <c r="I178" s="517"/>
      <c r="J178" s="517"/>
      <c r="K178" s="517"/>
      <c r="L178" s="517"/>
      <c r="M178" s="517"/>
      <c r="N178" s="230"/>
      <c r="O178" s="60"/>
    </row>
    <row r="179" spans="1:16" ht="14.5" outlineLevel="1" x14ac:dyDescent="0.35">
      <c r="A179" s="804"/>
      <c r="B179" s="251"/>
      <c r="C179" s="793"/>
      <c r="D179" s="793"/>
      <c r="E179" s="246"/>
      <c r="F179" s="275"/>
      <c r="G179" s="275"/>
      <c r="H179" s="517"/>
      <c r="I179" s="517"/>
      <c r="J179" s="517"/>
      <c r="K179" s="517"/>
      <c r="L179" s="517"/>
      <c r="M179" s="517"/>
      <c r="N179" s="230"/>
      <c r="O179" s="60"/>
    </row>
    <row r="180" spans="1:16" ht="14.5" outlineLevel="1" x14ac:dyDescent="0.35">
      <c r="A180" s="804"/>
      <c r="B180" s="251"/>
      <c r="C180" s="793"/>
      <c r="D180" s="793"/>
      <c r="E180" s="246"/>
      <c r="F180" s="275"/>
      <c r="G180" s="275"/>
      <c r="H180" s="517"/>
      <c r="I180" s="517"/>
      <c r="J180" s="517"/>
      <c r="K180" s="517"/>
      <c r="L180" s="517"/>
      <c r="M180" s="517"/>
      <c r="N180" s="230"/>
      <c r="O180" s="60"/>
    </row>
    <row r="181" spans="1:16" ht="14.5" outlineLevel="1" x14ac:dyDescent="0.35">
      <c r="A181" s="804"/>
      <c r="B181" s="251"/>
      <c r="C181" s="793"/>
      <c r="D181" s="793"/>
      <c r="E181" s="246"/>
      <c r="F181" s="275"/>
      <c r="G181" s="275"/>
      <c r="H181" s="517"/>
      <c r="I181" s="517"/>
      <c r="J181" s="517"/>
      <c r="K181" s="517"/>
      <c r="L181" s="517"/>
      <c r="M181" s="517"/>
      <c r="N181" s="230"/>
      <c r="O181" s="60"/>
    </row>
    <row r="182" spans="1:16" s="37" customFormat="1" ht="14.5" outlineLevel="1" x14ac:dyDescent="0.35">
      <c r="A182" s="804"/>
      <c r="B182" s="362"/>
      <c r="C182" s="806" t="s">
        <v>9</v>
      </c>
      <c r="D182" s="806"/>
      <c r="E182" s="363"/>
      <c r="F182" s="364"/>
      <c r="G182" s="364"/>
      <c r="H182" s="516"/>
      <c r="I182" s="516"/>
      <c r="J182" s="516"/>
      <c r="K182" s="516"/>
      <c r="L182" s="516"/>
      <c r="M182" s="516"/>
      <c r="N182" s="365"/>
      <c r="O182" s="132"/>
    </row>
    <row r="183" spans="1:16" ht="14.5" outlineLevel="1" x14ac:dyDescent="0.35">
      <c r="A183" s="804"/>
      <c r="B183" s="133">
        <v>10</v>
      </c>
      <c r="C183" s="235" t="s">
        <v>27</v>
      </c>
      <c r="D183" s="231" t="s">
        <v>34</v>
      </c>
      <c r="E183" s="231">
        <v>8.94</v>
      </c>
      <c r="F183" s="275">
        <v>15423.656000000001</v>
      </c>
      <c r="G183" s="275">
        <v>90527081.798999995</v>
      </c>
      <c r="H183" s="517"/>
      <c r="I183" s="517"/>
      <c r="J183" s="517">
        <v>0.19733338304716341</v>
      </c>
      <c r="K183" s="517">
        <v>0.68169888607207652</v>
      </c>
      <c r="L183" s="517">
        <v>9.2455112934926323E-2</v>
      </c>
      <c r="M183" s="517">
        <v>2.8512617945833676E-2</v>
      </c>
      <c r="N183" s="230">
        <f t="shared" ref="N183:N190" si="6">SUM(H183:M183)</f>
        <v>1</v>
      </c>
      <c r="O183" s="60"/>
    </row>
    <row r="184" spans="1:16" ht="14.5" outlineLevel="1" x14ac:dyDescent="0.35">
      <c r="A184" s="804"/>
      <c r="B184" s="133">
        <v>11</v>
      </c>
      <c r="C184" s="233" t="s">
        <v>25</v>
      </c>
      <c r="D184" s="231" t="s">
        <v>34</v>
      </c>
      <c r="E184" s="231">
        <v>8.94</v>
      </c>
      <c r="F184" s="275">
        <v>2092.2620000000002</v>
      </c>
      <c r="G184" s="275">
        <v>6898480.4979999997</v>
      </c>
      <c r="H184" s="517"/>
      <c r="I184" s="517"/>
      <c r="J184" s="517">
        <v>0.95</v>
      </c>
      <c r="K184" s="517">
        <v>2.5000000000000001E-2</v>
      </c>
      <c r="L184" s="517">
        <v>2.5000000000000001E-2</v>
      </c>
      <c r="M184" s="517"/>
      <c r="N184" s="230">
        <f t="shared" si="6"/>
        <v>1</v>
      </c>
      <c r="O184" s="60"/>
    </row>
    <row r="185" spans="1:16" ht="14.5" outlineLevel="1" x14ac:dyDescent="0.35">
      <c r="A185" s="804"/>
      <c r="B185" s="133">
        <v>12</v>
      </c>
      <c r="C185" s="233" t="s">
        <v>28</v>
      </c>
      <c r="D185" s="231" t="s">
        <v>34</v>
      </c>
      <c r="E185" s="231">
        <v>8.94</v>
      </c>
      <c r="F185" s="275">
        <v>0</v>
      </c>
      <c r="G185" s="275">
        <v>0</v>
      </c>
      <c r="H185" s="517"/>
      <c r="I185" s="517"/>
      <c r="J185" s="517">
        <v>0</v>
      </c>
      <c r="K185" s="517">
        <v>0</v>
      </c>
      <c r="L185" s="517">
        <v>0</v>
      </c>
      <c r="M185" s="517"/>
      <c r="N185" s="230">
        <f t="shared" si="6"/>
        <v>0</v>
      </c>
      <c r="O185" s="60"/>
    </row>
    <row r="186" spans="1:16" ht="14.5" outlineLevel="1" x14ac:dyDescent="0.35">
      <c r="A186" s="804"/>
      <c r="B186" s="133">
        <v>13</v>
      </c>
      <c r="C186" s="233" t="s">
        <v>29</v>
      </c>
      <c r="D186" s="231" t="s">
        <v>34</v>
      </c>
      <c r="E186" s="231">
        <v>8.94</v>
      </c>
      <c r="F186" s="275">
        <v>74.213999999999999</v>
      </c>
      <c r="G186" s="275">
        <v>407339.674</v>
      </c>
      <c r="H186" s="517"/>
      <c r="I186" s="517"/>
      <c r="J186" s="517">
        <v>0.75</v>
      </c>
      <c r="K186" s="517">
        <v>0.25</v>
      </c>
      <c r="L186" s="517">
        <v>0</v>
      </c>
      <c r="M186" s="517"/>
      <c r="N186" s="230">
        <f t="shared" si="6"/>
        <v>1</v>
      </c>
      <c r="O186" s="60"/>
    </row>
    <row r="187" spans="1:16" ht="14.5" outlineLevel="1" x14ac:dyDescent="0.35">
      <c r="A187" s="804"/>
      <c r="B187" s="133">
        <v>14</v>
      </c>
      <c r="C187" s="233" t="s">
        <v>23</v>
      </c>
      <c r="D187" s="231" t="s">
        <v>34</v>
      </c>
      <c r="E187" s="231">
        <v>8.94</v>
      </c>
      <c r="F187" s="275">
        <v>784.32799999999997</v>
      </c>
      <c r="G187" s="275">
        <v>4312118.3339999998</v>
      </c>
      <c r="H187" s="517"/>
      <c r="I187" s="517"/>
      <c r="J187" s="517">
        <v>0.1</v>
      </c>
      <c r="K187" s="517">
        <v>0.4</v>
      </c>
      <c r="L187" s="517">
        <v>0.4</v>
      </c>
      <c r="M187" s="517">
        <v>0.1</v>
      </c>
      <c r="N187" s="230">
        <f t="shared" si="6"/>
        <v>1</v>
      </c>
      <c r="O187" s="60"/>
    </row>
    <row r="188" spans="1:16" ht="28" outlineLevel="1" x14ac:dyDescent="0.35">
      <c r="A188" s="804"/>
      <c r="B188" s="251">
        <v>15</v>
      </c>
      <c r="C188" s="233" t="s">
        <v>30</v>
      </c>
      <c r="D188" s="231" t="s">
        <v>34</v>
      </c>
      <c r="E188" s="231">
        <v>0</v>
      </c>
      <c r="F188" s="275">
        <v>91.78</v>
      </c>
      <c r="G188" s="275">
        <v>119.45099999999999</v>
      </c>
      <c r="H188" s="517"/>
      <c r="I188" s="517"/>
      <c r="J188" s="517">
        <v>1</v>
      </c>
      <c r="K188" s="517">
        <v>0</v>
      </c>
      <c r="L188" s="517">
        <v>0</v>
      </c>
      <c r="M188" s="517"/>
      <c r="N188" s="230">
        <f t="shared" si="6"/>
        <v>1</v>
      </c>
      <c r="O188" s="60"/>
    </row>
    <row r="189" spans="1:16" ht="28" outlineLevel="1" x14ac:dyDescent="0.35">
      <c r="A189" s="804"/>
      <c r="B189" s="251">
        <v>16</v>
      </c>
      <c r="C189" s="233" t="s">
        <v>31</v>
      </c>
      <c r="D189" s="530" t="s">
        <v>34</v>
      </c>
      <c r="E189" s="530">
        <v>0</v>
      </c>
      <c r="F189" s="275">
        <v>0</v>
      </c>
      <c r="G189" s="275">
        <v>0</v>
      </c>
      <c r="H189" s="517"/>
      <c r="I189" s="517"/>
      <c r="J189" s="517">
        <v>1</v>
      </c>
      <c r="K189" s="517"/>
      <c r="L189" s="517"/>
      <c r="M189" s="517"/>
      <c r="N189" s="230">
        <f t="shared" si="6"/>
        <v>1</v>
      </c>
      <c r="O189" s="60"/>
    </row>
    <row r="190" spans="1:16" ht="14.5" outlineLevel="1" x14ac:dyDescent="0.35">
      <c r="A190" s="804"/>
      <c r="B190" s="251">
        <v>17</v>
      </c>
      <c r="C190" s="233" t="s">
        <v>10</v>
      </c>
      <c r="D190" s="231" t="s">
        <v>34</v>
      </c>
      <c r="E190" s="231">
        <v>0</v>
      </c>
      <c r="F190" s="275">
        <v>6677.8779999999997</v>
      </c>
      <c r="G190" s="275">
        <v>98838.76</v>
      </c>
      <c r="H190" s="517"/>
      <c r="I190" s="517"/>
      <c r="J190" s="517">
        <v>0</v>
      </c>
      <c r="K190" s="517">
        <v>0.28999999999999998</v>
      </c>
      <c r="L190" s="517">
        <v>0.46</v>
      </c>
      <c r="M190" s="517">
        <v>0.25</v>
      </c>
      <c r="N190" s="230">
        <f t="shared" si="6"/>
        <v>1</v>
      </c>
      <c r="O190" s="60"/>
    </row>
    <row r="191" spans="1:16" ht="14.5" outlineLevel="1" x14ac:dyDescent="0.35">
      <c r="A191" s="804"/>
      <c r="B191" s="251"/>
      <c r="C191" s="234" t="s">
        <v>257</v>
      </c>
      <c r="D191" s="231" t="s">
        <v>254</v>
      </c>
      <c r="E191" s="231"/>
      <c r="F191" s="275"/>
      <c r="G191" s="275"/>
      <c r="H191" s="517"/>
      <c r="I191" s="517"/>
      <c r="J191" s="517"/>
      <c r="K191" s="517"/>
      <c r="L191" s="517"/>
      <c r="M191" s="517"/>
      <c r="N191" s="230"/>
      <c r="O191" s="60"/>
    </row>
    <row r="192" spans="1:16" ht="14.5" outlineLevel="1" x14ac:dyDescent="0.35">
      <c r="A192" s="804"/>
      <c r="B192" s="251"/>
      <c r="C192" s="793"/>
      <c r="D192" s="793"/>
      <c r="E192" s="246"/>
      <c r="F192" s="275"/>
      <c r="G192" s="275"/>
      <c r="H192" s="517"/>
      <c r="I192" s="517"/>
      <c r="J192" s="517"/>
      <c r="K192" s="517"/>
      <c r="L192" s="517"/>
      <c r="M192" s="517"/>
      <c r="N192" s="230"/>
      <c r="O192" s="60"/>
    </row>
    <row r="193" spans="1:16" ht="14.5" outlineLevel="1" x14ac:dyDescent="0.35">
      <c r="A193" s="804"/>
      <c r="B193" s="251"/>
      <c r="C193" s="793"/>
      <c r="D193" s="793"/>
      <c r="E193" s="246"/>
      <c r="F193" s="275"/>
      <c r="G193" s="275"/>
      <c r="H193" s="517"/>
      <c r="I193" s="517"/>
      <c r="J193" s="517"/>
      <c r="K193" s="517"/>
      <c r="L193" s="517"/>
      <c r="M193" s="517"/>
      <c r="N193" s="230"/>
      <c r="O193" s="60"/>
    </row>
    <row r="194" spans="1:16" ht="14.5" outlineLevel="1" x14ac:dyDescent="0.35">
      <c r="A194" s="804"/>
      <c r="B194" s="251"/>
      <c r="C194" s="793"/>
      <c r="D194" s="793"/>
      <c r="E194" s="246"/>
      <c r="F194" s="275"/>
      <c r="G194" s="275"/>
      <c r="H194" s="517"/>
      <c r="I194" s="517"/>
      <c r="J194" s="517"/>
      <c r="K194" s="517"/>
      <c r="L194" s="517"/>
      <c r="M194" s="517"/>
      <c r="N194" s="230"/>
      <c r="O194" s="60"/>
    </row>
    <row r="195" spans="1:16" s="37" customFormat="1" ht="14.5" outlineLevel="1" x14ac:dyDescent="0.35">
      <c r="A195" s="804"/>
      <c r="B195" s="362"/>
      <c r="C195" s="806" t="s">
        <v>11</v>
      </c>
      <c r="D195" s="806"/>
      <c r="E195" s="363"/>
      <c r="F195" s="364"/>
      <c r="G195" s="364"/>
      <c r="H195" s="516"/>
      <c r="I195" s="516"/>
      <c r="J195" s="516"/>
      <c r="K195" s="516"/>
      <c r="L195" s="516"/>
      <c r="M195" s="516"/>
      <c r="N195" s="365"/>
      <c r="O195" s="132"/>
    </row>
    <row r="196" spans="1:16" ht="14.5" outlineLevel="1" x14ac:dyDescent="0.35">
      <c r="A196" s="804"/>
      <c r="B196" s="133">
        <v>18</v>
      </c>
      <c r="C196" s="233" t="s">
        <v>12</v>
      </c>
      <c r="D196" s="231" t="s">
        <v>34</v>
      </c>
      <c r="E196" s="530">
        <v>8.94</v>
      </c>
      <c r="F196" s="275">
        <v>0</v>
      </c>
      <c r="G196" s="275">
        <v>0</v>
      </c>
      <c r="H196" s="517"/>
      <c r="I196" s="517"/>
      <c r="J196" s="517">
        <v>0</v>
      </c>
      <c r="K196" s="517">
        <v>0</v>
      </c>
      <c r="L196" s="517">
        <v>0</v>
      </c>
      <c r="M196" s="517"/>
      <c r="N196" s="230">
        <f>SUM(H196:M196)</f>
        <v>0</v>
      </c>
      <c r="O196" s="60"/>
    </row>
    <row r="197" spans="1:16" ht="14.5" outlineLevel="1" x14ac:dyDescent="0.35">
      <c r="A197" s="804"/>
      <c r="B197" s="133">
        <v>19</v>
      </c>
      <c r="C197" s="233" t="s">
        <v>13</v>
      </c>
      <c r="D197" s="231" t="s">
        <v>34</v>
      </c>
      <c r="E197" s="530">
        <v>8.94</v>
      </c>
      <c r="F197" s="275">
        <v>0</v>
      </c>
      <c r="G197" s="275">
        <v>0</v>
      </c>
      <c r="H197" s="517"/>
      <c r="I197" s="517"/>
      <c r="J197" s="517">
        <v>0</v>
      </c>
      <c r="K197" s="517">
        <v>0</v>
      </c>
      <c r="L197" s="517">
        <v>0</v>
      </c>
      <c r="M197" s="517"/>
      <c r="N197" s="230">
        <f>SUM(H197:M197)</f>
        <v>0</v>
      </c>
      <c r="O197" s="60"/>
    </row>
    <row r="198" spans="1:16" ht="14.5" outlineLevel="1" x14ac:dyDescent="0.35">
      <c r="A198" s="804"/>
      <c r="B198" s="133">
        <v>20</v>
      </c>
      <c r="C198" s="233" t="s">
        <v>14</v>
      </c>
      <c r="D198" s="231" t="s">
        <v>34</v>
      </c>
      <c r="E198" s="530">
        <v>8.94</v>
      </c>
      <c r="F198" s="275">
        <v>607.37300000000005</v>
      </c>
      <c r="G198" s="275">
        <v>3446705.5860000001</v>
      </c>
      <c r="H198" s="517"/>
      <c r="I198" s="517"/>
      <c r="J198" s="517">
        <v>0</v>
      </c>
      <c r="K198" s="517">
        <v>0.1</v>
      </c>
      <c r="L198" s="517">
        <v>0.4</v>
      </c>
      <c r="M198" s="517">
        <v>0.5</v>
      </c>
      <c r="N198" s="230">
        <f>SUM(H198:M198)</f>
        <v>1</v>
      </c>
      <c r="O198" s="60"/>
    </row>
    <row r="199" spans="1:16" ht="14.5" outlineLevel="1" x14ac:dyDescent="0.35">
      <c r="A199" s="804"/>
      <c r="B199" s="133">
        <v>21</v>
      </c>
      <c r="C199" s="235" t="s">
        <v>27</v>
      </c>
      <c r="D199" s="231" t="s">
        <v>34</v>
      </c>
      <c r="E199" s="530">
        <v>8.94</v>
      </c>
      <c r="F199" s="275">
        <v>0</v>
      </c>
      <c r="G199" s="275">
        <v>0</v>
      </c>
      <c r="H199" s="517"/>
      <c r="I199" s="517"/>
      <c r="J199" s="517">
        <v>0.19733338304716341</v>
      </c>
      <c r="K199" s="517">
        <v>0.68169888607207652</v>
      </c>
      <c r="L199" s="517">
        <v>9.2455112934926323E-2</v>
      </c>
      <c r="M199" s="517">
        <v>2.8512617945833676E-2</v>
      </c>
      <c r="N199" s="230">
        <f>SUM(H199:M199)</f>
        <v>1</v>
      </c>
      <c r="O199" s="60"/>
    </row>
    <row r="200" spans="1:16" ht="14.5" outlineLevel="1" x14ac:dyDescent="0.35">
      <c r="A200" s="804"/>
      <c r="B200" s="133">
        <v>22</v>
      </c>
      <c r="C200" s="233" t="s">
        <v>10</v>
      </c>
      <c r="D200" s="231" t="s">
        <v>34</v>
      </c>
      <c r="E200" s="530">
        <v>0</v>
      </c>
      <c r="F200" s="275">
        <v>24335.89</v>
      </c>
      <c r="G200" s="275">
        <v>564745.6</v>
      </c>
      <c r="H200" s="517"/>
      <c r="I200" s="517"/>
      <c r="J200" s="517"/>
      <c r="K200" s="517">
        <v>0.09</v>
      </c>
      <c r="L200" s="517">
        <v>0.06</v>
      </c>
      <c r="M200" s="517">
        <v>0.85</v>
      </c>
      <c r="N200" s="230">
        <f>SUM(H200:M200)</f>
        <v>1</v>
      </c>
      <c r="O200" s="60"/>
    </row>
    <row r="201" spans="1:16" ht="14.5" outlineLevel="1" x14ac:dyDescent="0.35">
      <c r="A201" s="804"/>
      <c r="B201" s="133"/>
      <c r="C201" s="234" t="s">
        <v>257</v>
      </c>
      <c r="D201" s="231" t="s">
        <v>254</v>
      </c>
      <c r="E201" s="231"/>
      <c r="F201" s="275"/>
      <c r="G201" s="275"/>
      <c r="H201" s="517"/>
      <c r="I201" s="517"/>
      <c r="J201" s="517"/>
      <c r="K201" s="517"/>
      <c r="L201" s="517"/>
      <c r="M201" s="517"/>
      <c r="N201" s="230"/>
      <c r="O201" s="60"/>
    </row>
    <row r="202" spans="1:16" ht="14.5" outlineLevel="1" x14ac:dyDescent="0.35">
      <c r="A202" s="804"/>
      <c r="B202" s="133"/>
      <c r="C202" s="793"/>
      <c r="D202" s="793"/>
      <c r="E202" s="246"/>
      <c r="F202" s="275"/>
      <c r="G202" s="275"/>
      <c r="H202" s="517"/>
      <c r="I202" s="517"/>
      <c r="J202" s="517"/>
      <c r="K202" s="517"/>
      <c r="L202" s="517"/>
      <c r="M202" s="517"/>
      <c r="N202" s="230"/>
      <c r="O202" s="60"/>
    </row>
    <row r="203" spans="1:16" ht="14.5" outlineLevel="1" x14ac:dyDescent="0.35">
      <c r="A203" s="804"/>
      <c r="B203" s="133"/>
      <c r="C203" s="793"/>
      <c r="D203" s="793"/>
      <c r="E203" s="246"/>
      <c r="F203" s="275"/>
      <c r="G203" s="275"/>
      <c r="H203" s="517"/>
      <c r="I203" s="517"/>
      <c r="J203" s="517"/>
      <c r="K203" s="517"/>
      <c r="L203" s="517"/>
      <c r="M203" s="517"/>
      <c r="N203" s="230"/>
      <c r="O203" s="60"/>
    </row>
    <row r="204" spans="1:16" ht="14.5" outlineLevel="1" x14ac:dyDescent="0.35">
      <c r="A204" s="804"/>
      <c r="B204" s="133"/>
      <c r="C204" s="793"/>
      <c r="D204" s="793"/>
      <c r="E204" s="246"/>
      <c r="F204" s="275"/>
      <c r="G204" s="275"/>
      <c r="H204" s="517"/>
      <c r="I204" s="517"/>
      <c r="J204" s="517"/>
      <c r="K204" s="517"/>
      <c r="L204" s="517"/>
      <c r="M204" s="517"/>
      <c r="N204" s="230"/>
      <c r="O204" s="60"/>
    </row>
    <row r="205" spans="1:16" s="37" customFormat="1" ht="14.5" outlineLevel="1" x14ac:dyDescent="0.35">
      <c r="A205" s="804"/>
      <c r="B205" s="362"/>
      <c r="C205" s="806" t="s">
        <v>15</v>
      </c>
      <c r="D205" s="806"/>
      <c r="E205" s="530"/>
      <c r="F205" s="364"/>
      <c r="G205" s="364"/>
      <c r="H205" s="516"/>
      <c r="I205" s="516"/>
      <c r="J205" s="516"/>
      <c r="K205" s="516"/>
      <c r="L205" s="516"/>
      <c r="M205" s="516"/>
      <c r="N205" s="365"/>
      <c r="O205" s="132"/>
    </row>
    <row r="206" spans="1:16" ht="14.5" outlineLevel="1" x14ac:dyDescent="0.35">
      <c r="A206" s="804"/>
      <c r="B206" s="251">
        <v>23</v>
      </c>
      <c r="C206" s="233" t="s">
        <v>15</v>
      </c>
      <c r="D206" s="231" t="s">
        <v>34</v>
      </c>
      <c r="E206" s="530">
        <v>8.94</v>
      </c>
      <c r="F206" s="275">
        <v>121.866</v>
      </c>
      <c r="G206" s="275">
        <v>1620649.952</v>
      </c>
      <c r="H206" s="517">
        <v>0.05</v>
      </c>
      <c r="I206" s="517">
        <v>2.5000000000000001E-2</v>
      </c>
      <c r="J206" s="517">
        <v>0</v>
      </c>
      <c r="K206" s="517">
        <v>0.9</v>
      </c>
      <c r="L206" s="517">
        <v>2.5000000000000001E-2</v>
      </c>
      <c r="M206" s="517"/>
      <c r="N206" s="230">
        <f>SUM(H206:M206)</f>
        <v>1</v>
      </c>
      <c r="O206" s="60"/>
      <c r="P206" s="529"/>
    </row>
    <row r="207" spans="1:16" ht="14.5" outlineLevel="1" x14ac:dyDescent="0.35">
      <c r="A207" s="804"/>
      <c r="B207" s="251"/>
      <c r="C207" s="234" t="s">
        <v>257</v>
      </c>
      <c r="D207" s="231" t="s">
        <v>254</v>
      </c>
      <c r="E207" s="231"/>
      <c r="F207" s="275"/>
      <c r="G207" s="275"/>
      <c r="H207" s="517"/>
      <c r="I207" s="517"/>
      <c r="J207" s="517"/>
      <c r="K207" s="517"/>
      <c r="L207" s="517"/>
      <c r="M207" s="517"/>
      <c r="N207" s="230"/>
      <c r="O207" s="60"/>
    </row>
    <row r="208" spans="1:16" ht="14.5" outlineLevel="1" x14ac:dyDescent="0.35">
      <c r="A208" s="804"/>
      <c r="B208" s="251"/>
      <c r="C208" s="793"/>
      <c r="D208" s="793"/>
      <c r="E208" s="246"/>
      <c r="F208" s="275"/>
      <c r="G208" s="275"/>
      <c r="H208" s="517"/>
      <c r="I208" s="517"/>
      <c r="J208" s="517"/>
      <c r="K208" s="517"/>
      <c r="L208" s="517"/>
      <c r="M208" s="517"/>
      <c r="N208" s="230"/>
      <c r="O208" s="60"/>
    </row>
    <row r="209" spans="1:15" ht="14.5" outlineLevel="1" x14ac:dyDescent="0.35">
      <c r="A209" s="804"/>
      <c r="B209" s="251"/>
      <c r="C209" s="793"/>
      <c r="D209" s="793"/>
      <c r="E209" s="246"/>
      <c r="F209" s="275"/>
      <c r="G209" s="275"/>
      <c r="H209" s="517"/>
      <c r="I209" s="517"/>
      <c r="J209" s="517"/>
      <c r="K209" s="517"/>
      <c r="L209" s="517"/>
      <c r="M209" s="517"/>
      <c r="N209" s="230"/>
      <c r="O209" s="60"/>
    </row>
    <row r="210" spans="1:15" s="37" customFormat="1" ht="14.5" outlineLevel="1" x14ac:dyDescent="0.35">
      <c r="A210" s="804"/>
      <c r="B210" s="362"/>
      <c r="C210" s="806" t="s">
        <v>16</v>
      </c>
      <c r="D210" s="806"/>
      <c r="E210" s="363"/>
      <c r="F210" s="364"/>
      <c r="G210" s="364"/>
      <c r="H210" s="516"/>
      <c r="I210" s="516"/>
      <c r="J210" s="516"/>
      <c r="K210" s="516"/>
      <c r="L210" s="516"/>
      <c r="M210" s="516"/>
      <c r="N210" s="365"/>
      <c r="O210" s="132"/>
    </row>
    <row r="211" spans="1:15" ht="14.5" outlineLevel="1" x14ac:dyDescent="0.35">
      <c r="A211" s="804"/>
      <c r="B211" s="251">
        <v>24</v>
      </c>
      <c r="C211" s="233" t="s">
        <v>17</v>
      </c>
      <c r="D211" s="231" t="s">
        <v>34</v>
      </c>
      <c r="E211" s="231"/>
      <c r="F211" s="275"/>
      <c r="G211" s="275"/>
      <c r="H211" s="517"/>
      <c r="I211" s="517"/>
      <c r="J211" s="517"/>
      <c r="K211" s="517">
        <v>0</v>
      </c>
      <c r="L211" s="517">
        <v>0</v>
      </c>
      <c r="M211" s="517"/>
      <c r="N211" s="230">
        <f>SUM(H211:M211)</f>
        <v>0</v>
      </c>
      <c r="O211" s="60"/>
    </row>
    <row r="212" spans="1:15" ht="14.5" outlineLevel="1" x14ac:dyDescent="0.35">
      <c r="A212" s="804"/>
      <c r="B212" s="251">
        <v>25</v>
      </c>
      <c r="C212" s="233" t="s">
        <v>18</v>
      </c>
      <c r="D212" s="231" t="s">
        <v>34</v>
      </c>
      <c r="E212" s="231"/>
      <c r="F212" s="275"/>
      <c r="G212" s="275"/>
      <c r="H212" s="517"/>
      <c r="I212" s="517"/>
      <c r="J212" s="517">
        <v>0.75</v>
      </c>
      <c r="K212" s="517">
        <v>0.25</v>
      </c>
      <c r="L212" s="517"/>
      <c r="M212" s="517"/>
      <c r="N212" s="230">
        <f>SUM(H212:M212)</f>
        <v>1</v>
      </c>
      <c r="O212" s="60"/>
    </row>
    <row r="213" spans="1:15" ht="14.5" outlineLevel="1" x14ac:dyDescent="0.35">
      <c r="A213" s="804"/>
      <c r="B213" s="251">
        <v>26</v>
      </c>
      <c r="C213" s="233" t="s">
        <v>19</v>
      </c>
      <c r="D213" s="231" t="s">
        <v>34</v>
      </c>
      <c r="E213" s="231"/>
      <c r="F213" s="275"/>
      <c r="G213" s="275"/>
      <c r="H213" s="517"/>
      <c r="I213" s="517"/>
      <c r="J213" s="517">
        <v>0.1</v>
      </c>
      <c r="K213" s="517">
        <v>0.3</v>
      </c>
      <c r="L213" s="517">
        <v>0.3</v>
      </c>
      <c r="M213" s="517">
        <v>0.3</v>
      </c>
      <c r="N213" s="230">
        <f>SUM(H213:M213)</f>
        <v>1</v>
      </c>
      <c r="O213" s="60"/>
    </row>
    <row r="214" spans="1:15" ht="14.5" outlineLevel="1" x14ac:dyDescent="0.35">
      <c r="A214" s="804"/>
      <c r="B214" s="251">
        <v>27</v>
      </c>
      <c r="C214" s="233" t="s">
        <v>20</v>
      </c>
      <c r="D214" s="231" t="s">
        <v>34</v>
      </c>
      <c r="E214" s="231"/>
      <c r="F214" s="275"/>
      <c r="G214" s="275"/>
      <c r="H214" s="517"/>
      <c r="I214" s="517"/>
      <c r="J214" s="517"/>
      <c r="K214" s="517">
        <v>0</v>
      </c>
      <c r="L214" s="517">
        <v>0</v>
      </c>
      <c r="M214" s="517"/>
      <c r="N214" s="230">
        <f>SUM(H214:M214)</f>
        <v>0</v>
      </c>
      <c r="O214" s="60"/>
    </row>
    <row r="215" spans="1:15" ht="14.5" outlineLevel="1" x14ac:dyDescent="0.35">
      <c r="A215" s="804"/>
      <c r="B215" s="251">
        <v>28</v>
      </c>
      <c r="C215" s="233" t="s">
        <v>100</v>
      </c>
      <c r="D215" s="231" t="s">
        <v>34</v>
      </c>
      <c r="E215" s="231"/>
      <c r="F215" s="275"/>
      <c r="G215" s="275"/>
      <c r="H215" s="517"/>
      <c r="I215" s="517"/>
      <c r="J215" s="517"/>
      <c r="K215" s="517">
        <v>0</v>
      </c>
      <c r="L215" s="517">
        <v>0</v>
      </c>
      <c r="M215" s="517"/>
      <c r="N215" s="230">
        <f>SUM(H215:M215)</f>
        <v>0</v>
      </c>
      <c r="O215" s="60"/>
    </row>
    <row r="216" spans="1:15" ht="14.5" outlineLevel="1" x14ac:dyDescent="0.35">
      <c r="A216" s="804"/>
      <c r="B216" s="251"/>
      <c r="C216" s="234" t="s">
        <v>257</v>
      </c>
      <c r="D216" s="231" t="s">
        <v>254</v>
      </c>
      <c r="E216" s="231"/>
      <c r="F216" s="275"/>
      <c r="G216" s="275"/>
      <c r="H216" s="517"/>
      <c r="I216" s="517"/>
      <c r="J216" s="517"/>
      <c r="K216" s="517"/>
      <c r="L216" s="517"/>
      <c r="M216" s="517"/>
      <c r="N216" s="230"/>
      <c r="O216" s="60"/>
    </row>
    <row r="217" spans="1:15" ht="14.5" outlineLevel="1" x14ac:dyDescent="0.35">
      <c r="A217" s="804"/>
      <c r="B217" s="251"/>
      <c r="C217" s="793"/>
      <c r="D217" s="793"/>
      <c r="E217" s="246"/>
      <c r="F217" s="275"/>
      <c r="G217" s="275"/>
      <c r="H217" s="517"/>
      <c r="I217" s="517"/>
      <c r="J217" s="517"/>
      <c r="K217" s="517"/>
      <c r="L217" s="517"/>
      <c r="M217" s="517"/>
      <c r="N217" s="230"/>
      <c r="O217" s="60"/>
    </row>
    <row r="218" spans="1:15" ht="14.5" outlineLevel="1" x14ac:dyDescent="0.35">
      <c r="A218" s="804"/>
      <c r="B218" s="251"/>
      <c r="C218" s="793"/>
      <c r="D218" s="793"/>
      <c r="E218" s="246"/>
      <c r="F218" s="275"/>
      <c r="G218" s="275"/>
      <c r="H218" s="517"/>
      <c r="I218" s="517"/>
      <c r="J218" s="517"/>
      <c r="K218" s="517"/>
      <c r="L218" s="517"/>
      <c r="M218" s="517"/>
      <c r="N218" s="230"/>
      <c r="O218" s="60"/>
    </row>
    <row r="219" spans="1:15" s="37" customFormat="1" ht="14.5" outlineLevel="1" x14ac:dyDescent="0.35">
      <c r="A219" s="804"/>
      <c r="B219" s="362"/>
      <c r="C219" s="806" t="s">
        <v>101</v>
      </c>
      <c r="D219" s="806"/>
      <c r="E219" s="363"/>
      <c r="F219" s="364"/>
      <c r="G219" s="364"/>
      <c r="H219" s="516"/>
      <c r="I219" s="516"/>
      <c r="J219" s="516"/>
      <c r="K219" s="516"/>
      <c r="L219" s="516"/>
      <c r="M219" s="516"/>
      <c r="N219" s="365"/>
      <c r="O219" s="132"/>
    </row>
    <row r="220" spans="1:15" ht="14.5" outlineLevel="1" x14ac:dyDescent="0.35">
      <c r="A220" s="804"/>
      <c r="B220" s="133">
        <v>29</v>
      </c>
      <c r="C220" s="233" t="s">
        <v>103</v>
      </c>
      <c r="D220" s="231" t="s">
        <v>34</v>
      </c>
      <c r="E220" s="530">
        <v>8.94</v>
      </c>
      <c r="F220" s="275">
        <v>3512.8</v>
      </c>
      <c r="G220" s="275">
        <v>2915337</v>
      </c>
      <c r="H220" s="517"/>
      <c r="I220" s="517"/>
      <c r="J220" s="517"/>
      <c r="K220" s="517"/>
      <c r="L220" s="517"/>
      <c r="M220" s="517">
        <v>1</v>
      </c>
      <c r="N220" s="230">
        <f>SUM(H220:M220)</f>
        <v>1</v>
      </c>
      <c r="O220" s="60"/>
    </row>
    <row r="221" spans="1:15" ht="14.5" outlineLevel="1" x14ac:dyDescent="0.35">
      <c r="A221" s="804"/>
      <c r="B221" s="133">
        <v>30</v>
      </c>
      <c r="C221" s="233" t="s">
        <v>102</v>
      </c>
      <c r="D221" s="231" t="s">
        <v>34</v>
      </c>
      <c r="E221" s="530"/>
      <c r="F221" s="275"/>
      <c r="G221" s="275"/>
      <c r="H221" s="517"/>
      <c r="I221" s="517"/>
      <c r="J221" s="517"/>
      <c r="K221" s="517"/>
      <c r="L221" s="517"/>
      <c r="M221" s="517"/>
      <c r="N221" s="230">
        <f>SUM(H221:M221)</f>
        <v>0</v>
      </c>
      <c r="O221" s="60"/>
    </row>
    <row r="222" spans="1:15" ht="14.5" outlineLevel="1" x14ac:dyDescent="0.35">
      <c r="A222" s="804"/>
      <c r="B222" s="133"/>
      <c r="C222" s="234" t="s">
        <v>257</v>
      </c>
      <c r="D222" s="231" t="s">
        <v>254</v>
      </c>
      <c r="E222" s="231"/>
      <c r="F222" s="275"/>
      <c r="G222" s="275"/>
      <c r="H222" s="517"/>
      <c r="I222" s="517"/>
      <c r="J222" s="517"/>
      <c r="K222" s="517"/>
      <c r="L222" s="517"/>
      <c r="M222" s="517"/>
      <c r="N222" s="230"/>
      <c r="O222" s="60"/>
    </row>
    <row r="223" spans="1:15" ht="14.5" outlineLevel="1" x14ac:dyDescent="0.35">
      <c r="A223" s="804"/>
      <c r="B223" s="133"/>
      <c r="C223" s="793" t="s">
        <v>486</v>
      </c>
      <c r="D223" s="793"/>
      <c r="E223" s="246">
        <v>8.94</v>
      </c>
      <c r="F223" s="275">
        <v>1988.287</v>
      </c>
      <c r="G223" s="275">
        <v>15138838.185000001</v>
      </c>
      <c r="H223" s="517">
        <v>0.2</v>
      </c>
      <c r="I223" s="517"/>
      <c r="J223" s="517">
        <v>0.2</v>
      </c>
      <c r="K223" s="517">
        <v>0.2</v>
      </c>
      <c r="L223" s="517">
        <v>0.2</v>
      </c>
      <c r="M223" s="517">
        <v>0.2</v>
      </c>
      <c r="N223" s="230"/>
      <c r="O223" s="60"/>
    </row>
    <row r="224" spans="1:15" s="37" customFormat="1" ht="14.5" outlineLevel="1" x14ac:dyDescent="0.35">
      <c r="A224" s="804"/>
      <c r="B224" s="134"/>
      <c r="C224" s="802"/>
      <c r="D224" s="802"/>
      <c r="E224" s="331"/>
      <c r="F224" s="275"/>
      <c r="G224" s="275"/>
      <c r="H224" s="515"/>
      <c r="I224" s="515"/>
      <c r="J224" s="515"/>
      <c r="K224" s="515"/>
      <c r="L224" s="515"/>
      <c r="M224" s="515"/>
      <c r="N224" s="366"/>
      <c r="O224" s="132"/>
    </row>
    <row r="225" spans="1:18" ht="14.5" x14ac:dyDescent="0.35">
      <c r="A225" s="804"/>
      <c r="B225" s="332"/>
      <c r="C225" s="808" t="s">
        <v>222</v>
      </c>
      <c r="D225" s="808"/>
      <c r="E225" s="333"/>
      <c r="F225" s="334">
        <f>SUM(F168:F223)</f>
        <v>93630.737999999998</v>
      </c>
      <c r="G225" s="334">
        <f>SUM(G168:G223)</f>
        <v>135453320.303</v>
      </c>
      <c r="H225" s="335">
        <f>SUMPRODUCT(H168:H224,$G$168:$G$224)</f>
        <v>12452538.577199999</v>
      </c>
      <c r="I225" s="533">
        <f>SUMPRODUCT(I168:I224,$G$168:$G$224)</f>
        <v>219843.27020000003</v>
      </c>
      <c r="J225" s="533">
        <f>SUMPRODUCT(J168:J224,$G$168:$G$224)</f>
        <v>28182175.458783962</v>
      </c>
      <c r="K225" s="336"/>
      <c r="L225" s="333"/>
      <c r="M225" s="333"/>
      <c r="N225" s="337">
        <f>SUM(H225:M225)</f>
        <v>40854557.306183964</v>
      </c>
      <c r="O225" s="60"/>
    </row>
    <row r="226" spans="1:18" ht="14.5" x14ac:dyDescent="0.35">
      <c r="A226" s="804"/>
      <c r="B226" s="468"/>
      <c r="C226" s="469" t="s">
        <v>481</v>
      </c>
      <c r="D226" s="469"/>
      <c r="E226" s="470"/>
      <c r="F226" s="471"/>
      <c r="G226" s="471"/>
      <c r="H226" s="472">
        <f>H225-SUM(G175*H175,G176*H176)</f>
        <v>12213061.233199999</v>
      </c>
      <c r="I226" s="472">
        <f>I225-SUM(K188*I188,K189*I189,K190*I190)</f>
        <v>219843.27020000003</v>
      </c>
      <c r="J226" s="472">
        <f>J225-SUM(G188*J188,G189*J189,G190*J190)</f>
        <v>28182056.007783961</v>
      </c>
      <c r="K226" s="473"/>
      <c r="L226" s="470"/>
      <c r="M226" s="470"/>
      <c r="N226" s="474"/>
      <c r="O226" s="60"/>
      <c r="Q226" s="678">
        <f>H225-H226</f>
        <v>239477.34400000051</v>
      </c>
      <c r="R226" s="679">
        <f>J225-J226</f>
        <v>119.4510000012815</v>
      </c>
    </row>
    <row r="227" spans="1:18" ht="14.5" x14ac:dyDescent="0.35">
      <c r="A227" s="804"/>
      <c r="B227" s="252"/>
      <c r="C227" s="793" t="s">
        <v>318</v>
      </c>
      <c r="D227" s="793"/>
      <c r="E227" s="247"/>
      <c r="F227" s="245"/>
      <c r="G227" s="245"/>
      <c r="H227" s="247"/>
      <c r="I227" s="535"/>
      <c r="J227" s="247"/>
      <c r="K227" s="533">
        <f>SUMPRODUCT(K168:K224,$F$168:$F$224,$E$168:$E$224)</f>
        <v>102514.57291136857</v>
      </c>
      <c r="L227" s="533">
        <f>SUMPRODUCT(L168:L224,$F$168:$F$224,$E$168:$E$224)</f>
        <v>21775.040504704117</v>
      </c>
      <c r="M227" s="533">
        <f>SUMPRODUCT(M168:M224,$F$168:$F$224,$E$168:$E$224)</f>
        <v>42307.168867052336</v>
      </c>
      <c r="N227" s="253">
        <f>SUM(H227:M227)</f>
        <v>166596.78228312501</v>
      </c>
      <c r="O227" s="60"/>
    </row>
    <row r="228" spans="1:18" ht="14.5" x14ac:dyDescent="0.35">
      <c r="A228" s="804"/>
      <c r="B228" s="252"/>
      <c r="C228" s="793" t="s">
        <v>477</v>
      </c>
      <c r="D228" s="793"/>
      <c r="E228" s="247"/>
      <c r="F228" s="245"/>
      <c r="G228" s="245"/>
      <c r="H228" s="247"/>
      <c r="I228" s="247"/>
      <c r="J228" s="247"/>
      <c r="K228" s="531">
        <f>K227-($E$185*$F$185*K185)</f>
        <v>102514.57291136857</v>
      </c>
      <c r="L228" s="531">
        <f>L227-($E$185*$F$185*L185)</f>
        <v>21775.040504704117</v>
      </c>
      <c r="M228" s="531">
        <f>M227-($E$185*$F$185*M185)</f>
        <v>42307.168867052336</v>
      </c>
      <c r="N228" s="532"/>
      <c r="O228" s="60"/>
    </row>
    <row r="229" spans="1:18" ht="14.5" x14ac:dyDescent="0.35">
      <c r="A229" s="804"/>
      <c r="B229" s="254"/>
      <c r="C229" s="809"/>
      <c r="D229" s="809"/>
      <c r="E229" s="240"/>
      <c r="F229" s="238"/>
      <c r="G229" s="238"/>
      <c r="H229" s="240"/>
      <c r="I229" s="240"/>
      <c r="J229" s="240"/>
      <c r="K229" s="240"/>
      <c r="L229" s="240"/>
      <c r="M229" s="240"/>
      <c r="N229" s="255"/>
      <c r="O229" s="60"/>
    </row>
    <row r="230" spans="1:18" ht="14.5" hidden="1" x14ac:dyDescent="0.35">
      <c r="A230" s="804"/>
      <c r="B230" s="360"/>
      <c r="C230" s="791" t="s">
        <v>322</v>
      </c>
      <c r="D230" s="791"/>
      <c r="E230" s="530"/>
      <c r="F230" s="242"/>
      <c r="G230" s="530"/>
      <c r="H230" s="243">
        <f>'3.  Distribution Rates'!G33</f>
        <v>0</v>
      </c>
      <c r="I230" s="243">
        <f>'3.  Distribution Rates'!G37</f>
        <v>0</v>
      </c>
      <c r="J230" s="243">
        <f>'3.  Distribution Rates'!G34</f>
        <v>0</v>
      </c>
      <c r="K230" s="243">
        <f>'3.  Distribution Rates'!G35</f>
        <v>0</v>
      </c>
      <c r="L230" s="243">
        <f>'3.  Distribution Rates'!G36</f>
        <v>0</v>
      </c>
      <c r="M230" s="243"/>
      <c r="N230" s="361"/>
      <c r="O230" s="60"/>
    </row>
    <row r="231" spans="1:18" ht="14.5" hidden="1" x14ac:dyDescent="0.35">
      <c r="A231" s="804"/>
      <c r="B231" s="360"/>
      <c r="C231" s="791" t="s">
        <v>236</v>
      </c>
      <c r="D231" s="791"/>
      <c r="E231" s="240"/>
      <c r="F231" s="242"/>
      <c r="G231" s="242"/>
      <c r="H231" s="357">
        <f>H75*H230</f>
        <v>0</v>
      </c>
      <c r="I231" s="357">
        <f>I75*I230</f>
        <v>0</v>
      </c>
      <c r="J231" s="357">
        <f>J75*J230</f>
        <v>0</v>
      </c>
      <c r="K231" s="357">
        <f>K75*K230</f>
        <v>0</v>
      </c>
      <c r="L231" s="357">
        <f t="shared" ref="L231" si="7">L75*L230</f>
        <v>0</v>
      </c>
      <c r="M231" s="530"/>
      <c r="N231" s="256">
        <f>SUM(H231:M231)</f>
        <v>0</v>
      </c>
      <c r="O231" s="60"/>
    </row>
    <row r="232" spans="1:18" ht="14.5" hidden="1" x14ac:dyDescent="0.35">
      <c r="A232" s="804"/>
      <c r="B232" s="360"/>
      <c r="C232" s="791" t="s">
        <v>237</v>
      </c>
      <c r="D232" s="791"/>
      <c r="E232" s="240"/>
      <c r="F232" s="242"/>
      <c r="G232" s="242"/>
      <c r="H232" s="357">
        <f>H154*H230</f>
        <v>0</v>
      </c>
      <c r="I232" s="357">
        <f>I154*I230</f>
        <v>0</v>
      </c>
      <c r="J232" s="357">
        <f>J154*J230</f>
        <v>0</v>
      </c>
      <c r="K232" s="357">
        <f>K154*K230</f>
        <v>0</v>
      </c>
      <c r="L232" s="357">
        <f t="shared" ref="L232" si="8">L154*L230</f>
        <v>0</v>
      </c>
      <c r="M232" s="530"/>
      <c r="N232" s="256">
        <f>SUM(H232:M232)</f>
        <v>0</v>
      </c>
      <c r="O232" s="60"/>
    </row>
    <row r="233" spans="1:18" ht="14.5" hidden="1" x14ac:dyDescent="0.35">
      <c r="A233" s="804"/>
      <c r="B233" s="360"/>
      <c r="C233" s="791" t="s">
        <v>238</v>
      </c>
      <c r="D233" s="791"/>
      <c r="E233" s="240"/>
      <c r="F233" s="242"/>
      <c r="G233" s="242"/>
      <c r="H233" s="357">
        <f>H225*H230</f>
        <v>0</v>
      </c>
      <c r="I233" s="357">
        <f>I227*I230</f>
        <v>0</v>
      </c>
      <c r="J233" s="357">
        <f>J225*J230</f>
        <v>0</v>
      </c>
      <c r="K233" s="357">
        <f>K227*K230</f>
        <v>0</v>
      </c>
      <c r="L233" s="357">
        <f>L227*L230</f>
        <v>0</v>
      </c>
      <c r="M233" s="530"/>
      <c r="N233" s="256">
        <f>SUM(H233:M233)</f>
        <v>0</v>
      </c>
      <c r="O233" s="60"/>
    </row>
    <row r="234" spans="1:18" ht="14.5" hidden="1" x14ac:dyDescent="0.35">
      <c r="A234" s="804"/>
      <c r="B234" s="254"/>
      <c r="C234" s="358" t="s">
        <v>94</v>
      </c>
      <c r="D234" s="240"/>
      <c r="E234" s="240"/>
      <c r="F234" s="238"/>
      <c r="G234" s="238"/>
      <c r="H234" s="244">
        <f>SUM(H231:H233)</f>
        <v>0</v>
      </c>
      <c r="I234" s="244">
        <f>SUM(I231:I233)</f>
        <v>0</v>
      </c>
      <c r="J234" s="244">
        <f>SUM(J231:J233)</f>
        <v>0</v>
      </c>
      <c r="K234" s="244">
        <f>SUM(K231:K233)</f>
        <v>0</v>
      </c>
      <c r="L234" s="244">
        <f>SUM(L231:L233)</f>
        <v>0</v>
      </c>
      <c r="M234" s="240"/>
      <c r="N234" s="257">
        <f>SUM(N232:N233)</f>
        <v>0</v>
      </c>
      <c r="O234" s="60"/>
    </row>
    <row r="235" spans="1:18" ht="14.5" x14ac:dyDescent="0.35">
      <c r="A235" s="804"/>
      <c r="B235" s="258"/>
      <c r="C235" s="792" t="s">
        <v>97</v>
      </c>
      <c r="D235" s="792"/>
      <c r="E235" s="259"/>
      <c r="F235" s="260"/>
      <c r="G235" s="260"/>
      <c r="H235" s="501">
        <f>$H$226*'6.  Persistence Rates'!$G$27</f>
        <v>11931390.558835426</v>
      </c>
      <c r="I235" s="501">
        <f>$I$226*'6.  Persistence Rates'!$G$27</f>
        <v>214773.00968223449</v>
      </c>
      <c r="J235" s="501">
        <f>$J$226*'6.  Persistence Rates'!$G$27</f>
        <v>27532091.304494519</v>
      </c>
      <c r="K235" s="501">
        <f>$K$228*'6.  Persistence Rates'!$S$27</f>
        <v>100419.89243059114</v>
      </c>
      <c r="L235" s="501">
        <f>$L$228*'6.  Persistence Rates'!$S$27</f>
        <v>21330.111056938906</v>
      </c>
      <c r="M235" s="501">
        <f>$M$228*'6.  Persistence Rates'!$S$27</f>
        <v>41442.706397902824</v>
      </c>
      <c r="N235" s="261"/>
      <c r="O235" s="60"/>
    </row>
    <row r="236" spans="1:18" ht="14.5" hidden="1" x14ac:dyDescent="0.35">
      <c r="A236" s="225"/>
      <c r="B236" s="254"/>
      <c r="C236" s="791" t="s">
        <v>408</v>
      </c>
      <c r="D236" s="791"/>
      <c r="E236" s="240"/>
      <c r="F236" s="238"/>
      <c r="G236" s="238"/>
      <c r="H236" s="231">
        <f>$H$226*'6.  Persistence Rates'!$H$27</f>
        <v>0</v>
      </c>
      <c r="I236" s="231">
        <f>$I$227*'6.  Persistence Rates'!$T$27</f>
        <v>0</v>
      </c>
      <c r="J236" s="231">
        <f>$J$226*'6.  Persistence Rates'!$H$27</f>
        <v>0</v>
      </c>
      <c r="K236" s="231">
        <f>$K$228*'6.  Persistence Rates'!$T$27</f>
        <v>0</v>
      </c>
      <c r="L236" s="231">
        <f>$L$228*'6.  Persistence Rates'!$T$27</f>
        <v>0</v>
      </c>
      <c r="M236" s="240"/>
      <c r="N236" s="255"/>
      <c r="O236" s="60"/>
    </row>
    <row r="237" spans="1:18" ht="14.5" hidden="1" x14ac:dyDescent="0.35">
      <c r="A237" s="225"/>
      <c r="B237" s="254"/>
      <c r="C237" s="791" t="s">
        <v>409</v>
      </c>
      <c r="D237" s="791"/>
      <c r="E237" s="240"/>
      <c r="F237" s="238"/>
      <c r="G237" s="238"/>
      <c r="H237" s="231">
        <f>$H$226*'6.  Persistence Rates'!$I$27</f>
        <v>0</v>
      </c>
      <c r="I237" s="231">
        <f>$I$227*'6.  Persistence Rates'!$U$27</f>
        <v>0</v>
      </c>
      <c r="J237" s="231">
        <f>$J$226*'6.  Persistence Rates'!$I$27</f>
        <v>0</v>
      </c>
      <c r="K237" s="231">
        <f>$K$228*'6.  Persistence Rates'!$U$27</f>
        <v>0</v>
      </c>
      <c r="L237" s="231">
        <f>$L$228*'6.  Persistence Rates'!$U$27</f>
        <v>0</v>
      </c>
      <c r="M237" s="240"/>
      <c r="N237" s="255"/>
      <c r="O237" s="60"/>
    </row>
    <row r="238" spans="1:18" ht="14.5" hidden="1" x14ac:dyDescent="0.35">
      <c r="A238" s="225"/>
      <c r="B238" s="254"/>
      <c r="C238" s="791" t="s">
        <v>410</v>
      </c>
      <c r="D238" s="791"/>
      <c r="E238" s="240"/>
      <c r="F238" s="238"/>
      <c r="G238" s="238"/>
      <c r="H238" s="231">
        <f>$H$226*'6.  Persistence Rates'!$J$27</f>
        <v>0</v>
      </c>
      <c r="I238" s="231">
        <f>$I$227*'6.  Persistence Rates'!$V$27</f>
        <v>0</v>
      </c>
      <c r="J238" s="231">
        <f>$J$226*'6.  Persistence Rates'!$J$27</f>
        <v>0</v>
      </c>
      <c r="K238" s="231">
        <f>$K$228*'6.  Persistence Rates'!$V$27</f>
        <v>0</v>
      </c>
      <c r="L238" s="231">
        <f>$L$228*'6.  Persistence Rates'!$V$27</f>
        <v>0</v>
      </c>
      <c r="M238" s="240"/>
      <c r="N238" s="255"/>
      <c r="O238" s="60"/>
    </row>
    <row r="239" spans="1:18" ht="14.5" hidden="1" x14ac:dyDescent="0.35">
      <c r="A239" s="225"/>
      <c r="B239" s="254"/>
      <c r="C239" s="791" t="s">
        <v>411</v>
      </c>
      <c r="D239" s="791"/>
      <c r="E239" s="240"/>
      <c r="F239" s="238"/>
      <c r="G239" s="238"/>
      <c r="H239" s="231">
        <f>$H$226*'6.  Persistence Rates'!$K$27</f>
        <v>0</v>
      </c>
      <c r="I239" s="231">
        <f>$I$227*'6.  Persistence Rates'!$W$27</f>
        <v>0</v>
      </c>
      <c r="J239" s="231">
        <f>$J$226*'6.  Persistence Rates'!$K$27</f>
        <v>0</v>
      </c>
      <c r="K239" s="231">
        <f>$K$228*'6.  Persistence Rates'!$W$27</f>
        <v>0</v>
      </c>
      <c r="L239" s="231">
        <f>$L$228*'6.  Persistence Rates'!$W$27</f>
        <v>0</v>
      </c>
      <c r="M239" s="240"/>
      <c r="N239" s="255"/>
      <c r="O239" s="60"/>
    </row>
    <row r="240" spans="1:18" ht="14.5" hidden="1" x14ac:dyDescent="0.35">
      <c r="A240" s="225"/>
      <c r="B240" s="254"/>
      <c r="C240" s="791" t="s">
        <v>412</v>
      </c>
      <c r="D240" s="791"/>
      <c r="E240" s="240"/>
      <c r="F240" s="238"/>
      <c r="G240" s="238"/>
      <c r="H240" s="231">
        <f>$H$226*'6.  Persistence Rates'!$L$27</f>
        <v>0</v>
      </c>
      <c r="I240" s="231">
        <f>$I$227*'6.  Persistence Rates'!$X$27</f>
        <v>0</v>
      </c>
      <c r="J240" s="231">
        <f>$J$226*'6.  Persistence Rates'!$L$27</f>
        <v>0</v>
      </c>
      <c r="K240" s="231">
        <f>$K$228*'6.  Persistence Rates'!$X$27</f>
        <v>0</v>
      </c>
      <c r="L240" s="231">
        <f>$L$228*'6.  Persistence Rates'!$X$27</f>
        <v>0</v>
      </c>
      <c r="M240" s="240"/>
      <c r="N240" s="255"/>
      <c r="O240" s="60"/>
    </row>
    <row r="241" spans="1:16" ht="14.5" hidden="1" x14ac:dyDescent="0.35">
      <c r="A241" s="225"/>
      <c r="B241" s="258"/>
      <c r="C241" s="792" t="s">
        <v>413</v>
      </c>
      <c r="D241" s="792"/>
      <c r="E241" s="259"/>
      <c r="F241" s="260"/>
      <c r="G241" s="260"/>
      <c r="H241" s="501">
        <f>$H$226*'6.  Persistence Rates'!$M$27</f>
        <v>0</v>
      </c>
      <c r="I241" s="501">
        <f>$I$227*'6.  Persistence Rates'!$Y$27</f>
        <v>0</v>
      </c>
      <c r="J241" s="501">
        <f>$J$226*'6.  Persistence Rates'!$M$27</f>
        <v>0</v>
      </c>
      <c r="K241" s="501">
        <f>$K$228*'6.  Persistence Rates'!$Y$27</f>
        <v>0</v>
      </c>
      <c r="L241" s="501">
        <f>$L$228*'6.  Persistence Rates'!$Y$27</f>
        <v>0</v>
      </c>
      <c r="M241" s="259"/>
      <c r="N241" s="261"/>
      <c r="O241" s="60"/>
    </row>
    <row r="242" spans="1:16" x14ac:dyDescent="0.35">
      <c r="B242" s="63"/>
      <c r="C242" s="126"/>
      <c r="D242" s="63"/>
      <c r="E242" s="63"/>
      <c r="F242" s="60"/>
      <c r="G242" s="60"/>
      <c r="H242" s="60"/>
      <c r="I242" s="60"/>
      <c r="J242" s="60"/>
      <c r="K242" s="60"/>
      <c r="L242" s="60"/>
      <c r="M242" s="60"/>
      <c r="N242" s="60"/>
      <c r="O242" s="60"/>
    </row>
    <row r="243" spans="1:16" x14ac:dyDescent="0.35">
      <c r="B243" s="63"/>
      <c r="C243" s="126"/>
      <c r="D243" s="63"/>
      <c r="E243" s="63"/>
      <c r="F243" s="60"/>
      <c r="G243" s="60"/>
      <c r="H243" s="60"/>
      <c r="I243" s="60"/>
      <c r="J243" s="60"/>
      <c r="K243" s="60"/>
      <c r="L243" s="60"/>
      <c r="M243" s="60"/>
      <c r="N243" s="60"/>
      <c r="O243" s="60"/>
    </row>
    <row r="244" spans="1:16" x14ac:dyDescent="0.35">
      <c r="B244" s="794" t="s">
        <v>358</v>
      </c>
      <c r="C244" s="794"/>
      <c r="D244" s="794"/>
      <c r="E244" s="794"/>
      <c r="F244" s="794"/>
      <c r="G244" s="794"/>
      <c r="H244" s="794"/>
      <c r="I244" s="794"/>
      <c r="J244" s="794"/>
      <c r="K244" s="794"/>
      <c r="L244" s="794"/>
      <c r="M244" s="794"/>
      <c r="N244" s="794"/>
      <c r="O244" s="60"/>
    </row>
    <row r="245" spans="1:16" x14ac:dyDescent="0.35">
      <c r="B245" s="63"/>
      <c r="C245" s="126"/>
      <c r="D245" s="63"/>
      <c r="E245" s="63"/>
      <c r="F245" s="60"/>
      <c r="G245" s="60"/>
      <c r="H245" s="60"/>
      <c r="I245" s="60"/>
      <c r="J245" s="60"/>
      <c r="K245" s="60"/>
      <c r="L245" s="60"/>
      <c r="M245" s="60"/>
      <c r="N245" s="60"/>
      <c r="O245" s="60"/>
    </row>
    <row r="246" spans="1:16" ht="44.25" customHeight="1" x14ac:dyDescent="0.35">
      <c r="B246" s="798" t="s">
        <v>54</v>
      </c>
      <c r="C246" s="800" t="s">
        <v>0</v>
      </c>
      <c r="D246" s="800" t="s">
        <v>45</v>
      </c>
      <c r="E246" s="800" t="s">
        <v>201</v>
      </c>
      <c r="F246" s="250" t="s">
        <v>46</v>
      </c>
      <c r="G246" s="250" t="s">
        <v>198</v>
      </c>
      <c r="H246" s="795" t="s">
        <v>55</v>
      </c>
      <c r="I246" s="796"/>
      <c r="J246" s="796"/>
      <c r="K246" s="796"/>
      <c r="L246" s="796"/>
      <c r="M246" s="796"/>
      <c r="N246" s="797"/>
      <c r="O246" s="60"/>
    </row>
    <row r="247" spans="1:16" ht="60.75" customHeight="1" x14ac:dyDescent="0.35">
      <c r="B247" s="799"/>
      <c r="C247" s="801"/>
      <c r="D247" s="801"/>
      <c r="E247" s="801"/>
      <c r="F247" s="122" t="s">
        <v>98</v>
      </c>
      <c r="G247" s="122" t="s">
        <v>99</v>
      </c>
      <c r="H247" s="122" t="s">
        <v>38</v>
      </c>
      <c r="I247" s="199" t="s">
        <v>488</v>
      </c>
      <c r="J247" s="122" t="s">
        <v>40</v>
      </c>
      <c r="K247" s="122" t="s">
        <v>104</v>
      </c>
      <c r="L247" s="122" t="s">
        <v>105</v>
      </c>
      <c r="M247" s="199" t="s">
        <v>511</v>
      </c>
      <c r="N247" s="359" t="s">
        <v>35</v>
      </c>
      <c r="O247" s="60"/>
    </row>
    <row r="248" spans="1:16" s="37" customFormat="1" ht="15" customHeight="1" outlineLevel="1" x14ac:dyDescent="0.35">
      <c r="A248" s="804">
        <v>2014</v>
      </c>
      <c r="B248" s="353"/>
      <c r="C248" s="805" t="s">
        <v>1</v>
      </c>
      <c r="D248" s="805"/>
      <c r="E248" s="354"/>
      <c r="F248" s="355"/>
      <c r="G248" s="355"/>
      <c r="H248" s="354"/>
      <c r="I248" s="354"/>
      <c r="J248" s="354"/>
      <c r="K248" s="354"/>
      <c r="L248" s="354"/>
      <c r="M248" s="354"/>
      <c r="N248" s="356"/>
      <c r="O248" s="132"/>
    </row>
    <row r="249" spans="1:16" ht="14.5" outlineLevel="1" x14ac:dyDescent="0.35">
      <c r="A249" s="804"/>
      <c r="B249" s="251">
        <v>1</v>
      </c>
      <c r="C249" s="233" t="s">
        <v>2</v>
      </c>
      <c r="D249" s="231" t="s">
        <v>34</v>
      </c>
      <c r="E249" s="231"/>
      <c r="F249" s="275">
        <v>119.446</v>
      </c>
      <c r="G249" s="275">
        <v>769938.44799999997</v>
      </c>
      <c r="H249" s="274">
        <v>0.97499999999999998</v>
      </c>
      <c r="I249" s="274">
        <v>2.5000000000000001E-2</v>
      </c>
      <c r="J249" s="274"/>
      <c r="K249" s="274"/>
      <c r="L249" s="274"/>
      <c r="M249" s="274"/>
      <c r="N249" s="384">
        <f t="shared" ref="N249:N257" si="9">SUM(H249:M249)</f>
        <v>1</v>
      </c>
      <c r="O249" s="60"/>
    </row>
    <row r="250" spans="1:16" ht="14.5" outlineLevel="1" x14ac:dyDescent="0.35">
      <c r="A250" s="804"/>
      <c r="B250" s="251">
        <v>2</v>
      </c>
      <c r="C250" s="233" t="s">
        <v>3</v>
      </c>
      <c r="D250" s="231" t="s">
        <v>34</v>
      </c>
      <c r="E250" s="231"/>
      <c r="F250" s="275">
        <v>95.516000000000005</v>
      </c>
      <c r="G250" s="275">
        <v>170311.78400000001</v>
      </c>
      <c r="H250" s="274">
        <v>0.97499999999999998</v>
      </c>
      <c r="I250" s="274">
        <v>2.5000000000000001E-2</v>
      </c>
      <c r="J250" s="274"/>
      <c r="K250" s="274"/>
      <c r="L250" s="274"/>
      <c r="M250" s="274"/>
      <c r="N250" s="384">
        <f t="shared" si="9"/>
        <v>1</v>
      </c>
      <c r="O250" s="60"/>
    </row>
    <row r="251" spans="1:16" ht="14.5" outlineLevel="1" x14ac:dyDescent="0.35">
      <c r="A251" s="804"/>
      <c r="B251" s="251">
        <v>3</v>
      </c>
      <c r="C251" s="233" t="s">
        <v>4</v>
      </c>
      <c r="D251" s="231" t="s">
        <v>34</v>
      </c>
      <c r="E251" s="231"/>
      <c r="F251" s="275">
        <v>3291.5810000000001</v>
      </c>
      <c r="G251" s="275">
        <v>6113137.7390000001</v>
      </c>
      <c r="H251" s="274">
        <v>1</v>
      </c>
      <c r="I251" s="274"/>
      <c r="J251" s="274"/>
      <c r="K251" s="274"/>
      <c r="L251" s="274"/>
      <c r="M251" s="274"/>
      <c r="N251" s="384">
        <f t="shared" si="9"/>
        <v>1</v>
      </c>
      <c r="O251" s="60"/>
    </row>
    <row r="252" spans="1:16" ht="14.5" outlineLevel="1" x14ac:dyDescent="0.35">
      <c r="A252" s="804"/>
      <c r="B252" s="251">
        <v>4</v>
      </c>
      <c r="C252" s="233" t="s">
        <v>5</v>
      </c>
      <c r="D252" s="231" t="s">
        <v>34</v>
      </c>
      <c r="E252" s="231"/>
      <c r="F252" s="275">
        <v>293.96899999999999</v>
      </c>
      <c r="G252" s="275">
        <v>3976585.798</v>
      </c>
      <c r="H252" s="274">
        <v>0.95</v>
      </c>
      <c r="I252" s="274">
        <v>0.05</v>
      </c>
      <c r="J252" s="274"/>
      <c r="K252" s="274"/>
      <c r="L252" s="274"/>
      <c r="M252" s="274"/>
      <c r="N252" s="384">
        <f t="shared" si="9"/>
        <v>1</v>
      </c>
      <c r="O252" s="60"/>
      <c r="P252" s="529"/>
    </row>
    <row r="253" spans="1:16" ht="14.5" outlineLevel="1" x14ac:dyDescent="0.35">
      <c r="A253" s="804"/>
      <c r="B253" s="251">
        <v>5</v>
      </c>
      <c r="C253" s="233" t="s">
        <v>6</v>
      </c>
      <c r="D253" s="231" t="s">
        <v>34</v>
      </c>
      <c r="E253" s="231"/>
      <c r="F253" s="275">
        <v>1029.3889999999999</v>
      </c>
      <c r="G253" s="275">
        <v>15729003.82</v>
      </c>
      <c r="H253" s="274">
        <v>0.95</v>
      </c>
      <c r="I253" s="274">
        <v>0.05</v>
      </c>
      <c r="J253" s="274"/>
      <c r="K253" s="274"/>
      <c r="L253" s="274"/>
      <c r="M253" s="274"/>
      <c r="N253" s="384">
        <f t="shared" si="9"/>
        <v>1</v>
      </c>
      <c r="O253" s="60"/>
      <c r="P253" s="529"/>
    </row>
    <row r="254" spans="1:16" ht="14.5" outlineLevel="1" x14ac:dyDescent="0.35">
      <c r="A254" s="804"/>
      <c r="B254" s="251">
        <v>6</v>
      </c>
      <c r="C254" s="233" t="s">
        <v>7</v>
      </c>
      <c r="D254" s="231" t="s">
        <v>34</v>
      </c>
      <c r="E254" s="231"/>
      <c r="F254" s="275">
        <v>0</v>
      </c>
      <c r="G254" s="275">
        <v>0</v>
      </c>
      <c r="H254" s="274">
        <v>0</v>
      </c>
      <c r="I254" s="274"/>
      <c r="J254" s="274"/>
      <c r="K254" s="274"/>
      <c r="L254" s="274"/>
      <c r="M254" s="274"/>
      <c r="N254" s="384">
        <f t="shared" si="9"/>
        <v>0</v>
      </c>
      <c r="O254" s="60"/>
    </row>
    <row r="255" spans="1:16" ht="28" outlineLevel="1" x14ac:dyDescent="0.35">
      <c r="A255" s="804"/>
      <c r="B255" s="251">
        <v>7</v>
      </c>
      <c r="C255" s="233" t="s">
        <v>33</v>
      </c>
      <c r="D255" s="231" t="s">
        <v>34</v>
      </c>
      <c r="E255" s="231"/>
      <c r="F255" s="275">
        <v>37476.277999999998</v>
      </c>
      <c r="G255" s="275">
        <v>896.31600000000003</v>
      </c>
      <c r="H255" s="274">
        <v>1</v>
      </c>
      <c r="I255" s="274"/>
      <c r="J255" s="274"/>
      <c r="K255" s="274"/>
      <c r="L255" s="274"/>
      <c r="M255" s="274"/>
      <c r="N255" s="384">
        <f t="shared" si="9"/>
        <v>1</v>
      </c>
      <c r="O255" s="60"/>
    </row>
    <row r="256" spans="1:16" ht="14.5" outlineLevel="1" x14ac:dyDescent="0.35">
      <c r="A256" s="804"/>
      <c r="B256" s="251">
        <v>8</v>
      </c>
      <c r="C256" s="233" t="s">
        <v>26</v>
      </c>
      <c r="D256" s="231" t="s">
        <v>34</v>
      </c>
      <c r="E256" s="231"/>
      <c r="F256" s="275">
        <v>0</v>
      </c>
      <c r="G256" s="275">
        <v>0</v>
      </c>
      <c r="H256" s="274"/>
      <c r="I256" s="274"/>
      <c r="J256" s="274"/>
      <c r="K256" s="274"/>
      <c r="L256" s="274"/>
      <c r="M256" s="274"/>
      <c r="N256" s="384">
        <f t="shared" si="9"/>
        <v>0</v>
      </c>
      <c r="O256" s="60"/>
    </row>
    <row r="257" spans="1:16" ht="14.5" outlineLevel="1" x14ac:dyDescent="0.35">
      <c r="A257" s="804"/>
      <c r="B257" s="251">
        <v>9</v>
      </c>
      <c r="C257" s="233" t="s">
        <v>8</v>
      </c>
      <c r="D257" s="231" t="s">
        <v>34</v>
      </c>
      <c r="E257" s="231"/>
      <c r="F257" s="275">
        <v>0</v>
      </c>
      <c r="G257" s="275">
        <v>0</v>
      </c>
      <c r="H257" s="274"/>
      <c r="I257" s="274"/>
      <c r="J257" s="274"/>
      <c r="K257" s="274"/>
      <c r="L257" s="274"/>
      <c r="M257" s="274"/>
      <c r="N257" s="384">
        <f t="shared" si="9"/>
        <v>0</v>
      </c>
      <c r="O257" s="60"/>
    </row>
    <row r="258" spans="1:16" ht="14.5" outlineLevel="1" x14ac:dyDescent="0.35">
      <c r="A258" s="804"/>
      <c r="B258" s="251"/>
      <c r="C258" s="234" t="s">
        <v>258</v>
      </c>
      <c r="D258" s="231" t="s">
        <v>254</v>
      </c>
      <c r="E258" s="231"/>
      <c r="F258" s="275"/>
      <c r="G258" s="275"/>
      <c r="H258" s="272"/>
      <c r="I258" s="274"/>
      <c r="J258" s="274"/>
      <c r="K258" s="274"/>
      <c r="L258" s="274"/>
      <c r="M258" s="274"/>
      <c r="N258" s="384"/>
      <c r="O258" s="60"/>
    </row>
    <row r="259" spans="1:16" ht="14.5" outlineLevel="1" x14ac:dyDescent="0.35">
      <c r="A259" s="804"/>
      <c r="B259" s="251"/>
      <c r="C259" s="793"/>
      <c r="D259" s="793"/>
      <c r="E259" s="246"/>
      <c r="F259" s="275"/>
      <c r="G259" s="275"/>
      <c r="H259" s="272"/>
      <c r="I259" s="274"/>
      <c r="J259" s="274"/>
      <c r="K259" s="274"/>
      <c r="L259" s="274"/>
      <c r="M259" s="274"/>
      <c r="N259" s="384"/>
      <c r="O259" s="60"/>
    </row>
    <row r="260" spans="1:16" ht="14.5" outlineLevel="1" x14ac:dyDescent="0.35">
      <c r="A260" s="804"/>
      <c r="B260" s="251"/>
      <c r="C260" s="793"/>
      <c r="D260" s="793"/>
      <c r="E260" s="246"/>
      <c r="F260" s="275"/>
      <c r="G260" s="275"/>
      <c r="H260" s="272"/>
      <c r="I260" s="274"/>
      <c r="J260" s="274"/>
      <c r="K260" s="274"/>
      <c r="L260" s="274"/>
      <c r="M260" s="274"/>
      <c r="N260" s="384"/>
      <c r="O260" s="60"/>
    </row>
    <row r="261" spans="1:16" ht="14.5" outlineLevel="1" x14ac:dyDescent="0.35">
      <c r="A261" s="804"/>
      <c r="B261" s="251"/>
      <c r="C261" s="793"/>
      <c r="D261" s="793"/>
      <c r="E261" s="246"/>
      <c r="F261" s="275"/>
      <c r="G261" s="275"/>
      <c r="H261" s="272"/>
      <c r="I261" s="274"/>
      <c r="J261" s="274"/>
      <c r="K261" s="274"/>
      <c r="L261" s="274"/>
      <c r="M261" s="274"/>
      <c r="N261" s="384"/>
      <c r="O261" s="60"/>
    </row>
    <row r="262" spans="1:16" s="37" customFormat="1" ht="14.5" outlineLevel="1" x14ac:dyDescent="0.35">
      <c r="A262" s="804"/>
      <c r="B262" s="362"/>
      <c r="C262" s="806" t="s">
        <v>9</v>
      </c>
      <c r="D262" s="806"/>
      <c r="E262" s="363"/>
      <c r="F262" s="364"/>
      <c r="G262" s="364"/>
      <c r="H262" s="536"/>
      <c r="I262" s="536"/>
      <c r="J262" s="536"/>
      <c r="K262" s="536"/>
      <c r="L262" s="536"/>
      <c r="M262" s="536"/>
      <c r="N262" s="365"/>
      <c r="O262" s="132"/>
    </row>
    <row r="263" spans="1:16" ht="14.5" outlineLevel="1" x14ac:dyDescent="0.35">
      <c r="A263" s="804"/>
      <c r="B263" s="133">
        <v>10</v>
      </c>
      <c r="C263" s="235" t="s">
        <v>27</v>
      </c>
      <c r="D263" s="231" t="s">
        <v>34</v>
      </c>
      <c r="E263" s="231">
        <v>12</v>
      </c>
      <c r="F263" s="275">
        <v>17202.786</v>
      </c>
      <c r="G263" s="275">
        <v>108072798.2</v>
      </c>
      <c r="H263" s="510"/>
      <c r="I263" s="509"/>
      <c r="J263" s="509">
        <v>0.10658099881174062</v>
      </c>
      <c r="K263" s="509">
        <v>0.45408032676652105</v>
      </c>
      <c r="L263" s="509">
        <v>0.34389912189685895</v>
      </c>
      <c r="M263" s="509">
        <v>9.5439552524879345E-2</v>
      </c>
      <c r="N263" s="514">
        <f t="shared" ref="N263:N268" si="10">SUM(H263:M263)</f>
        <v>0.99999999999999989</v>
      </c>
      <c r="O263" s="60"/>
    </row>
    <row r="264" spans="1:16" ht="14.5" outlineLevel="1" x14ac:dyDescent="0.35">
      <c r="A264" s="804"/>
      <c r="B264" s="133">
        <v>11</v>
      </c>
      <c r="C264" s="233" t="s">
        <v>25</v>
      </c>
      <c r="D264" s="231" t="s">
        <v>34</v>
      </c>
      <c r="E264" s="231">
        <v>12</v>
      </c>
      <c r="F264" s="275">
        <v>2336.5459999999998</v>
      </c>
      <c r="G264" s="275">
        <v>8740392.5529999994</v>
      </c>
      <c r="H264" s="510"/>
      <c r="I264" s="509"/>
      <c r="J264" s="509">
        <v>0.98499999999999999</v>
      </c>
      <c r="K264" s="509">
        <v>0.01</v>
      </c>
      <c r="L264" s="509">
        <v>5.0000000000000001E-3</v>
      </c>
      <c r="M264" s="509"/>
      <c r="N264" s="514">
        <f t="shared" si="10"/>
        <v>1</v>
      </c>
      <c r="O264" s="60"/>
      <c r="P264" s="529"/>
    </row>
    <row r="265" spans="1:16" ht="14.5" outlineLevel="1" x14ac:dyDescent="0.35">
      <c r="A265" s="804"/>
      <c r="B265" s="133">
        <v>12</v>
      </c>
      <c r="C265" s="688" t="s">
        <v>28</v>
      </c>
      <c r="D265" s="236" t="s">
        <v>34</v>
      </c>
      <c r="E265" s="236">
        <v>12</v>
      </c>
      <c r="F265" s="275">
        <v>797.80799999999999</v>
      </c>
      <c r="G265" s="275">
        <v>1246589.9450000001</v>
      </c>
      <c r="H265" s="510"/>
      <c r="I265" s="509"/>
      <c r="J265" s="509"/>
      <c r="K265" s="509"/>
      <c r="L265" s="509">
        <v>1</v>
      </c>
      <c r="M265" s="509"/>
      <c r="N265" s="514">
        <f t="shared" si="10"/>
        <v>1</v>
      </c>
      <c r="O265" s="60"/>
      <c r="P265" s="529"/>
    </row>
    <row r="266" spans="1:16" ht="14.5" outlineLevel="1" x14ac:dyDescent="0.35">
      <c r="A266" s="804"/>
      <c r="B266" s="133">
        <v>13</v>
      </c>
      <c r="C266" s="233" t="s">
        <v>29</v>
      </c>
      <c r="D266" s="231" t="s">
        <v>34</v>
      </c>
      <c r="E266" s="231">
        <v>12</v>
      </c>
      <c r="F266" s="275">
        <v>900.58600000000001</v>
      </c>
      <c r="G266" s="275">
        <v>2494179.034</v>
      </c>
      <c r="H266" s="510"/>
      <c r="I266" s="509"/>
      <c r="J266" s="509"/>
      <c r="K266" s="509">
        <v>0.23</v>
      </c>
      <c r="L266" s="509">
        <v>0.77</v>
      </c>
      <c r="M266" s="509"/>
      <c r="N266" s="514">
        <f t="shared" si="10"/>
        <v>1</v>
      </c>
      <c r="O266" s="60"/>
      <c r="P266" s="529"/>
    </row>
    <row r="267" spans="1:16" ht="14.5" outlineLevel="1" x14ac:dyDescent="0.35">
      <c r="A267" s="804"/>
      <c r="B267" s="133">
        <v>14</v>
      </c>
      <c r="C267" s="233" t="s">
        <v>23</v>
      </c>
      <c r="D267" s="231" t="s">
        <v>34</v>
      </c>
      <c r="E267" s="231">
        <v>12</v>
      </c>
      <c r="F267" s="275">
        <v>2245.6439999999998</v>
      </c>
      <c r="G267" s="275">
        <v>10965959.768999999</v>
      </c>
      <c r="H267" s="510"/>
      <c r="I267" s="509"/>
      <c r="J267" s="509">
        <v>2.8846153846153848E-2</v>
      </c>
      <c r="K267" s="509">
        <v>0.61217948717948711</v>
      </c>
      <c r="L267" s="509">
        <v>0.25641025641025644</v>
      </c>
      <c r="M267" s="509">
        <v>0.10256410256410257</v>
      </c>
      <c r="N267" s="514">
        <f t="shared" si="10"/>
        <v>0.99999999999999989</v>
      </c>
      <c r="O267" s="60"/>
      <c r="P267" s="529"/>
    </row>
    <row r="268" spans="1:16" ht="28" outlineLevel="1" x14ac:dyDescent="0.35">
      <c r="A268" s="804"/>
      <c r="B268" s="251">
        <v>15</v>
      </c>
      <c r="C268" s="233" t="s">
        <v>30</v>
      </c>
      <c r="D268" s="231" t="s">
        <v>34</v>
      </c>
      <c r="E268" s="231">
        <v>0</v>
      </c>
      <c r="F268" s="275">
        <v>92.704999999999998</v>
      </c>
      <c r="G268" s="275">
        <v>318.86599999999999</v>
      </c>
      <c r="H268" s="510"/>
      <c r="I268" s="509"/>
      <c r="J268" s="509">
        <v>1</v>
      </c>
      <c r="K268" s="509"/>
      <c r="L268" s="509"/>
      <c r="M268" s="509"/>
      <c r="N268" s="514">
        <f t="shared" si="10"/>
        <v>1</v>
      </c>
      <c r="O268" s="60"/>
      <c r="P268" s="529"/>
    </row>
    <row r="269" spans="1:16" ht="28" outlineLevel="1" x14ac:dyDescent="0.35">
      <c r="A269" s="804"/>
      <c r="B269" s="251">
        <v>16</v>
      </c>
      <c r="C269" s="233" t="s">
        <v>31</v>
      </c>
      <c r="D269" s="231" t="s">
        <v>34</v>
      </c>
      <c r="E269" s="231">
        <v>0</v>
      </c>
      <c r="F269" s="275">
        <v>0</v>
      </c>
      <c r="G269" s="275">
        <v>0</v>
      </c>
      <c r="H269" s="510"/>
      <c r="I269" s="509"/>
      <c r="J269" s="509"/>
      <c r="K269" s="509"/>
      <c r="L269" s="509"/>
      <c r="M269" s="509"/>
      <c r="N269" s="514"/>
      <c r="O269" s="60"/>
      <c r="P269" s="529"/>
    </row>
    <row r="270" spans="1:16" ht="14.5" outlineLevel="1" x14ac:dyDescent="0.35">
      <c r="A270" s="804"/>
      <c r="B270" s="251">
        <v>17</v>
      </c>
      <c r="C270" s="233" t="s">
        <v>10</v>
      </c>
      <c r="D270" s="231" t="s">
        <v>34</v>
      </c>
      <c r="E270" s="231">
        <v>0</v>
      </c>
      <c r="F270" s="275">
        <v>4966.0190000000002</v>
      </c>
      <c r="G270" s="275">
        <v>0</v>
      </c>
      <c r="H270" s="510"/>
      <c r="I270" s="509"/>
      <c r="J270" s="509">
        <v>0</v>
      </c>
      <c r="K270" s="509">
        <v>0.28999999999999998</v>
      </c>
      <c r="L270" s="509">
        <v>0.46</v>
      </c>
      <c r="M270" s="509">
        <v>0.25</v>
      </c>
      <c r="N270" s="514">
        <f>SUM(H270:M270)</f>
        <v>1</v>
      </c>
      <c r="O270" s="60"/>
      <c r="P270" s="529"/>
    </row>
    <row r="271" spans="1:16" ht="14.5" outlineLevel="1" x14ac:dyDescent="0.35">
      <c r="A271" s="804"/>
      <c r="B271" s="251"/>
      <c r="C271" s="234" t="s">
        <v>258</v>
      </c>
      <c r="D271" s="231" t="s">
        <v>254</v>
      </c>
      <c r="E271" s="231"/>
      <c r="F271" s="275"/>
      <c r="G271" s="275"/>
      <c r="H271" s="510"/>
      <c r="I271" s="509"/>
      <c r="J271" s="509"/>
      <c r="K271" s="509"/>
      <c r="L271" s="509"/>
      <c r="M271" s="509"/>
      <c r="N271" s="514"/>
      <c r="O271" s="60"/>
      <c r="P271" s="529"/>
    </row>
    <row r="272" spans="1:16" ht="14.5" outlineLevel="1" x14ac:dyDescent="0.35">
      <c r="A272" s="804"/>
      <c r="B272" s="251"/>
      <c r="C272" s="793"/>
      <c r="D272" s="793"/>
      <c r="E272" s="246"/>
      <c r="F272" s="275"/>
      <c r="G272" s="275"/>
      <c r="H272" s="513"/>
      <c r="I272" s="537"/>
      <c r="J272" s="537"/>
      <c r="K272" s="537"/>
      <c r="L272" s="537"/>
      <c r="M272" s="537"/>
      <c r="N272" s="384"/>
      <c r="O272" s="60"/>
      <c r="P272" s="529"/>
    </row>
    <row r="273" spans="1:16" ht="14.5" outlineLevel="1" x14ac:dyDescent="0.35">
      <c r="A273" s="804"/>
      <c r="B273" s="251"/>
      <c r="C273" s="793"/>
      <c r="D273" s="793"/>
      <c r="E273" s="246"/>
      <c r="F273" s="275"/>
      <c r="G273" s="275"/>
      <c r="H273" s="272"/>
      <c r="I273" s="274"/>
      <c r="J273" s="274"/>
      <c r="K273" s="274"/>
      <c r="L273" s="274"/>
      <c r="M273" s="274"/>
      <c r="N273" s="384"/>
      <c r="O273" s="60"/>
      <c r="P273" s="529"/>
    </row>
    <row r="274" spans="1:16" ht="14.5" outlineLevel="1" x14ac:dyDescent="0.35">
      <c r="A274" s="804"/>
      <c r="B274" s="251"/>
      <c r="C274" s="793"/>
      <c r="D274" s="793"/>
      <c r="E274" s="246"/>
      <c r="F274" s="275"/>
      <c r="G274" s="275"/>
      <c r="H274" s="272"/>
      <c r="I274" s="274"/>
      <c r="J274" s="274"/>
      <c r="K274" s="274"/>
      <c r="L274" s="274"/>
      <c r="M274" s="274"/>
      <c r="N274" s="384"/>
      <c r="O274" s="60"/>
      <c r="P274" s="529"/>
    </row>
    <row r="275" spans="1:16" s="37" customFormat="1" ht="14.5" outlineLevel="1" x14ac:dyDescent="0.35">
      <c r="A275" s="804"/>
      <c r="B275" s="362"/>
      <c r="C275" s="806" t="s">
        <v>11</v>
      </c>
      <c r="D275" s="806"/>
      <c r="E275" s="363"/>
      <c r="F275" s="364"/>
      <c r="G275" s="364"/>
      <c r="H275" s="363"/>
      <c r="I275" s="363"/>
      <c r="J275" s="363"/>
      <c r="K275" s="363"/>
      <c r="L275" s="363"/>
      <c r="M275" s="363"/>
      <c r="N275" s="365"/>
      <c r="O275" s="132"/>
      <c r="P275" s="529"/>
    </row>
    <row r="276" spans="1:16" ht="14.5" outlineLevel="1" x14ac:dyDescent="0.35">
      <c r="A276" s="804"/>
      <c r="B276" s="133">
        <v>18</v>
      </c>
      <c r="C276" s="233" t="s">
        <v>12</v>
      </c>
      <c r="D276" s="231" t="s">
        <v>34</v>
      </c>
      <c r="E276" s="231">
        <v>12</v>
      </c>
      <c r="F276" s="275">
        <v>0</v>
      </c>
      <c r="G276" s="275">
        <v>0</v>
      </c>
      <c r="H276" s="272"/>
      <c r="I276" s="274"/>
      <c r="J276" s="274"/>
      <c r="K276" s="274"/>
      <c r="L276" s="274"/>
      <c r="M276" s="274"/>
      <c r="N276" s="384"/>
      <c r="O276" s="60"/>
      <c r="P276" s="529"/>
    </row>
    <row r="277" spans="1:16" ht="14.5" outlineLevel="1" x14ac:dyDescent="0.35">
      <c r="A277" s="804"/>
      <c r="B277" s="133">
        <v>19</v>
      </c>
      <c r="C277" s="233" t="s">
        <v>13</v>
      </c>
      <c r="D277" s="231" t="s">
        <v>34</v>
      </c>
      <c r="E277" s="231">
        <v>12</v>
      </c>
      <c r="F277" s="275">
        <v>0</v>
      </c>
      <c r="G277" s="275">
        <v>0</v>
      </c>
      <c r="H277" s="272"/>
      <c r="I277" s="274"/>
      <c r="J277" s="274"/>
      <c r="K277" s="274"/>
      <c r="L277" s="274"/>
      <c r="M277" s="274"/>
      <c r="N277" s="384"/>
      <c r="O277" s="60"/>
      <c r="P277" s="529"/>
    </row>
    <row r="278" spans="1:16" ht="14.5" outlineLevel="1" x14ac:dyDescent="0.35">
      <c r="A278" s="804"/>
      <c r="B278" s="133">
        <v>20</v>
      </c>
      <c r="C278" s="233" t="s">
        <v>14</v>
      </c>
      <c r="D278" s="231" t="s">
        <v>34</v>
      </c>
      <c r="E278" s="231">
        <v>12</v>
      </c>
      <c r="F278" s="275">
        <v>968.09500000000003</v>
      </c>
      <c r="G278" s="275">
        <v>8563007.4470000006</v>
      </c>
      <c r="H278" s="272"/>
      <c r="I278" s="274"/>
      <c r="J278" s="274"/>
      <c r="K278" s="274">
        <v>0.21069495382139264</v>
      </c>
      <c r="L278" s="274">
        <v>0.18479328856010879</v>
      </c>
      <c r="M278" s="274">
        <v>0.60451175761849862</v>
      </c>
      <c r="N278" s="514">
        <f>SUM(H278:M278)</f>
        <v>1</v>
      </c>
      <c r="O278" s="60"/>
      <c r="P278" s="529"/>
    </row>
    <row r="279" spans="1:16" ht="14.5" outlineLevel="1" x14ac:dyDescent="0.35">
      <c r="A279" s="804"/>
      <c r="B279" s="133">
        <v>21</v>
      </c>
      <c r="C279" s="235" t="s">
        <v>27</v>
      </c>
      <c r="D279" s="231" t="s">
        <v>34</v>
      </c>
      <c r="E279" s="231">
        <v>12</v>
      </c>
      <c r="F279" s="275">
        <v>0</v>
      </c>
      <c r="G279" s="275">
        <v>0</v>
      </c>
      <c r="H279" s="272"/>
      <c r="I279" s="274"/>
      <c r="J279" s="274"/>
      <c r="K279" s="274"/>
      <c r="L279" s="274"/>
      <c r="M279" s="274"/>
      <c r="N279" s="384"/>
      <c r="O279" s="60"/>
      <c r="P279" s="529"/>
    </row>
    <row r="280" spans="1:16" ht="14.5" outlineLevel="1" x14ac:dyDescent="0.35">
      <c r="A280" s="804"/>
      <c r="B280" s="133">
        <v>22</v>
      </c>
      <c r="C280" s="233" t="s">
        <v>10</v>
      </c>
      <c r="D280" s="231" t="s">
        <v>34</v>
      </c>
      <c r="E280" s="231">
        <v>0</v>
      </c>
      <c r="F280" s="275">
        <v>25530.79</v>
      </c>
      <c r="G280" s="275">
        <v>0</v>
      </c>
      <c r="H280" s="272"/>
      <c r="I280" s="509"/>
      <c r="J280" s="274"/>
      <c r="K280" s="509">
        <v>0.28999999999999998</v>
      </c>
      <c r="L280" s="509">
        <v>0.46</v>
      </c>
      <c r="M280" s="509">
        <v>0.25</v>
      </c>
      <c r="N280" s="384">
        <f>SUM(H280:M280)</f>
        <v>1</v>
      </c>
      <c r="O280" s="60"/>
      <c r="P280" s="529"/>
    </row>
    <row r="281" spans="1:16" ht="14.5" outlineLevel="1" x14ac:dyDescent="0.35">
      <c r="A281" s="804"/>
      <c r="B281" s="133"/>
      <c r="C281" s="234" t="s">
        <v>258</v>
      </c>
      <c r="D281" s="231" t="s">
        <v>254</v>
      </c>
      <c r="E281" s="231"/>
      <c r="F281" s="275"/>
      <c r="G281" s="275"/>
      <c r="H281" s="272"/>
      <c r="I281" s="274"/>
      <c r="J281" s="274"/>
      <c r="K281" s="274"/>
      <c r="L281" s="274"/>
      <c r="M281" s="274"/>
      <c r="N281" s="384"/>
      <c r="O281" s="60"/>
      <c r="P281" s="529"/>
    </row>
    <row r="282" spans="1:16" ht="14.5" outlineLevel="1" x14ac:dyDescent="0.35">
      <c r="A282" s="804"/>
      <c r="B282" s="133"/>
      <c r="C282" s="793"/>
      <c r="D282" s="793"/>
      <c r="E282" s="246"/>
      <c r="F282" s="275"/>
      <c r="G282" s="275"/>
      <c r="H282" s="272"/>
      <c r="I282" s="274"/>
      <c r="J282" s="274"/>
      <c r="K282" s="274"/>
      <c r="L282" s="274"/>
      <c r="M282" s="274"/>
      <c r="N282" s="384"/>
      <c r="O282" s="60"/>
      <c r="P282" s="529"/>
    </row>
    <row r="283" spans="1:16" ht="14.5" outlineLevel="1" x14ac:dyDescent="0.35">
      <c r="A283" s="804"/>
      <c r="B283" s="133"/>
      <c r="C283" s="793"/>
      <c r="D283" s="793"/>
      <c r="E283" s="246"/>
      <c r="F283" s="275"/>
      <c r="G283" s="275"/>
      <c r="H283" s="272"/>
      <c r="I283" s="274"/>
      <c r="J283" s="274"/>
      <c r="K283" s="274"/>
      <c r="L283" s="274"/>
      <c r="M283" s="274"/>
      <c r="N283" s="384"/>
      <c r="O283" s="60"/>
      <c r="P283" s="529"/>
    </row>
    <row r="284" spans="1:16" ht="14.5" outlineLevel="1" x14ac:dyDescent="0.35">
      <c r="A284" s="804"/>
      <c r="B284" s="133"/>
      <c r="C284" s="793"/>
      <c r="D284" s="793"/>
      <c r="E284" s="246"/>
      <c r="F284" s="275"/>
      <c r="G284" s="275"/>
      <c r="H284" s="272"/>
      <c r="I284" s="274"/>
      <c r="J284" s="274"/>
      <c r="K284" s="274"/>
      <c r="L284" s="274"/>
      <c r="M284" s="274"/>
      <c r="N284" s="384"/>
      <c r="O284" s="60"/>
      <c r="P284" s="529"/>
    </row>
    <row r="285" spans="1:16" s="37" customFormat="1" ht="14.5" outlineLevel="1" x14ac:dyDescent="0.35">
      <c r="A285" s="804"/>
      <c r="B285" s="362"/>
      <c r="C285" s="806" t="s">
        <v>15</v>
      </c>
      <c r="D285" s="806"/>
      <c r="E285" s="363"/>
      <c r="F285" s="364"/>
      <c r="G285" s="364"/>
      <c r="H285" s="363"/>
      <c r="I285" s="363"/>
      <c r="J285" s="363"/>
      <c r="K285" s="363"/>
      <c r="L285" s="363"/>
      <c r="M285" s="363"/>
      <c r="N285" s="365"/>
      <c r="O285" s="132"/>
      <c r="P285" s="529"/>
    </row>
    <row r="286" spans="1:16" ht="14.5" outlineLevel="1" x14ac:dyDescent="0.35">
      <c r="A286" s="804"/>
      <c r="B286" s="251">
        <v>23</v>
      </c>
      <c r="C286" s="233" t="s">
        <v>15</v>
      </c>
      <c r="D286" s="231" t="s">
        <v>34</v>
      </c>
      <c r="E286" s="231">
        <v>12</v>
      </c>
      <c r="F286" s="275">
        <v>227.137</v>
      </c>
      <c r="G286" s="275">
        <v>2324011.017</v>
      </c>
      <c r="H286" s="274">
        <v>0.3</v>
      </c>
      <c r="I286" s="274">
        <v>2.5000000000000001E-2</v>
      </c>
      <c r="J286" s="274">
        <v>0.15</v>
      </c>
      <c r="K286" s="274">
        <v>0.5</v>
      </c>
      <c r="L286" s="274">
        <v>2.5000000000000001E-2</v>
      </c>
      <c r="M286" s="274"/>
      <c r="N286" s="384">
        <f>SUM(H286:M286)</f>
        <v>1</v>
      </c>
      <c r="O286" s="60"/>
      <c r="P286" s="529"/>
    </row>
    <row r="287" spans="1:16" ht="14.5" outlineLevel="1" x14ac:dyDescent="0.35">
      <c r="A287" s="804"/>
      <c r="B287" s="251"/>
      <c r="C287" s="234" t="s">
        <v>258</v>
      </c>
      <c r="D287" s="231" t="s">
        <v>254</v>
      </c>
      <c r="E287" s="231"/>
      <c r="F287" s="275"/>
      <c r="G287" s="275"/>
      <c r="H287" s="272"/>
      <c r="I287" s="274"/>
      <c r="J287" s="274"/>
      <c r="K287" s="274"/>
      <c r="L287" s="274"/>
      <c r="M287" s="274"/>
      <c r="N287" s="384"/>
      <c r="O287" s="60"/>
      <c r="P287" s="529"/>
    </row>
    <row r="288" spans="1:16" ht="14.5" outlineLevel="1" x14ac:dyDescent="0.35">
      <c r="A288" s="804"/>
      <c r="B288" s="251"/>
      <c r="C288" s="793"/>
      <c r="D288" s="793"/>
      <c r="E288" s="246"/>
      <c r="F288" s="275"/>
      <c r="G288" s="275"/>
      <c r="H288" s="272"/>
      <c r="I288" s="274"/>
      <c r="J288" s="274"/>
      <c r="K288" s="274"/>
      <c r="L288" s="274"/>
      <c r="M288" s="274"/>
      <c r="N288" s="384"/>
      <c r="O288" s="60"/>
      <c r="P288" s="529"/>
    </row>
    <row r="289" spans="1:16" ht="14.5" outlineLevel="1" x14ac:dyDescent="0.35">
      <c r="A289" s="804"/>
      <c r="B289" s="251"/>
      <c r="C289" s="793"/>
      <c r="D289" s="793"/>
      <c r="E289" s="246"/>
      <c r="F289" s="275"/>
      <c r="G289" s="275"/>
      <c r="H289" s="272"/>
      <c r="I289" s="274"/>
      <c r="J289" s="274"/>
      <c r="K289" s="274"/>
      <c r="L289" s="274"/>
      <c r="M289" s="274"/>
      <c r="N289" s="384"/>
      <c r="O289" s="60"/>
      <c r="P289" s="529"/>
    </row>
    <row r="290" spans="1:16" s="37" customFormat="1" ht="14.5" outlineLevel="1" x14ac:dyDescent="0.35">
      <c r="A290" s="804"/>
      <c r="B290" s="362"/>
      <c r="C290" s="806" t="s">
        <v>16</v>
      </c>
      <c r="D290" s="806"/>
      <c r="E290" s="363"/>
      <c r="F290" s="364"/>
      <c r="G290" s="364"/>
      <c r="H290" s="363"/>
      <c r="I290" s="363"/>
      <c r="J290" s="363"/>
      <c r="K290" s="363"/>
      <c r="L290" s="363"/>
      <c r="M290" s="363"/>
      <c r="N290" s="365"/>
      <c r="O290" s="132"/>
      <c r="P290" s="529"/>
    </row>
    <row r="291" spans="1:16" ht="14.5" outlineLevel="1" x14ac:dyDescent="0.35">
      <c r="A291" s="804"/>
      <c r="B291" s="251">
        <v>24</v>
      </c>
      <c r="C291" s="233" t="s">
        <v>17</v>
      </c>
      <c r="D291" s="231" t="s">
        <v>34</v>
      </c>
      <c r="E291" s="231"/>
      <c r="F291" s="275"/>
      <c r="G291" s="275"/>
      <c r="H291" s="272"/>
      <c r="I291" s="274"/>
      <c r="J291" s="274"/>
      <c r="K291" s="274"/>
      <c r="L291" s="274"/>
      <c r="M291" s="274"/>
      <c r="N291" s="384"/>
      <c r="O291" s="60"/>
      <c r="P291" s="529"/>
    </row>
    <row r="292" spans="1:16" ht="14.5" outlineLevel="1" x14ac:dyDescent="0.35">
      <c r="A292" s="804"/>
      <c r="B292" s="251">
        <v>25</v>
      </c>
      <c r="C292" s="233" t="s">
        <v>18</v>
      </c>
      <c r="D292" s="231" t="s">
        <v>34</v>
      </c>
      <c r="E292" s="231"/>
      <c r="F292" s="275"/>
      <c r="G292" s="275"/>
      <c r="H292" s="272"/>
      <c r="I292" s="274"/>
      <c r="J292" s="274"/>
      <c r="K292" s="274"/>
      <c r="L292" s="274"/>
      <c r="M292" s="274"/>
      <c r="N292" s="384"/>
      <c r="O292" s="60"/>
      <c r="P292" s="529"/>
    </row>
    <row r="293" spans="1:16" ht="14.5" outlineLevel="1" x14ac:dyDescent="0.35">
      <c r="A293" s="804"/>
      <c r="B293" s="251">
        <v>26</v>
      </c>
      <c r="C293" s="233" t="s">
        <v>19</v>
      </c>
      <c r="D293" s="231" t="s">
        <v>34</v>
      </c>
      <c r="E293" s="231">
        <v>12</v>
      </c>
      <c r="F293" s="275">
        <v>280.64699999999999</v>
      </c>
      <c r="G293" s="275">
        <v>2479840.0989999999</v>
      </c>
      <c r="H293" s="272"/>
      <c r="I293" s="274"/>
      <c r="J293" s="274">
        <v>0.1</v>
      </c>
      <c r="K293" s="274">
        <v>0.3</v>
      </c>
      <c r="L293" s="274">
        <v>0.3</v>
      </c>
      <c r="M293" s="274">
        <v>0.3</v>
      </c>
      <c r="N293" s="384">
        <f>SUM(H293:M293)</f>
        <v>1</v>
      </c>
      <c r="O293" s="60"/>
      <c r="P293" s="529"/>
    </row>
    <row r="294" spans="1:16" ht="14.5" outlineLevel="1" x14ac:dyDescent="0.35">
      <c r="A294" s="804"/>
      <c r="B294" s="251">
        <v>27</v>
      </c>
      <c r="C294" s="233" t="s">
        <v>20</v>
      </c>
      <c r="D294" s="231" t="s">
        <v>34</v>
      </c>
      <c r="E294" s="231"/>
      <c r="F294" s="275"/>
      <c r="G294" s="275"/>
      <c r="H294" s="272"/>
      <c r="I294" s="274"/>
      <c r="J294" s="274"/>
      <c r="K294" s="274"/>
      <c r="L294" s="274"/>
      <c r="M294" s="274"/>
      <c r="N294" s="384"/>
      <c r="O294" s="60"/>
      <c r="P294" s="529"/>
    </row>
    <row r="295" spans="1:16" ht="14.5" outlineLevel="1" x14ac:dyDescent="0.35">
      <c r="A295" s="804"/>
      <c r="B295" s="251">
        <v>28</v>
      </c>
      <c r="C295" s="233" t="s">
        <v>100</v>
      </c>
      <c r="D295" s="231" t="s">
        <v>34</v>
      </c>
      <c r="E295" s="231"/>
      <c r="F295" s="275"/>
      <c r="G295" s="275"/>
      <c r="H295" s="272"/>
      <c r="I295" s="274"/>
      <c r="J295" s="274"/>
      <c r="K295" s="274"/>
      <c r="L295" s="274"/>
      <c r="M295" s="274"/>
      <c r="N295" s="384"/>
      <c r="O295" s="60"/>
      <c r="P295" s="529"/>
    </row>
    <row r="296" spans="1:16" ht="14.5" outlineLevel="1" x14ac:dyDescent="0.35">
      <c r="A296" s="804"/>
      <c r="B296" s="251"/>
      <c r="C296" s="234" t="s">
        <v>258</v>
      </c>
      <c r="D296" s="231" t="s">
        <v>254</v>
      </c>
      <c r="E296" s="231"/>
      <c r="F296" s="275"/>
      <c r="G296" s="275"/>
      <c r="H296" s="272"/>
      <c r="I296" s="274"/>
      <c r="J296" s="274"/>
      <c r="K296" s="274"/>
      <c r="L296" s="274"/>
      <c r="M296" s="274"/>
      <c r="N296" s="384"/>
      <c r="O296" s="60"/>
      <c r="P296" s="529"/>
    </row>
    <row r="297" spans="1:16" ht="14.5" outlineLevel="1" x14ac:dyDescent="0.35">
      <c r="A297" s="804"/>
      <c r="B297" s="251"/>
      <c r="C297" s="793" t="s">
        <v>484</v>
      </c>
      <c r="D297" s="793"/>
      <c r="E297" s="530">
        <v>12</v>
      </c>
      <c r="F297" s="275">
        <v>192.065</v>
      </c>
      <c r="G297" s="275">
        <v>1580297.1259999999</v>
      </c>
      <c r="H297" s="272"/>
      <c r="I297" s="274"/>
      <c r="J297" s="274"/>
      <c r="K297" s="384">
        <v>1</v>
      </c>
      <c r="L297" s="274"/>
      <c r="M297" s="274"/>
      <c r="N297" s="384"/>
      <c r="O297" s="60"/>
      <c r="P297" s="529"/>
    </row>
    <row r="298" spans="1:16" ht="14.5" outlineLevel="1" x14ac:dyDescent="0.35">
      <c r="A298" s="804"/>
      <c r="B298" s="251"/>
      <c r="C298" s="793"/>
      <c r="D298" s="793"/>
      <c r="E298" s="246"/>
      <c r="F298" s="275"/>
      <c r="G298" s="275"/>
      <c r="H298" s="272"/>
      <c r="I298" s="274"/>
      <c r="J298" s="274"/>
      <c r="K298" s="274"/>
      <c r="L298" s="274"/>
      <c r="M298" s="274"/>
      <c r="N298" s="384"/>
      <c r="O298" s="60"/>
      <c r="P298" s="529"/>
    </row>
    <row r="299" spans="1:16" ht="14.5" outlineLevel="1" x14ac:dyDescent="0.35">
      <c r="A299" s="804"/>
      <c r="B299" s="251"/>
      <c r="C299" s="793"/>
      <c r="D299" s="793"/>
      <c r="E299" s="246"/>
      <c r="F299" s="275"/>
      <c r="G299" s="275"/>
      <c r="H299" s="272"/>
      <c r="I299" s="274"/>
      <c r="J299" s="274"/>
      <c r="K299" s="274"/>
      <c r="L299" s="274"/>
      <c r="M299" s="274"/>
      <c r="N299" s="384"/>
      <c r="O299" s="60"/>
      <c r="P299" s="529"/>
    </row>
    <row r="300" spans="1:16" s="37" customFormat="1" ht="14.5" outlineLevel="1" x14ac:dyDescent="0.35">
      <c r="A300" s="804"/>
      <c r="B300" s="362"/>
      <c r="C300" s="806" t="s">
        <v>101</v>
      </c>
      <c r="D300" s="806"/>
      <c r="E300" s="363"/>
      <c r="F300" s="364"/>
      <c r="G300" s="364"/>
      <c r="H300" s="363"/>
      <c r="I300" s="363"/>
      <c r="J300" s="363"/>
      <c r="K300" s="363"/>
      <c r="L300" s="363"/>
      <c r="M300" s="363"/>
      <c r="N300" s="365"/>
      <c r="O300" s="132"/>
      <c r="P300" s="529"/>
    </row>
    <row r="301" spans="1:16" ht="14.5" outlineLevel="1" x14ac:dyDescent="0.35">
      <c r="A301" s="804"/>
      <c r="B301" s="133">
        <v>29</v>
      </c>
      <c r="C301" s="233" t="s">
        <v>103</v>
      </c>
      <c r="D301" s="231" t="s">
        <v>34</v>
      </c>
      <c r="E301" s="231">
        <v>12</v>
      </c>
      <c r="F301" s="275">
        <v>4409.18</v>
      </c>
      <c r="G301" s="275">
        <v>9409888.6720000003</v>
      </c>
      <c r="H301" s="272"/>
      <c r="I301" s="274"/>
      <c r="J301" s="274"/>
      <c r="K301" s="274"/>
      <c r="L301" s="274"/>
      <c r="M301" s="274">
        <v>1</v>
      </c>
      <c r="N301" s="384">
        <f>SUM(H301:M301)</f>
        <v>1</v>
      </c>
      <c r="O301" s="60"/>
      <c r="P301" s="529"/>
    </row>
    <row r="302" spans="1:16" ht="14.5" outlineLevel="1" x14ac:dyDescent="0.35">
      <c r="A302" s="804"/>
      <c r="B302" s="133">
        <v>30</v>
      </c>
      <c r="C302" s="233" t="s">
        <v>102</v>
      </c>
      <c r="D302" s="231" t="s">
        <v>34</v>
      </c>
      <c r="E302" s="231">
        <v>12</v>
      </c>
      <c r="F302" s="275">
        <v>11793.843999999999</v>
      </c>
      <c r="G302" s="275"/>
      <c r="H302" s="272">
        <v>0.97</v>
      </c>
      <c r="I302" s="274">
        <v>0.03</v>
      </c>
      <c r="J302" s="274"/>
      <c r="K302" s="274"/>
      <c r="L302" s="274"/>
      <c r="M302" s="274"/>
      <c r="N302" s="384">
        <f>SUM(H302:M302)</f>
        <v>1</v>
      </c>
      <c r="O302" s="60"/>
      <c r="P302" s="529"/>
    </row>
    <row r="303" spans="1:16" ht="14.5" outlineLevel="1" x14ac:dyDescent="0.35">
      <c r="A303" s="804"/>
      <c r="B303" s="133"/>
      <c r="C303" s="234" t="s">
        <v>258</v>
      </c>
      <c r="D303" s="231" t="s">
        <v>254</v>
      </c>
      <c r="E303" s="231"/>
      <c r="F303" s="275"/>
      <c r="G303" s="275"/>
      <c r="H303" s="272"/>
      <c r="I303" s="274"/>
      <c r="J303" s="274"/>
      <c r="K303" s="274"/>
      <c r="L303" s="274"/>
      <c r="M303" s="274"/>
      <c r="N303" s="384"/>
      <c r="O303" s="60"/>
      <c r="P303" s="529"/>
    </row>
    <row r="304" spans="1:16" ht="14.5" outlineLevel="1" x14ac:dyDescent="0.35">
      <c r="A304" s="804"/>
      <c r="B304" s="133"/>
      <c r="C304" s="793" t="s">
        <v>486</v>
      </c>
      <c r="D304" s="793"/>
      <c r="E304" s="530">
        <v>12</v>
      </c>
      <c r="F304" s="275">
        <v>6640.7950000000001</v>
      </c>
      <c r="G304" s="275">
        <v>41641236.414999999</v>
      </c>
      <c r="H304" s="510">
        <v>1.5763862882844433E-3</v>
      </c>
      <c r="I304" s="510">
        <v>4.0440930603365534E-4</v>
      </c>
      <c r="J304" s="510">
        <v>8.8402825800137738E-2</v>
      </c>
      <c r="K304" s="510">
        <v>0.40190591536839443</v>
      </c>
      <c r="L304" s="510">
        <v>0.30588517467904142</v>
      </c>
      <c r="M304" s="510">
        <v>0.20182528855810833</v>
      </c>
      <c r="N304" s="384">
        <f>SUM(H304:M304)</f>
        <v>1</v>
      </c>
      <c r="O304" s="60"/>
      <c r="P304" s="529"/>
    </row>
    <row r="305" spans="1:18" s="37" customFormat="1" ht="14.5" outlineLevel="1" x14ac:dyDescent="0.35">
      <c r="A305" s="804"/>
      <c r="B305" s="134"/>
      <c r="C305" s="793"/>
      <c r="D305" s="793"/>
      <c r="E305" s="246"/>
      <c r="F305" s="275"/>
      <c r="G305" s="275"/>
      <c r="H305" s="381"/>
      <c r="I305" s="382"/>
      <c r="J305" s="382"/>
      <c r="K305" s="382"/>
      <c r="L305" s="382"/>
      <c r="M305" s="382"/>
      <c r="N305" s="385"/>
      <c r="O305" s="132"/>
    </row>
    <row r="306" spans="1:18" ht="14.5" x14ac:dyDescent="0.35">
      <c r="A306" s="804"/>
      <c r="B306" s="332"/>
      <c r="C306" s="808" t="s">
        <v>222</v>
      </c>
      <c r="D306" s="808"/>
      <c r="E306" s="333"/>
      <c r="F306" s="334">
        <f>SUM(F249:F304)</f>
        <v>120890.826</v>
      </c>
      <c r="G306" s="334">
        <f>SUM(G249:G304)</f>
        <v>224278393.04799998</v>
      </c>
      <c r="H306" s="335">
        <f>SUMPRODUCT(H248:H305,$G$248:$G$305)</f>
        <v>26513934.147511814</v>
      </c>
      <c r="I306" s="533">
        <f>SUMPRODUCT(I248:I305,$G$248:$G$305)</f>
        <v>1083726.1156459737</v>
      </c>
      <c r="J306" s="533">
        <f>SUMPRODUCT(J248:J305,$G$248:$G$305)</f>
        <v>24722226.701155588</v>
      </c>
      <c r="K306" s="336"/>
      <c r="L306" s="333"/>
      <c r="M306" s="333"/>
      <c r="N306" s="337">
        <f>SUM(H306:M306)</f>
        <v>52319886.964313373</v>
      </c>
      <c r="O306" s="60"/>
    </row>
    <row r="307" spans="1:18" ht="14.5" x14ac:dyDescent="0.35">
      <c r="A307" s="804"/>
      <c r="B307" s="468"/>
      <c r="C307" s="469" t="s">
        <v>481</v>
      </c>
      <c r="D307" s="469"/>
      <c r="E307" s="470"/>
      <c r="F307" s="471"/>
      <c r="G307" s="471"/>
      <c r="H307" s="472">
        <f>H306-SUM(G255*H255,G256*H256)</f>
        <v>26513037.831511814</v>
      </c>
      <c r="I307" s="472">
        <f>I306-SUM($G268*I268,$G269*I269,$G270*I270)</f>
        <v>1083726.1156459737</v>
      </c>
      <c r="J307" s="472">
        <f>J306-SUM($G268*J268,$G269*J269,$G270*J270)</f>
        <v>24721907.835155588</v>
      </c>
      <c r="K307" s="473"/>
      <c r="L307" s="470"/>
      <c r="M307" s="470"/>
      <c r="N307" s="474"/>
      <c r="O307" s="60"/>
      <c r="Q307" s="678">
        <f>H306-H307</f>
        <v>896.31599999964237</v>
      </c>
      <c r="R307" s="679">
        <f>J306-J307</f>
        <v>318.86600000038743</v>
      </c>
    </row>
    <row r="308" spans="1:18" ht="14.5" x14ac:dyDescent="0.35">
      <c r="A308" s="804"/>
      <c r="B308" s="252"/>
      <c r="C308" s="793" t="s">
        <v>318</v>
      </c>
      <c r="D308" s="793"/>
      <c r="E308" s="247"/>
      <c r="F308" s="245"/>
      <c r="G308" s="245"/>
      <c r="H308" s="247"/>
      <c r="I308" s="247"/>
      <c r="J308" s="247"/>
      <c r="K308" s="531">
        <f>SUMPRODUCT($E$262:$E$305,$F$262:$F$305,K262:K305)</f>
        <v>152153.51094060962</v>
      </c>
      <c r="L308" s="531">
        <f>SUMPRODUCT($E$262:$E$305,$F$262:$F$305,L262:L305)</f>
        <v>123538.34190836441</v>
      </c>
      <c r="M308" s="531">
        <f>SUMPRODUCT($E$262:$E$305,$F$262:$F$305,M262:M305)</f>
        <v>99492.335240179731</v>
      </c>
      <c r="N308" s="253">
        <f>SUM(H308:M308)</f>
        <v>375184.18808915379</v>
      </c>
      <c r="O308" s="60"/>
    </row>
    <row r="309" spans="1:18" ht="14.5" x14ac:dyDescent="0.35">
      <c r="A309" s="804"/>
      <c r="B309" s="252"/>
      <c r="C309" s="793" t="s">
        <v>477</v>
      </c>
      <c r="D309" s="793"/>
      <c r="E309" s="247"/>
      <c r="F309" s="245"/>
      <c r="G309" s="245"/>
      <c r="H309" s="247"/>
      <c r="I309" s="247"/>
      <c r="J309" s="247"/>
      <c r="K309" s="248">
        <f>K308-($E$265*$F$265*K265)</f>
        <v>152153.51094060962</v>
      </c>
      <c r="L309" s="248">
        <f>L308-($E$265*$F$265*L265)</f>
        <v>113964.64590836441</v>
      </c>
      <c r="M309" s="531">
        <f>M308-($E$265*$F$265*M265)</f>
        <v>99492.335240179731</v>
      </c>
      <c r="N309" s="253"/>
      <c r="O309" s="60"/>
    </row>
    <row r="310" spans="1:18" ht="14.5" x14ac:dyDescent="0.35">
      <c r="A310" s="804"/>
      <c r="B310" s="254"/>
      <c r="C310" s="492"/>
      <c r="D310" s="240"/>
      <c r="E310" s="240"/>
      <c r="F310" s="238"/>
      <c r="G310" s="238"/>
      <c r="H310" s="240"/>
      <c r="I310" s="240"/>
      <c r="J310" s="240"/>
      <c r="K310" s="240"/>
      <c r="L310" s="240"/>
      <c r="M310" s="240"/>
      <c r="N310" s="255"/>
      <c r="O310" s="60"/>
    </row>
    <row r="311" spans="1:18" ht="14.5" hidden="1" x14ac:dyDescent="0.35">
      <c r="A311" s="804"/>
      <c r="B311" s="360"/>
      <c r="C311" s="791" t="s">
        <v>323</v>
      </c>
      <c r="D311" s="791"/>
      <c r="E311" s="231"/>
      <c r="F311" s="242"/>
      <c r="G311" s="231"/>
      <c r="H311" s="243">
        <f>'3.  Distribution Rates'!H33</f>
        <v>0</v>
      </c>
      <c r="I311" s="243"/>
      <c r="J311" s="243">
        <f>'3.  Distribution Rates'!H34</f>
        <v>0</v>
      </c>
      <c r="K311" s="243">
        <f>'3.  Distribution Rates'!H35</f>
        <v>0</v>
      </c>
      <c r="L311" s="243">
        <f>'3.  Distribution Rates'!H36</f>
        <v>0</v>
      </c>
      <c r="M311" s="243"/>
      <c r="N311" s="361"/>
      <c r="O311" s="60"/>
    </row>
    <row r="312" spans="1:18" ht="14.5" hidden="1" x14ac:dyDescent="0.35">
      <c r="A312" s="804"/>
      <c r="B312" s="360"/>
      <c r="C312" s="791" t="s">
        <v>239</v>
      </c>
      <c r="D312" s="791"/>
      <c r="E312" s="240"/>
      <c r="F312" s="242"/>
      <c r="G312" s="242"/>
      <c r="H312" s="357">
        <f>H76*H311</f>
        <v>0</v>
      </c>
      <c r="I312" s="357"/>
      <c r="J312" s="357">
        <f t="shared" ref="J312:L312" si="11">J76*J311</f>
        <v>0</v>
      </c>
      <c r="K312" s="357">
        <f t="shared" si="11"/>
        <v>0</v>
      </c>
      <c r="L312" s="357">
        <f t="shared" si="11"/>
        <v>0</v>
      </c>
      <c r="M312" s="231"/>
      <c r="N312" s="256">
        <f>SUM(H312:M312)</f>
        <v>0</v>
      </c>
      <c r="O312" s="60"/>
    </row>
    <row r="313" spans="1:18" ht="14.5" hidden="1" x14ac:dyDescent="0.35">
      <c r="A313" s="804"/>
      <c r="B313" s="360"/>
      <c r="C313" s="791" t="s">
        <v>240</v>
      </c>
      <c r="D313" s="791"/>
      <c r="E313" s="240"/>
      <c r="F313" s="242"/>
      <c r="G313" s="242"/>
      <c r="H313" s="357">
        <f>H155*H311</f>
        <v>0</v>
      </c>
      <c r="I313" s="357"/>
      <c r="J313" s="357">
        <f t="shared" ref="J313:L313" si="12">J155*J311</f>
        <v>0</v>
      </c>
      <c r="K313" s="357">
        <f t="shared" si="12"/>
        <v>0</v>
      </c>
      <c r="L313" s="357">
        <f t="shared" si="12"/>
        <v>0</v>
      </c>
      <c r="M313" s="231"/>
      <c r="N313" s="256">
        <f>SUM(H313:M313)</f>
        <v>0</v>
      </c>
      <c r="O313" s="60"/>
    </row>
    <row r="314" spans="1:18" ht="14.5" hidden="1" x14ac:dyDescent="0.35">
      <c r="A314" s="804"/>
      <c r="B314" s="360"/>
      <c r="C314" s="791" t="s">
        <v>241</v>
      </c>
      <c r="D314" s="791"/>
      <c r="E314" s="240"/>
      <c r="F314" s="242"/>
      <c r="G314" s="242"/>
      <c r="H314" s="357">
        <f>H235*H311</f>
        <v>0</v>
      </c>
      <c r="I314" s="357"/>
      <c r="J314" s="357">
        <f t="shared" ref="J314:L314" si="13">J235*J311</f>
        <v>0</v>
      </c>
      <c r="K314" s="357">
        <f t="shared" si="13"/>
        <v>0</v>
      </c>
      <c r="L314" s="357">
        <f t="shared" si="13"/>
        <v>0</v>
      </c>
      <c r="M314" s="231"/>
      <c r="N314" s="256">
        <f>SUM(H314:M314)</f>
        <v>0</v>
      </c>
      <c r="O314" s="60"/>
    </row>
    <row r="315" spans="1:18" ht="14.5" hidden="1" x14ac:dyDescent="0.35">
      <c r="A315" s="804"/>
      <c r="B315" s="360"/>
      <c r="C315" s="791" t="s">
        <v>242</v>
      </c>
      <c r="D315" s="791"/>
      <c r="E315" s="240"/>
      <c r="F315" s="242"/>
      <c r="G315" s="242"/>
      <c r="H315" s="357">
        <f>H306*H311</f>
        <v>0</v>
      </c>
      <c r="I315" s="357"/>
      <c r="J315" s="357">
        <f>J306*J311</f>
        <v>0</v>
      </c>
      <c r="K315" s="357">
        <f>K308*K311</f>
        <v>0</v>
      </c>
      <c r="L315" s="357">
        <f>L308*L311</f>
        <v>0</v>
      </c>
      <c r="M315" s="231"/>
      <c r="N315" s="256">
        <f>SUM(H315:M315)</f>
        <v>0</v>
      </c>
      <c r="O315" s="60"/>
    </row>
    <row r="316" spans="1:18" ht="14.5" hidden="1" x14ac:dyDescent="0.35">
      <c r="A316" s="804"/>
      <c r="B316" s="254"/>
      <c r="C316" s="358" t="s">
        <v>202</v>
      </c>
      <c r="D316" s="240"/>
      <c r="E316" s="240"/>
      <c r="F316" s="238"/>
      <c r="G316" s="238"/>
      <c r="H316" s="244">
        <f>SUM(H312:H315)</f>
        <v>0</v>
      </c>
      <c r="I316" s="244"/>
      <c r="J316" s="244">
        <f>SUM(J312:J315)</f>
        <v>0</v>
      </c>
      <c r="K316" s="244">
        <f>SUM(K312:K315)</f>
        <v>0</v>
      </c>
      <c r="L316" s="244">
        <f>SUM(L312:L315)</f>
        <v>0</v>
      </c>
      <c r="M316" s="240"/>
      <c r="N316" s="257">
        <f>SUM(N312:N315)</f>
        <v>0</v>
      </c>
      <c r="O316" s="60"/>
    </row>
    <row r="317" spans="1:18" hidden="1" x14ac:dyDescent="0.35">
      <c r="B317" s="386"/>
      <c r="C317" s="791" t="s">
        <v>414</v>
      </c>
      <c r="D317" s="791"/>
      <c r="E317" s="48"/>
      <c r="F317" s="39"/>
      <c r="G317" s="39"/>
      <c r="H317" s="231">
        <f>$H$307*'6.  Persistence Rates'!$H$28</f>
        <v>0</v>
      </c>
      <c r="I317" s="530"/>
      <c r="J317" s="231">
        <f>J307*'6.  Persistence Rates'!$H$28</f>
        <v>0</v>
      </c>
      <c r="K317" s="231">
        <f>$K$309*'6.  Persistence Rates'!$T$28</f>
        <v>0</v>
      </c>
      <c r="L317" s="231">
        <f>$L$309*'6.  Persistence Rates'!$T$28</f>
        <v>0</v>
      </c>
      <c r="M317" s="39"/>
      <c r="N317" s="387"/>
    </row>
    <row r="318" spans="1:18" hidden="1" x14ac:dyDescent="0.35">
      <c r="B318" s="386"/>
      <c r="C318" s="791" t="s">
        <v>415</v>
      </c>
      <c r="D318" s="791"/>
      <c r="E318" s="48"/>
      <c r="F318" s="39"/>
      <c r="G318" s="39"/>
      <c r="H318" s="231">
        <f>$H$307*'6.  Persistence Rates'!$I$28</f>
        <v>0</v>
      </c>
      <c r="I318" s="530"/>
      <c r="J318" s="231">
        <f>$J$307*'6.  Persistence Rates'!$I$28</f>
        <v>0</v>
      </c>
      <c r="K318" s="231">
        <f>$K$309*'6.  Persistence Rates'!$U$28</f>
        <v>0</v>
      </c>
      <c r="L318" s="231">
        <f>$L$309*'6.  Persistence Rates'!$U$28</f>
        <v>0</v>
      </c>
      <c r="M318" s="39"/>
      <c r="N318" s="387"/>
    </row>
    <row r="319" spans="1:18" hidden="1" x14ac:dyDescent="0.35">
      <c r="B319" s="386"/>
      <c r="C319" s="791" t="s">
        <v>416</v>
      </c>
      <c r="D319" s="791"/>
      <c r="E319" s="48"/>
      <c r="F319" s="39"/>
      <c r="G319" s="39"/>
      <c r="H319" s="231">
        <f>$H$307*'6.  Persistence Rates'!$J$28</f>
        <v>0</v>
      </c>
      <c r="I319" s="530"/>
      <c r="J319" s="231">
        <f>$J$307*'6.  Persistence Rates'!$J$28</f>
        <v>0</v>
      </c>
      <c r="K319" s="231">
        <f>$K$309*'6.  Persistence Rates'!$V$28</f>
        <v>0</v>
      </c>
      <c r="L319" s="231">
        <f>$L$309*'6.  Persistence Rates'!$V$28</f>
        <v>0</v>
      </c>
      <c r="M319" s="39"/>
      <c r="N319" s="387"/>
    </row>
    <row r="320" spans="1:18" hidden="1" x14ac:dyDescent="0.35">
      <c r="B320" s="386"/>
      <c r="C320" s="791" t="s">
        <v>417</v>
      </c>
      <c r="D320" s="791"/>
      <c r="E320" s="48"/>
      <c r="F320" s="39"/>
      <c r="G320" s="39"/>
      <c r="H320" s="231">
        <f>$H$307*'6.  Persistence Rates'!$K$28</f>
        <v>0</v>
      </c>
      <c r="I320" s="530"/>
      <c r="J320" s="231">
        <f>$J$307*'6.  Persistence Rates'!$K$28</f>
        <v>0</v>
      </c>
      <c r="K320" s="231">
        <f>$K$309*'6.  Persistence Rates'!$W$28</f>
        <v>0</v>
      </c>
      <c r="L320" s="231">
        <f>$L$309*'6.  Persistence Rates'!$W$28</f>
        <v>0</v>
      </c>
      <c r="M320" s="39"/>
      <c r="N320" s="387"/>
    </row>
    <row r="321" spans="2:14" hidden="1" x14ac:dyDescent="0.35">
      <c r="B321" s="386"/>
      <c r="C321" s="791" t="s">
        <v>418</v>
      </c>
      <c r="D321" s="791"/>
      <c r="E321" s="48"/>
      <c r="F321" s="39"/>
      <c r="G321" s="39"/>
      <c r="H321" s="231">
        <f>$H$307*'6.  Persistence Rates'!$L$28</f>
        <v>0</v>
      </c>
      <c r="I321" s="530"/>
      <c r="J321" s="231">
        <f>$J$307*'6.  Persistence Rates'!$L$28</f>
        <v>0</v>
      </c>
      <c r="K321" s="231">
        <f>$K$309*'6.  Persistence Rates'!$X$28</f>
        <v>0</v>
      </c>
      <c r="L321" s="231">
        <f>$L$309*'6.  Persistence Rates'!$X$28</f>
        <v>0</v>
      </c>
      <c r="M321" s="39"/>
      <c r="N321" s="387"/>
    </row>
    <row r="322" spans="2:14" hidden="1" x14ac:dyDescent="0.35">
      <c r="B322" s="388"/>
      <c r="C322" s="792" t="s">
        <v>419</v>
      </c>
      <c r="D322" s="792"/>
      <c r="E322" s="389"/>
      <c r="F322" s="96"/>
      <c r="G322" s="96"/>
      <c r="H322" s="501">
        <f>$H$307*'6.  Persistence Rates'!$M$28</f>
        <v>0</v>
      </c>
      <c r="I322" s="501"/>
      <c r="J322" s="501">
        <f>$J$307*'6.  Persistence Rates'!$M$28</f>
        <v>0</v>
      </c>
      <c r="K322" s="501">
        <f>$K$309*'6.  Persistence Rates'!$Y$28</f>
        <v>0</v>
      </c>
      <c r="L322" s="501">
        <f>$L$309*'6.  Persistence Rates'!$Y$28</f>
        <v>0</v>
      </c>
      <c r="M322" s="96"/>
      <c r="N322" s="390"/>
    </row>
    <row r="323" spans="2:14" hidden="1" x14ac:dyDescent="0.35"/>
    <row r="324" spans="2:14" hidden="1" x14ac:dyDescent="0.35"/>
  </sheetData>
  <mergeCells count="158">
    <mergeCell ref="B19:B20"/>
    <mergeCell ref="D13:E13"/>
    <mergeCell ref="D14:E14"/>
    <mergeCell ref="B3:N3"/>
    <mergeCell ref="C12:C14"/>
    <mergeCell ref="D246:D247"/>
    <mergeCell ref="E166:E167"/>
    <mergeCell ref="E246:E247"/>
    <mergeCell ref="C225:D225"/>
    <mergeCell ref="C227:D227"/>
    <mergeCell ref="C229:D229"/>
    <mergeCell ref="C230:D230"/>
    <mergeCell ref="C70:D70"/>
    <mergeCell ref="C44:D44"/>
    <mergeCell ref="D19:D20"/>
    <mergeCell ref="C53:D53"/>
    <mergeCell ref="C58:D58"/>
    <mergeCell ref="H19:N19"/>
    <mergeCell ref="B17:N17"/>
    <mergeCell ref="C69:D69"/>
    <mergeCell ref="C71:D71"/>
    <mergeCell ref="C31:D31"/>
    <mergeCell ref="C32:D32"/>
    <mergeCell ref="C145:D145"/>
    <mergeCell ref="E19:E20"/>
    <mergeCell ref="C150:D150"/>
    <mergeCell ref="C152:D152"/>
    <mergeCell ref="C124:D124"/>
    <mergeCell ref="C129:D129"/>
    <mergeCell ref="C89:D89"/>
    <mergeCell ref="C139:D139"/>
    <mergeCell ref="C42:D42"/>
    <mergeCell ref="C43:D43"/>
    <mergeCell ref="C51:D51"/>
    <mergeCell ref="C52:D52"/>
    <mergeCell ref="C56:D56"/>
    <mergeCell ref="C57:D57"/>
    <mergeCell ref="E87:E88"/>
    <mergeCell ref="D87:D88"/>
    <mergeCell ref="C75:D75"/>
    <mergeCell ref="C19:C20"/>
    <mergeCell ref="C21:D21"/>
    <mergeCell ref="C33:D33"/>
    <mergeCell ref="C72:D72"/>
    <mergeCell ref="C73:D73"/>
    <mergeCell ref="C67:D67"/>
    <mergeCell ref="C112:D112"/>
    <mergeCell ref="C113:D113"/>
    <mergeCell ref="A90:A155"/>
    <mergeCell ref="A21:A76"/>
    <mergeCell ref="C314:D314"/>
    <mergeCell ref="C313:D313"/>
    <mergeCell ref="C312:D312"/>
    <mergeCell ref="C275:D275"/>
    <mergeCell ref="C285:D285"/>
    <mergeCell ref="C290:D290"/>
    <mergeCell ref="C300:D300"/>
    <mergeCell ref="C306:D306"/>
    <mergeCell ref="C248:D248"/>
    <mergeCell ref="C262:D262"/>
    <mergeCell ref="C233:D233"/>
    <mergeCell ref="C232:D232"/>
    <mergeCell ref="C231:D231"/>
    <mergeCell ref="C235:D235"/>
    <mergeCell ref="B85:N85"/>
    <mergeCell ref="C147:D147"/>
    <mergeCell ref="C148:D148"/>
    <mergeCell ref="C149:D149"/>
    <mergeCell ref="B87:B88"/>
    <mergeCell ref="C87:C88"/>
    <mergeCell ref="H87:N87"/>
    <mergeCell ref="C76:D76"/>
    <mergeCell ref="A168:A235"/>
    <mergeCell ref="A248:A316"/>
    <mergeCell ref="C151:D151"/>
    <mergeCell ref="C154:D154"/>
    <mergeCell ref="C155:D155"/>
    <mergeCell ref="B164:N164"/>
    <mergeCell ref="B166:B167"/>
    <mergeCell ref="C166:C167"/>
    <mergeCell ref="C168:D168"/>
    <mergeCell ref="D166:D167"/>
    <mergeCell ref="H166:N166"/>
    <mergeCell ref="C182:D182"/>
    <mergeCell ref="C195:D195"/>
    <mergeCell ref="C205:D205"/>
    <mergeCell ref="C210:D210"/>
    <mergeCell ref="C219:D219"/>
    <mergeCell ref="C202:D202"/>
    <mergeCell ref="C203:D203"/>
    <mergeCell ref="C204:D204"/>
    <mergeCell ref="C208:D208"/>
    <mergeCell ref="C209:D209"/>
    <mergeCell ref="C180:D180"/>
    <mergeCell ref="C181:D181"/>
    <mergeCell ref="C192:D192"/>
    <mergeCell ref="C121:D121"/>
    <mergeCell ref="C64:D64"/>
    <mergeCell ref="C65:D65"/>
    <mergeCell ref="C66:D66"/>
    <mergeCell ref="C100:D100"/>
    <mergeCell ref="C101:D101"/>
    <mergeCell ref="C102:D102"/>
    <mergeCell ref="C114:D114"/>
    <mergeCell ref="C74:D74"/>
    <mergeCell ref="C137:D137"/>
    <mergeCell ref="C138:D138"/>
    <mergeCell ref="C143:D143"/>
    <mergeCell ref="C144:D144"/>
    <mergeCell ref="C179:D179"/>
    <mergeCell ref="C122:D122"/>
    <mergeCell ref="C123:D123"/>
    <mergeCell ref="C127:D127"/>
    <mergeCell ref="C128:D128"/>
    <mergeCell ref="C136:D136"/>
    <mergeCell ref="C193:D193"/>
    <mergeCell ref="C194:D194"/>
    <mergeCell ref="C236:D236"/>
    <mergeCell ref="C237:D237"/>
    <mergeCell ref="C238:D238"/>
    <mergeCell ref="C239:D239"/>
    <mergeCell ref="C240:D240"/>
    <mergeCell ref="C217:D217"/>
    <mergeCell ref="C218:D218"/>
    <mergeCell ref="C223:D223"/>
    <mergeCell ref="C224:D224"/>
    <mergeCell ref="C228:D228"/>
    <mergeCell ref="C241:D241"/>
    <mergeCell ref="C317:D317"/>
    <mergeCell ref="C318:D318"/>
    <mergeCell ref="C319:D319"/>
    <mergeCell ref="C320:D320"/>
    <mergeCell ref="C298:D298"/>
    <mergeCell ref="C299:D299"/>
    <mergeCell ref="C304:D304"/>
    <mergeCell ref="C305:D305"/>
    <mergeCell ref="C308:D308"/>
    <mergeCell ref="C311:D311"/>
    <mergeCell ref="C315:D315"/>
    <mergeCell ref="B244:N244"/>
    <mergeCell ref="H246:N246"/>
    <mergeCell ref="B246:B247"/>
    <mergeCell ref="C246:C247"/>
    <mergeCell ref="C321:D321"/>
    <mergeCell ref="C322:D322"/>
    <mergeCell ref="C309:D309"/>
    <mergeCell ref="C259:D259"/>
    <mergeCell ref="C260:D260"/>
    <mergeCell ref="C261:D261"/>
    <mergeCell ref="C272:D272"/>
    <mergeCell ref="C273:D273"/>
    <mergeCell ref="C274:D274"/>
    <mergeCell ref="C282:D282"/>
    <mergeCell ref="C283:D283"/>
    <mergeCell ref="C284:D284"/>
    <mergeCell ref="C288:D288"/>
    <mergeCell ref="C289:D289"/>
    <mergeCell ref="C297:D297"/>
  </mergeCells>
  <printOptions horizontalCentered="1"/>
  <pageMargins left="0.35433070866141703" right="0.27559055118110198" top="1.25984251968504" bottom="0.511811023622047" header="0.23622047244094499" footer="0.31496062992126"/>
  <pageSetup scale="46" fitToHeight="0" orientation="landscape" horizontalDpi="1200" verticalDpi="1200" r:id="rId1"/>
  <headerFooter>
    <oddHeader>&amp;RToronto Hydro-Electric System Limited
EB-2016-0254
Tab 4
Schedule 1
Filed:  2016 Aug 22
Page &amp;P of &amp;N</oddHeader>
    <oddFooter>&amp;C&amp;A</oddFooter>
  </headerFooter>
  <rowBreaks count="5" manualBreakCount="5">
    <brk id="43" max="13" man="1"/>
    <brk id="101" max="13" man="1"/>
    <brk id="163" max="13" man="1"/>
    <brk id="218" max="13" man="1"/>
    <brk id="284" max="1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35"/>
  <sheetViews>
    <sheetView showGridLines="0" view="pageBreakPreview" topLeftCell="A63" zoomScale="60" zoomScaleNormal="70" workbookViewId="0">
      <selection activeCell="C17" sqref="C17"/>
    </sheetView>
  </sheetViews>
  <sheetFormatPr defaultRowHeight="14.5" x14ac:dyDescent="0.35"/>
  <cols>
    <col min="1" max="1" width="9.08984375" customWidth="1"/>
    <col min="2" max="2" width="2.36328125" customWidth="1"/>
    <col min="3" max="3" width="29.6328125" customWidth="1"/>
    <col min="4" max="4" width="16" customWidth="1"/>
    <col min="5" max="5" width="15.08984375" bestFit="1" customWidth="1"/>
    <col min="6" max="6" width="14.54296875" customWidth="1"/>
    <col min="7" max="7" width="14.90625" customWidth="1"/>
    <col min="8" max="8" width="15.90625" bestFit="1" customWidth="1"/>
    <col min="9" max="9" width="15.36328125" style="540" customWidth="1"/>
    <col min="10" max="10" width="29.453125" customWidth="1"/>
    <col min="11" max="11" width="14.90625" customWidth="1"/>
    <col min="12" max="12" width="14.54296875" bestFit="1" customWidth="1"/>
    <col min="13" max="13" width="16.08984375" customWidth="1"/>
    <col min="14" max="14" width="16.54296875" customWidth="1"/>
    <col min="15" max="15" width="19.54296875" customWidth="1"/>
    <col min="16" max="16" width="17" bestFit="1" customWidth="1"/>
    <col min="17" max="17" width="18" bestFit="1" customWidth="1"/>
    <col min="18" max="22" width="17.6328125" customWidth="1"/>
    <col min="23" max="23" width="14.08984375" customWidth="1"/>
    <col min="24" max="24" width="11.90625" customWidth="1"/>
    <col min="25" max="25" width="15.453125" customWidth="1"/>
    <col min="26" max="26" width="12.6328125" bestFit="1" customWidth="1"/>
    <col min="27" max="28" width="11.90625" bestFit="1" customWidth="1"/>
    <col min="29" max="29" width="12.36328125" bestFit="1" customWidth="1"/>
    <col min="30" max="30" width="9.08984375" customWidth="1"/>
    <col min="31" max="31" width="35" bestFit="1" customWidth="1"/>
    <col min="32" max="35" width="13.36328125" customWidth="1"/>
    <col min="36" max="36" width="14.453125" bestFit="1" customWidth="1"/>
    <col min="37" max="37" width="16.54296875" bestFit="1" customWidth="1"/>
    <col min="38" max="38" width="18.08984375" bestFit="1" customWidth="1"/>
    <col min="39" max="39" width="17.453125" bestFit="1" customWidth="1"/>
    <col min="40" max="40" width="15.90625" bestFit="1" customWidth="1"/>
    <col min="41" max="41" width="15.453125" bestFit="1" customWidth="1"/>
    <col min="42" max="42" width="14.90625" bestFit="1" customWidth="1"/>
    <col min="43" max="43" width="16.54296875" bestFit="1" customWidth="1"/>
    <col min="44" max="44" width="9.08984375" customWidth="1"/>
    <col min="45" max="45" width="35" bestFit="1" customWidth="1"/>
    <col min="46" max="49" width="11.453125" bestFit="1" customWidth="1"/>
    <col min="50" max="50" width="11" bestFit="1" customWidth="1"/>
    <col min="51" max="51" width="25.36328125" bestFit="1" customWidth="1"/>
    <col min="52" max="52" width="11.453125" bestFit="1" customWidth="1"/>
    <col min="53" max="53" width="11" bestFit="1" customWidth="1"/>
    <col min="54" max="54" width="11.453125" bestFit="1" customWidth="1"/>
    <col min="55" max="55" width="11" bestFit="1" customWidth="1"/>
    <col min="56" max="57" width="11.453125" bestFit="1" customWidth="1"/>
    <col min="58" max="58" width="9.08984375" customWidth="1"/>
    <col min="59" max="59" width="34.90625" bestFit="1" customWidth="1"/>
    <col min="60" max="72" width="9.08984375" customWidth="1"/>
    <col min="73" max="73" width="34.90625" bestFit="1" customWidth="1"/>
    <col min="74" max="75" width="11.08984375" customWidth="1"/>
    <col min="76" max="77" width="10" bestFit="1" customWidth="1"/>
    <col min="78" max="85" width="11.08984375" customWidth="1"/>
  </cols>
  <sheetData>
    <row r="1" spans="3:25" s="701" customFormat="1" x14ac:dyDescent="0.35">
      <c r="I1" s="704"/>
    </row>
    <row r="2" spans="3:25" ht="15.5" x14ac:dyDescent="0.35">
      <c r="C2" s="702" t="s">
        <v>538</v>
      </c>
      <c r="I2"/>
      <c r="K2" s="540"/>
    </row>
    <row r="3" spans="3:25" x14ac:dyDescent="0.35">
      <c r="D3" t="s">
        <v>36</v>
      </c>
      <c r="E3" t="s">
        <v>36</v>
      </c>
      <c r="F3" t="s">
        <v>36</v>
      </c>
      <c r="G3" t="s">
        <v>37</v>
      </c>
      <c r="H3" t="s">
        <v>37</v>
      </c>
      <c r="I3" s="540" t="s">
        <v>37</v>
      </c>
      <c r="L3" s="573"/>
      <c r="M3" s="667"/>
    </row>
    <row r="4" spans="3:25" ht="42.5" thickBot="1" x14ac:dyDescent="0.4">
      <c r="D4" s="668" t="s">
        <v>38</v>
      </c>
      <c r="E4" s="689" t="s">
        <v>488</v>
      </c>
      <c r="F4" s="250" t="s">
        <v>40</v>
      </c>
      <c r="G4" s="250" t="s">
        <v>104</v>
      </c>
      <c r="H4" s="250" t="s">
        <v>105</v>
      </c>
      <c r="I4" s="669" t="s">
        <v>511</v>
      </c>
      <c r="K4" s="702" t="s">
        <v>544</v>
      </c>
    </row>
    <row r="5" spans="3:25" x14ac:dyDescent="0.35">
      <c r="C5" s="675" t="s">
        <v>494</v>
      </c>
      <c r="D5" s="670">
        <f>'4.  2011-14 LRAM'!H68</f>
        <v>18725875.785499997</v>
      </c>
      <c r="E5" s="671">
        <f>'4.  2011-14 LRAM'!I68</f>
        <v>370085.81650000002</v>
      </c>
      <c r="F5" s="671">
        <f>'4.  2011-14 LRAM'!J68</f>
        <v>30680399.071489301</v>
      </c>
      <c r="G5" s="671">
        <f>'4.  2011-14 LRAM'!K70</f>
        <v>106193.09750002473</v>
      </c>
      <c r="H5" s="671">
        <f>'4.  2011-14 LRAM'!L70</f>
        <v>51806.72918164092</v>
      </c>
      <c r="I5" s="672">
        <f>'4.  2011-14 LRAM'!M70</f>
        <v>44407.123767483165</v>
      </c>
      <c r="K5" s="575" t="s">
        <v>522</v>
      </c>
      <c r="L5" s="576"/>
      <c r="M5" s="576"/>
      <c r="N5" s="576" t="s">
        <v>497</v>
      </c>
      <c r="O5" s="576" t="s">
        <v>498</v>
      </c>
      <c r="P5" s="576" t="s">
        <v>499</v>
      </c>
      <c r="Q5" s="576" t="s">
        <v>500</v>
      </c>
      <c r="R5" s="576" t="s">
        <v>501</v>
      </c>
      <c r="S5" s="576" t="s">
        <v>502</v>
      </c>
      <c r="T5" s="576" t="s">
        <v>503</v>
      </c>
      <c r="U5" s="576" t="s">
        <v>504</v>
      </c>
      <c r="V5" s="576" t="s">
        <v>505</v>
      </c>
      <c r="W5" s="576" t="s">
        <v>506</v>
      </c>
      <c r="X5" s="576" t="s">
        <v>507</v>
      </c>
      <c r="Y5" s="577" t="s">
        <v>508</v>
      </c>
    </row>
    <row r="6" spans="3:25" x14ac:dyDescent="0.35">
      <c r="C6" s="676" t="str">
        <f>'4.  2011-14 LRAM'!C74:D74</f>
        <v>2011 Savings Persisting in 2012</v>
      </c>
      <c r="D6" s="670">
        <f>'4.  2011-14 LRAM'!H74</f>
        <v>18712580.718669102</v>
      </c>
      <c r="E6" s="671">
        <f>'4.  2011-14 LRAM'!I74</f>
        <v>369823.06159764482</v>
      </c>
      <c r="F6" s="671">
        <f>'4.  2011-14 LRAM'!J74</f>
        <v>30658616.487821311</v>
      </c>
      <c r="G6" s="671">
        <f>'4.  2011-14 LRAM'!K74</f>
        <v>106068.04786036498</v>
      </c>
      <c r="H6" s="671">
        <f>'4.  2011-14 LRAM'!L74</f>
        <v>51745.723212621961</v>
      </c>
      <c r="I6" s="672">
        <f>'4.  2011-14 LRAM'!M74</f>
        <v>44354.831340233381</v>
      </c>
      <c r="K6" s="578"/>
      <c r="L6" s="562"/>
      <c r="M6" s="562" t="s">
        <v>487</v>
      </c>
      <c r="N6" s="579">
        <f t="shared" ref="N6:Y6" si="0">K26</f>
        <v>3914802.254184084</v>
      </c>
      <c r="O6" s="579">
        <f t="shared" si="0"/>
        <v>4004044.2361445823</v>
      </c>
      <c r="P6" s="579">
        <f t="shared" si="0"/>
        <v>4189153.7665511277</v>
      </c>
      <c r="Q6" s="579">
        <f t="shared" si="0"/>
        <v>2089527.9285120955</v>
      </c>
      <c r="R6" s="579">
        <f t="shared" si="0"/>
        <v>2176904.9032869604</v>
      </c>
      <c r="S6" s="579">
        <f t="shared" si="0"/>
        <v>5593903.5325343227</v>
      </c>
      <c r="T6" s="579">
        <f t="shared" si="0"/>
        <v>5872717.1620427957</v>
      </c>
      <c r="U6" s="579">
        <f t="shared" si="0"/>
        <v>5932365.5218934026</v>
      </c>
      <c r="V6" s="579">
        <f t="shared" si="0"/>
        <v>6051345.3457937567</v>
      </c>
      <c r="W6" s="579">
        <f t="shared" si="0"/>
        <v>2547328.524920932</v>
      </c>
      <c r="X6" s="579">
        <f t="shared" si="0"/>
        <v>2727424.4963268703</v>
      </c>
      <c r="Y6" s="580">
        <f t="shared" si="0"/>
        <v>6242775.8389633801</v>
      </c>
    </row>
    <row r="7" spans="3:25" x14ac:dyDescent="0.35">
      <c r="C7" s="676" t="str">
        <f>'4.  2011-14 LRAM'!C75:D75</f>
        <v>2011 Savings Persisting in 2013</v>
      </c>
      <c r="D7" s="670">
        <f>'4.  2011-14 LRAM'!H75</f>
        <v>18591585.770955261</v>
      </c>
      <c r="E7" s="671">
        <f>'4.  2011-14 LRAM'!I75</f>
        <v>367431.79752380511</v>
      </c>
      <c r="F7" s="671">
        <f>'4.  2011-14 LRAM'!J75</f>
        <v>30460378.855359334</v>
      </c>
      <c r="G7" s="671">
        <f>'4.  2011-14 LRAM'!K75</f>
        <v>104958.04671218769</v>
      </c>
      <c r="H7" s="671">
        <f>'4.  2011-14 LRAM'!L75</f>
        <v>51204.20469372841</v>
      </c>
      <c r="I7" s="672">
        <f>'4.  2011-14 LRAM'!M75</f>
        <v>43890.658437007289</v>
      </c>
      <c r="K7" s="578"/>
      <c r="L7" s="562"/>
      <c r="M7" s="562" t="s">
        <v>488</v>
      </c>
      <c r="N7" s="579">
        <f t="shared" ref="N7:Y7" si="1">K35</f>
        <v>79744.663670939437</v>
      </c>
      <c r="O7" s="579">
        <f t="shared" si="1"/>
        <v>83449.199392817114</v>
      </c>
      <c r="P7" s="579">
        <f t="shared" si="1"/>
        <v>91123.311082165412</v>
      </c>
      <c r="Q7" s="579">
        <f t="shared" si="1"/>
        <v>46792.959687879258</v>
      </c>
      <c r="R7" s="579">
        <f t="shared" si="1"/>
        <v>50423.651393479471</v>
      </c>
      <c r="S7" s="579">
        <f t="shared" si="1"/>
        <v>134262.99262653792</v>
      </c>
      <c r="T7" s="579">
        <f t="shared" si="1"/>
        <v>142543.55314900057</v>
      </c>
      <c r="U7" s="579">
        <f t="shared" si="1"/>
        <v>147689.35478122998</v>
      </c>
      <c r="V7" s="579">
        <f t="shared" si="1"/>
        <v>153306.18060956377</v>
      </c>
      <c r="W7" s="579">
        <f t="shared" si="1"/>
        <v>65843.418975172754</v>
      </c>
      <c r="X7" s="579">
        <f t="shared" si="1"/>
        <v>73348.345580080146</v>
      </c>
      <c r="Y7" s="580">
        <f t="shared" si="1"/>
        <v>176561.00433771222</v>
      </c>
    </row>
    <row r="8" spans="3:25" x14ac:dyDescent="0.35">
      <c r="C8" s="676" t="str">
        <f>'4.  2011-14 LRAM'!C76:D76</f>
        <v>2011 Savings Persisting in 2014</v>
      </c>
      <c r="D8" s="670">
        <f>'4.  2011-14 LRAM'!H76</f>
        <v>18144024.046123382</v>
      </c>
      <c r="E8" s="671">
        <f>'4.  2011-14 LRAM'!I76</f>
        <v>358586.48378436378</v>
      </c>
      <c r="F8" s="671">
        <f>'4.  2011-14 LRAM'!J76</f>
        <v>29727095.53743843</v>
      </c>
      <c r="G8" s="671">
        <f>'4.  2011-14 LRAM'!K76</f>
        <v>100681.10929846327</v>
      </c>
      <c r="H8" s="671">
        <f>'4.  2011-14 LRAM'!L76</f>
        <v>49117.683596445255</v>
      </c>
      <c r="I8" s="672">
        <f>'4.  2011-14 LRAM'!M76</f>
        <v>42102.157173288193</v>
      </c>
      <c r="K8" s="578"/>
      <c r="L8" s="562"/>
      <c r="M8" s="562" t="s">
        <v>489</v>
      </c>
      <c r="N8" s="579">
        <f t="shared" ref="N8:Y8" si="2">K46</f>
        <v>7976972.2244261643</v>
      </c>
      <c r="O8" s="579">
        <f t="shared" si="2"/>
        <v>8056864.7846363429</v>
      </c>
      <c r="P8" s="579">
        <f t="shared" si="2"/>
        <v>8223654.3206020007</v>
      </c>
      <c r="Q8" s="579">
        <f t="shared" si="2"/>
        <v>4029832.963955828</v>
      </c>
      <c r="R8" s="579">
        <f t="shared" si="2"/>
        <v>4108313.5152783915</v>
      </c>
      <c r="S8" s="579">
        <f t="shared" si="2"/>
        <v>10305477.170092547</v>
      </c>
      <c r="T8" s="579">
        <f t="shared" si="2"/>
        <v>10483283.077480236</v>
      </c>
      <c r="U8" s="579">
        <f t="shared" si="2"/>
        <v>10593915.04342757</v>
      </c>
      <c r="V8" s="579">
        <f t="shared" si="2"/>
        <v>10714792.347473165</v>
      </c>
      <c r="W8" s="579">
        <f t="shared" si="2"/>
        <v>4440027.6814104207</v>
      </c>
      <c r="X8" s="579">
        <f t="shared" si="2"/>
        <v>4601069.6352848299</v>
      </c>
      <c r="Y8" s="580">
        <f t="shared" si="2"/>
        <v>10065271.65000773</v>
      </c>
    </row>
    <row r="9" spans="3:25" x14ac:dyDescent="0.35">
      <c r="C9" s="676" t="s">
        <v>495</v>
      </c>
      <c r="D9" s="670">
        <f>'4.  2011-14 LRAM'!H146</f>
        <v>10210110.2104</v>
      </c>
      <c r="E9" s="671">
        <f>'4.  2011-14 LRAM'!I146</f>
        <v>230958.42035</v>
      </c>
      <c r="F9" s="671">
        <f>'4.  2011-14 LRAM'!J146</f>
        <v>25912103.751125429</v>
      </c>
      <c r="G9" s="671">
        <f>'4.  2011-14 LRAM'!K148</f>
        <v>101496.69027094703</v>
      </c>
      <c r="H9" s="671">
        <f>'4.  2011-14 LRAM'!L148</f>
        <v>18349.706576377575</v>
      </c>
      <c r="I9" s="672">
        <f>'4.  2011-14 LRAM'!M148</f>
        <v>8282.8191440668525</v>
      </c>
      <c r="K9" s="578"/>
      <c r="L9" s="573"/>
      <c r="M9" s="573" t="s">
        <v>491</v>
      </c>
      <c r="N9" s="733">
        <f t="shared" ref="N9:Y9" si="3">K55</f>
        <v>22852.282317428551</v>
      </c>
      <c r="O9" s="733">
        <f t="shared" si="3"/>
        <v>23281.640504758521</v>
      </c>
      <c r="P9" s="733">
        <f t="shared" si="3"/>
        <v>24728.475661276061</v>
      </c>
      <c r="Q9" s="733">
        <f t="shared" si="3"/>
        <v>25354.792279772617</v>
      </c>
      <c r="R9" s="733">
        <f t="shared" si="3"/>
        <v>26073.590860048778</v>
      </c>
      <c r="S9" s="733">
        <f t="shared" si="3"/>
        <v>34761.456628247877</v>
      </c>
      <c r="T9" s="733">
        <f t="shared" si="3"/>
        <v>40565.046826497768</v>
      </c>
      <c r="U9" s="733">
        <f t="shared" si="3"/>
        <v>41221.65895307657</v>
      </c>
      <c r="V9" s="733">
        <f t="shared" si="3"/>
        <v>37323.87631017837</v>
      </c>
      <c r="W9" s="733">
        <f t="shared" si="3"/>
        <v>30727.891074233856</v>
      </c>
      <c r="X9" s="733">
        <f t="shared" si="3"/>
        <v>32660.308051880231</v>
      </c>
      <c r="Y9" s="735">
        <f t="shared" si="3"/>
        <v>34479.642203714102</v>
      </c>
    </row>
    <row r="10" spans="3:25" x14ac:dyDescent="0.35">
      <c r="C10" s="676" t="str">
        <f>'4.  2011-14 LRAM'!C154:D154</f>
        <v>2012 Savings Persisting in 2013</v>
      </c>
      <c r="D10" s="670">
        <f>'4.  2011-14 LRAM'!H154</f>
        <v>10129103.467389366</v>
      </c>
      <c r="E10" s="671">
        <f>'4.  2011-14 LRAM'!I154</f>
        <v>229126.00238213345</v>
      </c>
      <c r="F10" s="671">
        <f>'4.  2011-14 LRAM'!J154</f>
        <v>25706517.808743119</v>
      </c>
      <c r="G10" s="671">
        <f>'4.  2011-14 LRAM'!K154</f>
        <v>100320.09352614889</v>
      </c>
      <c r="H10" s="671">
        <f>'4.  2011-14 LRAM'!L154</f>
        <v>18136.988260458784</v>
      </c>
      <c r="I10" s="672">
        <f>'4.  2011-14 LRAM'!M154</f>
        <v>8186.8008599568493</v>
      </c>
      <c r="K10" s="578"/>
      <c r="L10" s="562"/>
      <c r="M10" s="562" t="s">
        <v>490</v>
      </c>
      <c r="N10" s="579">
        <f t="shared" ref="N10:Y10" si="4">K64</f>
        <v>7019.5276515902815</v>
      </c>
      <c r="O10" s="579">
        <f t="shared" si="4"/>
        <v>7377.5612837371709</v>
      </c>
      <c r="P10" s="579">
        <f t="shared" si="4"/>
        <v>8586.0108626179735</v>
      </c>
      <c r="Q10" s="579">
        <f t="shared" si="4"/>
        <v>9108.472698495083</v>
      </c>
      <c r="R10" s="579">
        <f t="shared" si="4"/>
        <v>9707.4639158932714</v>
      </c>
      <c r="S10" s="579">
        <f t="shared" si="4"/>
        <v>12915.375937380395</v>
      </c>
      <c r="T10" s="579">
        <f t="shared" si="4"/>
        <v>15391.863562139331</v>
      </c>
      <c r="U10" s="579">
        <f t="shared" si="4"/>
        <v>15946.852755256816</v>
      </c>
      <c r="V10" s="579">
        <f t="shared" si="4"/>
        <v>15074.552435210142</v>
      </c>
      <c r="W10" s="579">
        <f t="shared" si="4"/>
        <v>13587.773381177116</v>
      </c>
      <c r="X10" s="579">
        <f t="shared" si="4"/>
        <v>15199.649256443867</v>
      </c>
      <c r="Y10" s="580">
        <f t="shared" si="4"/>
        <v>16714.758938526138</v>
      </c>
    </row>
    <row r="11" spans="3:25" ht="15" thickBot="1" x14ac:dyDescent="0.4">
      <c r="C11" s="676" t="str">
        <f>'4.  2011-14 LRAM'!C155:D155</f>
        <v>2012 Savings Persisting in 2014</v>
      </c>
      <c r="D11" s="670">
        <f>'4.  2011-14 LRAM'!H155</f>
        <v>10001156.512472102</v>
      </c>
      <c r="E11" s="671">
        <f>'4.  2011-14 LRAM'!I155</f>
        <v>226231.77048969181</v>
      </c>
      <c r="F11" s="671">
        <f>'4.  2011-14 LRAM'!J155</f>
        <v>25381802.922993928</v>
      </c>
      <c r="G11" s="671">
        <f>'4.  2011-14 LRAM'!K155</f>
        <v>98735.360810099184</v>
      </c>
      <c r="H11" s="671">
        <f>'4.  2011-14 LRAM'!L155</f>
        <v>17850.482559988453</v>
      </c>
      <c r="I11" s="672">
        <f>'4.  2011-14 LRAM'!M155</f>
        <v>8057.4759091265778</v>
      </c>
      <c r="K11" s="581"/>
      <c r="L11" s="582"/>
      <c r="M11" s="582" t="s">
        <v>492</v>
      </c>
      <c r="N11" s="583">
        <f t="shared" ref="N11:Y11" si="5">K73</f>
        <v>7178.5266555516228</v>
      </c>
      <c r="O11" s="583">
        <f t="shared" si="5"/>
        <v>7464.5970198035811</v>
      </c>
      <c r="P11" s="583">
        <f t="shared" si="5"/>
        <v>8434.0706742853872</v>
      </c>
      <c r="Q11" s="583">
        <f t="shared" si="5"/>
        <v>8852.0970586064523</v>
      </c>
      <c r="R11" s="583">
        <f t="shared" si="5"/>
        <v>9332.2660754522603</v>
      </c>
      <c r="S11" s="583">
        <f t="shared" si="5"/>
        <v>12425.323627282451</v>
      </c>
      <c r="T11" s="583">
        <f t="shared" si="5"/>
        <v>14715.721713941221</v>
      </c>
      <c r="U11" s="583">
        <f t="shared" si="5"/>
        <v>15158.767512799332</v>
      </c>
      <c r="V11" s="583">
        <f t="shared" si="5"/>
        <v>14153.10425514509</v>
      </c>
      <c r="W11" s="583">
        <f t="shared" si="5"/>
        <v>12445.209684387115</v>
      </c>
      <c r="X11" s="583">
        <f t="shared" si="5"/>
        <v>13733.083974719844</v>
      </c>
      <c r="Y11" s="584">
        <f t="shared" si="5"/>
        <v>14951.153290396012</v>
      </c>
    </row>
    <row r="12" spans="3:25" x14ac:dyDescent="0.35">
      <c r="C12" s="676" t="s">
        <v>496</v>
      </c>
      <c r="D12" s="670">
        <f>'4.  2011-14 LRAM'!H226</f>
        <v>12213061.233199999</v>
      </c>
      <c r="E12" s="671">
        <f>'4.  2011-14 LRAM'!I226</f>
        <v>219843.27020000003</v>
      </c>
      <c r="F12" s="671">
        <f>'4.  2011-14 LRAM'!J226</f>
        <v>28182056.007783961</v>
      </c>
      <c r="G12" s="671">
        <f>'4.  2011-14 LRAM'!K228</f>
        <v>102514.57291136857</v>
      </c>
      <c r="H12" s="671">
        <f>'4.  2011-14 LRAM'!L228</f>
        <v>21775.040504704117</v>
      </c>
      <c r="I12" s="672">
        <f>'4.  2011-14 LRAM'!M228</f>
        <v>42307.168867052336</v>
      </c>
      <c r="L12" s="573"/>
      <c r="M12" s="667"/>
    </row>
    <row r="13" spans="3:25" x14ac:dyDescent="0.35">
      <c r="C13" s="676" t="str">
        <f>'4.  2011-14 LRAM'!C235:D235</f>
        <v>2013 Savings Persisting in 2014</v>
      </c>
      <c r="D13" s="670">
        <f>'4.  2011-14 LRAM'!H235+'4.  2011-14 LRAM'!Q226</f>
        <v>12170867.902835427</v>
      </c>
      <c r="E13" s="671">
        <f>'4.  2011-14 LRAM'!I235</f>
        <v>214773.00968223449</v>
      </c>
      <c r="F13" s="671">
        <f>'4.  2011-14 LRAM'!J235+'4.  2011-14 LRAM'!R226</f>
        <v>27532210.75549452</v>
      </c>
      <c r="G13" s="671">
        <f>'4.  2011-14 LRAM'!K235</f>
        <v>100419.89243059114</v>
      </c>
      <c r="H13" s="671">
        <f>'4.  2011-14 LRAM'!L235</f>
        <v>21330.111056938906</v>
      </c>
      <c r="I13" s="672">
        <f>'4.  2011-14 LRAM'!M235</f>
        <v>41442.706397902824</v>
      </c>
      <c r="L13" s="692"/>
      <c r="M13" s="667"/>
    </row>
    <row r="14" spans="3:25" x14ac:dyDescent="0.35">
      <c r="C14" s="677" t="s">
        <v>493</v>
      </c>
      <c r="D14" s="680">
        <f>'4.  2011-14 LRAM'!H307+'4.  2011-14 LRAM'!Q307</f>
        <v>26513934.147511814</v>
      </c>
      <c r="E14" s="673">
        <f>'4.  2011-14 LRAM'!I307</f>
        <v>1083726.1156459737</v>
      </c>
      <c r="F14" s="673">
        <f>'4.  2011-14 LRAM'!J307+'4.  2011-14 LRAM'!R307</f>
        <v>24722226.701155588</v>
      </c>
      <c r="G14" s="673">
        <f>'4.  2011-14 LRAM'!K309</f>
        <v>152153.51094060962</v>
      </c>
      <c r="H14" s="673">
        <f>'4.  2011-14 LRAM'!L308</f>
        <v>123538.34190836441</v>
      </c>
      <c r="I14" s="674">
        <f>'4.  2011-14 LRAM'!M309</f>
        <v>99492.335240179731</v>
      </c>
      <c r="L14" s="692"/>
      <c r="M14" s="667"/>
    </row>
    <row r="15" spans="3:25" s="727" customFormat="1" x14ac:dyDescent="0.35">
      <c r="C15" s="728"/>
      <c r="D15" s="726"/>
      <c r="E15" s="671"/>
      <c r="F15" s="671"/>
      <c r="G15" s="671"/>
      <c r="H15" s="671"/>
      <c r="I15" s="671"/>
      <c r="L15" s="731"/>
      <c r="M15" s="667"/>
    </row>
    <row r="16" spans="3:25" s="727" customFormat="1" x14ac:dyDescent="0.35">
      <c r="C16" s="728"/>
      <c r="D16" s="726"/>
      <c r="E16" s="671"/>
      <c r="F16" s="671"/>
      <c r="G16" s="671"/>
      <c r="H16" s="671"/>
      <c r="I16" s="671"/>
      <c r="L16" s="731"/>
      <c r="M16" s="667"/>
    </row>
    <row r="18" spans="3:22" ht="15.5" x14ac:dyDescent="0.35">
      <c r="C18" s="695" t="s">
        <v>548</v>
      </c>
      <c r="D18" s="694"/>
      <c r="E18" s="694"/>
      <c r="F18" s="694"/>
      <c r="G18" s="694"/>
      <c r="I18" s="694"/>
      <c r="J18" s="702" t="s">
        <v>554</v>
      </c>
      <c r="K18" s="706"/>
      <c r="L18" s="706"/>
      <c r="M18" s="706"/>
      <c r="N18" s="706"/>
      <c r="O18" s="706"/>
      <c r="P18" s="706"/>
      <c r="Q18" s="706"/>
      <c r="R18" s="706"/>
      <c r="S18" s="706"/>
      <c r="T18" s="706"/>
      <c r="U18" s="706"/>
      <c r="V18" s="706"/>
    </row>
    <row r="19" spans="3:22" x14ac:dyDescent="0.35">
      <c r="C19" s="668" t="s">
        <v>38</v>
      </c>
      <c r="D19" s="681">
        <v>2011</v>
      </c>
      <c r="E19" s="681">
        <v>2012</v>
      </c>
      <c r="F19" s="681">
        <v>2013</v>
      </c>
      <c r="G19" s="682">
        <v>2014</v>
      </c>
      <c r="I19"/>
      <c r="J19" s="691" t="s">
        <v>38</v>
      </c>
      <c r="K19" s="701" t="s">
        <v>497</v>
      </c>
      <c r="L19" s="701" t="s">
        <v>498</v>
      </c>
      <c r="M19" s="701" t="s">
        <v>499</v>
      </c>
      <c r="N19" s="701" t="s">
        <v>500</v>
      </c>
      <c r="O19" s="701" t="s">
        <v>501</v>
      </c>
      <c r="P19" s="701" t="s">
        <v>502</v>
      </c>
      <c r="Q19" s="701" t="s">
        <v>503</v>
      </c>
      <c r="R19" s="701" t="s">
        <v>504</v>
      </c>
      <c r="S19" s="701" t="s">
        <v>505</v>
      </c>
      <c r="T19" s="701" t="s">
        <v>506</v>
      </c>
      <c r="U19" s="701" t="s">
        <v>507</v>
      </c>
      <c r="V19" s="701" t="s">
        <v>508</v>
      </c>
    </row>
    <row r="20" spans="3:22" x14ac:dyDescent="0.35">
      <c r="C20" s="560">
        <v>2011</v>
      </c>
      <c r="D20" s="683">
        <f>D5</f>
        <v>18725875.785499997</v>
      </c>
      <c r="E20" s="683">
        <f>D6</f>
        <v>18712580.718669102</v>
      </c>
      <c r="F20" s="683">
        <f>D7</f>
        <v>18591585.770955261</v>
      </c>
      <c r="G20" s="684">
        <f>D8</f>
        <v>18144024.046123382</v>
      </c>
      <c r="I20"/>
      <c r="J20" s="586" t="s">
        <v>539</v>
      </c>
      <c r="K20" s="711">
        <v>1742300.8627464473</v>
      </c>
      <c r="L20" s="712">
        <v>1741737.5260536904</v>
      </c>
      <c r="M20" s="712">
        <v>1739212.4806990246</v>
      </c>
      <c r="N20" s="712">
        <v>838295.13839000906</v>
      </c>
      <c r="O20" s="712">
        <v>836836.97017376381</v>
      </c>
      <c r="P20" s="712">
        <v>2047189.6981320742</v>
      </c>
      <c r="Q20" s="712">
        <v>2042592.7262719327</v>
      </c>
      <c r="R20" s="712">
        <v>2041334.0305907049</v>
      </c>
      <c r="S20" s="712">
        <v>2039465.9670355483</v>
      </c>
      <c r="T20" s="712">
        <v>830098.75908095948</v>
      </c>
      <c r="U20" s="712">
        <v>826552.47755341278</v>
      </c>
      <c r="V20" s="713">
        <v>1701002.2543240672</v>
      </c>
    </row>
    <row r="21" spans="3:22" x14ac:dyDescent="0.35">
      <c r="C21" s="560">
        <v>2012</v>
      </c>
      <c r="D21" s="562"/>
      <c r="E21" s="683">
        <f>D9</f>
        <v>10210110.2104</v>
      </c>
      <c r="F21" s="683">
        <f>D10</f>
        <v>10129103.467389366</v>
      </c>
      <c r="G21" s="684">
        <f>D11</f>
        <v>10001156.512472102</v>
      </c>
      <c r="I21"/>
      <c r="J21" s="586" t="s">
        <v>540</v>
      </c>
      <c r="K21" s="714">
        <v>949176.47513820906</v>
      </c>
      <c r="L21" s="708">
        <v>948731.12843086687</v>
      </c>
      <c r="M21" s="708">
        <v>947233.01583322627</v>
      </c>
      <c r="N21" s="708">
        <v>456897.34799320879</v>
      </c>
      <c r="O21" s="708">
        <v>456386.34843776864</v>
      </c>
      <c r="P21" s="708">
        <v>1118464.3006942698</v>
      </c>
      <c r="Q21" s="708">
        <v>1117935.7753909363</v>
      </c>
      <c r="R21" s="708">
        <v>1117414.6586090212</v>
      </c>
      <c r="S21" s="708">
        <v>1116841.6725613808</v>
      </c>
      <c r="T21" s="708">
        <v>454948.63117588335</v>
      </c>
      <c r="U21" s="708">
        <v>454436.48744465667</v>
      </c>
      <c r="V21" s="715">
        <v>937608.42304425966</v>
      </c>
    </row>
    <row r="22" spans="3:22" x14ac:dyDescent="0.35">
      <c r="C22" s="560">
        <v>2013</v>
      </c>
      <c r="D22" s="562"/>
      <c r="E22" s="562"/>
      <c r="F22" s="683">
        <f>D12</f>
        <v>12213061.233199999</v>
      </c>
      <c r="G22" s="684">
        <f>D13</f>
        <v>12170867.902835427</v>
      </c>
      <c r="I22"/>
      <c r="J22" s="586" t="s">
        <v>541</v>
      </c>
      <c r="K22" s="714">
        <v>1143786.2230724876</v>
      </c>
      <c r="L22" s="708">
        <v>1142180.6044158321</v>
      </c>
      <c r="M22" s="708">
        <v>1140997.4594126602</v>
      </c>
      <c r="N22" s="708">
        <v>549888.80540565157</v>
      </c>
      <c r="O22" s="708">
        <v>549057.03772317735</v>
      </c>
      <c r="P22" s="708">
        <v>1344368.5785871602</v>
      </c>
      <c r="Q22" s="708">
        <v>1341864.1328254947</v>
      </c>
      <c r="R22" s="708">
        <v>1339719.970339335</v>
      </c>
      <c r="S22" s="708">
        <v>1337702.9753561281</v>
      </c>
      <c r="T22" s="708">
        <v>544242.90157361992</v>
      </c>
      <c r="U22" s="708">
        <v>541652.79859946808</v>
      </c>
      <c r="V22" s="715">
        <v>1118567.864890821</v>
      </c>
    </row>
    <row r="23" spans="3:22" x14ac:dyDescent="0.35">
      <c r="C23" s="563">
        <v>2014</v>
      </c>
      <c r="D23" s="564"/>
      <c r="E23" s="564"/>
      <c r="F23" s="564"/>
      <c r="G23" s="685">
        <f>D14</f>
        <v>26513934.147511814</v>
      </c>
      <c r="I23" s="701"/>
      <c r="J23" s="586" t="s">
        <v>50</v>
      </c>
      <c r="K23" s="714">
        <v>79538.693226940202</v>
      </c>
      <c r="L23" s="708">
        <v>171394.97724419323</v>
      </c>
      <c r="M23" s="708">
        <v>361710.81060621608</v>
      </c>
      <c r="N23" s="708">
        <v>244446.63672322582</v>
      </c>
      <c r="O23" s="708">
        <v>334624.54695225053</v>
      </c>
      <c r="P23" s="708">
        <v>1083880.9551208187</v>
      </c>
      <c r="Q23" s="708">
        <v>1290080.4654210978</v>
      </c>
      <c r="R23" s="708">
        <v>1417812.197287675</v>
      </c>
      <c r="S23" s="708">
        <v>1557334.7308407</v>
      </c>
      <c r="T23" s="708">
        <v>718038.23309046915</v>
      </c>
      <c r="U23" s="708">
        <v>904782.73272933299</v>
      </c>
      <c r="V23" s="715">
        <v>2485597.2967042322</v>
      </c>
    </row>
    <row r="24" spans="3:22" s="701" customFormat="1" x14ac:dyDescent="0.35">
      <c r="C24" s="706"/>
      <c r="D24" s="706"/>
      <c r="E24" s="706"/>
      <c r="F24" s="706"/>
      <c r="G24" s="710"/>
      <c r="I24" s="706"/>
      <c r="J24" s="586" t="s">
        <v>542</v>
      </c>
      <c r="K24" s="714"/>
      <c r="L24" s="708"/>
      <c r="M24" s="708"/>
      <c r="N24" s="708"/>
      <c r="O24" s="708"/>
      <c r="P24" s="708"/>
      <c r="Q24" s="708">
        <v>79825.781333333507</v>
      </c>
      <c r="R24" s="708">
        <v>15965.156266666701</v>
      </c>
      <c r="S24" s="708"/>
      <c r="T24" s="708"/>
      <c r="U24" s="708"/>
      <c r="V24" s="715"/>
    </row>
    <row r="25" spans="3:22" s="706" customFormat="1" x14ac:dyDescent="0.35">
      <c r="I25"/>
      <c r="J25" s="586" t="s">
        <v>543</v>
      </c>
      <c r="K25" s="716"/>
      <c r="L25" s="717"/>
      <c r="M25" s="717"/>
      <c r="N25" s="717"/>
      <c r="O25" s="717"/>
      <c r="P25" s="717"/>
      <c r="Q25" s="717">
        <v>418.28079999983311</v>
      </c>
      <c r="R25" s="717">
        <v>119.50879999995232</v>
      </c>
      <c r="S25" s="717"/>
      <c r="T25" s="717"/>
      <c r="U25" s="717"/>
      <c r="V25" s="718"/>
    </row>
    <row r="26" spans="3:22" x14ac:dyDescent="0.35">
      <c r="I26"/>
      <c r="J26" s="732" t="s">
        <v>523</v>
      </c>
      <c r="K26" s="587">
        <f t="shared" ref="K26:P26" si="6">SUM(K20:K23)</f>
        <v>3914802.254184084</v>
      </c>
      <c r="L26" s="587">
        <f t="shared" si="6"/>
        <v>4004044.2361445823</v>
      </c>
      <c r="M26" s="587">
        <f t="shared" si="6"/>
        <v>4189153.7665511277</v>
      </c>
      <c r="N26" s="587">
        <f t="shared" si="6"/>
        <v>2089527.9285120955</v>
      </c>
      <c r="O26" s="587">
        <f t="shared" si="6"/>
        <v>2176904.9032869604</v>
      </c>
      <c r="P26" s="587">
        <f t="shared" si="6"/>
        <v>5593903.5325343227</v>
      </c>
      <c r="Q26" s="686">
        <f>SUM(Q20:Q25)</f>
        <v>5872717.1620427957</v>
      </c>
      <c r="R26" s="686">
        <f>SUM(R20:R25)</f>
        <v>5932365.5218934026</v>
      </c>
      <c r="S26" s="587">
        <f>SUM(S20:S23)</f>
        <v>6051345.3457937567</v>
      </c>
      <c r="T26" s="587">
        <f>SUM(T20:T23)</f>
        <v>2547328.524920932</v>
      </c>
      <c r="U26" s="587">
        <f>SUM(U20:U23)</f>
        <v>2727424.4963268703</v>
      </c>
      <c r="V26" s="587">
        <f>SUM(V20:V23)</f>
        <v>6242775.8389633801</v>
      </c>
    </row>
    <row r="27" spans="3:22" x14ac:dyDescent="0.35">
      <c r="I27"/>
    </row>
    <row r="28" spans="3:22" x14ac:dyDescent="0.35">
      <c r="I28"/>
      <c r="J28" s="540"/>
      <c r="Q28" s="701"/>
    </row>
    <row r="29" spans="3:22" ht="15.5" x14ac:dyDescent="0.35">
      <c r="C29" s="695" t="s">
        <v>549</v>
      </c>
      <c r="D29" s="694"/>
      <c r="E29" s="694"/>
      <c r="F29" s="694"/>
      <c r="G29" s="694"/>
      <c r="I29"/>
      <c r="J29" s="702" t="s">
        <v>555</v>
      </c>
      <c r="K29" s="706"/>
      <c r="L29" s="706"/>
      <c r="M29" s="706"/>
      <c r="N29" s="706"/>
      <c r="O29" s="706"/>
      <c r="P29" s="706"/>
      <c r="Q29" s="706"/>
      <c r="R29" s="706"/>
      <c r="S29" s="706"/>
      <c r="T29" s="706"/>
      <c r="U29" s="706"/>
      <c r="V29" s="706"/>
    </row>
    <row r="30" spans="3:22" x14ac:dyDescent="0.35">
      <c r="C30" s="635" t="s">
        <v>488</v>
      </c>
      <c r="D30" s="681">
        <v>2011</v>
      </c>
      <c r="E30" s="681">
        <v>2012</v>
      </c>
      <c r="F30" s="681">
        <v>2013</v>
      </c>
      <c r="G30" s="682">
        <v>2014</v>
      </c>
      <c r="J30" s="720" t="s">
        <v>488</v>
      </c>
      <c r="K30" s="701" t="s">
        <v>497</v>
      </c>
      <c r="L30" s="701" t="s">
        <v>498</v>
      </c>
      <c r="M30" s="701" t="s">
        <v>499</v>
      </c>
      <c r="N30" s="701" t="s">
        <v>500</v>
      </c>
      <c r="O30" s="701" t="s">
        <v>501</v>
      </c>
      <c r="P30" s="701" t="s">
        <v>502</v>
      </c>
      <c r="Q30" s="701" t="s">
        <v>503</v>
      </c>
      <c r="R30" s="701" t="s">
        <v>504</v>
      </c>
      <c r="S30" s="701" t="s">
        <v>505</v>
      </c>
      <c r="T30" s="701" t="s">
        <v>506</v>
      </c>
      <c r="U30" s="701" t="s">
        <v>507</v>
      </c>
      <c r="V30" s="701" t="s">
        <v>508</v>
      </c>
    </row>
    <row r="31" spans="3:22" x14ac:dyDescent="0.35">
      <c r="C31" s="560">
        <v>2011</v>
      </c>
      <c r="D31" s="683">
        <f>E5</f>
        <v>370085.81650000002</v>
      </c>
      <c r="E31" s="683">
        <f>E6</f>
        <v>369823.06159764482</v>
      </c>
      <c r="F31" s="683">
        <f>E7</f>
        <v>367431.79752380511</v>
      </c>
      <c r="G31" s="684">
        <f>E8</f>
        <v>358586.48378436378</v>
      </c>
      <c r="J31" s="586" t="s">
        <v>539</v>
      </c>
      <c r="K31" s="711">
        <v>34433.681220798331</v>
      </c>
      <c r="L31" s="712">
        <v>34422.547807211085</v>
      </c>
      <c r="M31" s="712">
        <v>34372.64448186144</v>
      </c>
      <c r="N31" s="712">
        <v>16567.510343055674</v>
      </c>
      <c r="O31" s="712">
        <v>16538.692071425285</v>
      </c>
      <c r="P31" s="712">
        <v>40459.3023921614</v>
      </c>
      <c r="Q31" s="712">
        <v>40368.450882529723</v>
      </c>
      <c r="R31" s="712">
        <v>40343.57485407326</v>
      </c>
      <c r="S31" s="712">
        <v>40306.655682227676</v>
      </c>
      <c r="T31" s="712">
        <v>16405.522526641653</v>
      </c>
      <c r="U31" s="712">
        <v>16335.436165411102</v>
      </c>
      <c r="V31" s="713">
        <v>33617.482854784103</v>
      </c>
    </row>
    <row r="32" spans="3:22" x14ac:dyDescent="0.35">
      <c r="C32" s="560">
        <v>2012</v>
      </c>
      <c r="D32" s="562"/>
      <c r="E32" s="683">
        <f>E9</f>
        <v>230958.42035</v>
      </c>
      <c r="F32" s="683">
        <f>E10</f>
        <v>229126.00238213345</v>
      </c>
      <c r="G32" s="684">
        <f>E11</f>
        <v>226231.77048969181</v>
      </c>
      <c r="J32" s="586" t="s">
        <v>540</v>
      </c>
      <c r="K32" s="714">
        <v>21470.904310905913</v>
      </c>
      <c r="L32" s="708">
        <v>21460.830318567307</v>
      </c>
      <c r="M32" s="708">
        <v>21426.942171238097</v>
      </c>
      <c r="N32" s="708">
        <v>10335.274309490695</v>
      </c>
      <c r="O32" s="708">
        <v>10323.715212899964</v>
      </c>
      <c r="P32" s="708">
        <v>25300.289887477698</v>
      </c>
      <c r="Q32" s="708">
        <v>25288.334348638502</v>
      </c>
      <c r="R32" s="708">
        <v>25276.546394709625</v>
      </c>
      <c r="S32" s="708">
        <v>25263.585128893821</v>
      </c>
      <c r="T32" s="708">
        <v>10291.193241944475</v>
      </c>
      <c r="U32" s="708">
        <v>10279.608263455626</v>
      </c>
      <c r="V32" s="715">
        <v>21209.228483408609</v>
      </c>
    </row>
    <row r="33" spans="3:41" x14ac:dyDescent="0.35">
      <c r="C33" s="560">
        <v>2013</v>
      </c>
      <c r="D33" s="562"/>
      <c r="E33" s="562"/>
      <c r="F33" s="683">
        <f>E12</f>
        <v>219843.27020000003</v>
      </c>
      <c r="G33" s="684">
        <f>E13</f>
        <v>214773.00968223449</v>
      </c>
      <c r="J33" s="586" t="s">
        <v>541</v>
      </c>
      <c r="K33" s="714">
        <v>20588.916970825499</v>
      </c>
      <c r="L33" s="708">
        <v>20560.014761180159</v>
      </c>
      <c r="M33" s="708">
        <v>20538.71735984469</v>
      </c>
      <c r="N33" s="708">
        <v>9898.3662587496237</v>
      </c>
      <c r="O33" s="708">
        <v>9883.3938841851923</v>
      </c>
      <c r="P33" s="708">
        <v>24199.53351804235</v>
      </c>
      <c r="Q33" s="708">
        <v>24154.451819378104</v>
      </c>
      <c r="R33" s="708">
        <v>24115.855460627681</v>
      </c>
      <c r="S33" s="708">
        <v>24079.548201979065</v>
      </c>
      <c r="T33" s="708">
        <v>9796.7362138355402</v>
      </c>
      <c r="U33" s="729">
        <v>9750.1126280596509</v>
      </c>
      <c r="V33" s="730">
        <v>20134.96965770948</v>
      </c>
    </row>
    <row r="34" spans="3:41" x14ac:dyDescent="0.35">
      <c r="C34" s="563">
        <v>2014</v>
      </c>
      <c r="D34" s="564"/>
      <c r="E34" s="564"/>
      <c r="F34" s="564"/>
      <c r="G34" s="685">
        <f>E14</f>
        <v>1083726.1156459737</v>
      </c>
      <c r="J34" s="586" t="s">
        <v>50</v>
      </c>
      <c r="K34" s="716">
        <v>3251.1611684097034</v>
      </c>
      <c r="L34" s="717">
        <v>7005.8065058585589</v>
      </c>
      <c r="M34" s="717">
        <v>14785.007069221188</v>
      </c>
      <c r="N34" s="717">
        <v>9991.8087765832679</v>
      </c>
      <c r="O34" s="717">
        <v>13677.850224969028</v>
      </c>
      <c r="P34" s="717">
        <v>44303.866828856466</v>
      </c>
      <c r="Q34" s="717">
        <v>52732.316098454226</v>
      </c>
      <c r="R34" s="717">
        <v>57953.378071819403</v>
      </c>
      <c r="S34" s="717">
        <v>63656.391596463211</v>
      </c>
      <c r="T34" s="717">
        <v>29349.96699275108</v>
      </c>
      <c r="U34" s="717">
        <v>36983.188523153767</v>
      </c>
      <c r="V34" s="718">
        <v>101599.32334181003</v>
      </c>
    </row>
    <row r="35" spans="3:41" x14ac:dyDescent="0.35">
      <c r="C35" s="541"/>
      <c r="D35" s="587"/>
      <c r="E35" s="587"/>
      <c r="F35" s="587"/>
      <c r="G35" s="587"/>
      <c r="H35" s="587"/>
      <c r="I35" s="587"/>
      <c r="J35" s="732" t="s">
        <v>523</v>
      </c>
      <c r="K35" s="587">
        <f t="shared" ref="K35:V35" si="7">SUM(K31:K34)</f>
        <v>79744.663670939437</v>
      </c>
      <c r="L35" s="587">
        <f t="shared" si="7"/>
        <v>83449.199392817114</v>
      </c>
      <c r="M35" s="587">
        <f t="shared" si="7"/>
        <v>91123.311082165412</v>
      </c>
      <c r="N35" s="587">
        <f t="shared" si="7"/>
        <v>46792.959687879258</v>
      </c>
      <c r="O35" s="587">
        <f t="shared" si="7"/>
        <v>50423.651393479471</v>
      </c>
      <c r="P35" s="587">
        <f t="shared" si="7"/>
        <v>134262.99262653792</v>
      </c>
      <c r="Q35" s="587">
        <f t="shared" si="7"/>
        <v>142543.55314900057</v>
      </c>
      <c r="R35" s="587">
        <f t="shared" si="7"/>
        <v>147689.35478122998</v>
      </c>
      <c r="S35" s="587">
        <f t="shared" si="7"/>
        <v>153306.18060956377</v>
      </c>
      <c r="T35" s="587">
        <f t="shared" si="7"/>
        <v>65843.418975172754</v>
      </c>
      <c r="U35" s="587">
        <f t="shared" si="7"/>
        <v>73348.345580080146</v>
      </c>
      <c r="V35" s="587">
        <f t="shared" si="7"/>
        <v>176561.00433771222</v>
      </c>
      <c r="W35" s="587"/>
      <c r="X35" s="587"/>
      <c r="Y35" s="587"/>
      <c r="Z35" s="587"/>
      <c r="AA35" s="587"/>
      <c r="AB35" s="587"/>
      <c r="AC35" s="587"/>
      <c r="AE35" s="541"/>
      <c r="AF35" s="587"/>
      <c r="AG35" s="587"/>
      <c r="AH35" s="587"/>
      <c r="AI35" s="587"/>
      <c r="AJ35" s="587"/>
      <c r="AK35" s="587"/>
      <c r="AL35" s="587"/>
      <c r="AM35" s="587"/>
      <c r="AN35" s="587"/>
      <c r="AO35" s="587"/>
    </row>
    <row r="36" spans="3:41" s="693" customFormat="1" x14ac:dyDescent="0.35">
      <c r="C36" s="709"/>
      <c r="D36" s="709"/>
      <c r="E36" s="709"/>
      <c r="F36" s="709"/>
      <c r="G36" s="709"/>
      <c r="H36" s="709"/>
      <c r="I36" s="709"/>
      <c r="W36" s="709"/>
      <c r="X36" s="709"/>
      <c r="Y36" s="709"/>
      <c r="Z36" s="709"/>
      <c r="AA36" s="709"/>
      <c r="AB36" s="709"/>
      <c r="AC36" s="709"/>
      <c r="AE36" s="709"/>
      <c r="AF36" s="709"/>
      <c r="AG36" s="709"/>
      <c r="AH36" s="709"/>
      <c r="AI36" s="709"/>
      <c r="AJ36" s="709"/>
      <c r="AK36" s="709"/>
      <c r="AL36" s="709"/>
      <c r="AM36" s="709"/>
      <c r="AN36" s="709"/>
      <c r="AO36" s="709"/>
    </row>
    <row r="37" spans="3:41" x14ac:dyDescent="0.35">
      <c r="I37"/>
    </row>
    <row r="38" spans="3:41" ht="15.5" x14ac:dyDescent="0.35">
      <c r="C38" s="695" t="s">
        <v>550</v>
      </c>
      <c r="D38" s="694"/>
      <c r="E38" s="694"/>
      <c r="F38" s="694"/>
      <c r="G38" s="694"/>
      <c r="I38"/>
      <c r="J38" s="702" t="s">
        <v>556</v>
      </c>
      <c r="K38" s="706"/>
      <c r="L38" s="706"/>
      <c r="M38" s="706"/>
      <c r="N38" s="706"/>
      <c r="O38" s="706"/>
      <c r="P38" s="706"/>
      <c r="Q38" s="706"/>
      <c r="R38" s="706"/>
      <c r="S38" s="706"/>
      <c r="T38" s="706"/>
      <c r="U38" s="706"/>
      <c r="V38" s="706"/>
    </row>
    <row r="39" spans="3:41" x14ac:dyDescent="0.35">
      <c r="C39" s="690" t="s">
        <v>40</v>
      </c>
      <c r="D39" s="681">
        <v>2011</v>
      </c>
      <c r="E39" s="681">
        <v>2012</v>
      </c>
      <c r="F39" s="681">
        <v>2013</v>
      </c>
      <c r="G39" s="682">
        <v>2014</v>
      </c>
      <c r="I39"/>
      <c r="J39" s="691" t="s">
        <v>40</v>
      </c>
      <c r="K39" s="701" t="s">
        <v>497</v>
      </c>
      <c r="L39" s="701" t="s">
        <v>498</v>
      </c>
      <c r="M39" s="701" t="s">
        <v>499</v>
      </c>
      <c r="N39" s="701" t="s">
        <v>500</v>
      </c>
      <c r="O39" s="701" t="s">
        <v>501</v>
      </c>
      <c r="P39" s="701" t="s">
        <v>502</v>
      </c>
      <c r="Q39" s="701" t="s">
        <v>503</v>
      </c>
      <c r="R39" s="701" t="s">
        <v>504</v>
      </c>
      <c r="S39" s="701" t="s">
        <v>505</v>
      </c>
      <c r="T39" s="701" t="s">
        <v>506</v>
      </c>
      <c r="U39" s="701" t="s">
        <v>507</v>
      </c>
      <c r="V39" s="701" t="s">
        <v>508</v>
      </c>
    </row>
    <row r="40" spans="3:41" x14ac:dyDescent="0.35">
      <c r="C40" s="705">
        <v>2011</v>
      </c>
      <c r="D40" s="710">
        <f>F5</f>
        <v>30680399.071489301</v>
      </c>
      <c r="E40" s="710">
        <f>F6</f>
        <v>30658616.487821311</v>
      </c>
      <c r="F40" s="710">
        <f>F7</f>
        <v>30460378.855359334</v>
      </c>
      <c r="G40" s="684">
        <f>F8</f>
        <v>29727095.53743843</v>
      </c>
      <c r="H40" s="701"/>
      <c r="I40" s="701"/>
      <c r="J40" s="586" t="s">
        <v>539</v>
      </c>
      <c r="K40" s="711">
        <v>2854578.6794683593</v>
      </c>
      <c r="L40" s="712">
        <v>2853655.710911728</v>
      </c>
      <c r="M40" s="712">
        <v>2849518.6868257979</v>
      </c>
      <c r="N40" s="712">
        <v>1373459.3607317416</v>
      </c>
      <c r="O40" s="712">
        <v>1371070.3038299326</v>
      </c>
      <c r="P40" s="712">
        <v>3354107.3129604072</v>
      </c>
      <c r="Q40" s="712">
        <v>3346575.6528765163</v>
      </c>
      <c r="R40" s="712">
        <v>3344513.4109684755</v>
      </c>
      <c r="S40" s="712">
        <v>3341452.7832029383</v>
      </c>
      <c r="T40" s="712">
        <v>1360030.4460564847</v>
      </c>
      <c r="U40" s="712">
        <v>1354220.2327595861</v>
      </c>
      <c r="V40" s="713">
        <v>2786915.206634853</v>
      </c>
    </row>
    <row r="41" spans="3:41" x14ac:dyDescent="0.35">
      <c r="C41" s="705">
        <v>2012</v>
      </c>
      <c r="D41" s="706"/>
      <c r="E41" s="710">
        <f>F9</f>
        <v>25912103.751125429</v>
      </c>
      <c r="F41" s="710">
        <f>F10</f>
        <v>25706517.808743119</v>
      </c>
      <c r="G41" s="684">
        <f>F11</f>
        <v>25381802.922993928</v>
      </c>
      <c r="J41" s="586" t="s">
        <v>540</v>
      </c>
      <c r="K41" s="714">
        <v>2408902.4305395074</v>
      </c>
      <c r="L41" s="708">
        <v>2407772.1910173008</v>
      </c>
      <c r="M41" s="708">
        <v>2403970.1508570104</v>
      </c>
      <c r="N41" s="708">
        <v>1159553.7404439307</v>
      </c>
      <c r="O41" s="708">
        <v>1158256.8814263016</v>
      </c>
      <c r="P41" s="708">
        <v>2838535.765461091</v>
      </c>
      <c r="Q41" s="708">
        <v>2837194.4280795297</v>
      </c>
      <c r="R41" s="708">
        <v>2835871.8926865538</v>
      </c>
      <c r="S41" s="708">
        <v>2834417.7189696743</v>
      </c>
      <c r="T41" s="708">
        <v>1154608.1177903509</v>
      </c>
      <c r="U41" s="708">
        <v>1153308.354984116</v>
      </c>
      <c r="V41" s="715">
        <v>2379544.0240306808</v>
      </c>
    </row>
    <row r="42" spans="3:41" x14ac:dyDescent="0.35">
      <c r="C42" s="705">
        <v>2013</v>
      </c>
      <c r="D42" s="706"/>
      <c r="E42" s="706"/>
      <c r="F42" s="710">
        <f>F12</f>
        <v>28182056.007783961</v>
      </c>
      <c r="G42" s="684">
        <f>F13</f>
        <v>27532210.75549452</v>
      </c>
      <c r="J42" s="586" t="s">
        <v>541</v>
      </c>
      <c r="K42" s="714">
        <v>2639325.7827885868</v>
      </c>
      <c r="L42" s="708">
        <v>2635620.7628885796</v>
      </c>
      <c r="M42" s="708">
        <v>2632890.6153761707</v>
      </c>
      <c r="N42" s="708">
        <v>1268887.2033056247</v>
      </c>
      <c r="O42" s="708">
        <v>1266967.8709641779</v>
      </c>
      <c r="P42" s="708">
        <v>3102176.4202619414</v>
      </c>
      <c r="Q42" s="708">
        <v>3096397.3261121595</v>
      </c>
      <c r="R42" s="708">
        <v>3091449.5979282968</v>
      </c>
      <c r="S42" s="708">
        <v>3086795.3131016861</v>
      </c>
      <c r="T42" s="708">
        <v>1255859.0873426634</v>
      </c>
      <c r="U42" s="708">
        <v>1249882.3362489205</v>
      </c>
      <c r="V42" s="715">
        <v>2581133.5597963608</v>
      </c>
    </row>
    <row r="43" spans="3:41" x14ac:dyDescent="0.35">
      <c r="C43" s="707">
        <v>2014</v>
      </c>
      <c r="D43" s="564"/>
      <c r="E43" s="564"/>
      <c r="F43" s="564"/>
      <c r="G43" s="685">
        <f>F14</f>
        <v>24722226.701155588</v>
      </c>
      <c r="J43" s="586" t="s">
        <v>50</v>
      </c>
      <c r="K43" s="714">
        <v>74165.33162971033</v>
      </c>
      <c r="L43" s="708">
        <v>159816.11981873453</v>
      </c>
      <c r="M43" s="708">
        <v>337274.8675430225</v>
      </c>
      <c r="N43" s="708">
        <v>227932.65947453128</v>
      </c>
      <c r="O43" s="708">
        <v>312018.45905797952</v>
      </c>
      <c r="P43" s="708">
        <v>1010657.671409107</v>
      </c>
      <c r="Q43" s="708">
        <v>1202927.0492786984</v>
      </c>
      <c r="R43" s="708">
        <v>1322029.6629775777</v>
      </c>
      <c r="S43" s="708">
        <v>1452126.5321988671</v>
      </c>
      <c r="T43" s="708">
        <v>669530.03022092162</v>
      </c>
      <c r="U43" s="708">
        <v>843658.71129220678</v>
      </c>
      <c r="V43" s="715">
        <v>2317678.8595458362</v>
      </c>
    </row>
    <row r="44" spans="3:41" x14ac:dyDescent="0.35">
      <c r="J44" s="586" t="s">
        <v>542</v>
      </c>
      <c r="K44" s="714"/>
      <c r="L44" s="708"/>
      <c r="M44" s="708"/>
      <c r="N44" s="708"/>
      <c r="O44" s="708"/>
      <c r="P44" s="708"/>
      <c r="Q44" s="708">
        <v>39.817000000427164</v>
      </c>
      <c r="R44" s="708">
        <v>7.963400000085433</v>
      </c>
      <c r="S44" s="708"/>
      <c r="T44" s="708"/>
      <c r="U44" s="708"/>
      <c r="V44" s="715"/>
    </row>
    <row r="45" spans="3:41" x14ac:dyDescent="0.35">
      <c r="J45" s="586" t="s">
        <v>543</v>
      </c>
      <c r="K45" s="716"/>
      <c r="L45" s="717"/>
      <c r="M45" s="717"/>
      <c r="N45" s="717"/>
      <c r="O45" s="717"/>
      <c r="P45" s="717"/>
      <c r="Q45" s="717">
        <v>148.80413333351416</v>
      </c>
      <c r="R45" s="717">
        <v>42.515466666718332</v>
      </c>
      <c r="S45" s="717"/>
      <c r="T45" s="717"/>
      <c r="U45" s="717"/>
      <c r="V45" s="718"/>
    </row>
    <row r="46" spans="3:41" x14ac:dyDescent="0.35">
      <c r="J46" s="732" t="s">
        <v>523</v>
      </c>
      <c r="K46" s="587">
        <f t="shared" ref="K46:V46" si="8">SUM(K40:K45)</f>
        <v>7976972.2244261643</v>
      </c>
      <c r="L46" s="587">
        <f t="shared" si="8"/>
        <v>8056864.7846363429</v>
      </c>
      <c r="M46" s="587">
        <f t="shared" si="8"/>
        <v>8223654.3206020007</v>
      </c>
      <c r="N46" s="587">
        <f t="shared" si="8"/>
        <v>4029832.963955828</v>
      </c>
      <c r="O46" s="587">
        <f t="shared" si="8"/>
        <v>4108313.5152783915</v>
      </c>
      <c r="P46" s="587">
        <f t="shared" si="8"/>
        <v>10305477.170092547</v>
      </c>
      <c r="Q46" s="587">
        <f t="shared" si="8"/>
        <v>10483283.077480236</v>
      </c>
      <c r="R46" s="587">
        <f t="shared" si="8"/>
        <v>10593915.04342757</v>
      </c>
      <c r="S46" s="587">
        <f t="shared" si="8"/>
        <v>10714792.347473165</v>
      </c>
      <c r="T46" s="587">
        <f t="shared" si="8"/>
        <v>4440027.6814104207</v>
      </c>
      <c r="U46" s="587">
        <f t="shared" si="8"/>
        <v>4601069.6352848299</v>
      </c>
      <c r="V46" s="587">
        <f t="shared" si="8"/>
        <v>10065271.65000773</v>
      </c>
    </row>
    <row r="48" spans="3:41" x14ac:dyDescent="0.35">
      <c r="P48" s="701"/>
    </row>
    <row r="49" spans="3:22" ht="15.5" x14ac:dyDescent="0.35">
      <c r="C49" s="695" t="s">
        <v>551</v>
      </c>
      <c r="D49" s="694"/>
      <c r="E49" s="694"/>
      <c r="F49" s="694"/>
      <c r="G49" s="694"/>
      <c r="H49" s="694"/>
      <c r="I49"/>
      <c r="J49" s="702" t="s">
        <v>557</v>
      </c>
      <c r="K49" s="706"/>
      <c r="L49" s="706"/>
      <c r="M49" s="706"/>
      <c r="N49" s="706"/>
      <c r="O49" s="706"/>
      <c r="P49" s="706"/>
      <c r="Q49" s="706"/>
      <c r="R49" s="706"/>
      <c r="S49" s="706"/>
      <c r="T49" s="706"/>
      <c r="U49" s="706"/>
      <c r="V49" s="706"/>
    </row>
    <row r="50" spans="3:22" ht="26.25" customHeight="1" x14ac:dyDescent="0.35">
      <c r="C50" s="719" t="s">
        <v>104</v>
      </c>
      <c r="D50" s="681">
        <v>2011</v>
      </c>
      <c r="E50" s="681">
        <v>2012</v>
      </c>
      <c r="F50" s="681">
        <v>2013</v>
      </c>
      <c r="G50" s="682">
        <v>2014</v>
      </c>
      <c r="I50"/>
      <c r="J50" s="691" t="s">
        <v>104</v>
      </c>
      <c r="K50" s="701" t="s">
        <v>497</v>
      </c>
      <c r="L50" s="701" t="s">
        <v>498</v>
      </c>
      <c r="M50" s="701" t="s">
        <v>499</v>
      </c>
      <c r="N50" s="701" t="s">
        <v>500</v>
      </c>
      <c r="O50" s="701" t="s">
        <v>501</v>
      </c>
      <c r="P50" s="701" t="s">
        <v>502</v>
      </c>
      <c r="Q50" s="701" t="s">
        <v>503</v>
      </c>
      <c r="R50" s="701" t="s">
        <v>504</v>
      </c>
      <c r="S50" s="701" t="s">
        <v>505</v>
      </c>
      <c r="T50" s="701" t="s">
        <v>506</v>
      </c>
      <c r="U50" s="701" t="s">
        <v>507</v>
      </c>
      <c r="V50" s="701" t="s">
        <v>508</v>
      </c>
    </row>
    <row r="51" spans="3:22" x14ac:dyDescent="0.35">
      <c r="C51" s="705">
        <v>2011</v>
      </c>
      <c r="D51" s="710">
        <f>G5</f>
        <v>106193.09750002473</v>
      </c>
      <c r="E51" s="710">
        <f>G6</f>
        <v>106068.04786036498</v>
      </c>
      <c r="F51" s="710">
        <f>G7</f>
        <v>104958.04671218769</v>
      </c>
      <c r="G51" s="684">
        <f>G8</f>
        <v>100681.10929846327</v>
      </c>
      <c r="I51"/>
      <c r="J51" s="586" t="s">
        <v>539</v>
      </c>
      <c r="K51" s="711">
        <v>7623.4288294591934</v>
      </c>
      <c r="L51" s="712">
        <v>7617.9685470244331</v>
      </c>
      <c r="M51" s="712">
        <v>7547.7023292316899</v>
      </c>
      <c r="N51" s="712">
        <v>7533.4983888518054</v>
      </c>
      <c r="O51" s="712">
        <v>7520.0659477023728</v>
      </c>
      <c r="P51" s="712">
        <v>10031.782059674293</v>
      </c>
      <c r="Q51" s="712">
        <v>11418.171799916408</v>
      </c>
      <c r="R51" s="712">
        <v>11406.408420037884</v>
      </c>
      <c r="S51" s="712">
        <v>9912.9625568547744</v>
      </c>
      <c r="T51" s="712">
        <v>7393.4725845693774</v>
      </c>
      <c r="U51" s="712">
        <v>7362.5785441707103</v>
      </c>
      <c r="V51" s="713">
        <v>7320.2148818793203</v>
      </c>
    </row>
    <row r="52" spans="3:22" x14ac:dyDescent="0.35">
      <c r="C52" s="705">
        <v>2012</v>
      </c>
      <c r="D52" s="728"/>
      <c r="E52" s="710">
        <f>G9</f>
        <v>101496.69027094703</v>
      </c>
      <c r="F52" s="710">
        <f>G10</f>
        <v>100320.09352614889</v>
      </c>
      <c r="G52" s="684">
        <f>G11</f>
        <v>98735.360810099184</v>
      </c>
      <c r="I52"/>
      <c r="J52" s="586" t="s">
        <v>540</v>
      </c>
      <c r="K52" s="714">
        <v>7289.2746751962259</v>
      </c>
      <c r="L52" s="708">
        <v>7286.2943344393261</v>
      </c>
      <c r="M52" s="708">
        <v>7278.6639020945622</v>
      </c>
      <c r="N52" s="708">
        <v>7274.3330121370527</v>
      </c>
      <c r="O52" s="708">
        <v>7266.3239807377595</v>
      </c>
      <c r="P52" s="708">
        <v>9703.6649147612516</v>
      </c>
      <c r="Q52" s="708">
        <v>11145.577055372005</v>
      </c>
      <c r="R52" s="708">
        <v>11134.096386630081</v>
      </c>
      <c r="S52" s="708">
        <v>9678.3362969584377</v>
      </c>
      <c r="T52" s="708">
        <v>7217.8919240083032</v>
      </c>
      <c r="U52" s="708">
        <v>7206.0500285914095</v>
      </c>
      <c r="V52" s="715">
        <v>7178.7454727700751</v>
      </c>
    </row>
    <row r="53" spans="3:22" x14ac:dyDescent="0.35">
      <c r="C53" s="705">
        <v>2013</v>
      </c>
      <c r="D53" s="728"/>
      <c r="E53" s="728"/>
      <c r="F53" s="710">
        <f>G12</f>
        <v>102514.57291136857</v>
      </c>
      <c r="G53" s="684">
        <f>G13</f>
        <v>100419.89243059114</v>
      </c>
      <c r="I53"/>
      <c r="J53" s="586" t="s">
        <v>541</v>
      </c>
      <c r="K53" s="714">
        <v>7445.6345705180966</v>
      </c>
      <c r="L53" s="708">
        <v>7436.0047476011832</v>
      </c>
      <c r="M53" s="708">
        <v>7425.7802367193299</v>
      </c>
      <c r="N53" s="708">
        <v>7414.7738427274389</v>
      </c>
      <c r="O53" s="708">
        <v>7404.8201300000001</v>
      </c>
      <c r="P53" s="708">
        <v>9896.3806190485939</v>
      </c>
      <c r="Q53" s="708">
        <v>11358.018734207786</v>
      </c>
      <c r="R53" s="708">
        <v>11339.993642577809</v>
      </c>
      <c r="S53" s="708">
        <v>9856.0609252407994</v>
      </c>
      <c r="T53" s="708">
        <v>7355.2149857136692</v>
      </c>
      <c r="U53" s="708">
        <v>7312.85093214684</v>
      </c>
      <c r="V53" s="715">
        <v>7301.2226040138976</v>
      </c>
    </row>
    <row r="54" spans="3:22" x14ac:dyDescent="0.35">
      <c r="C54" s="707">
        <v>2014</v>
      </c>
      <c r="D54" s="564"/>
      <c r="E54" s="564"/>
      <c r="F54" s="564"/>
      <c r="G54" s="685">
        <f>G14</f>
        <v>152153.51094060962</v>
      </c>
      <c r="I54" s="701"/>
      <c r="J54" s="586" t="s">
        <v>50</v>
      </c>
      <c r="K54" s="716">
        <v>493.94424225503457</v>
      </c>
      <c r="L54" s="717">
        <v>941.37287569357636</v>
      </c>
      <c r="M54" s="717">
        <v>2476.3291932304774</v>
      </c>
      <c r="N54" s="717">
        <v>3132.1870360563184</v>
      </c>
      <c r="O54" s="717">
        <v>3882.3808016086432</v>
      </c>
      <c r="P54" s="717">
        <v>5129.6290347637414</v>
      </c>
      <c r="Q54" s="717">
        <v>6643.2792370015704</v>
      </c>
      <c r="R54" s="717">
        <v>7341.1605038307953</v>
      </c>
      <c r="S54" s="717">
        <v>7876.5165311243572</v>
      </c>
      <c r="T54" s="717">
        <v>8761.3115799425086</v>
      </c>
      <c r="U54" s="717">
        <v>10778.828546971274</v>
      </c>
      <c r="V54" s="718">
        <v>12679.459245050803</v>
      </c>
    </row>
    <row r="55" spans="3:22" x14ac:dyDescent="0.35">
      <c r="C55" s="706"/>
      <c r="D55" s="706"/>
      <c r="E55" s="706"/>
      <c r="F55" s="706"/>
      <c r="G55" s="710"/>
      <c r="H55" s="701"/>
      <c r="J55" s="732" t="s">
        <v>523</v>
      </c>
      <c r="K55" s="587">
        <f t="shared" ref="K55:V55" si="9">SUM(K51:K54)</f>
        <v>22852.282317428551</v>
      </c>
      <c r="L55" s="587">
        <f t="shared" si="9"/>
        <v>23281.640504758521</v>
      </c>
      <c r="M55" s="587">
        <f t="shared" si="9"/>
        <v>24728.475661276061</v>
      </c>
      <c r="N55" s="587">
        <f t="shared" si="9"/>
        <v>25354.792279772617</v>
      </c>
      <c r="O55" s="587">
        <f t="shared" si="9"/>
        <v>26073.590860048778</v>
      </c>
      <c r="P55" s="587">
        <f t="shared" si="9"/>
        <v>34761.456628247877</v>
      </c>
      <c r="Q55" s="587">
        <f t="shared" si="9"/>
        <v>40565.046826497768</v>
      </c>
      <c r="R55" s="587">
        <f t="shared" si="9"/>
        <v>41221.65895307657</v>
      </c>
      <c r="S55" s="587">
        <f t="shared" si="9"/>
        <v>37323.87631017837</v>
      </c>
      <c r="T55" s="587">
        <f t="shared" si="9"/>
        <v>30727.891074233856</v>
      </c>
      <c r="U55" s="587">
        <f t="shared" si="9"/>
        <v>32660.308051880231</v>
      </c>
      <c r="V55" s="587">
        <f t="shared" si="9"/>
        <v>34479.642203714102</v>
      </c>
    </row>
    <row r="58" spans="3:22" ht="15.5" x14ac:dyDescent="0.35">
      <c r="C58" s="700" t="s">
        <v>552</v>
      </c>
      <c r="D58" s="699"/>
      <c r="E58" s="699"/>
      <c r="F58" s="699"/>
      <c r="G58" s="699"/>
      <c r="J58" s="702" t="s">
        <v>558</v>
      </c>
      <c r="K58" s="706"/>
      <c r="L58" s="706"/>
      <c r="M58" s="706"/>
      <c r="N58" s="706"/>
      <c r="O58" s="706"/>
      <c r="P58" s="706"/>
      <c r="Q58" s="706"/>
      <c r="R58" s="706"/>
      <c r="S58" s="706"/>
      <c r="T58" s="706"/>
      <c r="U58" s="706"/>
      <c r="V58" s="706"/>
    </row>
    <row r="59" spans="3:22" ht="28" x14ac:dyDescent="0.35">
      <c r="C59" s="719" t="s">
        <v>105</v>
      </c>
      <c r="D59" s="681">
        <v>2011</v>
      </c>
      <c r="E59" s="681">
        <v>2012</v>
      </c>
      <c r="F59" s="681">
        <v>2013</v>
      </c>
      <c r="G59" s="682">
        <v>2014</v>
      </c>
      <c r="J59" s="721" t="s">
        <v>105</v>
      </c>
      <c r="K59" s="701" t="s">
        <v>497</v>
      </c>
      <c r="L59" s="701" t="s">
        <v>498</v>
      </c>
      <c r="M59" s="701" t="s">
        <v>499</v>
      </c>
      <c r="N59" s="701" t="s">
        <v>500</v>
      </c>
      <c r="O59" s="701" t="s">
        <v>501</v>
      </c>
      <c r="P59" s="701" t="s">
        <v>502</v>
      </c>
      <c r="Q59" s="701" t="s">
        <v>503</v>
      </c>
      <c r="R59" s="701" t="s">
        <v>504</v>
      </c>
      <c r="S59" s="701" t="s">
        <v>505</v>
      </c>
      <c r="T59" s="701" t="s">
        <v>506</v>
      </c>
      <c r="U59" s="701" t="s">
        <v>507</v>
      </c>
      <c r="V59" s="701" t="s">
        <v>508</v>
      </c>
    </row>
    <row r="60" spans="3:22" x14ac:dyDescent="0.35">
      <c r="C60" s="705">
        <v>2011</v>
      </c>
      <c r="D60" s="710">
        <f>H5</f>
        <v>51806.72918164092</v>
      </c>
      <c r="E60" s="710">
        <f>H6</f>
        <v>51745.723212621961</v>
      </c>
      <c r="F60" s="710">
        <f>H7</f>
        <v>51204.20469372841</v>
      </c>
      <c r="G60" s="684">
        <f>H8</f>
        <v>49117.683596445255</v>
      </c>
      <c r="J60" s="586" t="s">
        <v>539</v>
      </c>
      <c r="K60" s="711">
        <v>3719.1203769455392</v>
      </c>
      <c r="L60" s="712">
        <v>3716.4565562263742</v>
      </c>
      <c r="M60" s="712">
        <v>3682.1768996243427</v>
      </c>
      <c r="N60" s="712">
        <v>3675.247450254315</v>
      </c>
      <c r="O60" s="712">
        <v>3668.6943798828925</v>
      </c>
      <c r="P60" s="712">
        <v>4894.0451744019338</v>
      </c>
      <c r="Q60" s="712">
        <v>5570.4009781575587</v>
      </c>
      <c r="R60" s="712">
        <v>5564.6621660315886</v>
      </c>
      <c r="S60" s="712">
        <v>4836.0786026662645</v>
      </c>
      <c r="T60" s="712">
        <v>3606.9352991665328</v>
      </c>
      <c r="U60" s="712">
        <v>3591.8635174600049</v>
      </c>
      <c r="V60" s="713">
        <v>3571.1962346408741</v>
      </c>
    </row>
    <row r="61" spans="3:22" x14ac:dyDescent="0.35">
      <c r="C61" s="705">
        <v>2012</v>
      </c>
      <c r="D61" s="728"/>
      <c r="E61" s="710">
        <f>H9</f>
        <v>18349.706576377575</v>
      </c>
      <c r="F61" s="710">
        <f>H10</f>
        <v>18136.988260458784</v>
      </c>
      <c r="G61" s="684">
        <f>H11</f>
        <v>17850.482559988453</v>
      </c>
      <c r="J61" s="586" t="s">
        <v>540</v>
      </c>
      <c r="K61" s="714">
        <v>1317.8365825270434</v>
      </c>
      <c r="L61" s="708">
        <v>1317.2977631996278</v>
      </c>
      <c r="M61" s="708">
        <v>1315.9182483188615</v>
      </c>
      <c r="N61" s="708">
        <v>1315.1352616054746</v>
      </c>
      <c r="O61" s="708">
        <v>1313.6872993542356</v>
      </c>
      <c r="P61" s="708">
        <v>1754.3370471098758</v>
      </c>
      <c r="Q61" s="708">
        <v>2015.0220469703836</v>
      </c>
      <c r="R61" s="733">
        <v>2012.94644330141</v>
      </c>
      <c r="S61" s="708">
        <v>1749.7578563655659</v>
      </c>
      <c r="T61" s="708">
        <v>1304.9312105842125</v>
      </c>
      <c r="U61" s="708">
        <v>1302.790300317798</v>
      </c>
      <c r="V61" s="715">
        <v>1297.8538774040824</v>
      </c>
    </row>
    <row r="62" spans="3:22" x14ac:dyDescent="0.35">
      <c r="C62" s="705">
        <v>2013</v>
      </c>
      <c r="D62" s="728"/>
      <c r="E62" s="728"/>
      <c r="F62" s="710">
        <f>H12</f>
        <v>21775.040504704117</v>
      </c>
      <c r="G62" s="684">
        <f>H13</f>
        <v>21330.111056938906</v>
      </c>
      <c r="J62" s="586" t="s">
        <v>541</v>
      </c>
      <c r="K62" s="714">
        <v>1581.5214339958211</v>
      </c>
      <c r="L62" s="708">
        <v>1579.4759708181105</v>
      </c>
      <c r="M62" s="708">
        <v>1577.3041904334268</v>
      </c>
      <c r="N62" s="708">
        <v>1574.9663308669499</v>
      </c>
      <c r="O62" s="708">
        <v>1572.8520717221859</v>
      </c>
      <c r="P62" s="708">
        <v>2102.0824913942965</v>
      </c>
      <c r="Q62" s="708">
        <v>2412.5479038418298</v>
      </c>
      <c r="R62" s="708">
        <v>2408.7192081823055</v>
      </c>
      <c r="S62" s="708">
        <v>2093.518216668584</v>
      </c>
      <c r="T62" s="708">
        <v>1562.3154804848293</v>
      </c>
      <c r="U62" s="708">
        <v>1553.3169648966241</v>
      </c>
      <c r="V62" s="715">
        <v>1550.8470007841488</v>
      </c>
    </row>
    <row r="63" spans="3:22" x14ac:dyDescent="0.35">
      <c r="C63" s="707">
        <v>2014</v>
      </c>
      <c r="D63" s="564"/>
      <c r="E63" s="564"/>
      <c r="F63" s="564"/>
      <c r="G63" s="685">
        <f>H14</f>
        <v>123538.34190836441</v>
      </c>
      <c r="J63" s="586" t="s">
        <v>50</v>
      </c>
      <c r="K63" s="716">
        <v>401.04925812187741</v>
      </c>
      <c r="L63" s="717">
        <v>764.33099349305962</v>
      </c>
      <c r="M63" s="717">
        <v>2010.6115242413427</v>
      </c>
      <c r="N63" s="717">
        <v>2543.1236557683451</v>
      </c>
      <c r="O63" s="717">
        <v>3152.230164933957</v>
      </c>
      <c r="P63" s="717">
        <v>4164.9112244742882</v>
      </c>
      <c r="Q63" s="717">
        <v>5393.8926331695602</v>
      </c>
      <c r="R63" s="717">
        <v>5960.5249377415121</v>
      </c>
      <c r="S63" s="717">
        <v>6395.1977595097269</v>
      </c>
      <c r="T63" s="717">
        <v>7113.5913909415412</v>
      </c>
      <c r="U63" s="717">
        <v>8751.6784737694397</v>
      </c>
      <c r="V63" s="718">
        <v>10294.861825697035</v>
      </c>
    </row>
    <row r="64" spans="3:22" x14ac:dyDescent="0.35">
      <c r="J64" s="732" t="s">
        <v>523</v>
      </c>
      <c r="K64" s="587">
        <f t="shared" ref="K64:V64" si="10">SUM(K60:K63)</f>
        <v>7019.5276515902815</v>
      </c>
      <c r="L64" s="587">
        <f t="shared" si="10"/>
        <v>7377.5612837371709</v>
      </c>
      <c r="M64" s="587">
        <f t="shared" si="10"/>
        <v>8586.0108626179735</v>
      </c>
      <c r="N64" s="587">
        <f t="shared" si="10"/>
        <v>9108.472698495083</v>
      </c>
      <c r="O64" s="587">
        <f t="shared" si="10"/>
        <v>9707.4639158932714</v>
      </c>
      <c r="P64" s="587">
        <f t="shared" si="10"/>
        <v>12915.375937380395</v>
      </c>
      <c r="Q64" s="587">
        <f t="shared" si="10"/>
        <v>15391.863562139331</v>
      </c>
      <c r="R64" s="587">
        <f t="shared" si="10"/>
        <v>15946.852755256816</v>
      </c>
      <c r="S64" s="587">
        <f t="shared" si="10"/>
        <v>15074.552435210142</v>
      </c>
      <c r="T64" s="587">
        <f t="shared" si="10"/>
        <v>13587.773381177116</v>
      </c>
      <c r="U64" s="587">
        <f t="shared" si="10"/>
        <v>15199.649256443867</v>
      </c>
      <c r="V64" s="587">
        <f t="shared" si="10"/>
        <v>16714.758938526138</v>
      </c>
    </row>
    <row r="65" spans="1:22" x14ac:dyDescent="0.35">
      <c r="J65" s="586"/>
      <c r="K65" s="585"/>
      <c r="L65" s="585"/>
      <c r="M65" s="585"/>
      <c r="N65" s="585"/>
      <c r="O65" s="585"/>
      <c r="P65" s="585"/>
      <c r="Q65" s="585"/>
      <c r="R65" s="585"/>
      <c r="S65" s="585"/>
      <c r="T65" s="585"/>
      <c r="U65" s="585"/>
      <c r="V65" s="585"/>
    </row>
    <row r="66" spans="1:22" x14ac:dyDescent="0.35">
      <c r="I66"/>
      <c r="K66" s="706"/>
      <c r="L66" s="706"/>
      <c r="M66" s="706"/>
      <c r="N66" s="706"/>
      <c r="O66" s="706"/>
      <c r="P66" s="706"/>
      <c r="Q66" s="706"/>
      <c r="R66" s="706"/>
      <c r="S66" s="706"/>
      <c r="T66" s="706"/>
      <c r="U66" s="706"/>
      <c r="V66" s="706"/>
    </row>
    <row r="67" spans="1:22" ht="15.5" x14ac:dyDescent="0.35">
      <c r="B67" s="694"/>
      <c r="C67" s="700" t="s">
        <v>553</v>
      </c>
      <c r="D67" s="694"/>
      <c r="E67" s="694"/>
      <c r="F67" s="694"/>
      <c r="G67" s="694"/>
      <c r="H67" s="706"/>
      <c r="I67" s="697"/>
      <c r="J67" s="702" t="s">
        <v>546</v>
      </c>
    </row>
    <row r="68" spans="1:22" x14ac:dyDescent="0.35">
      <c r="C68" s="719" t="s">
        <v>511</v>
      </c>
      <c r="D68" s="681">
        <v>2011</v>
      </c>
      <c r="E68" s="681">
        <v>2012</v>
      </c>
      <c r="F68" s="681">
        <v>2013</v>
      </c>
      <c r="G68" s="682">
        <v>2014</v>
      </c>
      <c r="H68" s="706"/>
      <c r="I68" s="723"/>
      <c r="J68" s="722" t="s">
        <v>511</v>
      </c>
      <c r="K68" s="701" t="s">
        <v>497</v>
      </c>
      <c r="L68" s="701" t="s">
        <v>498</v>
      </c>
      <c r="M68" s="701" t="s">
        <v>499</v>
      </c>
      <c r="N68" s="701" t="s">
        <v>500</v>
      </c>
      <c r="O68" s="701" t="s">
        <v>501</v>
      </c>
      <c r="P68" s="701" t="s">
        <v>502</v>
      </c>
      <c r="Q68" s="701" t="s">
        <v>503</v>
      </c>
      <c r="R68" s="701" t="s">
        <v>504</v>
      </c>
      <c r="S68" s="701" t="s">
        <v>505</v>
      </c>
      <c r="T68" s="701" t="s">
        <v>506</v>
      </c>
      <c r="U68" s="701" t="s">
        <v>507</v>
      </c>
      <c r="V68" s="701" t="s">
        <v>508</v>
      </c>
    </row>
    <row r="69" spans="1:22" x14ac:dyDescent="0.35">
      <c r="C69" s="705">
        <v>2011</v>
      </c>
      <c r="D69" s="710">
        <f>I5</f>
        <v>44407.123767483165</v>
      </c>
      <c r="E69" s="710">
        <f>I6</f>
        <v>44354.831340233381</v>
      </c>
      <c r="F69" s="710">
        <f>I7</f>
        <v>43890.658437007289</v>
      </c>
      <c r="G69" s="684">
        <f>I8</f>
        <v>42102.157173288193</v>
      </c>
      <c r="H69" s="706"/>
      <c r="I69" s="706"/>
      <c r="J69" s="586" t="s">
        <v>539</v>
      </c>
      <c r="K69" s="711">
        <v>3187.9148036181432</v>
      </c>
      <c r="L69" s="712">
        <v>3185.6314589978797</v>
      </c>
      <c r="M69" s="712">
        <v>3156.247999021165</v>
      </c>
      <c r="N69" s="712">
        <v>3150.3082896305868</v>
      </c>
      <c r="O69" s="712">
        <v>3144.6912006609191</v>
      </c>
      <c r="P69" s="712">
        <v>4195.0239518370754</v>
      </c>
      <c r="Q69" s="712">
        <v>4774.7751996513307</v>
      </c>
      <c r="R69" s="712">
        <v>4769.8560676315738</v>
      </c>
      <c r="S69" s="712">
        <v>4145.3368018064812</v>
      </c>
      <c r="T69" s="712">
        <v>3091.7532293884678</v>
      </c>
      <c r="U69" s="712">
        <v>3078.8341648922005</v>
      </c>
      <c r="V69" s="713">
        <v>3061.1188101384028</v>
      </c>
    </row>
    <row r="70" spans="1:22" x14ac:dyDescent="0.35">
      <c r="C70" s="705">
        <v>2012</v>
      </c>
      <c r="D70" s="728"/>
      <c r="E70" s="710">
        <f>I9</f>
        <v>8282.8191440668525</v>
      </c>
      <c r="F70" s="710">
        <f>I10</f>
        <v>8186.8008599568493</v>
      </c>
      <c r="G70" s="684">
        <f>I11</f>
        <v>8057.4759091265778</v>
      </c>
      <c r="H70" s="706"/>
      <c r="I70" s="706"/>
      <c r="J70" s="586" t="s">
        <v>540</v>
      </c>
      <c r="K70" s="714">
        <v>594.85431165196599</v>
      </c>
      <c r="L70" s="708">
        <v>594.61109560806165</v>
      </c>
      <c r="M70" s="708">
        <v>593.98840051392608</v>
      </c>
      <c r="N70" s="708">
        <v>593.63497048428519</v>
      </c>
      <c r="O70" s="708">
        <v>592.98137913640574</v>
      </c>
      <c r="P70" s="708">
        <v>791.88495022877555</v>
      </c>
      <c r="Q70" s="708">
        <v>909.55477227352299</v>
      </c>
      <c r="R70" s="708">
        <v>908.61787174417123</v>
      </c>
      <c r="S70" s="708">
        <v>789.81796302091857</v>
      </c>
      <c r="T70" s="708">
        <v>589.02899442716659</v>
      </c>
      <c r="U70" s="708">
        <v>588.0626153482109</v>
      </c>
      <c r="V70" s="715">
        <v>585.83437818034406</v>
      </c>
    </row>
    <row r="71" spans="1:22" x14ac:dyDescent="0.35">
      <c r="C71" s="705">
        <v>2013</v>
      </c>
      <c r="D71" s="728"/>
      <c r="E71" s="728"/>
      <c r="F71" s="710">
        <f>I12</f>
        <v>42307.168867052336</v>
      </c>
      <c r="G71" s="684">
        <f>I13</f>
        <v>41442.706397902824</v>
      </c>
      <c r="H71" s="706"/>
      <c r="I71" s="706"/>
      <c r="J71" s="586" t="s">
        <v>541</v>
      </c>
      <c r="K71" s="714">
        <v>3072.7701452711099</v>
      </c>
      <c r="L71" s="708">
        <v>3068.7959732803838</v>
      </c>
      <c r="M71" s="708">
        <v>3064.576377020293</v>
      </c>
      <c r="N71" s="708">
        <v>3060.0341021416298</v>
      </c>
      <c r="O71" s="708">
        <v>3055.9262650679439</v>
      </c>
      <c r="P71" s="708">
        <v>4084.1788063117565</v>
      </c>
      <c r="Q71" s="708">
        <v>4687.3883676881997</v>
      </c>
      <c r="R71" s="708">
        <v>4679.9495170567598</v>
      </c>
      <c r="S71" s="708">
        <v>4067.5391028418017</v>
      </c>
      <c r="T71" s="708">
        <v>3035.4545077517796</v>
      </c>
      <c r="U71" s="708">
        <v>3017.9711088822914</v>
      </c>
      <c r="V71" s="715">
        <v>3013.1721653956201</v>
      </c>
    </row>
    <row r="72" spans="1:22" x14ac:dyDescent="0.35">
      <c r="C72" s="707">
        <v>2014</v>
      </c>
      <c r="D72" s="564"/>
      <c r="E72" s="564"/>
      <c r="F72" s="564"/>
      <c r="G72" s="685">
        <f>I14</f>
        <v>99492.335240179731</v>
      </c>
      <c r="H72" s="706"/>
      <c r="I72" s="706"/>
      <c r="J72" s="586" t="s">
        <v>50</v>
      </c>
      <c r="K72" s="716">
        <v>322.98739501040365</v>
      </c>
      <c r="L72" s="717">
        <v>615.55849191725588</v>
      </c>
      <c r="M72" s="717">
        <v>1619.2578977300027</v>
      </c>
      <c r="N72" s="717">
        <v>2048.1196963499501</v>
      </c>
      <c r="O72" s="717">
        <v>2538.6672305869911</v>
      </c>
      <c r="P72" s="717">
        <v>3354.2359189048429</v>
      </c>
      <c r="Q72" s="717">
        <v>4344.0033743281665</v>
      </c>
      <c r="R72" s="717">
        <v>4800.3440563668264</v>
      </c>
      <c r="S72" s="717">
        <v>5150.4103874758894</v>
      </c>
      <c r="T72" s="717">
        <v>5728.9729528197004</v>
      </c>
      <c r="U72" s="717">
        <v>7048.2160855971424</v>
      </c>
      <c r="V72" s="718">
        <v>8291.0279366816449</v>
      </c>
    </row>
    <row r="73" spans="1:22" x14ac:dyDescent="0.35">
      <c r="B73" s="701"/>
      <c r="C73" s="706"/>
      <c r="D73" s="706"/>
      <c r="E73" s="706"/>
      <c r="F73" s="706"/>
      <c r="G73" s="710"/>
      <c r="H73" s="706"/>
      <c r="I73" s="706"/>
      <c r="J73" s="732" t="s">
        <v>523</v>
      </c>
      <c r="K73" s="587">
        <f t="shared" ref="K73:V73" si="11">SUM(K69:K72)</f>
        <v>7178.5266555516228</v>
      </c>
      <c r="L73" s="587">
        <f t="shared" si="11"/>
        <v>7464.5970198035811</v>
      </c>
      <c r="M73" s="587">
        <f t="shared" si="11"/>
        <v>8434.0706742853872</v>
      </c>
      <c r="N73" s="587">
        <f t="shared" si="11"/>
        <v>8852.0970586064523</v>
      </c>
      <c r="O73" s="587">
        <f t="shared" si="11"/>
        <v>9332.2660754522603</v>
      </c>
      <c r="P73" s="587">
        <f t="shared" si="11"/>
        <v>12425.323627282451</v>
      </c>
      <c r="Q73" s="587">
        <f t="shared" si="11"/>
        <v>14715.721713941221</v>
      </c>
      <c r="R73" s="587">
        <f t="shared" si="11"/>
        <v>15158.767512799332</v>
      </c>
      <c r="S73" s="587">
        <f t="shared" si="11"/>
        <v>14153.10425514509</v>
      </c>
      <c r="T73" s="587">
        <f t="shared" si="11"/>
        <v>12445.209684387115</v>
      </c>
      <c r="U73" s="587">
        <f t="shared" si="11"/>
        <v>13733.083974719844</v>
      </c>
      <c r="V73" s="587">
        <f t="shared" si="11"/>
        <v>14951.153290396012</v>
      </c>
    </row>
    <row r="74" spans="1:22" x14ac:dyDescent="0.35">
      <c r="B74" s="706"/>
      <c r="J74" s="586"/>
      <c r="K74" s="585"/>
      <c r="L74" s="585"/>
      <c r="M74" s="585"/>
      <c r="N74" s="585"/>
      <c r="O74" s="585"/>
      <c r="P74" s="585"/>
      <c r="Q74" s="585"/>
      <c r="R74" s="585"/>
      <c r="S74" s="585"/>
      <c r="T74" s="585"/>
      <c r="U74" s="585"/>
      <c r="V74" s="585"/>
    </row>
    <row r="75" spans="1:22" x14ac:dyDescent="0.35">
      <c r="J75" s="727" t="s">
        <v>547</v>
      </c>
      <c r="K75" s="585"/>
      <c r="L75" s="585"/>
      <c r="M75" s="585"/>
      <c r="N75" s="585"/>
      <c r="O75" s="585"/>
      <c r="P75" s="585"/>
      <c r="Q75" s="585"/>
      <c r="R75" s="585"/>
      <c r="S75" s="585"/>
      <c r="T75" s="585"/>
      <c r="U75" s="585"/>
      <c r="V75" s="585"/>
    </row>
    <row r="76" spans="1:22" x14ac:dyDescent="0.35">
      <c r="B76" s="701"/>
    </row>
    <row r="77" spans="1:22" x14ac:dyDescent="0.35">
      <c r="B77" s="701"/>
    </row>
    <row r="78" spans="1:22" x14ac:dyDescent="0.35">
      <c r="B78" s="701"/>
    </row>
    <row r="79" spans="1:22" x14ac:dyDescent="0.35">
      <c r="A79" s="696"/>
    </row>
    <row r="80" spans="1:22" x14ac:dyDescent="0.35">
      <c r="B80" s="701"/>
    </row>
    <row r="81" spans="1:49" x14ac:dyDescent="0.35">
      <c r="B81" s="701"/>
    </row>
    <row r="82" spans="1:49" x14ac:dyDescent="0.35">
      <c r="B82" s="701"/>
      <c r="C82" s="586"/>
      <c r="D82" s="585"/>
      <c r="E82" s="585"/>
      <c r="F82" s="585"/>
      <c r="G82" s="585"/>
      <c r="H82" s="585"/>
      <c r="I82" s="585"/>
      <c r="J82" s="585"/>
      <c r="K82" s="585"/>
      <c r="L82" s="585"/>
      <c r="M82" s="585"/>
      <c r="N82" s="585"/>
      <c r="O82" s="585"/>
    </row>
    <row r="83" spans="1:49" x14ac:dyDescent="0.35">
      <c r="B83" s="701"/>
      <c r="C83" s="586"/>
      <c r="D83" s="585"/>
      <c r="E83" s="585"/>
      <c r="F83" s="585"/>
      <c r="G83" s="585"/>
      <c r="H83" s="585"/>
      <c r="I83" s="585"/>
      <c r="J83" s="585"/>
      <c r="K83" s="585"/>
      <c r="L83" s="585"/>
      <c r="M83" s="585"/>
      <c r="N83" s="585"/>
      <c r="O83" s="585"/>
    </row>
    <row r="84" spans="1:49" x14ac:dyDescent="0.35">
      <c r="C84" s="586"/>
      <c r="D84" s="585"/>
      <c r="E84" s="585"/>
      <c r="F84" s="585"/>
      <c r="G84" s="585"/>
      <c r="H84" s="585"/>
      <c r="I84" s="585"/>
      <c r="J84" s="585"/>
      <c r="K84" s="585"/>
      <c r="L84" s="585"/>
      <c r="M84" s="585"/>
      <c r="N84" s="585"/>
      <c r="O84" s="585"/>
    </row>
    <row r="85" spans="1:49" x14ac:dyDescent="0.35">
      <c r="A85" s="701"/>
      <c r="AT85" s="701"/>
      <c r="AU85" s="701"/>
      <c r="AV85" s="701"/>
      <c r="AW85" s="701"/>
    </row>
    <row r="86" spans="1:49" x14ac:dyDescent="0.35">
      <c r="A86" s="706"/>
      <c r="C86" s="541"/>
      <c r="D86" s="587"/>
      <c r="E86" s="587"/>
      <c r="F86" s="587"/>
      <c r="G86" s="587"/>
      <c r="H86" s="587"/>
      <c r="I86" s="587"/>
      <c r="J86" s="587"/>
      <c r="K86" s="587"/>
      <c r="L86" s="587"/>
      <c r="M86" s="587"/>
      <c r="N86" s="587"/>
      <c r="O86" s="587"/>
      <c r="AT86" s="706"/>
      <c r="AU86" s="706"/>
      <c r="AV86" s="706"/>
      <c r="AW86" s="706"/>
    </row>
    <row r="87" spans="1:49" x14ac:dyDescent="0.35">
      <c r="B87" s="693"/>
      <c r="C87" s="709"/>
      <c r="D87" s="709"/>
      <c r="E87" s="709"/>
      <c r="F87" s="709"/>
      <c r="G87" s="709"/>
      <c r="H87" s="709"/>
      <c r="I87" s="709"/>
      <c r="J87" s="709"/>
      <c r="K87" s="709"/>
      <c r="L87" s="709"/>
      <c r="M87" s="709"/>
      <c r="N87" s="709"/>
      <c r="O87" s="709"/>
    </row>
    <row r="88" spans="1:49" x14ac:dyDescent="0.35">
      <c r="I88"/>
    </row>
    <row r="89" spans="1:49" x14ac:dyDescent="0.35">
      <c r="I89"/>
    </row>
    <row r="90" spans="1:49" ht="15.5" x14ac:dyDescent="0.35">
      <c r="C90" s="694"/>
      <c r="J90" s="698"/>
      <c r="K90" s="698"/>
      <c r="L90" s="698"/>
      <c r="M90" s="698"/>
      <c r="N90" s="698"/>
      <c r="O90" s="694"/>
      <c r="P90" s="694"/>
      <c r="Q90" s="694"/>
    </row>
    <row r="91" spans="1:49" x14ac:dyDescent="0.35">
      <c r="J91" s="724"/>
      <c r="K91" s="706"/>
      <c r="L91" s="706"/>
      <c r="M91" s="706"/>
      <c r="N91" s="706"/>
    </row>
    <row r="92" spans="1:49" x14ac:dyDescent="0.35">
      <c r="J92" s="706"/>
      <c r="K92" s="710"/>
      <c r="L92" s="710"/>
      <c r="M92" s="710"/>
      <c r="N92" s="710"/>
    </row>
    <row r="93" spans="1:49" x14ac:dyDescent="0.35">
      <c r="J93" s="706"/>
      <c r="K93" s="706"/>
      <c r="L93" s="710"/>
      <c r="M93" s="710"/>
      <c r="N93" s="710"/>
    </row>
    <row r="94" spans="1:49" x14ac:dyDescent="0.35">
      <c r="J94" s="706"/>
      <c r="K94" s="706"/>
      <c r="L94" s="706"/>
      <c r="M94" s="710"/>
      <c r="N94" s="710"/>
    </row>
    <row r="95" spans="1:49" x14ac:dyDescent="0.35">
      <c r="J95" s="706"/>
      <c r="K95" s="706"/>
      <c r="L95" s="706"/>
      <c r="M95" s="706"/>
      <c r="N95" s="710"/>
    </row>
    <row r="96" spans="1:49" x14ac:dyDescent="0.35">
      <c r="C96" s="701"/>
      <c r="D96" s="701"/>
      <c r="E96" s="701"/>
      <c r="F96" s="701"/>
      <c r="G96" s="701"/>
      <c r="H96" s="703"/>
      <c r="I96" s="701"/>
      <c r="J96" s="706"/>
      <c r="K96" s="706"/>
      <c r="L96" s="706"/>
      <c r="M96" s="706"/>
      <c r="N96" s="710"/>
      <c r="O96" s="701"/>
      <c r="P96" s="701"/>
      <c r="Q96" s="701"/>
    </row>
    <row r="97" spans="1:49" x14ac:dyDescent="0.35">
      <c r="A97" s="587"/>
      <c r="B97" s="587"/>
      <c r="C97" s="706"/>
      <c r="Q97" s="706"/>
      <c r="R97" s="541"/>
      <c r="S97" s="587"/>
      <c r="T97" s="587"/>
      <c r="U97" s="587"/>
      <c r="V97" s="587"/>
      <c r="W97" s="587"/>
    </row>
    <row r="98" spans="1:49" x14ac:dyDescent="0.35">
      <c r="A98" s="709"/>
      <c r="B98" s="709"/>
      <c r="R98" s="709"/>
      <c r="S98" s="709"/>
      <c r="T98" s="709"/>
      <c r="U98" s="709"/>
      <c r="V98" s="709"/>
      <c r="W98" s="709"/>
      <c r="AT98" s="693"/>
      <c r="AU98" s="693"/>
      <c r="AV98" s="693"/>
      <c r="AW98" s="693"/>
    </row>
    <row r="99" spans="1:49" x14ac:dyDescent="0.35">
      <c r="A99" s="587"/>
      <c r="B99" s="587"/>
      <c r="C99" s="701"/>
      <c r="Q99" s="701"/>
      <c r="R99" s="541"/>
      <c r="S99" s="587"/>
      <c r="T99" s="587"/>
      <c r="U99" s="587"/>
      <c r="V99" s="587"/>
      <c r="W99" s="587"/>
      <c r="X99" s="587"/>
      <c r="Y99" s="587"/>
      <c r="Z99" s="587"/>
      <c r="AA99" s="587"/>
      <c r="AB99" s="587"/>
      <c r="AC99" s="587"/>
      <c r="AD99" s="587"/>
    </row>
    <row r="100" spans="1:49" x14ac:dyDescent="0.35">
      <c r="C100" s="701"/>
      <c r="Q100" s="701"/>
    </row>
    <row r="101" spans="1:49" x14ac:dyDescent="0.35">
      <c r="C101" s="701"/>
      <c r="Q101" s="701"/>
    </row>
    <row r="102" spans="1:49" x14ac:dyDescent="0.35">
      <c r="C102" s="701"/>
      <c r="Q102" s="701"/>
    </row>
    <row r="103" spans="1:49" x14ac:dyDescent="0.35">
      <c r="C103" s="701"/>
      <c r="Q103" s="701"/>
    </row>
    <row r="104" spans="1:49" x14ac:dyDescent="0.35">
      <c r="C104" s="701"/>
      <c r="Q104" s="701"/>
    </row>
    <row r="105" spans="1:49" x14ac:dyDescent="0.35">
      <c r="C105" s="701"/>
      <c r="Q105" s="701"/>
    </row>
    <row r="108" spans="1:49" x14ac:dyDescent="0.35">
      <c r="I108"/>
    </row>
    <row r="109" spans="1:49" x14ac:dyDescent="0.35">
      <c r="I109"/>
    </row>
    <row r="110" spans="1:49" x14ac:dyDescent="0.35">
      <c r="I110"/>
    </row>
    <row r="111" spans="1:49" x14ac:dyDescent="0.35">
      <c r="I111"/>
    </row>
    <row r="112" spans="1:49" x14ac:dyDescent="0.35">
      <c r="I112"/>
    </row>
    <row r="113" spans="8:16" x14ac:dyDescent="0.35">
      <c r="I113"/>
    </row>
    <row r="114" spans="8:16" x14ac:dyDescent="0.35">
      <c r="I114"/>
    </row>
    <row r="115" spans="8:16" x14ac:dyDescent="0.35">
      <c r="H115" s="694"/>
      <c r="I115" s="696"/>
      <c r="J115" s="694"/>
      <c r="K115" s="694"/>
      <c r="L115" s="694"/>
      <c r="M115" s="694"/>
      <c r="N115" s="694"/>
      <c r="O115" s="694"/>
    </row>
    <row r="116" spans="8:16" x14ac:dyDescent="0.35">
      <c r="I116" s="725"/>
      <c r="J116" s="706"/>
      <c r="K116" s="706"/>
      <c r="L116" s="706"/>
      <c r="M116" s="706"/>
      <c r="N116" s="706"/>
    </row>
    <row r="117" spans="8:16" x14ac:dyDescent="0.35">
      <c r="I117" s="706"/>
      <c r="J117" s="710"/>
      <c r="K117" s="710"/>
      <c r="L117" s="710"/>
      <c r="M117" s="710"/>
      <c r="N117" s="706"/>
    </row>
    <row r="118" spans="8:16" x14ac:dyDescent="0.35">
      <c r="I118" s="706"/>
      <c r="J118" s="706"/>
      <c r="K118" s="710"/>
      <c r="L118" s="710"/>
      <c r="M118" s="710"/>
      <c r="N118" s="706"/>
    </row>
    <row r="119" spans="8:16" x14ac:dyDescent="0.35">
      <c r="I119" s="706"/>
      <c r="J119" s="706"/>
      <c r="K119" s="706"/>
      <c r="L119" s="710"/>
      <c r="M119" s="710"/>
      <c r="N119" s="706"/>
    </row>
    <row r="120" spans="8:16" x14ac:dyDescent="0.35">
      <c r="I120" s="706"/>
      <c r="J120" s="706"/>
      <c r="K120" s="706"/>
      <c r="L120" s="706"/>
      <c r="M120" s="710"/>
      <c r="N120" s="706"/>
    </row>
    <row r="121" spans="8:16" x14ac:dyDescent="0.35">
      <c r="H121" s="701"/>
      <c r="I121" s="706"/>
      <c r="J121" s="706"/>
      <c r="K121" s="706"/>
      <c r="L121" s="706"/>
      <c r="M121" s="710"/>
      <c r="N121" s="706"/>
      <c r="O121" s="701"/>
      <c r="P121" s="701"/>
    </row>
    <row r="122" spans="8:16" x14ac:dyDescent="0.35">
      <c r="P122" s="706"/>
    </row>
    <row r="133" spans="2:16" x14ac:dyDescent="0.35">
      <c r="C133" s="541"/>
      <c r="D133" s="587"/>
      <c r="E133" s="587"/>
      <c r="F133" s="587"/>
      <c r="G133" s="587"/>
      <c r="H133" s="587"/>
      <c r="I133" s="587"/>
      <c r="J133" s="587"/>
      <c r="K133" s="587"/>
      <c r="L133" s="587"/>
      <c r="M133" s="587"/>
      <c r="N133" s="587"/>
      <c r="O133" s="587"/>
    </row>
    <row r="134" spans="2:16" x14ac:dyDescent="0.35">
      <c r="B134" s="693"/>
      <c r="C134" s="709"/>
      <c r="D134" s="709"/>
      <c r="E134" s="709"/>
      <c r="F134" s="709"/>
      <c r="G134" s="709"/>
      <c r="H134" s="709"/>
      <c r="I134" s="709"/>
      <c r="J134" s="709"/>
      <c r="K134" s="709"/>
      <c r="L134" s="709"/>
      <c r="M134" s="709"/>
      <c r="N134" s="709"/>
      <c r="O134" s="709"/>
      <c r="P134" s="693"/>
    </row>
    <row r="135" spans="2:16" x14ac:dyDescent="0.35">
      <c r="C135" s="541"/>
      <c r="D135" s="587"/>
      <c r="E135" s="587"/>
      <c r="F135" s="587"/>
      <c r="G135" s="587"/>
      <c r="H135" s="587"/>
      <c r="I135" s="587"/>
      <c r="J135" s="587"/>
      <c r="K135" s="587"/>
      <c r="L135" s="587"/>
      <c r="M135" s="587"/>
      <c r="N135" s="587"/>
      <c r="O135" s="587"/>
    </row>
  </sheetData>
  <printOptions horizontalCentered="1"/>
  <pageMargins left="0.35433070866141703" right="0.27559055118110198" top="1.25984251968504" bottom="0.511811023622047" header="0.23622047244094499" footer="0.31496062992126"/>
  <pageSetup scale="33" fitToHeight="0" orientation="landscape" horizontalDpi="1200" verticalDpi="1200" r:id="rId1"/>
  <headerFooter>
    <oddHeader>&amp;RToronto Hydro-Electric System Limited
EB-2016-0254
Tab 4
Schedule 1
Filed:  2016 Aug 22
Page &amp;P of &amp;N</oddHeader>
    <oddFooter>&amp;C&amp;A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Y54"/>
  <sheetViews>
    <sheetView view="pageBreakPreview" zoomScaleNormal="70" zoomScaleSheetLayoutView="100" zoomScalePageLayoutView="85" workbookViewId="0">
      <pane ySplit="2" topLeftCell="A27" activePane="bottomLeft" state="frozen"/>
      <selection activeCell="C17" sqref="C17"/>
      <selection pane="bottomLeft" activeCell="C17" sqref="C17"/>
    </sheetView>
  </sheetViews>
  <sheetFormatPr defaultColWidth="9.08984375" defaultRowHeight="14" outlineLevelRow="1" x14ac:dyDescent="0.3"/>
  <cols>
    <col min="1" max="1" width="3.36328125" style="60" customWidth="1"/>
    <col min="2" max="2" width="4" style="60" customWidth="1"/>
    <col min="3" max="3" width="26.453125" style="63" customWidth="1"/>
    <col min="4" max="4" width="15.08984375" style="63" customWidth="1"/>
    <col min="5" max="5" width="10.90625" style="60" customWidth="1"/>
    <col min="6" max="7" width="11.90625" style="60" customWidth="1"/>
    <col min="8" max="8" width="10.6328125" style="60" customWidth="1"/>
    <col min="9" max="13" width="11.36328125" style="60" customWidth="1"/>
    <col min="14" max="14" width="4" style="60" customWidth="1"/>
    <col min="15" max="15" width="25.90625" style="63" customWidth="1"/>
    <col min="16" max="16" width="10.90625" style="60" customWidth="1"/>
    <col min="17" max="17" width="10.6328125" style="60" customWidth="1"/>
    <col min="18" max="18" width="11.08984375" style="60" customWidth="1"/>
    <col min="19" max="19" width="11.36328125" style="60" customWidth="1"/>
    <col min="20" max="16384" width="9.08984375" style="60"/>
  </cols>
  <sheetData>
    <row r="1" spans="1:25" ht="155.25" customHeight="1" x14ac:dyDescent="0.3">
      <c r="C1" s="60"/>
      <c r="D1" s="60"/>
    </row>
    <row r="2" spans="1:25" ht="29.25" customHeight="1" x14ac:dyDescent="0.4">
      <c r="B2" s="63"/>
      <c r="C2" s="770" t="s">
        <v>352</v>
      </c>
      <c r="D2" s="770"/>
      <c r="E2" s="770"/>
      <c r="F2" s="770"/>
      <c r="G2" s="770"/>
      <c r="H2" s="770"/>
      <c r="I2" s="770"/>
      <c r="J2" s="770"/>
      <c r="K2" s="770"/>
      <c r="L2" s="770"/>
      <c r="M2" s="770"/>
      <c r="N2" s="770"/>
      <c r="O2" s="770"/>
      <c r="P2" s="770"/>
      <c r="Q2" s="770"/>
      <c r="R2" s="770"/>
      <c r="S2" s="770"/>
      <c r="T2" s="770"/>
      <c r="U2" s="770"/>
    </row>
    <row r="3" spans="1:25" ht="8.25" customHeight="1" outlineLevel="1" x14ac:dyDescent="0.4">
      <c r="B3" s="63"/>
      <c r="C3" s="113"/>
      <c r="D3" s="113"/>
      <c r="E3" s="113"/>
      <c r="F3" s="113"/>
      <c r="G3" s="113"/>
      <c r="H3" s="113"/>
      <c r="I3" s="113"/>
      <c r="J3" s="487"/>
      <c r="K3" s="487"/>
      <c r="L3" s="487"/>
      <c r="M3" s="487"/>
      <c r="N3" s="113"/>
      <c r="O3" s="113"/>
      <c r="P3" s="113"/>
      <c r="Q3" s="113"/>
      <c r="R3" s="113"/>
    </row>
    <row r="4" spans="1:25" ht="9" hidden="1" customHeight="1" outlineLevel="1" x14ac:dyDescent="0.3">
      <c r="C4" s="60"/>
      <c r="D4" s="367"/>
      <c r="E4" s="368"/>
      <c r="F4" s="368"/>
      <c r="G4" s="368"/>
      <c r="H4" s="368"/>
      <c r="I4" s="368"/>
      <c r="J4" s="368"/>
      <c r="K4" s="368"/>
      <c r="L4" s="368"/>
      <c r="M4" s="368"/>
      <c r="N4" s="368"/>
      <c r="O4" s="368"/>
      <c r="P4" s="368"/>
      <c r="Q4" s="368"/>
      <c r="R4" s="368"/>
      <c r="S4" s="369"/>
    </row>
    <row r="5" spans="1:25" ht="80.25" customHeight="1" outlineLevel="1" x14ac:dyDescent="0.3">
      <c r="D5" s="348" t="s">
        <v>377</v>
      </c>
      <c r="E5" s="64"/>
      <c r="F5" s="831" t="s">
        <v>476</v>
      </c>
      <c r="G5" s="831"/>
      <c r="H5" s="831"/>
      <c r="I5" s="831"/>
      <c r="J5" s="831"/>
      <c r="K5" s="831"/>
      <c r="L5" s="831"/>
      <c r="M5" s="831"/>
      <c r="N5" s="831"/>
      <c r="O5" s="831"/>
      <c r="P5" s="831"/>
      <c r="Q5" s="831"/>
      <c r="R5" s="831"/>
      <c r="S5" s="831"/>
    </row>
    <row r="6" spans="1:25" ht="14.25" customHeight="1" outlineLevel="1" x14ac:dyDescent="0.3">
      <c r="D6" s="367"/>
      <c r="E6" s="64"/>
      <c r="F6" s="155" t="s">
        <v>469</v>
      </c>
      <c r="G6" s="64"/>
      <c r="H6" s="151"/>
      <c r="I6" s="151"/>
      <c r="J6" s="151"/>
      <c r="K6" s="151"/>
      <c r="L6" s="151"/>
      <c r="M6" s="151"/>
      <c r="N6" s="151"/>
      <c r="O6" s="151"/>
      <c r="P6" s="266"/>
      <c r="Q6" s="151"/>
      <c r="R6" s="151"/>
      <c r="S6" s="64"/>
    </row>
    <row r="7" spans="1:25" ht="6.75" hidden="1" customHeight="1" outlineLevel="1" x14ac:dyDescent="0.3">
      <c r="D7" s="367"/>
      <c r="E7" s="64"/>
      <c r="F7" s="155"/>
      <c r="G7" s="64"/>
      <c r="H7" s="151"/>
      <c r="I7" s="151"/>
      <c r="J7" s="151"/>
      <c r="K7" s="151"/>
      <c r="L7" s="151"/>
      <c r="M7" s="151"/>
      <c r="N7" s="151"/>
      <c r="O7" s="151"/>
      <c r="P7" s="266"/>
      <c r="Q7" s="151"/>
      <c r="R7" s="151"/>
      <c r="S7" s="64"/>
    </row>
    <row r="8" spans="1:25" outlineLevel="1" x14ac:dyDescent="0.3">
      <c r="A8" s="111"/>
      <c r="D8" s="77"/>
      <c r="F8" s="151" t="s">
        <v>260</v>
      </c>
      <c r="H8" s="151"/>
      <c r="I8" s="151"/>
      <c r="J8" s="151"/>
      <c r="K8" s="151"/>
      <c r="L8" s="151"/>
      <c r="M8" s="151"/>
      <c r="N8" s="151"/>
      <c r="O8" s="151"/>
      <c r="P8" s="152"/>
      <c r="Q8" s="151"/>
      <c r="R8" s="151"/>
    </row>
    <row r="9" spans="1:25" ht="12" customHeight="1" outlineLevel="1" x14ac:dyDescent="0.45">
      <c r="A9" s="111"/>
      <c r="D9" s="77"/>
      <c r="F9" s="151"/>
      <c r="H9" s="151"/>
      <c r="I9" s="151"/>
      <c r="J9" s="151"/>
      <c r="K9" s="151"/>
      <c r="L9" s="151"/>
      <c r="M9" s="151"/>
      <c r="N9" s="151"/>
      <c r="O9" s="151"/>
      <c r="P9" s="152"/>
      <c r="Q9" s="151"/>
      <c r="R9" s="151"/>
      <c r="U9" s="57"/>
    </row>
    <row r="10" spans="1:25" ht="18.5" outlineLevel="1" x14ac:dyDescent="0.45">
      <c r="A10" s="111"/>
      <c r="D10" s="78" t="s">
        <v>337</v>
      </c>
      <c r="E10" s="57"/>
      <c r="F10" s="829" t="s">
        <v>366</v>
      </c>
      <c r="G10" s="829"/>
      <c r="H10" s="194"/>
      <c r="I10" s="151"/>
      <c r="J10" s="151"/>
      <c r="K10" s="151"/>
      <c r="L10" s="151"/>
      <c r="M10" s="151"/>
      <c r="N10" s="151"/>
      <c r="O10" s="151"/>
      <c r="P10" s="152"/>
      <c r="Q10" s="151"/>
      <c r="R10" s="151"/>
      <c r="U10" s="57"/>
    </row>
    <row r="11" spans="1:25" ht="16.5" customHeight="1" outlineLevel="1" x14ac:dyDescent="0.45">
      <c r="A11" s="111"/>
      <c r="D11" s="57"/>
      <c r="E11" s="57"/>
      <c r="F11" s="830" t="s">
        <v>338</v>
      </c>
      <c r="G11" s="830"/>
      <c r="H11" s="830"/>
      <c r="I11" s="151"/>
      <c r="J11" s="151"/>
      <c r="K11" s="151"/>
      <c r="L11" s="151"/>
      <c r="M11" s="151"/>
      <c r="N11" s="151"/>
      <c r="O11" s="152"/>
      <c r="P11" s="151"/>
      <c r="Q11" s="151"/>
    </row>
    <row r="12" spans="1:25" ht="12.75" customHeight="1" x14ac:dyDescent="0.3">
      <c r="A12" s="111"/>
    </row>
    <row r="13" spans="1:25" ht="9.75" customHeight="1" x14ac:dyDescent="0.3">
      <c r="A13" s="111"/>
    </row>
    <row r="14" spans="1:25" ht="15.5" x14ac:dyDescent="0.3">
      <c r="A14" s="111"/>
      <c r="C14" s="154" t="s">
        <v>465</v>
      </c>
    </row>
    <row r="15" spans="1:25" ht="11.25" customHeight="1" x14ac:dyDescent="0.3">
      <c r="A15" s="111"/>
    </row>
    <row r="16" spans="1:25" ht="15" customHeight="1" x14ac:dyDescent="0.3">
      <c r="A16" s="111"/>
      <c r="C16" s="220" t="s">
        <v>21</v>
      </c>
      <c r="D16" s="827" t="s">
        <v>363</v>
      </c>
      <c r="E16" s="828"/>
      <c r="F16" s="828"/>
      <c r="G16" s="828"/>
      <c r="H16" s="828"/>
      <c r="I16" s="828"/>
      <c r="J16" s="828"/>
      <c r="K16" s="828"/>
      <c r="L16" s="828"/>
      <c r="M16" s="828"/>
      <c r="O16" s="289" t="s">
        <v>21</v>
      </c>
      <c r="P16" s="825" t="s">
        <v>362</v>
      </c>
      <c r="Q16" s="826"/>
      <c r="R16" s="826"/>
      <c r="S16" s="826"/>
      <c r="T16" s="826"/>
      <c r="U16" s="826"/>
      <c r="V16" s="826"/>
      <c r="W16" s="826"/>
      <c r="X16" s="826"/>
      <c r="Y16" s="826"/>
    </row>
    <row r="17" spans="1:25" ht="15" customHeight="1" x14ac:dyDescent="0.3">
      <c r="A17" s="38"/>
      <c r="C17" s="220"/>
      <c r="D17" s="156">
        <v>2011</v>
      </c>
      <c r="E17" s="156">
        <v>2012</v>
      </c>
      <c r="F17" s="156">
        <v>2013</v>
      </c>
      <c r="G17" s="156">
        <v>2014</v>
      </c>
      <c r="H17" s="490">
        <v>2015</v>
      </c>
      <c r="I17" s="490">
        <v>2016</v>
      </c>
      <c r="J17" s="490">
        <v>2017</v>
      </c>
      <c r="K17" s="490">
        <v>2018</v>
      </c>
      <c r="L17" s="490">
        <v>2019</v>
      </c>
      <c r="M17" s="490">
        <v>2020</v>
      </c>
      <c r="O17" s="288"/>
      <c r="P17" s="156">
        <v>2011</v>
      </c>
      <c r="Q17" s="156">
        <v>2012</v>
      </c>
      <c r="R17" s="156">
        <v>2013</v>
      </c>
      <c r="S17" s="156">
        <v>2014</v>
      </c>
      <c r="T17" s="490">
        <v>2015</v>
      </c>
      <c r="U17" s="490">
        <v>2016</v>
      </c>
      <c r="V17" s="490">
        <v>2017</v>
      </c>
      <c r="W17" s="490">
        <v>2018</v>
      </c>
      <c r="X17" s="490">
        <v>2019</v>
      </c>
      <c r="Y17" s="490">
        <v>2020</v>
      </c>
    </row>
    <row r="18" spans="1:25" ht="15" customHeight="1" x14ac:dyDescent="0.3">
      <c r="A18" s="38"/>
      <c r="C18" s="136" t="s">
        <v>22</v>
      </c>
      <c r="D18" s="195">
        <v>172.25429774599999</v>
      </c>
      <c r="E18" s="195">
        <v>172.13200000000001</v>
      </c>
      <c r="F18" s="195">
        <v>171.01900000000001</v>
      </c>
      <c r="G18" s="195">
        <v>166.90199999999999</v>
      </c>
      <c r="H18" s="195"/>
      <c r="I18" s="195"/>
      <c r="J18" s="195"/>
      <c r="K18" s="195"/>
      <c r="L18" s="195"/>
      <c r="M18" s="195"/>
      <c r="O18" s="136" t="s">
        <v>22</v>
      </c>
      <c r="P18" s="195">
        <v>37.119711000000002</v>
      </c>
      <c r="Q18" s="195">
        <v>37.076000000000001</v>
      </c>
      <c r="R18" s="195">
        <v>36.688000000000002</v>
      </c>
      <c r="S18" s="195">
        <v>35.192999999999998</v>
      </c>
      <c r="T18" s="195"/>
      <c r="U18" s="195"/>
      <c r="V18" s="195"/>
      <c r="W18" s="195"/>
      <c r="X18" s="195"/>
      <c r="Y18" s="195"/>
    </row>
    <row r="19" spans="1:25" x14ac:dyDescent="0.3">
      <c r="A19" s="38"/>
      <c r="C19" s="137" t="s">
        <v>32</v>
      </c>
      <c r="D19" s="138" t="s">
        <v>24</v>
      </c>
      <c r="E19" s="195">
        <v>111.71937858</v>
      </c>
      <c r="F19" s="195">
        <v>110.833</v>
      </c>
      <c r="G19" s="195">
        <v>109.43300000000001</v>
      </c>
      <c r="H19" s="195"/>
      <c r="I19" s="195"/>
      <c r="J19" s="195"/>
      <c r="K19" s="195"/>
      <c r="L19" s="195"/>
      <c r="M19" s="195"/>
      <c r="O19" s="137" t="s">
        <v>32</v>
      </c>
      <c r="P19" s="138"/>
      <c r="Q19" s="195">
        <v>23.376997000000003</v>
      </c>
      <c r="R19" s="195">
        <v>23.106000000000002</v>
      </c>
      <c r="S19" s="195">
        <v>22.741</v>
      </c>
      <c r="T19" s="195"/>
      <c r="U19" s="195"/>
      <c r="V19" s="195"/>
      <c r="W19" s="195"/>
      <c r="X19" s="195"/>
      <c r="Y19" s="195"/>
    </row>
    <row r="20" spans="1:25" ht="15" customHeight="1" x14ac:dyDescent="0.3">
      <c r="A20" s="38"/>
      <c r="C20" s="136" t="s">
        <v>199</v>
      </c>
      <c r="D20" s="138" t="s">
        <v>24</v>
      </c>
      <c r="E20" s="138"/>
      <c r="F20" s="195">
        <v>134.550139148</v>
      </c>
      <c r="G20" s="195">
        <v>131.447</v>
      </c>
      <c r="H20" s="195"/>
      <c r="I20" s="195"/>
      <c r="J20" s="195"/>
      <c r="K20" s="195"/>
      <c r="L20" s="195"/>
      <c r="M20" s="195"/>
      <c r="O20" s="136" t="s">
        <v>199</v>
      </c>
      <c r="P20" s="138"/>
      <c r="Q20" s="138"/>
      <c r="R20" s="195">
        <v>28.033814999999997</v>
      </c>
      <c r="S20" s="195">
        <v>27.460999999999999</v>
      </c>
      <c r="T20" s="195"/>
      <c r="U20" s="195"/>
      <c r="V20" s="195"/>
      <c r="W20" s="195"/>
      <c r="X20" s="195"/>
      <c r="Y20" s="195"/>
    </row>
    <row r="21" spans="1:25" ht="15" customHeight="1" x14ac:dyDescent="0.3">
      <c r="A21" s="38"/>
      <c r="C21" s="136" t="s">
        <v>200</v>
      </c>
      <c r="D21" s="138"/>
      <c r="E21" s="138"/>
      <c r="F21" s="138"/>
      <c r="G21" s="195">
        <v>224.27717786599999</v>
      </c>
      <c r="H21" s="195"/>
      <c r="I21" s="195"/>
      <c r="J21" s="195"/>
      <c r="K21" s="195"/>
      <c r="L21" s="195"/>
      <c r="M21" s="195"/>
      <c r="O21" s="136" t="s">
        <v>200</v>
      </c>
      <c r="P21" s="138"/>
      <c r="Q21" s="138"/>
      <c r="R21" s="138"/>
      <c r="S21" s="195">
        <v>52.825034000000002</v>
      </c>
      <c r="T21" s="195"/>
      <c r="U21" s="195"/>
      <c r="V21" s="195"/>
      <c r="W21" s="195"/>
      <c r="X21" s="195"/>
      <c r="Y21" s="195"/>
    </row>
    <row r="22" spans="1:25" ht="15" customHeight="1" x14ac:dyDescent="0.3">
      <c r="A22" s="38"/>
      <c r="C22" s="1"/>
      <c r="D22" s="1"/>
      <c r="E22" s="1"/>
      <c r="F22" s="1"/>
      <c r="G22" s="1"/>
      <c r="P22" s="63"/>
      <c r="Q22" s="63"/>
      <c r="R22" s="63"/>
      <c r="S22" s="63"/>
      <c r="W22" s="139"/>
    </row>
    <row r="23" spans="1:25" ht="15" customHeight="1" x14ac:dyDescent="0.3">
      <c r="A23" s="38"/>
      <c r="C23" s="220" t="s">
        <v>21</v>
      </c>
      <c r="D23" s="825" t="s">
        <v>44</v>
      </c>
      <c r="E23" s="826"/>
      <c r="F23" s="826"/>
      <c r="G23" s="826"/>
      <c r="H23" s="826"/>
      <c r="I23" s="826"/>
      <c r="J23" s="826"/>
      <c r="K23" s="826"/>
      <c r="L23" s="826"/>
      <c r="M23" s="826"/>
      <c r="O23" s="291" t="s">
        <v>21</v>
      </c>
      <c r="P23" s="827" t="s">
        <v>263</v>
      </c>
      <c r="Q23" s="828"/>
      <c r="R23" s="828"/>
      <c r="S23" s="828"/>
      <c r="T23" s="828"/>
      <c r="U23" s="828"/>
      <c r="V23" s="828"/>
      <c r="W23" s="828"/>
      <c r="X23" s="828"/>
      <c r="Y23" s="828"/>
    </row>
    <row r="24" spans="1:25" ht="15" customHeight="1" x14ac:dyDescent="0.3">
      <c r="A24" s="38"/>
      <c r="C24" s="220"/>
      <c r="D24" s="281">
        <v>2011</v>
      </c>
      <c r="E24" s="281">
        <v>2012</v>
      </c>
      <c r="F24" s="281">
        <v>2013</v>
      </c>
      <c r="G24" s="281">
        <v>2014</v>
      </c>
      <c r="H24" s="490">
        <v>2015</v>
      </c>
      <c r="I24" s="490">
        <v>2016</v>
      </c>
      <c r="J24" s="490">
        <v>2017</v>
      </c>
      <c r="K24" s="490">
        <v>2018</v>
      </c>
      <c r="L24" s="490">
        <v>2019</v>
      </c>
      <c r="M24" s="490">
        <v>2020</v>
      </c>
      <c r="O24" s="290"/>
      <c r="P24" s="281">
        <v>2011</v>
      </c>
      <c r="Q24" s="281">
        <v>2012</v>
      </c>
      <c r="R24" s="281">
        <v>2013</v>
      </c>
      <c r="S24" s="281">
        <v>2014</v>
      </c>
      <c r="T24" s="281">
        <v>2015</v>
      </c>
      <c r="U24" s="281">
        <v>2016</v>
      </c>
      <c r="V24" s="281">
        <v>2017</v>
      </c>
      <c r="W24" s="281">
        <v>2018</v>
      </c>
      <c r="X24" s="281">
        <v>2019</v>
      </c>
      <c r="Y24" s="281">
        <v>2020</v>
      </c>
    </row>
    <row r="25" spans="1:25" ht="16.5" customHeight="1" x14ac:dyDescent="0.3">
      <c r="A25" s="38"/>
      <c r="C25" s="26">
        <v>2011</v>
      </c>
      <c r="D25" s="19"/>
      <c r="E25" s="504">
        <f t="shared" ref="E25:G25" si="0">E18/$D$18</f>
        <v>0.99929001628638425</v>
      </c>
      <c r="F25" s="504">
        <f t="shared" si="0"/>
        <v>0.99282863904027807</v>
      </c>
      <c r="G25" s="504">
        <f t="shared" si="0"/>
        <v>0.96892792913711612</v>
      </c>
      <c r="H25" s="504"/>
      <c r="I25" s="504"/>
      <c r="J25" s="504"/>
      <c r="K25" s="504"/>
      <c r="L25" s="504"/>
      <c r="M25" s="504"/>
      <c r="O25" s="496">
        <v>2011</v>
      </c>
      <c r="P25" s="497"/>
      <c r="Q25" s="499">
        <f>Q18/$P$18</f>
        <v>0.9988224315647285</v>
      </c>
      <c r="R25" s="499">
        <f>R18/$P$18</f>
        <v>0.98836976397795773</v>
      </c>
      <c r="S25" s="499">
        <f>S18/$P$18</f>
        <v>0.94809466593099267</v>
      </c>
      <c r="T25" s="499"/>
      <c r="U25" s="499"/>
      <c r="V25" s="499"/>
      <c r="W25" s="499"/>
      <c r="X25" s="499"/>
      <c r="Y25" s="499"/>
    </row>
    <row r="26" spans="1:25" ht="16.5" customHeight="1" x14ac:dyDescent="0.3">
      <c r="A26" s="38"/>
      <c r="C26" s="26">
        <v>2012</v>
      </c>
      <c r="D26" s="19"/>
      <c r="E26" s="19"/>
      <c r="F26" s="504">
        <f>F19/$E$19</f>
        <v>0.99206602658136622</v>
      </c>
      <c r="G26" s="504">
        <f>G19/$E$19</f>
        <v>0.97953462855718665</v>
      </c>
      <c r="H26" s="504"/>
      <c r="I26" s="504"/>
      <c r="J26" s="504"/>
      <c r="K26" s="504"/>
      <c r="L26" s="504"/>
      <c r="M26" s="504"/>
      <c r="O26" s="496">
        <v>2012</v>
      </c>
      <c r="P26" s="497"/>
      <c r="Q26" s="500"/>
      <c r="R26" s="499">
        <f>R19/$Q$19</f>
        <v>0.98840753583533414</v>
      </c>
      <c r="S26" s="499">
        <f>S19/$Q$19</f>
        <v>0.97279389649577308</v>
      </c>
      <c r="T26" s="499"/>
      <c r="U26" s="499"/>
      <c r="V26" s="499"/>
      <c r="W26" s="499"/>
      <c r="X26" s="499"/>
      <c r="Y26" s="499"/>
    </row>
    <row r="27" spans="1:25" ht="16.5" customHeight="1" x14ac:dyDescent="0.3">
      <c r="A27" s="38"/>
      <c r="C27" s="496">
        <v>2013</v>
      </c>
      <c r="D27" s="497"/>
      <c r="E27" s="497"/>
      <c r="F27" s="505"/>
      <c r="G27" s="506">
        <f>G20/$F$20</f>
        <v>0.97693693096380474</v>
      </c>
      <c r="H27" s="506"/>
      <c r="I27" s="506"/>
      <c r="J27" s="506"/>
      <c r="K27" s="506"/>
      <c r="L27" s="506"/>
      <c r="M27" s="506"/>
      <c r="O27" s="496">
        <v>2013</v>
      </c>
      <c r="P27" s="497"/>
      <c r="Q27" s="497"/>
      <c r="R27" s="498"/>
      <c r="S27" s="538">
        <f>S20/$R$20</f>
        <v>0.9795669979273246</v>
      </c>
      <c r="T27" s="499"/>
      <c r="U27" s="499"/>
      <c r="V27" s="499"/>
      <c r="W27" s="499"/>
      <c r="X27" s="499"/>
      <c r="Y27" s="499"/>
    </row>
    <row r="28" spans="1:25" ht="16.5" customHeight="1" x14ac:dyDescent="0.3">
      <c r="A28" s="38"/>
      <c r="C28" s="496">
        <v>2014</v>
      </c>
      <c r="D28" s="497"/>
      <c r="E28" s="497"/>
      <c r="F28" s="505"/>
      <c r="G28" s="506"/>
      <c r="H28" s="504"/>
      <c r="I28" s="504"/>
      <c r="J28" s="504"/>
      <c r="K28" s="504"/>
      <c r="L28" s="504"/>
      <c r="M28" s="504"/>
      <c r="O28" s="496">
        <v>2014</v>
      </c>
      <c r="P28" s="497"/>
      <c r="Q28" s="497"/>
      <c r="R28" s="498"/>
      <c r="S28" s="499"/>
      <c r="T28" s="502"/>
      <c r="U28" s="502"/>
      <c r="V28" s="502"/>
      <c r="W28" s="502"/>
      <c r="X28" s="502"/>
      <c r="Y28" s="502"/>
    </row>
    <row r="29" spans="1:25" ht="9" customHeight="1" x14ac:dyDescent="0.3">
      <c r="A29" s="38"/>
      <c r="C29" s="27"/>
      <c r="D29" s="277"/>
      <c r="E29" s="277"/>
      <c r="F29" s="278"/>
      <c r="G29" s="279"/>
      <c r="O29" s="27"/>
      <c r="P29" s="277"/>
      <c r="Q29" s="277"/>
      <c r="R29" s="278"/>
      <c r="S29" s="279"/>
      <c r="V29" s="139"/>
      <c r="W29" s="139"/>
    </row>
    <row r="30" spans="1:25" ht="16.5" customHeight="1" x14ac:dyDescent="0.3">
      <c r="A30" s="38"/>
      <c r="U30" s="139"/>
      <c r="V30" s="139"/>
      <c r="W30" s="139"/>
    </row>
    <row r="31" spans="1:25" ht="17.5" x14ac:dyDescent="0.3">
      <c r="A31" s="38"/>
      <c r="C31" s="154" t="s">
        <v>466</v>
      </c>
      <c r="E31" s="135"/>
      <c r="F31" s="135"/>
      <c r="G31" s="539"/>
      <c r="H31" s="539"/>
      <c r="I31" s="539"/>
      <c r="J31" s="539"/>
      <c r="K31" s="539"/>
      <c r="L31" s="539"/>
      <c r="M31" s="539"/>
      <c r="N31" s="539"/>
      <c r="O31" s="539"/>
      <c r="P31" s="539"/>
      <c r="Q31" s="539"/>
      <c r="R31" s="539"/>
      <c r="S31" s="539"/>
    </row>
    <row r="32" spans="1:25" ht="8.25" hidden="1" customHeight="1" outlineLevel="1" x14ac:dyDescent="0.3">
      <c r="D32" s="60"/>
      <c r="J32" s="135"/>
      <c r="K32" s="135"/>
      <c r="L32" s="135"/>
      <c r="M32" s="135"/>
    </row>
    <row r="33" spans="1:24" ht="17.5" hidden="1" outlineLevel="1" x14ac:dyDescent="0.3">
      <c r="C33" s="816" t="s">
        <v>21</v>
      </c>
      <c r="D33" s="813" t="s">
        <v>363</v>
      </c>
      <c r="E33" s="814"/>
      <c r="F33" s="814"/>
      <c r="G33" s="814"/>
      <c r="H33" s="814"/>
      <c r="I33" s="815"/>
      <c r="J33" s="135"/>
      <c r="K33" s="135"/>
      <c r="L33" s="135"/>
      <c r="M33" s="135"/>
      <c r="N33" s="140"/>
      <c r="O33" s="818" t="s">
        <v>21</v>
      </c>
      <c r="P33" s="819" t="s">
        <v>362</v>
      </c>
      <c r="Q33" s="820"/>
      <c r="R33" s="820"/>
      <c r="S33" s="820"/>
      <c r="T33" s="820"/>
      <c r="U33" s="820"/>
      <c r="V33" s="821"/>
      <c r="W33" s="140"/>
    </row>
    <row r="34" spans="1:24" ht="14.25" hidden="1" customHeight="1" outlineLevel="1" x14ac:dyDescent="0.3">
      <c r="C34" s="817"/>
      <c r="D34" s="156">
        <v>2015</v>
      </c>
      <c r="E34" s="156">
        <v>2016</v>
      </c>
      <c r="F34" s="156">
        <v>2017</v>
      </c>
      <c r="G34" s="156">
        <v>2018</v>
      </c>
      <c r="H34" s="158">
        <v>2019</v>
      </c>
      <c r="I34" s="156">
        <v>2020</v>
      </c>
      <c r="J34" s="135"/>
      <c r="K34" s="135"/>
      <c r="L34" s="135"/>
      <c r="M34" s="135"/>
      <c r="N34" s="141"/>
      <c r="O34" s="818"/>
      <c r="P34" s="157"/>
      <c r="Q34" s="157">
        <v>2015</v>
      </c>
      <c r="R34" s="157">
        <v>2016</v>
      </c>
      <c r="S34" s="157">
        <v>2017</v>
      </c>
      <c r="T34" s="157">
        <v>2018</v>
      </c>
      <c r="U34" s="157">
        <v>2019</v>
      </c>
      <c r="V34" s="157">
        <v>2020</v>
      </c>
      <c r="W34" s="142"/>
    </row>
    <row r="35" spans="1:24" ht="17.5" hidden="1" outlineLevel="1" x14ac:dyDescent="0.3">
      <c r="C35" s="143" t="s">
        <v>216</v>
      </c>
      <c r="D35" s="196"/>
      <c r="E35" s="197"/>
      <c r="F35" s="197"/>
      <c r="G35" s="197"/>
      <c r="H35" s="197"/>
      <c r="I35" s="197"/>
      <c r="J35" s="135"/>
      <c r="K35" s="135"/>
      <c r="L35" s="135"/>
      <c r="M35" s="135"/>
      <c r="N35" s="144"/>
      <c r="O35" s="143" t="s">
        <v>216</v>
      </c>
      <c r="P35" s="145"/>
      <c r="Q35" s="198"/>
      <c r="R35" s="198"/>
      <c r="S35" s="198"/>
      <c r="T35" s="198"/>
      <c r="U35" s="198"/>
      <c r="V35" s="198"/>
      <c r="W35" s="146"/>
    </row>
    <row r="36" spans="1:24" ht="17.5" hidden="1" outlineLevel="1" x14ac:dyDescent="0.3">
      <c r="C36" s="143" t="s">
        <v>217</v>
      </c>
      <c r="D36" s="147"/>
      <c r="E36" s="197"/>
      <c r="F36" s="197"/>
      <c r="G36" s="197"/>
      <c r="H36" s="197"/>
      <c r="I36" s="197"/>
      <c r="J36" s="135"/>
      <c r="K36" s="135"/>
      <c r="L36" s="135"/>
      <c r="M36" s="135"/>
      <c r="N36" s="144"/>
      <c r="O36" s="143" t="s">
        <v>217</v>
      </c>
      <c r="P36" s="145"/>
      <c r="Q36" s="148"/>
      <c r="R36" s="198"/>
      <c r="S36" s="198"/>
      <c r="T36" s="198"/>
      <c r="U36" s="198"/>
      <c r="V36" s="198"/>
      <c r="W36" s="146"/>
    </row>
    <row r="37" spans="1:24" ht="17.5" hidden="1" outlineLevel="1" x14ac:dyDescent="0.3">
      <c r="C37" s="143" t="s">
        <v>218</v>
      </c>
      <c r="D37" s="147"/>
      <c r="E37" s="147"/>
      <c r="F37" s="197"/>
      <c r="G37" s="197"/>
      <c r="H37" s="197"/>
      <c r="I37" s="197"/>
      <c r="J37" s="135"/>
      <c r="K37" s="135"/>
      <c r="L37" s="135"/>
      <c r="M37" s="135"/>
      <c r="N37" s="144"/>
      <c r="O37" s="143" t="s">
        <v>218</v>
      </c>
      <c r="P37" s="145"/>
      <c r="Q37" s="148"/>
      <c r="R37" s="148"/>
      <c r="S37" s="198"/>
      <c r="T37" s="198"/>
      <c r="U37" s="198"/>
      <c r="V37" s="198"/>
      <c r="W37" s="146"/>
    </row>
    <row r="38" spans="1:24" ht="17.5" hidden="1" outlineLevel="1" x14ac:dyDescent="0.3">
      <c r="C38" s="143" t="s">
        <v>219</v>
      </c>
      <c r="D38" s="147"/>
      <c r="E38" s="147"/>
      <c r="F38" s="147"/>
      <c r="G38" s="197"/>
      <c r="H38" s="197"/>
      <c r="I38" s="197"/>
      <c r="J38" s="135"/>
      <c r="K38" s="135"/>
      <c r="L38" s="135"/>
      <c r="M38" s="135"/>
      <c r="N38" s="144"/>
      <c r="O38" s="143" t="s">
        <v>219</v>
      </c>
      <c r="P38" s="145"/>
      <c r="Q38" s="148"/>
      <c r="R38" s="148"/>
      <c r="S38" s="148"/>
      <c r="T38" s="198"/>
      <c r="U38" s="198"/>
      <c r="V38" s="198"/>
      <c r="W38" s="146"/>
    </row>
    <row r="39" spans="1:24" ht="17.5" hidden="1" outlineLevel="1" x14ac:dyDescent="0.3">
      <c r="C39" s="143" t="s">
        <v>220</v>
      </c>
      <c r="D39" s="147"/>
      <c r="E39" s="147"/>
      <c r="F39" s="147"/>
      <c r="G39" s="147"/>
      <c r="H39" s="197"/>
      <c r="I39" s="197"/>
      <c r="J39" s="135"/>
      <c r="K39" s="135"/>
      <c r="L39" s="135"/>
      <c r="M39" s="135"/>
      <c r="N39" s="144"/>
      <c r="O39" s="143" t="s">
        <v>220</v>
      </c>
      <c r="P39" s="145"/>
      <c r="Q39" s="148"/>
      <c r="R39" s="148"/>
      <c r="S39" s="148"/>
      <c r="T39" s="148"/>
      <c r="U39" s="198"/>
      <c r="V39" s="198"/>
      <c r="W39" s="146"/>
    </row>
    <row r="40" spans="1:24" ht="17.5" hidden="1" outlineLevel="1" x14ac:dyDescent="0.3">
      <c r="C40" s="143" t="s">
        <v>221</v>
      </c>
      <c r="D40" s="147"/>
      <c r="E40" s="147"/>
      <c r="F40" s="147"/>
      <c r="G40" s="147"/>
      <c r="H40" s="147"/>
      <c r="I40" s="197"/>
      <c r="J40" s="135"/>
      <c r="K40" s="135"/>
      <c r="L40" s="135"/>
      <c r="M40" s="135"/>
      <c r="N40" s="144"/>
      <c r="O40" s="143" t="s">
        <v>221</v>
      </c>
      <c r="P40" s="145"/>
      <c r="Q40" s="148"/>
      <c r="R40" s="148"/>
      <c r="S40" s="148"/>
      <c r="T40" s="148"/>
      <c r="U40" s="148"/>
      <c r="V40" s="198"/>
      <c r="W40" s="146"/>
    </row>
    <row r="41" spans="1:24" ht="9.75" hidden="1" customHeight="1" outlineLevel="1" x14ac:dyDescent="0.3">
      <c r="D41" s="77"/>
      <c r="E41" s="77"/>
      <c r="F41" s="77"/>
      <c r="G41" s="77"/>
      <c r="H41" s="77"/>
      <c r="I41" s="77"/>
      <c r="J41" s="135"/>
      <c r="K41" s="135"/>
      <c r="L41" s="135"/>
      <c r="M41" s="135"/>
      <c r="N41" s="77"/>
    </row>
    <row r="42" spans="1:24" ht="14.25" hidden="1" customHeight="1" outlineLevel="1" x14ac:dyDescent="0.3">
      <c r="C42" s="816" t="s">
        <v>21</v>
      </c>
      <c r="D42" s="822" t="s">
        <v>44</v>
      </c>
      <c r="E42" s="823"/>
      <c r="F42" s="823"/>
      <c r="G42" s="823"/>
      <c r="H42" s="823"/>
      <c r="I42" s="824"/>
      <c r="J42" s="135"/>
      <c r="K42" s="135"/>
      <c r="L42" s="135"/>
      <c r="M42" s="135"/>
      <c r="O42" s="818" t="s">
        <v>21</v>
      </c>
      <c r="P42" s="825" t="s">
        <v>263</v>
      </c>
      <c r="Q42" s="826"/>
      <c r="R42" s="826"/>
      <c r="S42" s="826"/>
      <c r="T42" s="826"/>
      <c r="U42" s="826"/>
      <c r="V42" s="826"/>
      <c r="W42" s="142"/>
    </row>
    <row r="43" spans="1:24" ht="14.25" hidden="1" customHeight="1" outlineLevel="1" x14ac:dyDescent="0.3">
      <c r="A43" s="812"/>
      <c r="C43" s="817"/>
      <c r="D43" s="157">
        <v>2015</v>
      </c>
      <c r="E43" s="157">
        <v>2016</v>
      </c>
      <c r="F43" s="157">
        <v>2017</v>
      </c>
      <c r="G43" s="157">
        <v>2018</v>
      </c>
      <c r="H43" s="157">
        <v>2019</v>
      </c>
      <c r="I43" s="157">
        <v>2020</v>
      </c>
      <c r="J43" s="135"/>
      <c r="K43" s="135"/>
      <c r="L43" s="135"/>
      <c r="M43" s="135"/>
      <c r="O43" s="818"/>
      <c r="P43" s="157"/>
      <c r="Q43" s="157">
        <v>2015</v>
      </c>
      <c r="R43" s="157">
        <v>2016</v>
      </c>
      <c r="S43" s="157">
        <v>2017</v>
      </c>
      <c r="T43" s="157">
        <v>2018</v>
      </c>
      <c r="U43" s="157">
        <v>2019</v>
      </c>
      <c r="V43" s="159">
        <v>2020</v>
      </c>
      <c r="W43" s="142"/>
      <c r="X43" s="13"/>
    </row>
    <row r="44" spans="1:24" ht="17.5" hidden="1" outlineLevel="1" x14ac:dyDescent="0.3">
      <c r="A44" s="812"/>
      <c r="C44" s="143" t="s">
        <v>216</v>
      </c>
      <c r="D44" s="99"/>
      <c r="E44" s="478" t="e">
        <f>E35/$D$35</f>
        <v>#DIV/0!</v>
      </c>
      <c r="F44" s="478" t="e">
        <f>F35/$D$35</f>
        <v>#DIV/0!</v>
      </c>
      <c r="G44" s="478" t="e">
        <f>G35/$D$35</f>
        <v>#DIV/0!</v>
      </c>
      <c r="H44" s="478" t="e">
        <f>H35/$D$35</f>
        <v>#DIV/0!</v>
      </c>
      <c r="I44" s="478" t="e">
        <f>I35/$D$35</f>
        <v>#DIV/0!</v>
      </c>
      <c r="J44" s="135"/>
      <c r="K44" s="135"/>
      <c r="L44" s="135"/>
      <c r="M44" s="135"/>
      <c r="N44" s="149"/>
      <c r="O44" s="143" t="s">
        <v>216</v>
      </c>
      <c r="P44" s="145"/>
      <c r="Q44" s="99"/>
      <c r="R44" s="478" t="e">
        <f>R35/$Q$35</f>
        <v>#DIV/0!</v>
      </c>
      <c r="S44" s="478" t="e">
        <f>S35/$Q$35</f>
        <v>#DIV/0!</v>
      </c>
      <c r="T44" s="478" t="e">
        <f>T35/$Q$35</f>
        <v>#DIV/0!</v>
      </c>
      <c r="U44" s="478" t="e">
        <f>U35/$Q$35</f>
        <v>#DIV/0!</v>
      </c>
      <c r="V44" s="478" t="e">
        <f>V35/$Q$35</f>
        <v>#DIV/0!</v>
      </c>
      <c r="W44" s="150"/>
      <c r="X44" s="13"/>
    </row>
    <row r="45" spans="1:24" ht="17.5" hidden="1" outlineLevel="1" x14ac:dyDescent="0.3">
      <c r="A45" s="812"/>
      <c r="C45" s="143" t="s">
        <v>217</v>
      </c>
      <c r="D45" s="99"/>
      <c r="E45" s="478"/>
      <c r="F45" s="478" t="e">
        <f>F36/$E$36</f>
        <v>#DIV/0!</v>
      </c>
      <c r="G45" s="478" t="e">
        <f>G36/$E$36</f>
        <v>#DIV/0!</v>
      </c>
      <c r="H45" s="478" t="e">
        <f>H36/$E$36</f>
        <v>#DIV/0!</v>
      </c>
      <c r="I45" s="478" t="e">
        <f>I36/$E$36</f>
        <v>#DIV/0!</v>
      </c>
      <c r="J45" s="135"/>
      <c r="K45" s="135"/>
      <c r="L45" s="135"/>
      <c r="M45" s="135"/>
      <c r="O45" s="143" t="s">
        <v>217</v>
      </c>
      <c r="P45" s="145"/>
      <c r="Q45" s="99"/>
      <c r="R45" s="478"/>
      <c r="S45" s="478" t="e">
        <f>S36/$R$36</f>
        <v>#DIV/0!</v>
      </c>
      <c r="T45" s="478" t="e">
        <f>T36/$R$36</f>
        <v>#DIV/0!</v>
      </c>
      <c r="U45" s="478" t="e">
        <f>U36/$R$36</f>
        <v>#DIV/0!</v>
      </c>
      <c r="V45" s="478" t="e">
        <f>V36/$R$36</f>
        <v>#DIV/0!</v>
      </c>
      <c r="W45" s="142"/>
      <c r="X45" s="13"/>
    </row>
    <row r="46" spans="1:24" hidden="1" outlineLevel="1" x14ac:dyDescent="0.3">
      <c r="A46" s="812"/>
      <c r="C46" s="143" t="s">
        <v>218</v>
      </c>
      <c r="D46" s="99"/>
      <c r="E46" s="478"/>
      <c r="F46" s="478"/>
      <c r="G46" s="478" t="e">
        <f>G37/$F$37</f>
        <v>#DIV/0!</v>
      </c>
      <c r="H46" s="478" t="e">
        <f>H37/$F$37</f>
        <v>#DIV/0!</v>
      </c>
      <c r="I46" s="478" t="e">
        <f>I37/$F$37</f>
        <v>#DIV/0!</v>
      </c>
      <c r="J46" s="495"/>
      <c r="K46" s="495"/>
      <c r="L46" s="495"/>
      <c r="M46" s="495"/>
      <c r="O46" s="143" t="s">
        <v>218</v>
      </c>
      <c r="P46" s="145"/>
      <c r="Q46" s="99"/>
      <c r="R46" s="478"/>
      <c r="S46" s="478"/>
      <c r="T46" s="478" t="e">
        <f>T37/$S$37</f>
        <v>#DIV/0!</v>
      </c>
      <c r="U46" s="478" t="e">
        <f>U37/$S$37</f>
        <v>#DIV/0!</v>
      </c>
      <c r="V46" s="478" t="e">
        <f>V37/$S$37</f>
        <v>#DIV/0!</v>
      </c>
      <c r="W46" s="150"/>
      <c r="X46" s="13"/>
    </row>
    <row r="47" spans="1:24" hidden="1" outlineLevel="1" x14ac:dyDescent="0.3">
      <c r="C47" s="143" t="s">
        <v>219</v>
      </c>
      <c r="D47" s="99"/>
      <c r="E47" s="478"/>
      <c r="F47" s="478"/>
      <c r="G47" s="478"/>
      <c r="H47" s="478" t="e">
        <f>H38/$G$38</f>
        <v>#DIV/0!</v>
      </c>
      <c r="I47" s="478" t="e">
        <f>I38/$G$38</f>
        <v>#DIV/0!</v>
      </c>
      <c r="J47" s="495"/>
      <c r="K47" s="495"/>
      <c r="L47" s="495"/>
      <c r="M47" s="495"/>
      <c r="O47" s="143" t="s">
        <v>219</v>
      </c>
      <c r="P47" s="145"/>
      <c r="Q47" s="99"/>
      <c r="R47" s="478"/>
      <c r="S47" s="478"/>
      <c r="T47" s="478"/>
      <c r="U47" s="478" t="e">
        <f>U38/$T$38</f>
        <v>#DIV/0!</v>
      </c>
      <c r="V47" s="478" t="e">
        <f>V38/$T$38</f>
        <v>#DIV/0!</v>
      </c>
      <c r="W47" s="142"/>
    </row>
    <row r="48" spans="1:24" hidden="1" outlineLevel="1" x14ac:dyDescent="0.3">
      <c r="C48" s="143" t="s">
        <v>220</v>
      </c>
      <c r="D48" s="99"/>
      <c r="E48" s="478"/>
      <c r="F48" s="478"/>
      <c r="G48" s="478"/>
      <c r="H48" s="478"/>
      <c r="I48" s="478" t="e">
        <f>I39/H39</f>
        <v>#DIV/0!</v>
      </c>
      <c r="J48" s="495"/>
      <c r="K48" s="495"/>
      <c r="L48" s="495"/>
      <c r="M48" s="495"/>
      <c r="O48" s="143" t="s">
        <v>220</v>
      </c>
      <c r="P48" s="145"/>
      <c r="Q48" s="99"/>
      <c r="R48" s="478"/>
      <c r="S48" s="478"/>
      <c r="T48" s="478"/>
      <c r="U48" s="478"/>
      <c r="V48" s="478" t="e">
        <f>V39/U39</f>
        <v>#DIV/0!</v>
      </c>
      <c r="W48" s="142"/>
    </row>
    <row r="49" spans="3:4" hidden="1" outlineLevel="1" x14ac:dyDescent="0.3"/>
    <row r="50" spans="3:4" collapsed="1" x14ac:dyDescent="0.3"/>
    <row r="51" spans="3:4" x14ac:dyDescent="0.3">
      <c r="C51" s="60"/>
      <c r="D51" s="60"/>
    </row>
    <row r="52" spans="3:4" x14ac:dyDescent="0.3">
      <c r="C52" s="60"/>
      <c r="D52" s="60"/>
    </row>
    <row r="53" spans="3:4" x14ac:dyDescent="0.3">
      <c r="C53" s="60"/>
      <c r="D53" s="60"/>
    </row>
    <row r="54" spans="3:4" x14ac:dyDescent="0.3">
      <c r="C54" s="60"/>
      <c r="D54" s="60"/>
    </row>
  </sheetData>
  <mergeCells count="17">
    <mergeCell ref="D23:M23"/>
    <mergeCell ref="P23:Y23"/>
    <mergeCell ref="F10:G10"/>
    <mergeCell ref="F11:H11"/>
    <mergeCell ref="C2:U2"/>
    <mergeCell ref="F5:S5"/>
    <mergeCell ref="D16:M16"/>
    <mergeCell ref="P16:Y16"/>
    <mergeCell ref="A43:A46"/>
    <mergeCell ref="D33:I33"/>
    <mergeCell ref="C33:C34"/>
    <mergeCell ref="O33:O34"/>
    <mergeCell ref="P33:V33"/>
    <mergeCell ref="C42:C43"/>
    <mergeCell ref="D42:I42"/>
    <mergeCell ref="O42:O43"/>
    <mergeCell ref="P42:V42"/>
  </mergeCells>
  <printOptions horizontalCentered="1"/>
  <pageMargins left="0.35433070866141703" right="0.27559055118110198" top="1.25984251968504" bottom="0.511811023622047" header="0.23622047244094499" footer="0.31496062992126"/>
  <pageSetup scale="47"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Contents Navigator</vt:lpstr>
      <vt:lpstr>Input Output Flow Chart</vt:lpstr>
      <vt:lpstr>1.  LRAMVA Summary</vt:lpstr>
      <vt:lpstr>2.  CDM Allocation</vt:lpstr>
      <vt:lpstr>1.1. LRAMVA Calculations</vt:lpstr>
      <vt:lpstr>3.  Distribution Rates</vt:lpstr>
      <vt:lpstr>4.  2011-14 LRAM</vt:lpstr>
      <vt:lpstr>4.1. 2011-14 LRAM Monthly</vt:lpstr>
      <vt:lpstr>6.  Persistence Rates</vt:lpstr>
      <vt:lpstr>5.  2015 LRAM</vt:lpstr>
      <vt:lpstr>5-b. 2016 LRAM</vt:lpstr>
      <vt:lpstr>5-c.  2017 LRAM</vt:lpstr>
      <vt:lpstr>5-d.  2018 LRAM</vt:lpstr>
      <vt:lpstr>5-e.  2019 LRAM</vt:lpstr>
      <vt:lpstr>5-f.  2020 LRAM</vt:lpstr>
      <vt:lpstr>7.  Carrying Charges</vt:lpstr>
      <vt:lpstr>'1.  LRAMVA Summary'!Print_Area</vt:lpstr>
      <vt:lpstr>'1.1. LRAMVA Calculations'!Print_Area</vt:lpstr>
      <vt:lpstr>'2.  CDM Allocation'!Print_Area</vt:lpstr>
      <vt:lpstr>'3.  Distribution Rates'!Print_Area</vt:lpstr>
      <vt:lpstr>'4.  2011-14 LRAM'!Print_Area</vt:lpstr>
      <vt:lpstr>'4.1. 2011-14 LRAM Monthly'!Print_Area</vt:lpstr>
      <vt:lpstr>'5.  2015 LRAM'!Print_Area</vt:lpstr>
      <vt:lpstr>'6.  Persistence Rates'!Print_Area</vt:lpstr>
      <vt:lpstr>'7.  Carrying Charges'!Print_Area</vt:lpstr>
      <vt:lpstr>'Contents Navigator'!Print_Area</vt:lpstr>
      <vt:lpstr>'Input Output Flow Chart'!Print_Area</vt:lpstr>
      <vt:lpstr>'4.  2011-14 LRAM'!Print_Titles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Anna-Christina Crespo</cp:lastModifiedBy>
  <cp:lastPrinted>2016-08-19T22:21:41Z</cp:lastPrinted>
  <dcterms:created xsi:type="dcterms:W3CDTF">2012-03-05T18:56:04Z</dcterms:created>
  <dcterms:modified xsi:type="dcterms:W3CDTF">2016-08-19T22:26:51Z</dcterms:modified>
</cp:coreProperties>
</file>