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386" windowWidth="14700" windowHeight="11775" activeTab="1"/>
  </bookViews>
  <sheets>
    <sheet name="Test Year Forecast " sheetId="1" r:id="rId1"/>
    <sheet name="Bridge Year Forecast" sheetId="2" r:id="rId2"/>
    <sheet name="Causal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 kWH are purchased for Embedded class.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 kWH are purchased for Embedded class. </t>
        </r>
      </text>
    </comment>
  </commentList>
</comments>
</file>

<file path=xl/sharedStrings.xml><?xml version="1.0" encoding="utf-8"?>
<sst xmlns="http://schemas.openxmlformats.org/spreadsheetml/2006/main" count="324" uniqueCount="84">
  <si>
    <t>Electricity - Commodity</t>
  </si>
  <si>
    <t>Test year</t>
  </si>
  <si>
    <t>RPP and Non-RPP Cost of Power</t>
  </si>
  <si>
    <t>Total Cost Of Power</t>
  </si>
  <si>
    <t>Class per Load Forecast</t>
  </si>
  <si>
    <t>Kwhs adjusted by DLF</t>
  </si>
  <si>
    <t>RPP Prices</t>
  </si>
  <si>
    <t>HOEP</t>
  </si>
  <si>
    <t>Global Adjustment</t>
  </si>
  <si>
    <t>RPP</t>
  </si>
  <si>
    <t>Non-RPP</t>
  </si>
  <si>
    <t>RPP $</t>
  </si>
  <si>
    <t>Non-RPP $</t>
  </si>
  <si>
    <t>Billed kWh for Non-RPP Customers</t>
  </si>
  <si>
    <t>4707 - Charge - GA</t>
  </si>
  <si>
    <t>Residential</t>
  </si>
  <si>
    <t>GS&lt;50kW</t>
  </si>
  <si>
    <t>Unmetered Scattered Load</t>
  </si>
  <si>
    <t>Sentinel Lighting</t>
  </si>
  <si>
    <t>Street Lighting</t>
  </si>
  <si>
    <t>TOTAL</t>
  </si>
  <si>
    <t>Transmission - Network</t>
  </si>
  <si>
    <t>Volume</t>
  </si>
  <si>
    <t>Metric</t>
  </si>
  <si>
    <t>Test Year</t>
  </si>
  <si>
    <t>kWh</t>
  </si>
  <si>
    <t>kW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</si>
  <si>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</si>
  <si>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</si>
  <si>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</si>
  <si>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</si>
  <si>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</si>
  <si>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</si>
  <si>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</si>
  <si>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</si>
  <si>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</si>
  <si>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4751 - SME</t>
  </si>
  <si>
    <t>monthly average</t>
  </si>
  <si>
    <t xml:space="preserve">Embedded Distributor </t>
  </si>
  <si>
    <t>GS 50kW to 4999kW</t>
  </si>
  <si>
    <t>Embedded Distributor</t>
  </si>
  <si>
    <t xml:space="preserve">kW </t>
  </si>
  <si>
    <t xml:space="preserve">SME Charge </t>
  </si>
  <si>
    <t xml:space="preserve">customers </t>
  </si>
  <si>
    <t xml:space="preserve">NA </t>
  </si>
  <si>
    <t>2017 Forecasted Metered kWhs</t>
  </si>
  <si>
    <t xml:space="preserve">2017 Forecasted kW </t>
  </si>
  <si>
    <t>NA</t>
  </si>
  <si>
    <t xml:space="preserve">Wholesale Market Participants </t>
  </si>
  <si>
    <t>GS 50kW to 4999kW (excl. WMP)</t>
  </si>
  <si>
    <t xml:space="preserve">WMS billed directly by IESO </t>
  </si>
  <si>
    <t xml:space="preserve">RRP Billed Directly by IESO </t>
  </si>
  <si>
    <t>2016 Forecasted Metered kWhs</t>
  </si>
  <si>
    <t xml:space="preserve">2016 Forecasted kW </t>
  </si>
  <si>
    <t>2017  Proposed Loss Factor</t>
  </si>
  <si>
    <t>2016 Loss Factor</t>
  </si>
  <si>
    <t>%- 2015 billing stats</t>
  </si>
  <si>
    <t>%- 2015 kWh billing stats</t>
  </si>
  <si>
    <t>4006-Residential Energy Sales</t>
  </si>
  <si>
    <t>4010-Commercial Energy Sales</t>
  </si>
  <si>
    <t>4015-Industrial Energy Sales</t>
  </si>
  <si>
    <t>4020-Energy Sales to Large Users</t>
  </si>
  <si>
    <t>4025-Street Lighting Energy Sales</t>
  </si>
  <si>
    <t>4030-Sentinel Energy Sales</t>
  </si>
  <si>
    <t>4035-General Energy Sales</t>
  </si>
  <si>
    <t>4040-Other Energy Sales to Public Authorities</t>
  </si>
  <si>
    <t>4045-Energy Sales to Railroads and Railways</t>
  </si>
  <si>
    <t>4050-Revenue Adjustment</t>
  </si>
  <si>
    <t>4055-Energy Sales for Resale</t>
  </si>
  <si>
    <t>4060-Interdepartmental Energy Sales</t>
  </si>
  <si>
    <t>4062-WMS</t>
  </si>
  <si>
    <t>4076-Smart Meter Entity Charges</t>
  </si>
  <si>
    <t>4066-NW</t>
  </si>
  <si>
    <t>4068-CN</t>
  </si>
  <si>
    <t>4075-LV Charges</t>
  </si>
  <si>
    <t>Table ES‐1: Average RPP Supply Cost Summary (for the 12 months from May 1, 2016)</t>
  </si>
  <si>
    <t>RPP Supply Cost Summary</t>
  </si>
  <si>
    <t>for the period from May 1, 2016 through April 30, 2017</t>
  </si>
  <si>
    <t xml:space="preserve">Forecast Wholesale Electricity Price                                                                </t>
  </si>
  <si>
    <t xml:space="preserve">Load-Weighted Price for RPP Consumers ($ / MWh)                                                    </t>
  </si>
  <si>
    <t xml:space="preserve">Impact of the Global Adjustment ($ / MWh)                                                       +   </t>
  </si>
  <si>
    <t>Adjustment to Address Bias Towards Unfavourable Variance ($ / MWh)          +        $1.00</t>
  </si>
  <si>
    <t xml:space="preserve">Adjustment to Clear Existing Variance ($ / MWh)                                              +      </t>
  </si>
  <si>
    <t xml:space="preserve">Average Supply Cost for RPP Consumers ($ / MWh)                                            =  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</si>
</sst>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);\(#,##0.0000\)"/>
    <numFmt numFmtId="173" formatCode="#,##0.00000_);\(#,##0.00000\)"/>
    <numFmt numFmtId="174" formatCode="0.000"/>
    <numFmt numFmtId="175" formatCode="&quot;$&quot;#,##0.0000_);\(&quot;$&quot;#,##0.0000\)"/>
    <numFmt numFmtId="176" formatCode="&quot;$&quot;#,##0"/>
    <numFmt numFmtId="177" formatCode="0.00000"/>
    <numFmt numFmtId="178" formatCode="&quot;$&quot;#,##0.00000"/>
    <numFmt numFmtId="179" formatCode="#,##0.0_);\(#,##0.0\)"/>
    <numFmt numFmtId="180" formatCode="#,##0.000_);\(#,##0.000\)"/>
    <numFmt numFmtId="181" formatCode="&quot;$&quot;#,##0.00"/>
    <numFmt numFmtId="182" formatCode="_(* #,##0.0_);_(* \(#,##0.0\);_(* &quot;-&quot;??_);_(@_)"/>
    <numFmt numFmtId="183" formatCode="_(* #,##0_);_(* \(#,##0\);_(* &quot;-&quot;??_);_(@_)"/>
    <numFmt numFmtId="184" formatCode="_(* #,##0.00_);_(* \(#,##0.00\);_(* &quot;-&quot;_);_(@_)"/>
    <numFmt numFmtId="185" formatCode="&quot;$&quot;#,##0.00000_);\(&quot;$&quot;#,##0.00000\)"/>
    <numFmt numFmtId="186" formatCode="&quot;$&quot;#,##0.000000_);\(&quot;$&quot;#,##0.000000\)"/>
    <numFmt numFmtId="187" formatCode="&quot;$&quot;#,##0.000_);[Red]\(&quot;$&quot;#,##0.000\)"/>
    <numFmt numFmtId="188" formatCode="&quot;$&quot;#,##0.0000_);[Red]\(&quot;$&quot;#,##0.0000\)"/>
    <numFmt numFmtId="189" formatCode="&quot;$&quot;#,##0.00000_);[Red]\(&quot;$&quot;#,##0.00000\)"/>
    <numFmt numFmtId="190" formatCode="&quot;$&quot;#,##0.000000_);[Red]\(&quot;$&quot;#,##0.000000\)"/>
    <numFmt numFmtId="191" formatCode="&quot;$&quot;#,##0.0000000_);[Red]\(&quot;$&quot;#,##0.0000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10" xfId="55" applyNumberFormat="1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37" fontId="2" fillId="0" borderId="13" xfId="55" applyNumberFormat="1" applyBorder="1">
      <alignment/>
      <protection/>
    </xf>
    <xf numFmtId="37" fontId="3" fillId="0" borderId="14" xfId="55" applyNumberFormat="1" applyFont="1" applyBorder="1">
      <alignment/>
      <protection/>
    </xf>
    <xf numFmtId="0" fontId="3" fillId="0" borderId="15" xfId="55" applyFont="1" applyBorder="1">
      <alignment/>
      <protection/>
    </xf>
    <xf numFmtId="0" fontId="2" fillId="0" borderId="16" xfId="55" applyBorder="1">
      <alignment/>
      <protection/>
    </xf>
    <xf numFmtId="0" fontId="2" fillId="0" borderId="17" xfId="55" applyBorder="1">
      <alignment/>
      <protection/>
    </xf>
    <xf numFmtId="173" fontId="2" fillId="0" borderId="10" xfId="55" applyNumberFormat="1" applyBorder="1">
      <alignment/>
      <protection/>
    </xf>
    <xf numFmtId="0" fontId="2" fillId="0" borderId="18" xfId="55" applyBorder="1">
      <alignment/>
      <protection/>
    </xf>
    <xf numFmtId="0" fontId="3" fillId="0" borderId="19" xfId="55" applyFont="1" applyBorder="1">
      <alignment/>
      <protection/>
    </xf>
    <xf numFmtId="172" fontId="2" fillId="0" borderId="18" xfId="55" applyNumberFormat="1" applyBorder="1" applyAlignment="1">
      <alignment horizontal="center"/>
      <protection/>
    </xf>
    <xf numFmtId="0" fontId="3" fillId="0" borderId="15" xfId="55" applyFont="1" applyBorder="1" applyAlignment="1">
      <alignment horizontal="left" indent="1"/>
      <protection/>
    </xf>
    <xf numFmtId="37" fontId="2" fillId="0" borderId="11" xfId="55" applyNumberFormat="1" applyBorder="1">
      <alignment/>
      <protection/>
    </xf>
    <xf numFmtId="37" fontId="3" fillId="0" borderId="15" xfId="55" applyNumberFormat="1" applyFont="1" applyBorder="1">
      <alignment/>
      <protection/>
    </xf>
    <xf numFmtId="0" fontId="3" fillId="0" borderId="20" xfId="55" applyFont="1" applyBorder="1">
      <alignment/>
      <protection/>
    </xf>
    <xf numFmtId="0" fontId="3" fillId="0" borderId="16" xfId="55" applyFont="1" applyBorder="1" applyAlignment="1">
      <alignment horizontal="center"/>
      <protection/>
    </xf>
    <xf numFmtId="0" fontId="3" fillId="0" borderId="16" xfId="55" applyFont="1" applyBorder="1">
      <alignment/>
      <protection/>
    </xf>
    <xf numFmtId="0" fontId="4" fillId="0" borderId="15" xfId="55" applyFont="1" applyBorder="1">
      <alignment/>
      <protection/>
    </xf>
    <xf numFmtId="0" fontId="4" fillId="0" borderId="11" xfId="55" applyFont="1" applyBorder="1">
      <alignment/>
      <protection/>
    </xf>
    <xf numFmtId="0" fontId="3" fillId="0" borderId="14" xfId="55" applyFont="1" applyBorder="1" applyAlignment="1">
      <alignment horizontal="center"/>
      <protection/>
    </xf>
    <xf numFmtId="164" fontId="2" fillId="0" borderId="19" xfId="55" applyNumberFormat="1" applyBorder="1">
      <alignment/>
      <protection/>
    </xf>
    <xf numFmtId="164" fontId="2" fillId="0" borderId="13" xfId="55" applyNumberFormat="1" applyBorder="1">
      <alignment/>
      <protection/>
    </xf>
    <xf numFmtId="174" fontId="2" fillId="0" borderId="0" xfId="55" applyNumberFormat="1">
      <alignment/>
      <protection/>
    </xf>
    <xf numFmtId="175" fontId="2" fillId="33" borderId="19" xfId="55" applyNumberFormat="1" applyFill="1" applyBorder="1">
      <alignment/>
      <protection/>
    </xf>
    <xf numFmtId="175" fontId="2" fillId="33" borderId="13" xfId="55" applyNumberFormat="1" applyFill="1" applyBorder="1">
      <alignment/>
      <protection/>
    </xf>
    <xf numFmtId="175" fontId="2" fillId="33" borderId="10" xfId="55" applyNumberFormat="1" applyFill="1" applyBorder="1">
      <alignment/>
      <protection/>
    </xf>
    <xf numFmtId="164" fontId="3" fillId="0" borderId="10" xfId="55" applyNumberFormat="1" applyFont="1" applyBorder="1">
      <alignment/>
      <protection/>
    </xf>
    <xf numFmtId="164" fontId="2" fillId="0" borderId="18" xfId="55" applyNumberFormat="1" applyFill="1" applyBorder="1">
      <alignment/>
      <protection/>
    </xf>
    <xf numFmtId="164" fontId="2" fillId="0" borderId="18" xfId="55" applyNumberFormat="1" applyBorder="1">
      <alignment/>
      <protection/>
    </xf>
    <xf numFmtId="164" fontId="2" fillId="33" borderId="18" xfId="55" applyNumberFormat="1" applyFill="1" applyBorder="1">
      <alignment/>
      <protection/>
    </xf>
    <xf numFmtId="0" fontId="2" fillId="0" borderId="13" xfId="55" applyBorder="1">
      <alignment/>
      <protection/>
    </xf>
    <xf numFmtId="37" fontId="2" fillId="0" borderId="0" xfId="55" applyNumberFormat="1" applyBorder="1">
      <alignment/>
      <protection/>
    </xf>
    <xf numFmtId="0" fontId="2" fillId="0" borderId="10" xfId="55" applyBorder="1">
      <alignment/>
      <protection/>
    </xf>
    <xf numFmtId="175" fontId="2" fillId="33" borderId="15" xfId="55" applyNumberFormat="1" applyFill="1" applyBorder="1">
      <alignment/>
      <protection/>
    </xf>
    <xf numFmtId="0" fontId="3" fillId="0" borderId="15" xfId="55" applyNumberFormat="1" applyFont="1" applyBorder="1" applyAlignment="1">
      <alignment horizontal="center"/>
      <protection/>
    </xf>
    <xf numFmtId="14" fontId="3" fillId="0" borderId="20" xfId="55" applyNumberFormat="1" applyFont="1" applyBorder="1">
      <alignment/>
      <protection/>
    </xf>
    <xf numFmtId="0" fontId="2" fillId="4" borderId="15" xfId="55" applyFill="1" applyBorder="1">
      <alignment/>
      <protection/>
    </xf>
    <xf numFmtId="176" fontId="2" fillId="0" borderId="15" xfId="55" applyNumberFormat="1" applyBorder="1">
      <alignment/>
      <protection/>
    </xf>
    <xf numFmtId="164" fontId="2" fillId="0" borderId="12" xfId="55" applyNumberFormat="1" applyBorder="1">
      <alignment/>
      <protection/>
    </xf>
    <xf numFmtId="0" fontId="2" fillId="0" borderId="15" xfId="55" applyBorder="1">
      <alignment/>
      <protection/>
    </xf>
    <xf numFmtId="164" fontId="3" fillId="0" borderId="15" xfId="55" applyNumberFormat="1" applyFont="1" applyFill="1" applyBorder="1">
      <alignment/>
      <protection/>
    </xf>
    <xf numFmtId="0" fontId="3" fillId="0" borderId="0" xfId="55" applyFont="1" applyAlignment="1">
      <alignment wrapText="1"/>
      <protection/>
    </xf>
    <xf numFmtId="177" fontId="2" fillId="4" borderId="15" xfId="55" applyNumberFormat="1" applyFill="1" applyBorder="1">
      <alignment/>
      <protection/>
    </xf>
    <xf numFmtId="0" fontId="3" fillId="0" borderId="15" xfId="55" applyNumberFormat="1" applyFont="1" applyBorder="1" applyAlignment="1">
      <alignment horizontal="center" wrapText="1"/>
      <protection/>
    </xf>
    <xf numFmtId="0" fontId="3" fillId="0" borderId="16" xfId="55" applyNumberFormat="1" applyFont="1" applyBorder="1" applyAlignment="1">
      <alignment horizontal="center" wrapText="1"/>
      <protection/>
    </xf>
    <xf numFmtId="178" fontId="2" fillId="0" borderId="0" xfId="55" applyNumberFormat="1">
      <alignment/>
      <protection/>
    </xf>
    <xf numFmtId="178" fontId="2" fillId="4" borderId="15" xfId="55" applyNumberFormat="1" applyFill="1" applyBorder="1">
      <alignment/>
      <protection/>
    </xf>
    <xf numFmtId="0" fontId="42" fillId="0" borderId="0" xfId="55" applyFont="1">
      <alignment/>
      <protection/>
    </xf>
    <xf numFmtId="0" fontId="2" fillId="0" borderId="0" xfId="55" applyFill="1">
      <alignment/>
      <protection/>
    </xf>
    <xf numFmtId="3" fontId="2" fillId="16" borderId="12" xfId="55" applyNumberFormat="1" applyFill="1" applyBorder="1">
      <alignment/>
      <protection/>
    </xf>
    <xf numFmtId="0" fontId="3" fillId="0" borderId="21" xfId="55" applyFont="1" applyBorder="1" applyAlignment="1">
      <alignment horizontal="center"/>
      <protection/>
    </xf>
    <xf numFmtId="0" fontId="2" fillId="0" borderId="17" xfId="55" applyFont="1" applyFill="1" applyBorder="1">
      <alignment/>
      <protection/>
    </xf>
    <xf numFmtId="176" fontId="2" fillId="0" borderId="0" xfId="55" applyNumberFormat="1" applyFont="1">
      <alignment/>
      <protection/>
    </xf>
    <xf numFmtId="176" fontId="3" fillId="0" borderId="0" xfId="55" applyNumberFormat="1" applyFont="1">
      <alignment/>
      <protection/>
    </xf>
    <xf numFmtId="0" fontId="42" fillId="0" borderId="0" xfId="55" applyFont="1" applyFill="1">
      <alignment/>
      <protection/>
    </xf>
    <xf numFmtId="0" fontId="3" fillId="0" borderId="15" xfId="55" applyFont="1" applyBorder="1" applyAlignment="1">
      <alignment wrapText="1"/>
      <protection/>
    </xf>
    <xf numFmtId="0" fontId="2" fillId="0" borderId="15" xfId="55" applyBorder="1" applyAlignment="1">
      <alignment wrapText="1"/>
      <protection/>
    </xf>
    <xf numFmtId="176" fontId="2" fillId="0" borderId="0" xfId="55" applyNumberFormat="1" applyFont="1" applyBorder="1">
      <alignment/>
      <protection/>
    </xf>
    <xf numFmtId="0" fontId="3" fillId="0" borderId="0" xfId="55" applyFont="1" applyBorder="1" applyAlignment="1">
      <alignment horizontal="left" indent="1"/>
      <protection/>
    </xf>
    <xf numFmtId="37" fontId="3" fillId="0" borderId="0" xfId="55" applyNumberFormat="1" applyFont="1" applyBorder="1">
      <alignment/>
      <protection/>
    </xf>
    <xf numFmtId="0" fontId="3" fillId="0" borderId="0" xfId="55" applyFont="1" applyBorder="1">
      <alignment/>
      <protection/>
    </xf>
    <xf numFmtId="173" fontId="2" fillId="0" borderId="0" xfId="55" applyNumberFormat="1" applyBorder="1">
      <alignment/>
      <protection/>
    </xf>
    <xf numFmtId="164" fontId="3" fillId="0" borderId="0" xfId="55" applyNumberFormat="1" applyFont="1" applyBorder="1">
      <alignment/>
      <protection/>
    </xf>
    <xf numFmtId="172" fontId="2" fillId="0" borderId="16" xfId="55" applyNumberFormat="1" applyBorder="1">
      <alignment/>
      <protection/>
    </xf>
    <xf numFmtId="172" fontId="3" fillId="0" borderId="15" xfId="55" applyNumberFormat="1" applyFont="1" applyBorder="1">
      <alignment/>
      <protection/>
    </xf>
    <xf numFmtId="3" fontId="2" fillId="34" borderId="0" xfId="55" applyNumberFormat="1" applyFill="1">
      <alignment/>
      <protection/>
    </xf>
    <xf numFmtId="172" fontId="3" fillId="0" borderId="0" xfId="55" applyNumberFormat="1" applyFont="1" applyBorder="1">
      <alignment/>
      <protection/>
    </xf>
    <xf numFmtId="0" fontId="2" fillId="0" borderId="0" xfId="55" applyBorder="1">
      <alignment/>
      <protection/>
    </xf>
    <xf numFmtId="176" fontId="2" fillId="0" borderId="0" xfId="55" applyNumberFormat="1" applyBorder="1">
      <alignment/>
      <protection/>
    </xf>
    <xf numFmtId="164" fontId="3" fillId="0" borderId="0" xfId="55" applyNumberFormat="1" applyFont="1" applyFill="1" applyBorder="1">
      <alignment/>
      <protection/>
    </xf>
    <xf numFmtId="0" fontId="2" fillId="0" borderId="0" xfId="55" applyFill="1" applyBorder="1">
      <alignment/>
      <protection/>
    </xf>
    <xf numFmtId="9" fontId="2" fillId="0" borderId="15" xfId="59" applyFont="1" applyBorder="1" applyAlignment="1">
      <alignment/>
    </xf>
    <xf numFmtId="170" fontId="2" fillId="0" borderId="15" xfId="44" applyFont="1" applyBorder="1" applyAlignment="1">
      <alignment/>
    </xf>
    <xf numFmtId="171" fontId="0" fillId="0" borderId="0" xfId="42" applyFont="1" applyAlignment="1">
      <alignment/>
    </xf>
    <xf numFmtId="0" fontId="2" fillId="0" borderId="13" xfId="55" applyFont="1" applyBorder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Alignment="1">
      <alignment/>
    </xf>
    <xf numFmtId="37" fontId="3" fillId="0" borderId="13" xfId="55" applyNumberFormat="1" applyFont="1" applyBorder="1">
      <alignment/>
      <protection/>
    </xf>
    <xf numFmtId="37" fontId="2" fillId="7" borderId="15" xfId="55" applyNumberFormat="1" applyFill="1" applyBorder="1">
      <alignment/>
      <protection/>
    </xf>
    <xf numFmtId="37" fontId="2" fillId="7" borderId="14" xfId="55" applyNumberFormat="1" applyFill="1" applyBorder="1">
      <alignment/>
      <protection/>
    </xf>
    <xf numFmtId="172" fontId="2" fillId="7" borderId="17" xfId="55" applyNumberFormat="1" applyFill="1" applyBorder="1">
      <alignment/>
      <protection/>
    </xf>
    <xf numFmtId="37" fontId="2" fillId="7" borderId="13" xfId="55" applyNumberFormat="1" applyFill="1" applyBorder="1">
      <alignment/>
      <protection/>
    </xf>
    <xf numFmtId="171" fontId="2" fillId="0" borderId="15" xfId="59" applyNumberFormat="1" applyFont="1" applyBorder="1" applyAlignment="1">
      <alignment/>
    </xf>
    <xf numFmtId="183" fontId="2" fillId="0" borderId="0" xfId="42" applyNumberFormat="1" applyFont="1" applyAlignment="1">
      <alignment/>
    </xf>
    <xf numFmtId="184" fontId="7" fillId="0" borderId="22" xfId="56" applyNumberFormat="1" applyFont="1" applyBorder="1" applyAlignment="1">
      <alignment vertical="center"/>
      <protection/>
    </xf>
    <xf numFmtId="0" fontId="2" fillId="0" borderId="22" xfId="56" applyNumberFormat="1" applyBorder="1" applyAlignment="1">
      <alignment horizontal="left" vertical="center"/>
      <protection/>
    </xf>
    <xf numFmtId="184" fontId="0" fillId="0" borderId="0" xfId="0" applyNumberFormat="1" applyAlignment="1">
      <alignment/>
    </xf>
    <xf numFmtId="0" fontId="43" fillId="0" borderId="0" xfId="0" applyFont="1" applyAlignment="1">
      <alignment/>
    </xf>
    <xf numFmtId="0" fontId="2" fillId="0" borderId="15" xfId="55" applyFont="1" applyBorder="1" applyAlignment="1">
      <alignment wrapText="1"/>
      <protection/>
    </xf>
    <xf numFmtId="37" fontId="2" fillId="6" borderId="15" xfId="55" applyNumberFormat="1" applyFont="1" applyFill="1" applyBorder="1">
      <alignment/>
      <protection/>
    </xf>
    <xf numFmtId="172" fontId="2" fillId="0" borderId="16" xfId="55" applyNumberFormat="1" applyFont="1" applyBorder="1">
      <alignment/>
      <protection/>
    </xf>
    <xf numFmtId="177" fontId="2" fillId="4" borderId="15" xfId="55" applyNumberFormat="1" applyFont="1" applyFill="1" applyBorder="1">
      <alignment/>
      <protection/>
    </xf>
    <xf numFmtId="0" fontId="2" fillId="4" borderId="15" xfId="55" applyFont="1" applyFill="1" applyBorder="1">
      <alignment/>
      <protection/>
    </xf>
    <xf numFmtId="178" fontId="2" fillId="4" borderId="15" xfId="55" applyNumberFormat="1" applyFont="1" applyFill="1" applyBorder="1">
      <alignment/>
      <protection/>
    </xf>
    <xf numFmtId="176" fontId="2" fillId="0" borderId="15" xfId="55" applyNumberFormat="1" applyFont="1" applyBorder="1">
      <alignment/>
      <protection/>
    </xf>
    <xf numFmtId="164" fontId="2" fillId="0" borderId="12" xfId="55" applyNumberFormat="1" applyFont="1" applyBorder="1">
      <alignment/>
      <protection/>
    </xf>
    <xf numFmtId="3" fontId="2" fillId="34" borderId="0" xfId="55" applyNumberFormat="1" applyFont="1" applyFill="1">
      <alignment/>
      <protection/>
    </xf>
    <xf numFmtId="176" fontId="2" fillId="0" borderId="0" xfId="55" applyNumberFormat="1" applyFont="1">
      <alignment/>
      <protection/>
    </xf>
    <xf numFmtId="0" fontId="2" fillId="0" borderId="0" xfId="55" applyFont="1">
      <alignment/>
      <protection/>
    </xf>
    <xf numFmtId="0" fontId="2" fillId="0" borderId="10" xfId="55" applyFont="1" applyBorder="1">
      <alignment/>
      <protection/>
    </xf>
    <xf numFmtId="37" fontId="2" fillId="6" borderId="14" xfId="55" applyNumberFormat="1" applyFont="1" applyFill="1" applyBorder="1">
      <alignment/>
      <protection/>
    </xf>
    <xf numFmtId="173" fontId="2" fillId="0" borderId="10" xfId="55" applyNumberFormat="1" applyFont="1" applyBorder="1">
      <alignment/>
      <protection/>
    </xf>
    <xf numFmtId="0" fontId="2" fillId="0" borderId="15" xfId="55" applyFont="1" applyBorder="1">
      <alignment/>
      <protection/>
    </xf>
    <xf numFmtId="176" fontId="2" fillId="0" borderId="0" xfId="55" applyNumberFormat="1" applyFont="1" applyBorder="1">
      <alignment/>
      <protection/>
    </xf>
    <xf numFmtId="171" fontId="43" fillId="0" borderId="0" xfId="42" applyFont="1" applyAlignment="1">
      <alignment/>
    </xf>
    <xf numFmtId="37" fontId="43" fillId="0" borderId="0" xfId="0" applyNumberFormat="1" applyFont="1" applyAlignment="1">
      <alignment/>
    </xf>
    <xf numFmtId="173" fontId="2" fillId="0" borderId="0" xfId="55" applyNumberFormat="1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Fill="1" applyBorder="1">
      <alignment/>
      <protection/>
    </xf>
    <xf numFmtId="4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78" fontId="2" fillId="0" borderId="0" xfId="55" applyNumberFormat="1" applyFont="1">
      <alignment/>
      <protection/>
    </xf>
    <xf numFmtId="37" fontId="2" fillId="0" borderId="11" xfId="55" applyNumberFormat="1" applyFont="1" applyBorder="1">
      <alignment/>
      <protection/>
    </xf>
    <xf numFmtId="37" fontId="2" fillId="6" borderId="13" xfId="55" applyNumberFormat="1" applyFont="1" applyFill="1" applyBorder="1">
      <alignment/>
      <protection/>
    </xf>
    <xf numFmtId="175" fontId="2" fillId="33" borderId="15" xfId="55" applyNumberFormat="1" applyFont="1" applyFill="1" applyBorder="1">
      <alignment/>
      <protection/>
    </xf>
    <xf numFmtId="0" fontId="2" fillId="0" borderId="0" xfId="55" applyFont="1" applyFill="1">
      <alignment/>
      <protection/>
    </xf>
    <xf numFmtId="174" fontId="2" fillId="0" borderId="0" xfId="55" applyNumberFormat="1" applyFont="1">
      <alignment/>
      <protection/>
    </xf>
    <xf numFmtId="164" fontId="2" fillId="0" borderId="19" xfId="55" applyNumberFormat="1" applyFont="1" applyBorder="1">
      <alignment/>
      <protection/>
    </xf>
    <xf numFmtId="175" fontId="2" fillId="33" borderId="19" xfId="55" applyNumberFormat="1" applyFont="1" applyFill="1" applyBorder="1">
      <alignment/>
      <protection/>
    </xf>
    <xf numFmtId="0" fontId="2" fillId="0" borderId="16" xfId="55" applyFont="1" applyBorder="1">
      <alignment/>
      <protection/>
    </xf>
    <xf numFmtId="0" fontId="2" fillId="0" borderId="17" xfId="55" applyFont="1" applyBorder="1">
      <alignment/>
      <protection/>
    </xf>
    <xf numFmtId="164" fontId="2" fillId="0" borderId="18" xfId="55" applyNumberFormat="1" applyFont="1" applyFill="1" applyBorder="1">
      <alignment/>
      <protection/>
    </xf>
    <xf numFmtId="164" fontId="2" fillId="0" borderId="0" xfId="55" applyNumberFormat="1" applyFont="1">
      <alignment/>
      <protection/>
    </xf>
    <xf numFmtId="164" fontId="2" fillId="0" borderId="18" xfId="55" applyNumberFormat="1" applyFont="1" applyBorder="1">
      <alignment/>
      <protection/>
    </xf>
    <xf numFmtId="183" fontId="43" fillId="0" borderId="0" xfId="42" applyNumberFormat="1" applyFont="1" applyAlignment="1">
      <alignment/>
    </xf>
    <xf numFmtId="164" fontId="2" fillId="33" borderId="18" xfId="55" applyNumberFormat="1" applyFont="1" applyFill="1" applyBorder="1">
      <alignment/>
      <protection/>
    </xf>
    <xf numFmtId="0" fontId="2" fillId="0" borderId="17" xfId="55" applyFont="1" applyFill="1" applyBorder="1">
      <alignment/>
      <protection/>
    </xf>
    <xf numFmtId="3" fontId="2" fillId="16" borderId="12" xfId="55" applyNumberFormat="1" applyFont="1" applyFill="1" applyBorder="1">
      <alignment/>
      <protection/>
    </xf>
    <xf numFmtId="3" fontId="2" fillId="0" borderId="0" xfId="55" applyNumberFormat="1" applyFont="1">
      <alignment/>
      <protection/>
    </xf>
    <xf numFmtId="0" fontId="2" fillId="0" borderId="22" xfId="56" applyNumberFormat="1" applyFont="1" applyBorder="1" applyAlignment="1">
      <alignment horizontal="left" vertical="center"/>
      <protection/>
    </xf>
    <xf numFmtId="184" fontId="2" fillId="0" borderId="22" xfId="56" applyNumberFormat="1" applyFont="1" applyBorder="1" applyAlignment="1">
      <alignment vertical="center"/>
      <protection/>
    </xf>
    <xf numFmtId="170" fontId="43" fillId="0" borderId="0" xfId="44" applyFont="1" applyAlignment="1">
      <alignment/>
    </xf>
    <xf numFmtId="37" fontId="2" fillId="0" borderId="15" xfId="55" applyNumberFormat="1" applyFont="1" applyBorder="1">
      <alignment/>
      <protection/>
    </xf>
    <xf numFmtId="172" fontId="2" fillId="0" borderId="15" xfId="55" applyNumberFormat="1" applyFont="1" applyBorder="1" applyAlignment="1">
      <alignment horizontal="center"/>
      <protection/>
    </xf>
    <xf numFmtId="164" fontId="2" fillId="0" borderId="15" xfId="55" applyNumberFormat="1" applyFont="1" applyBorder="1">
      <alignment/>
      <protection/>
    </xf>
    <xf numFmtId="173" fontId="2" fillId="0" borderId="15" xfId="55" applyNumberFormat="1" applyFont="1" applyBorder="1">
      <alignment/>
      <protection/>
    </xf>
    <xf numFmtId="164" fontId="3" fillId="0" borderId="15" xfId="55" applyNumberFormat="1" applyFont="1" applyBorder="1">
      <alignment/>
      <protection/>
    </xf>
    <xf numFmtId="0" fontId="3" fillId="0" borderId="12" xfId="55" applyFont="1" applyBorder="1" applyAlignment="1">
      <alignment horizontal="left" indent="1"/>
      <protection/>
    </xf>
    <xf numFmtId="37" fontId="3" fillId="0" borderId="10" xfId="55" applyNumberFormat="1" applyFont="1" applyBorder="1">
      <alignment/>
      <protection/>
    </xf>
    <xf numFmtId="0" fontId="3" fillId="0" borderId="12" xfId="55" applyFont="1" applyBorder="1">
      <alignment/>
      <protection/>
    </xf>
    <xf numFmtId="172" fontId="2" fillId="6" borderId="15" xfId="55" applyNumberFormat="1" applyFont="1" applyFill="1" applyBorder="1">
      <alignment/>
      <protection/>
    </xf>
    <xf numFmtId="167" fontId="2" fillId="0" borderId="0" xfId="55" applyNumberFormat="1" applyFont="1">
      <alignment/>
      <protection/>
    </xf>
    <xf numFmtId="167" fontId="43" fillId="0" borderId="0" xfId="0" applyNumberFormat="1" applyFont="1" applyAlignment="1">
      <alignment/>
    </xf>
    <xf numFmtId="189" fontId="2" fillId="4" borderId="15" xfId="55" applyNumberFormat="1" applyFont="1" applyFill="1" applyBorder="1">
      <alignment/>
      <protection/>
    </xf>
    <xf numFmtId="0" fontId="3" fillId="0" borderId="11" xfId="55" applyNumberFormat="1" applyFont="1" applyBorder="1" applyAlignment="1">
      <alignment horizontal="center" wrapText="1"/>
      <protection/>
    </xf>
    <xf numFmtId="0" fontId="3" fillId="0" borderId="12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3" fillId="0" borderId="12" xfId="55" applyFont="1" applyBorder="1" applyAlignment="1">
      <alignment horizontal="center" wrapText="1"/>
      <protection/>
    </xf>
    <xf numFmtId="0" fontId="3" fillId="0" borderId="23" xfId="55" applyNumberFormat="1" applyFont="1" applyBorder="1" applyAlignment="1">
      <alignment horizontal="center"/>
      <protection/>
    </xf>
    <xf numFmtId="0" fontId="3" fillId="0" borderId="24" xfId="55" applyNumberFormat="1" applyFont="1" applyBorder="1" applyAlignment="1">
      <alignment horizontal="center"/>
      <protection/>
    </xf>
    <xf numFmtId="0" fontId="3" fillId="0" borderId="10" xfId="55" applyNumberFormat="1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 wrapText="1"/>
      <protection/>
    </xf>
    <xf numFmtId="0" fontId="3" fillId="0" borderId="14" xfId="55" applyFont="1" applyBorder="1" applyAlignment="1">
      <alignment horizontal="center" wrapText="1"/>
      <protection/>
    </xf>
    <xf numFmtId="0" fontId="3" fillId="0" borderId="25" xfId="55" applyFont="1" applyBorder="1" applyAlignment="1">
      <alignment horizontal="center"/>
      <protection/>
    </xf>
    <xf numFmtId="0" fontId="2" fillId="0" borderId="0" xfId="55" applyFont="1" applyFill="1" applyAlignment="1">
      <alignment vertical="top" wrapText="1"/>
      <protection/>
    </xf>
    <xf numFmtId="0" fontId="2" fillId="0" borderId="0" xfId="55" applyFont="1" applyFill="1" applyAlignment="1">
      <alignment vertical="top" wrapText="1"/>
      <protection/>
    </xf>
    <xf numFmtId="0" fontId="2" fillId="0" borderId="0" xfId="55" applyFill="1" applyAlignment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OEB Trial Balance - Regulatory-July24-0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RR\2016\April%2030%202016%20filing-%202015%20YE\Consumption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7%20Cost%20of%20Service\1.COS%20Models\Working%20Versions\RTSR%20Model\2016_RTSR%20MODEL_V4_0_FINALUnlock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7%20Cost%20of%20Service\1.COS%20Models\Working%20Versions\Load%20Forecast%20Model\Interrogatory%20Updates\Weather%20Normalization%20Regression%20Model%20_%20v13%20-%20Interrogatory%20Upd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Retailers"/>
      <sheetName val="Sheet2"/>
      <sheetName val="Sheet3"/>
    </sheetNames>
    <sheetDataSet>
      <sheetData sheetId="0">
        <row r="19">
          <cell r="B19">
            <v>267875642</v>
          </cell>
          <cell r="J19">
            <v>287594336</v>
          </cell>
        </row>
        <row r="20">
          <cell r="B20">
            <v>86169632</v>
          </cell>
          <cell r="J20">
            <v>100078635</v>
          </cell>
        </row>
        <row r="21">
          <cell r="B21">
            <v>35544364</v>
          </cell>
          <cell r="J21">
            <v>514679223.6</v>
          </cell>
        </row>
        <row r="24">
          <cell r="B24">
            <v>0</v>
          </cell>
          <cell r="J24">
            <v>7369714</v>
          </cell>
        </row>
        <row r="25">
          <cell r="B25">
            <v>1516114</v>
          </cell>
          <cell r="J25">
            <v>1516114</v>
          </cell>
        </row>
        <row r="26">
          <cell r="B26">
            <v>367497</v>
          </cell>
          <cell r="J26">
            <v>446247</v>
          </cell>
        </row>
        <row r="31">
          <cell r="B31">
            <v>0</v>
          </cell>
          <cell r="J31">
            <v>6792377.6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fo"/>
      <sheetName val="2. Table of Contents"/>
      <sheetName val="3. Rate Classes"/>
      <sheetName val="4. RRR Data"/>
      <sheetName val="5. UTRs and Sub-Transmission"/>
      <sheetName val="6. Historical Wholesale"/>
      <sheetName val="7. Current Wholesale"/>
      <sheetName val="8. Forecast Wholesale"/>
      <sheetName val="9. RTSR Rates to Forecast"/>
      <sheetName val="hidden1"/>
    </sheetNames>
    <sheetDataSet>
      <sheetData sheetId="8">
        <row r="39">
          <cell r="J39">
            <v>0.00798072183195665</v>
          </cell>
        </row>
        <row r="40">
          <cell r="J40">
            <v>0.007104788908596864</v>
          </cell>
        </row>
        <row r="41">
          <cell r="J41">
            <v>2.4377212057893662</v>
          </cell>
        </row>
        <row r="42">
          <cell r="J42">
            <v>0.004185015247463524</v>
          </cell>
        </row>
        <row r="43">
          <cell r="J43">
            <v>2.345358974876313</v>
          </cell>
        </row>
        <row r="44">
          <cell r="J44">
            <v>2.276352863554041</v>
          </cell>
        </row>
        <row r="45">
          <cell r="J45">
            <v>2.43772123921423</v>
          </cell>
        </row>
        <row r="50">
          <cell r="J50">
            <v>0.005823605509015484</v>
          </cell>
        </row>
        <row r="51">
          <cell r="J51">
            <v>0.005095654807022108</v>
          </cell>
        </row>
        <row r="52">
          <cell r="J52">
            <v>1.7351224610480582</v>
          </cell>
        </row>
        <row r="53">
          <cell r="J53">
            <v>0.005095657092830407</v>
          </cell>
        </row>
        <row r="54">
          <cell r="J54">
            <v>1.6018035963655741</v>
          </cell>
        </row>
        <row r="55">
          <cell r="J55">
            <v>1.620519560226308</v>
          </cell>
        </row>
        <row r="56">
          <cell r="J56">
            <v>1.7351225224911198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mbedded Distributor Forecast"/>
      <sheetName val="WMP Forecast"/>
      <sheetName val="Purchased Power Model "/>
      <sheetName val="CDM Worksheet--simple ex."/>
      <sheetName val="Negative Impact Var"/>
      <sheetName val="CDM Results"/>
      <sheetName val="HDD&amp;CDD"/>
      <sheetName val="Rate Class Energy Model"/>
      <sheetName val="Rate Class Customer Model"/>
      <sheetName val="Rate Class Load Model"/>
      <sheetName val="Change Tracking"/>
      <sheetName val="Causal"/>
    </sheetNames>
    <sheetDataSet>
      <sheetData sheetId="0">
        <row r="12">
          <cell r="L12">
            <v>36086.445153657936</v>
          </cell>
          <cell r="M12">
            <v>36432.680734342255</v>
          </cell>
        </row>
        <row r="13">
          <cell r="L13">
            <v>285034717.6266901</v>
          </cell>
          <cell r="M13">
            <v>300579328.0017745</v>
          </cell>
        </row>
        <row r="16">
          <cell r="L16">
            <v>2811.781347084759</v>
          </cell>
          <cell r="M16">
            <v>2839.8399223469046</v>
          </cell>
        </row>
        <row r="17">
          <cell r="L17">
            <v>98437152.62356113</v>
          </cell>
          <cell r="M17">
            <v>102906031.51947668</v>
          </cell>
        </row>
        <row r="21">
          <cell r="L21">
            <v>489888372.01748</v>
          </cell>
          <cell r="M21">
            <v>484255556.7874576</v>
          </cell>
        </row>
        <row r="22">
          <cell r="L22">
            <v>1261419.3062616482</v>
          </cell>
          <cell r="M22">
            <v>1246915.3043591466</v>
          </cell>
        </row>
        <row r="26">
          <cell r="L26">
            <v>48387203.082246475</v>
          </cell>
          <cell r="M26">
            <v>51013084.143145315</v>
          </cell>
        </row>
        <row r="27">
          <cell r="L27">
            <v>132259.9989334275</v>
          </cell>
          <cell r="M27">
            <v>139437.49637471305</v>
          </cell>
        </row>
        <row r="31">
          <cell r="L31">
            <v>386312.1485154677</v>
          </cell>
          <cell r="M31">
            <v>382297.1618462501</v>
          </cell>
        </row>
        <row r="32">
          <cell r="L32">
            <v>1193.69109946835</v>
          </cell>
          <cell r="M32">
            <v>1181.2849303381622</v>
          </cell>
        </row>
        <row r="36">
          <cell r="L36">
            <v>7414883.229607036</v>
          </cell>
          <cell r="M36">
            <v>7460329.3029699195</v>
          </cell>
        </row>
        <row r="37">
          <cell r="L37">
            <v>22657.408883825065</v>
          </cell>
          <cell r="M37">
            <v>22796.276919161843</v>
          </cell>
        </row>
        <row r="41">
          <cell r="L41">
            <v>1459579.915501509</v>
          </cell>
          <cell r="M41">
            <v>1405153.9196494406</v>
          </cell>
        </row>
        <row r="45">
          <cell r="L45">
            <v>6792377.6</v>
          </cell>
          <cell r="M45">
            <v>6792377.6</v>
          </cell>
        </row>
        <row r="46">
          <cell r="L46">
            <v>12397.7</v>
          </cell>
          <cell r="M46">
            <v>12397.7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0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1" sqref="D31"/>
    </sheetView>
  </sheetViews>
  <sheetFormatPr defaultColWidth="9.421875" defaultRowHeight="15"/>
  <cols>
    <col min="1" max="1" width="40.140625" style="92" bestFit="1" customWidth="1"/>
    <col min="2" max="2" width="18.421875" style="92" customWidth="1"/>
    <col min="3" max="3" width="12.57421875" style="92" customWidth="1"/>
    <col min="4" max="5" width="16.421875" style="92" bestFit="1" customWidth="1"/>
    <col min="6" max="6" width="11.28125" style="92" customWidth="1"/>
    <col min="7" max="7" width="9.421875" style="92" customWidth="1"/>
    <col min="8" max="8" width="12.57421875" style="92" customWidth="1"/>
    <col min="9" max="9" width="11.7109375" style="92" customWidth="1"/>
    <col min="10" max="10" width="11.140625" style="92" bestFit="1" customWidth="1"/>
    <col min="11" max="11" width="14.00390625" style="92" customWidth="1"/>
    <col min="12" max="12" width="16.28125" style="92" customWidth="1"/>
    <col min="13" max="13" width="18.7109375" style="92" customWidth="1"/>
    <col min="14" max="14" width="18.00390625" style="92" bestFit="1" customWidth="1"/>
    <col min="15" max="15" width="33.140625" style="92" bestFit="1" customWidth="1"/>
    <col min="16" max="18" width="9.421875" style="92" customWidth="1"/>
    <col min="19" max="19" width="18.00390625" style="92" bestFit="1" customWidth="1"/>
    <col min="20" max="16384" width="9.421875" style="92" customWidth="1"/>
  </cols>
  <sheetData>
    <row r="1" ht="12.75"/>
    <row r="2" spans="1:19" ht="15" customHeight="1">
      <c r="A2" s="21" t="s">
        <v>0</v>
      </c>
      <c r="B2" s="149" t="s">
        <v>45</v>
      </c>
      <c r="C2" s="149" t="s">
        <v>46</v>
      </c>
      <c r="D2" s="151" t="s">
        <v>54</v>
      </c>
      <c r="E2" s="18"/>
      <c r="F2" s="160" t="s">
        <v>1</v>
      </c>
      <c r="G2" s="160"/>
      <c r="H2" s="157"/>
      <c r="I2" s="156" t="s">
        <v>57</v>
      </c>
      <c r="J2" s="157"/>
      <c r="K2" s="158" t="s">
        <v>2</v>
      </c>
      <c r="L2" s="159"/>
      <c r="M2" s="59" t="s">
        <v>3</v>
      </c>
      <c r="N2" s="2"/>
      <c r="O2" s="2"/>
      <c r="P2" s="2"/>
      <c r="Q2" s="2"/>
      <c r="R2" s="2"/>
      <c r="S2" s="2"/>
    </row>
    <row r="3" spans="1:18" ht="38.25">
      <c r="A3" s="8" t="s">
        <v>4</v>
      </c>
      <c r="B3" s="150"/>
      <c r="C3" s="150"/>
      <c r="D3" s="152"/>
      <c r="E3" s="48" t="s">
        <v>5</v>
      </c>
      <c r="F3" s="47" t="s">
        <v>6</v>
      </c>
      <c r="G3" s="38" t="s">
        <v>7</v>
      </c>
      <c r="H3" s="45" t="s">
        <v>8</v>
      </c>
      <c r="I3" s="8" t="s">
        <v>9</v>
      </c>
      <c r="J3" s="39" t="s">
        <v>10</v>
      </c>
      <c r="K3" s="8" t="s">
        <v>11</v>
      </c>
      <c r="L3" s="8" t="s">
        <v>12</v>
      </c>
      <c r="M3" s="93"/>
      <c r="N3" s="2" t="s">
        <v>13</v>
      </c>
      <c r="O3" s="2" t="s">
        <v>14</v>
      </c>
      <c r="P3" s="2"/>
      <c r="Q3" s="2"/>
      <c r="R3" s="2"/>
    </row>
    <row r="4" spans="1:18" ht="12.75">
      <c r="A4" s="107" t="s">
        <v>15</v>
      </c>
      <c r="B4" s="94">
        <f>'[3]Summary'!$M$13</f>
        <v>300579328.0017745</v>
      </c>
      <c r="C4" s="94" t="s">
        <v>47</v>
      </c>
      <c r="D4" s="145">
        <v>1.032</v>
      </c>
      <c r="E4" s="95">
        <f aca="true" t="shared" si="0" ref="E4:E11">B4*D4</f>
        <v>310197866.4978313</v>
      </c>
      <c r="F4" s="96">
        <v>0.11141</v>
      </c>
      <c r="G4" s="148">
        <f aca="true" t="shared" si="1" ref="G4:G9">$H$21/1000</f>
        <v>0.01686</v>
      </c>
      <c r="H4" s="98">
        <f aca="true" t="shared" si="2" ref="H4:H9">$H$25/1000</f>
        <v>0.09086</v>
      </c>
      <c r="I4" s="75">
        <f>'[1]Total'!$B$19/'[1]Total'!$J$19</f>
        <v>0.9314357359249245</v>
      </c>
      <c r="J4" s="75">
        <f>100%-I4</f>
        <v>0.06856426407507554</v>
      </c>
      <c r="K4" s="99">
        <f>E4*I4*F4</f>
        <v>32189622.01008227</v>
      </c>
      <c r="L4" s="76">
        <f>E4*J4*(G4+H4)</f>
        <v>2291041.574119349</v>
      </c>
      <c r="M4" s="100">
        <f>K4+L4</f>
        <v>34480663.58420162</v>
      </c>
      <c r="N4" s="101">
        <f>E4*J4</f>
        <v>21268488.434082333</v>
      </c>
      <c r="O4" s="102">
        <f aca="true" t="shared" si="3" ref="O4:O9">N4*H4</f>
        <v>1932454.8591207208</v>
      </c>
      <c r="P4" s="103"/>
      <c r="Q4" s="103"/>
      <c r="R4" s="103"/>
    </row>
    <row r="5" spans="1:18" ht="12.75">
      <c r="A5" s="107" t="s">
        <v>16</v>
      </c>
      <c r="B5" s="94">
        <f>'[3]Summary'!$M$17</f>
        <v>102906031.51947668</v>
      </c>
      <c r="C5" s="94" t="s">
        <v>44</v>
      </c>
      <c r="D5" s="145">
        <f aca="true" t="shared" si="4" ref="D5:D11">D4</f>
        <v>1.032</v>
      </c>
      <c r="E5" s="95">
        <f t="shared" si="0"/>
        <v>106199024.52809994</v>
      </c>
      <c r="F5" s="96">
        <v>0.11141</v>
      </c>
      <c r="G5" s="148">
        <f t="shared" si="1"/>
        <v>0.01686</v>
      </c>
      <c r="H5" s="98">
        <f t="shared" si="2"/>
        <v>0.09086</v>
      </c>
      <c r="I5" s="75">
        <f>'[1]Total'!$B$20/'[1]Total'!$J$20</f>
        <v>0.8610192575068595</v>
      </c>
      <c r="J5" s="75">
        <f aca="true" t="shared" si="5" ref="J5:J10">100%-I5</f>
        <v>0.13898074249314052</v>
      </c>
      <c r="K5" s="99">
        <f aca="true" t="shared" si="6" ref="K5:K11">E5*I5*F5</f>
        <v>10187264.138583574</v>
      </c>
      <c r="L5" s="76">
        <f aca="true" t="shared" si="7" ref="L5:L11">E5*J5*(G5+H5)</f>
        <v>1589906.188945288</v>
      </c>
      <c r="M5" s="100">
        <f>K5+L5</f>
        <v>11777170.327528862</v>
      </c>
      <c r="N5" s="101">
        <f aca="true" t="shared" si="8" ref="N5:N11">E5*J5</f>
        <v>14759619.280962572</v>
      </c>
      <c r="O5" s="102">
        <f t="shared" si="3"/>
        <v>1341059.0078682592</v>
      </c>
      <c r="P5" s="103"/>
      <c r="Q5" s="103"/>
      <c r="R5" s="103"/>
    </row>
    <row r="6" spans="1:18" ht="12.75">
      <c r="A6" s="107" t="s">
        <v>49</v>
      </c>
      <c r="B6" s="94">
        <f>'[3]Summary'!$M$21</f>
        <v>484255556.7874576</v>
      </c>
      <c r="C6" s="94">
        <f>'[3]Summary'!$M$22</f>
        <v>1246915.3043591466</v>
      </c>
      <c r="D6" s="145">
        <f t="shared" si="4"/>
        <v>1.032</v>
      </c>
      <c r="E6" s="95">
        <f>B6*D6</f>
        <v>499751734.6046562</v>
      </c>
      <c r="F6" s="96">
        <f>$F$4</f>
        <v>0.11141</v>
      </c>
      <c r="G6" s="148">
        <f t="shared" si="1"/>
        <v>0.01686</v>
      </c>
      <c r="H6" s="98">
        <f t="shared" si="2"/>
        <v>0.09086</v>
      </c>
      <c r="I6" s="75">
        <f>'[1]Total'!$B$21/'[1]Total'!$J$21</f>
        <v>0.06906119845168741</v>
      </c>
      <c r="J6" s="75">
        <f t="shared" si="5"/>
        <v>0.9309388015483125</v>
      </c>
      <c r="K6" s="99">
        <f t="shared" si="6"/>
        <v>3845143.878957141</v>
      </c>
      <c r="L6" s="76">
        <f t="shared" si="7"/>
        <v>50115467.61688362</v>
      </c>
      <c r="M6" s="100">
        <f aca="true" t="shared" si="9" ref="M6:M11">K6+L6</f>
        <v>53960611.49584076</v>
      </c>
      <c r="N6" s="101">
        <f t="shared" si="8"/>
        <v>465238280.884549</v>
      </c>
      <c r="O6" s="102">
        <f t="shared" si="3"/>
        <v>42271550.201170124</v>
      </c>
      <c r="P6" s="103"/>
      <c r="Q6" s="103"/>
      <c r="R6" s="103"/>
    </row>
    <row r="7" spans="1:18" ht="12.75">
      <c r="A7" s="107" t="s">
        <v>17</v>
      </c>
      <c r="B7" s="94">
        <f>'[3]Summary'!$M$41</f>
        <v>1405153.9196494406</v>
      </c>
      <c r="C7" s="94" t="s">
        <v>47</v>
      </c>
      <c r="D7" s="145">
        <f t="shared" si="4"/>
        <v>1.032</v>
      </c>
      <c r="E7" s="95">
        <f t="shared" si="0"/>
        <v>1450118.8450782227</v>
      </c>
      <c r="F7" s="96">
        <f>F4</f>
        <v>0.11141</v>
      </c>
      <c r="G7" s="148">
        <f t="shared" si="1"/>
        <v>0.01686</v>
      </c>
      <c r="H7" s="98">
        <f t="shared" si="2"/>
        <v>0.09086</v>
      </c>
      <c r="I7" s="75">
        <f>'[1]Total'!$B$25/'[1]Total'!$J$25</f>
        <v>1</v>
      </c>
      <c r="J7" s="75">
        <f t="shared" si="5"/>
        <v>0</v>
      </c>
      <c r="K7" s="99">
        <f t="shared" si="6"/>
        <v>161557.7405301648</v>
      </c>
      <c r="L7" s="76">
        <f t="shared" si="7"/>
        <v>0</v>
      </c>
      <c r="M7" s="100">
        <f t="shared" si="9"/>
        <v>161557.7405301648</v>
      </c>
      <c r="N7" s="101">
        <f t="shared" si="8"/>
        <v>0</v>
      </c>
      <c r="O7" s="102">
        <f t="shared" si="3"/>
        <v>0</v>
      </c>
      <c r="P7" s="103"/>
      <c r="Q7" s="103"/>
      <c r="R7" s="103"/>
    </row>
    <row r="8" spans="1:18" ht="12.75">
      <c r="A8" s="107" t="s">
        <v>18</v>
      </c>
      <c r="B8" s="94">
        <f>'[3]Summary'!$M$31</f>
        <v>382297.1618462501</v>
      </c>
      <c r="C8" s="94">
        <f>'[3]Summary'!$M$32</f>
        <v>1181.2849303381622</v>
      </c>
      <c r="D8" s="145">
        <f t="shared" si="4"/>
        <v>1.032</v>
      </c>
      <c r="E8" s="95">
        <f t="shared" si="0"/>
        <v>394530.67102533014</v>
      </c>
      <c r="F8" s="96">
        <f>$F$4</f>
        <v>0.11141</v>
      </c>
      <c r="G8" s="148">
        <f t="shared" si="1"/>
        <v>0.01686</v>
      </c>
      <c r="H8" s="98">
        <f t="shared" si="2"/>
        <v>0.09086</v>
      </c>
      <c r="I8" s="75">
        <f>'[1]Total'!$B$26/'[1]Total'!$J$26</f>
        <v>0.8235282253998346</v>
      </c>
      <c r="J8" s="75">
        <f t="shared" si="5"/>
        <v>0.1764717746001654</v>
      </c>
      <c r="K8" s="99">
        <f t="shared" si="6"/>
        <v>36197.904843441735</v>
      </c>
      <c r="L8" s="76">
        <f t="shared" si="7"/>
        <v>7499.846398461668</v>
      </c>
      <c r="M8" s="100">
        <f t="shared" si="9"/>
        <v>43697.7512419034</v>
      </c>
      <c r="N8" s="101">
        <f t="shared" si="8"/>
        <v>69623.52765003406</v>
      </c>
      <c r="O8" s="102">
        <f t="shared" si="3"/>
        <v>6325.993722282094</v>
      </c>
      <c r="P8" s="103"/>
      <c r="Q8" s="103"/>
      <c r="R8" s="103"/>
    </row>
    <row r="9" spans="1:18" ht="12.75">
      <c r="A9" s="107" t="s">
        <v>19</v>
      </c>
      <c r="B9" s="94">
        <f>'[3]Summary'!$M$36</f>
        <v>7460329.3029699195</v>
      </c>
      <c r="C9" s="94">
        <f>'[3]Summary'!$M$37</f>
        <v>22796.276919161843</v>
      </c>
      <c r="D9" s="145">
        <f t="shared" si="4"/>
        <v>1.032</v>
      </c>
      <c r="E9" s="95">
        <f t="shared" si="0"/>
        <v>7699059.840664957</v>
      </c>
      <c r="F9" s="96">
        <f>$F$4</f>
        <v>0.11141</v>
      </c>
      <c r="G9" s="148">
        <f t="shared" si="1"/>
        <v>0.01686</v>
      </c>
      <c r="H9" s="98">
        <f t="shared" si="2"/>
        <v>0.09086</v>
      </c>
      <c r="I9" s="75">
        <f>'[1]Total'!$B$24/'[1]Total'!$J$24</f>
        <v>0</v>
      </c>
      <c r="J9" s="75">
        <f t="shared" si="5"/>
        <v>1</v>
      </c>
      <c r="K9" s="99">
        <f t="shared" si="6"/>
        <v>0</v>
      </c>
      <c r="L9" s="76">
        <f t="shared" si="7"/>
        <v>829342.726036429</v>
      </c>
      <c r="M9" s="100">
        <f t="shared" si="9"/>
        <v>829342.726036429</v>
      </c>
      <c r="N9" s="101">
        <f t="shared" si="8"/>
        <v>7699059.840664957</v>
      </c>
      <c r="O9" s="102">
        <f t="shared" si="3"/>
        <v>699536.577122818</v>
      </c>
      <c r="P9" s="103"/>
      <c r="Q9" s="103"/>
      <c r="R9" s="103"/>
    </row>
    <row r="10" spans="1:18" ht="12.75">
      <c r="A10" s="104" t="s">
        <v>48</v>
      </c>
      <c r="B10" s="105">
        <f>'[3]Summary'!$M$45</f>
        <v>6792377.6</v>
      </c>
      <c r="C10" s="105">
        <f>'[3]Summary'!$M$46</f>
        <v>12397.7</v>
      </c>
      <c r="D10" s="145">
        <f t="shared" si="4"/>
        <v>1.032</v>
      </c>
      <c r="E10" s="95">
        <f t="shared" si="0"/>
        <v>7009733.6832</v>
      </c>
      <c r="F10" s="96"/>
      <c r="G10" s="97"/>
      <c r="H10" s="98"/>
      <c r="I10" s="75">
        <f>'[1]Total'!$B$31/'[1]Total'!$J$31</f>
        <v>0</v>
      </c>
      <c r="J10" s="75">
        <f t="shared" si="5"/>
        <v>1</v>
      </c>
      <c r="K10" s="99"/>
      <c r="L10" s="76"/>
      <c r="M10" s="100"/>
      <c r="N10" s="101"/>
      <c r="O10" s="102"/>
      <c r="P10" s="103"/>
      <c r="Q10" s="103"/>
      <c r="R10" s="103"/>
    </row>
    <row r="11" spans="1:18" ht="12.75">
      <c r="A11" s="104" t="s">
        <v>38</v>
      </c>
      <c r="B11" s="105">
        <f>'[3]Summary'!$M$26</f>
        <v>51013084.143145315</v>
      </c>
      <c r="C11" s="105">
        <f>'[3]Summary'!$M$27</f>
        <v>139437.49637471305</v>
      </c>
      <c r="D11" s="145">
        <f t="shared" si="4"/>
        <v>1.032</v>
      </c>
      <c r="E11" s="95">
        <f t="shared" si="0"/>
        <v>52645502.83572597</v>
      </c>
      <c r="F11" s="96"/>
      <c r="G11" s="97"/>
      <c r="H11" s="98"/>
      <c r="I11" s="87">
        <v>0</v>
      </c>
      <c r="J11" s="75">
        <v>1</v>
      </c>
      <c r="K11" s="99">
        <f t="shared" si="6"/>
        <v>0</v>
      </c>
      <c r="L11" s="76">
        <f t="shared" si="7"/>
        <v>0</v>
      </c>
      <c r="M11" s="100">
        <f t="shared" si="9"/>
        <v>0</v>
      </c>
      <c r="N11" s="101">
        <f t="shared" si="8"/>
        <v>52645502.83572597</v>
      </c>
      <c r="P11" s="103"/>
      <c r="Q11" s="103"/>
      <c r="R11" s="103"/>
    </row>
    <row r="12" spans="1:19" ht="12.75">
      <c r="A12" s="15" t="s">
        <v>20</v>
      </c>
      <c r="B12" s="7">
        <f>SUM(B4:B11)</f>
        <v>954794158.4363198</v>
      </c>
      <c r="C12" s="7">
        <f>SUM(C4:C11)</f>
        <v>1422728.0625833597</v>
      </c>
      <c r="D12" s="18"/>
      <c r="E12" s="68">
        <f>SUM(E4:E11)</f>
        <v>985347571.506282</v>
      </c>
      <c r="F12" s="106"/>
      <c r="G12" s="107"/>
      <c r="H12" s="107"/>
      <c r="I12" s="75"/>
      <c r="J12" s="75"/>
      <c r="K12" s="99">
        <f>SUM(K4:K11)</f>
        <v>46419785.67299659</v>
      </c>
      <c r="L12" s="76">
        <f>SUM(L4:L11)</f>
        <v>54833257.95238315</v>
      </c>
      <c r="M12" s="44">
        <f>SUM(M4:M11)</f>
        <v>101253043.62537974</v>
      </c>
      <c r="N12" s="101">
        <f>SUM(N4:N11)</f>
        <v>561680574.803635</v>
      </c>
      <c r="O12" s="108">
        <f>SUM(O4:O9)</f>
        <v>46250926.6390042</v>
      </c>
      <c r="P12" s="103"/>
      <c r="Q12" s="103"/>
      <c r="R12" s="103"/>
      <c r="S12" s="57"/>
    </row>
    <row r="13" spans="1:19" ht="12.75">
      <c r="A13" s="62"/>
      <c r="B13" s="109"/>
      <c r="C13" s="110"/>
      <c r="D13" s="64"/>
      <c r="E13" s="70"/>
      <c r="F13" s="111"/>
      <c r="G13" s="112"/>
      <c r="H13" s="112"/>
      <c r="I13" s="112"/>
      <c r="J13" s="112"/>
      <c r="K13" s="108"/>
      <c r="L13" s="108"/>
      <c r="M13" s="73"/>
      <c r="O13" s="103"/>
      <c r="P13" s="103"/>
      <c r="Q13" s="103"/>
      <c r="R13" s="103"/>
      <c r="S13" s="57"/>
    </row>
    <row r="14" spans="1:4" ht="12.75">
      <c r="A14" s="113"/>
      <c r="B14" s="114"/>
      <c r="C14" s="115"/>
      <c r="D14" s="115"/>
    </row>
    <row r="15" spans="1:19" ht="12.75">
      <c r="A15" s="22" t="s">
        <v>21</v>
      </c>
      <c r="B15" s="13"/>
      <c r="C15" s="19" t="s">
        <v>22</v>
      </c>
      <c r="D15" s="20"/>
      <c r="E15" s="54">
        <v>2017</v>
      </c>
      <c r="F15" s="13"/>
      <c r="G15" s="103"/>
      <c r="H15" s="103"/>
      <c r="I15" s="103"/>
      <c r="J15" s="103"/>
      <c r="K15" s="103"/>
      <c r="L15" s="103"/>
      <c r="M15" s="103"/>
      <c r="N15" s="116"/>
      <c r="O15" s="103"/>
      <c r="P15" s="103"/>
      <c r="Q15" s="103"/>
      <c r="R15" s="103"/>
      <c r="S15" s="103"/>
    </row>
    <row r="16" spans="1:19" ht="12.75">
      <c r="A16" s="8" t="s">
        <v>4</v>
      </c>
      <c r="B16" s="3"/>
      <c r="C16" s="5" t="s">
        <v>23</v>
      </c>
      <c r="D16" s="153" t="s">
        <v>24</v>
      </c>
      <c r="E16" s="154"/>
      <c r="F16" s="155"/>
      <c r="G16" s="103"/>
      <c r="H16" s="2" t="s">
        <v>75</v>
      </c>
      <c r="I16" s="103"/>
      <c r="J16" s="103"/>
      <c r="K16" s="103"/>
      <c r="L16" s="103"/>
      <c r="M16" s="103"/>
      <c r="N16" s="103"/>
      <c r="O16" s="103"/>
      <c r="P16" s="51"/>
      <c r="Q16" s="103"/>
      <c r="R16" s="103"/>
      <c r="S16" s="103"/>
    </row>
    <row r="17" spans="1:19" ht="12.75">
      <c r="A17" s="107" t="s">
        <v>15</v>
      </c>
      <c r="B17" s="137"/>
      <c r="C17" s="138" t="s">
        <v>25</v>
      </c>
      <c r="D17" s="94">
        <f>E4</f>
        <v>310197866.4978313</v>
      </c>
      <c r="E17" s="119">
        <f>'[2]9. RTSR Rates to Forecast'!$J$39</f>
        <v>0.00798072183195665</v>
      </c>
      <c r="F17" s="139">
        <f>D17*E17</f>
        <v>2475602.8853856167</v>
      </c>
      <c r="G17" s="58"/>
      <c r="H17" s="103"/>
      <c r="I17" s="103"/>
      <c r="J17" s="103"/>
      <c r="K17" s="103"/>
      <c r="L17" s="103"/>
      <c r="M17" s="103"/>
      <c r="N17" s="120"/>
      <c r="O17" s="161"/>
      <c r="P17" s="103"/>
      <c r="Q17" s="103"/>
      <c r="R17" s="103"/>
      <c r="S17" s="103"/>
    </row>
    <row r="18" spans="1:15" ht="12.75">
      <c r="A18" s="107" t="s">
        <v>16</v>
      </c>
      <c r="B18" s="137"/>
      <c r="C18" s="138" t="s">
        <v>25</v>
      </c>
      <c r="D18" s="94">
        <f>E5</f>
        <v>106199024.52809994</v>
      </c>
      <c r="E18" s="119">
        <f>'[2]9. RTSR Rates to Forecast'!$J$40</f>
        <v>0.007104788908596864</v>
      </c>
      <c r="F18" s="139">
        <f aca="true" t="shared" si="10" ref="F18:F24">D18*E18</f>
        <v>754521.6515710508</v>
      </c>
      <c r="G18" s="120"/>
      <c r="H18" s="103" t="s">
        <v>76</v>
      </c>
      <c r="I18" s="103"/>
      <c r="J18" s="103"/>
      <c r="K18" s="103"/>
      <c r="L18" s="103"/>
      <c r="M18" s="103"/>
      <c r="N18" s="120"/>
      <c r="O18" s="161"/>
    </row>
    <row r="19" spans="1:15" ht="12.75">
      <c r="A19" s="107" t="s">
        <v>39</v>
      </c>
      <c r="B19" s="137"/>
      <c r="C19" s="138" t="s">
        <v>26</v>
      </c>
      <c r="D19" s="94">
        <f>C6</f>
        <v>1246915.3043591466</v>
      </c>
      <c r="E19" s="119">
        <f>'[2]9. RTSR Rates to Forecast'!$J$41</f>
        <v>2.4377212057893662</v>
      </c>
      <c r="F19" s="139">
        <f t="shared" si="10"/>
        <v>3039631.8792595933</v>
      </c>
      <c r="G19" s="120"/>
      <c r="H19" s="103" t="s">
        <v>77</v>
      </c>
      <c r="I19" s="103"/>
      <c r="J19" s="103"/>
      <c r="K19" s="103"/>
      <c r="L19" s="103"/>
      <c r="M19" s="103"/>
      <c r="N19" s="120"/>
      <c r="O19" s="161"/>
    </row>
    <row r="20" spans="1:15" ht="12.75">
      <c r="A20" s="107" t="s">
        <v>17</v>
      </c>
      <c r="B20" s="137"/>
      <c r="C20" s="138" t="s">
        <v>25</v>
      </c>
      <c r="D20" s="94">
        <f>E7</f>
        <v>1450118.8450782227</v>
      </c>
      <c r="E20" s="119">
        <f>'[2]9. RTSR Rates to Forecast'!$J$42</f>
        <v>0.004185015247463524</v>
      </c>
      <c r="F20" s="139">
        <f t="shared" si="10"/>
        <v>6068.769477286558</v>
      </c>
      <c r="G20" s="120"/>
      <c r="H20" s="103" t="s">
        <v>78</v>
      </c>
      <c r="I20" s="103"/>
      <c r="J20" s="103"/>
      <c r="K20" s="103"/>
      <c r="L20" s="103"/>
      <c r="M20" s="103"/>
      <c r="N20" s="120"/>
      <c r="O20" s="161"/>
    </row>
    <row r="21" spans="1:15" ht="12.75">
      <c r="A21" s="107" t="s">
        <v>18</v>
      </c>
      <c r="B21" s="137"/>
      <c r="C21" s="138" t="s">
        <v>26</v>
      </c>
      <c r="D21" s="94">
        <f>C8</f>
        <v>1181.2849303381622</v>
      </c>
      <c r="E21" s="119">
        <f>'[2]9. RTSR Rates to Forecast'!$J$44</f>
        <v>2.276352863554041</v>
      </c>
      <c r="F21" s="139">
        <f t="shared" si="10"/>
        <v>2689.0213338485114</v>
      </c>
      <c r="G21" s="120"/>
      <c r="H21" s="146">
        <v>16.86</v>
      </c>
      <c r="I21" s="103"/>
      <c r="J21" s="103"/>
      <c r="K21" s="103"/>
      <c r="L21" s="103"/>
      <c r="M21" s="146">
        <f>H21+H25</f>
        <v>107.72</v>
      </c>
      <c r="N21" s="120"/>
      <c r="O21" s="161"/>
    </row>
    <row r="22" spans="1:15" ht="12.75">
      <c r="A22" s="107" t="s">
        <v>19</v>
      </c>
      <c r="B22" s="137"/>
      <c r="C22" s="138" t="s">
        <v>26</v>
      </c>
      <c r="D22" s="94">
        <f>C9</f>
        <v>22796.276919161843</v>
      </c>
      <c r="E22" s="119">
        <f>'[2]9. RTSR Rates to Forecast'!$J$43</f>
        <v>2.345358974876313</v>
      </c>
      <c r="F22" s="139">
        <f t="shared" si="10"/>
        <v>53465.45266612198</v>
      </c>
      <c r="G22" s="121"/>
      <c r="H22" s="146" t="s">
        <v>79</v>
      </c>
      <c r="I22" s="103"/>
      <c r="J22" s="103"/>
      <c r="K22" s="103"/>
      <c r="L22" s="103"/>
      <c r="M22" s="103"/>
      <c r="N22" s="103"/>
      <c r="O22" s="103"/>
    </row>
    <row r="23" spans="1:15" ht="12.75">
      <c r="A23" s="107" t="s">
        <v>48</v>
      </c>
      <c r="B23" s="137"/>
      <c r="C23" s="138" t="s">
        <v>26</v>
      </c>
      <c r="D23" s="94">
        <f>C10</f>
        <v>12397.7</v>
      </c>
      <c r="E23" s="119">
        <f>'[2]9. RTSR Rates to Forecast'!$J$41</f>
        <v>2.4377212057893662</v>
      </c>
      <c r="F23" s="139">
        <f t="shared" si="10"/>
        <v>30222.136193014827</v>
      </c>
      <c r="G23" s="121"/>
      <c r="H23" s="146">
        <v>18.59</v>
      </c>
      <c r="I23" s="103"/>
      <c r="J23" s="103"/>
      <c r="K23" s="103"/>
      <c r="L23" s="103"/>
      <c r="M23" s="103"/>
      <c r="N23" s="103"/>
      <c r="O23" s="103"/>
    </row>
    <row r="24" spans="1:15" ht="12.75">
      <c r="A24" s="107" t="s">
        <v>40</v>
      </c>
      <c r="B24" s="137"/>
      <c r="C24" s="138" t="s">
        <v>41</v>
      </c>
      <c r="D24" s="94">
        <f>C11</f>
        <v>139437.49637471305</v>
      </c>
      <c r="E24" s="119">
        <f>'[2]9. RTSR Rates to Forecast'!$J$45</f>
        <v>2.43772123921423</v>
      </c>
      <c r="F24" s="139">
        <f t="shared" si="10"/>
        <v>339909.7464554952</v>
      </c>
      <c r="G24" s="121"/>
      <c r="H24" s="146" t="s">
        <v>80</v>
      </c>
      <c r="I24" s="103"/>
      <c r="J24" s="103"/>
      <c r="K24" s="103"/>
      <c r="L24" s="103"/>
      <c r="M24" s="103"/>
      <c r="N24" s="103"/>
      <c r="O24" s="103"/>
    </row>
    <row r="25" spans="1:15" ht="12.75">
      <c r="A25" s="142" t="s">
        <v>20</v>
      </c>
      <c r="B25" s="143"/>
      <c r="C25" s="144"/>
      <c r="D25" s="143"/>
      <c r="E25" s="106"/>
      <c r="F25" s="30">
        <f>SUM(F17:F24)</f>
        <v>6702111.542342027</v>
      </c>
      <c r="G25" s="103"/>
      <c r="H25" s="146">
        <v>90.86</v>
      </c>
      <c r="I25" s="103"/>
      <c r="J25" s="103"/>
      <c r="K25" s="103"/>
      <c r="L25" s="103"/>
      <c r="M25" s="103"/>
      <c r="N25" s="103"/>
      <c r="O25" s="103"/>
    </row>
    <row r="26" ht="12.75">
      <c r="H26" s="147" t="s">
        <v>81</v>
      </c>
    </row>
    <row r="27" spans="1:15" ht="12.75">
      <c r="A27" s="22" t="s">
        <v>27</v>
      </c>
      <c r="B27" s="13"/>
      <c r="C27" s="4" t="s">
        <v>22</v>
      </c>
      <c r="D27" s="20"/>
      <c r="E27" s="54">
        <v>2017</v>
      </c>
      <c r="F27" s="13"/>
      <c r="G27" s="103"/>
      <c r="H27" s="146" t="s">
        <v>82</v>
      </c>
      <c r="I27" s="103"/>
      <c r="J27" s="103"/>
      <c r="K27" s="103"/>
      <c r="L27" s="103"/>
      <c r="M27" s="103"/>
      <c r="N27" s="103"/>
      <c r="O27" s="103"/>
    </row>
    <row r="28" spans="1:15" ht="12.75">
      <c r="A28" s="8" t="s">
        <v>4</v>
      </c>
      <c r="B28" s="3"/>
      <c r="C28" s="5" t="s">
        <v>23</v>
      </c>
      <c r="D28" s="153" t="s">
        <v>24</v>
      </c>
      <c r="E28" s="154"/>
      <c r="F28" s="155"/>
      <c r="G28" s="103"/>
      <c r="H28" s="146">
        <v>0.97</v>
      </c>
      <c r="I28" s="103"/>
      <c r="J28" s="103"/>
      <c r="K28" s="103"/>
      <c r="L28" s="103"/>
      <c r="M28" s="103"/>
      <c r="N28" s="103"/>
      <c r="O28" s="103"/>
    </row>
    <row r="29" spans="1:15" ht="12.75">
      <c r="A29" s="107" t="s">
        <v>15</v>
      </c>
      <c r="B29" s="137"/>
      <c r="C29" s="138" t="s">
        <v>25</v>
      </c>
      <c r="D29" s="94">
        <f>E4</f>
        <v>310197866.4978313</v>
      </c>
      <c r="E29" s="119">
        <f>'[2]9. RTSR Rates to Forecast'!$J$50</f>
        <v>0.005823605509015484</v>
      </c>
      <c r="F29" s="139">
        <f>D29*E29</f>
        <v>1806470.00422162</v>
      </c>
      <c r="G29" s="103"/>
      <c r="H29" s="146" t="s">
        <v>83</v>
      </c>
      <c r="I29" s="103"/>
      <c r="J29" s="103"/>
      <c r="K29" s="103"/>
      <c r="L29" s="103"/>
      <c r="M29" s="103"/>
      <c r="N29" s="103"/>
      <c r="O29" s="103"/>
    </row>
    <row r="30" spans="1:15" ht="12.75">
      <c r="A30" s="107" t="s">
        <v>16</v>
      </c>
      <c r="B30" s="137"/>
      <c r="C30" s="138" t="s">
        <v>25</v>
      </c>
      <c r="D30" s="94">
        <f>E5</f>
        <v>106199024.52809994</v>
      </c>
      <c r="E30" s="119">
        <f>'[2]9. RTSR Rates to Forecast'!$J$51</f>
        <v>0.005095654807022108</v>
      </c>
      <c r="F30" s="139">
        <f aca="true" t="shared" si="11" ref="F30:F36">D30*E30</f>
        <v>541153.5698376712</v>
      </c>
      <c r="G30" s="103"/>
      <c r="H30" s="146">
        <v>111.41</v>
      </c>
      <c r="I30" s="103"/>
      <c r="J30" s="103"/>
      <c r="K30" s="103"/>
      <c r="L30" s="103"/>
      <c r="M30" s="103"/>
      <c r="N30" s="103"/>
      <c r="O30" s="103"/>
    </row>
    <row r="31" spans="1:15" ht="12.75">
      <c r="A31" s="107" t="s">
        <v>39</v>
      </c>
      <c r="B31" s="137"/>
      <c r="C31" s="138" t="s">
        <v>26</v>
      </c>
      <c r="D31" s="94">
        <f>C6</f>
        <v>1246915.3043591466</v>
      </c>
      <c r="E31" s="119">
        <f>'[2]9. RTSR Rates to Forecast'!$J$52</f>
        <v>1.7351224610480582</v>
      </c>
      <c r="F31" s="139">
        <f t="shared" si="11"/>
        <v>2163550.751618131</v>
      </c>
      <c r="G31" s="103"/>
      <c r="H31" s="146"/>
      <c r="I31" s="103"/>
      <c r="J31" s="103"/>
      <c r="K31" s="103"/>
      <c r="L31" s="103"/>
      <c r="M31" s="103"/>
      <c r="N31" s="103"/>
      <c r="O31" s="103"/>
    </row>
    <row r="32" spans="1:15" ht="12.75">
      <c r="A32" s="107" t="s">
        <v>17</v>
      </c>
      <c r="B32" s="137"/>
      <c r="C32" s="138" t="s">
        <v>25</v>
      </c>
      <c r="D32" s="94">
        <f>E7</f>
        <v>1450118.8450782227</v>
      </c>
      <c r="E32" s="119">
        <f>'[2]9. RTSR Rates to Forecast'!$J$53</f>
        <v>0.005095657092830407</v>
      </c>
      <c r="F32" s="139">
        <f t="shared" si="11"/>
        <v>7389.308378369884</v>
      </c>
      <c r="G32" s="121"/>
      <c r="H32" s="146"/>
      <c r="I32" s="103"/>
      <c r="J32" s="103"/>
      <c r="K32" s="103"/>
      <c r="L32" s="103"/>
      <c r="M32" s="103"/>
      <c r="N32" s="103"/>
      <c r="O32" s="103"/>
    </row>
    <row r="33" spans="1:15" ht="12.75">
      <c r="A33" s="107" t="s">
        <v>18</v>
      </c>
      <c r="B33" s="137"/>
      <c r="C33" s="138" t="s">
        <v>26</v>
      </c>
      <c r="D33" s="94">
        <f>C8</f>
        <v>1181.2849303381622</v>
      </c>
      <c r="E33" s="119">
        <f>'[2]9. RTSR Rates to Forecast'!$J$55</f>
        <v>1.620519560226308</v>
      </c>
      <c r="F33" s="139">
        <f t="shared" si="11"/>
        <v>1914.2953358135635</v>
      </c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7" ht="12.75">
      <c r="A34" s="107" t="s">
        <v>19</v>
      </c>
      <c r="B34" s="137"/>
      <c r="C34" s="138" t="s">
        <v>26</v>
      </c>
      <c r="D34" s="94">
        <f>C9</f>
        <v>22796.276919161843</v>
      </c>
      <c r="E34" s="119">
        <f>'[2]9. RTSR Rates to Forecast'!$J$54</f>
        <v>1.6018035963655741</v>
      </c>
      <c r="F34" s="139">
        <f>D34*E34</f>
        <v>36515.15835285897</v>
      </c>
      <c r="G34" s="103"/>
    </row>
    <row r="35" spans="1:7" ht="12.75">
      <c r="A35" s="107" t="s">
        <v>48</v>
      </c>
      <c r="B35" s="137"/>
      <c r="C35" s="138" t="s">
        <v>26</v>
      </c>
      <c r="D35" s="94">
        <f>C10</f>
        <v>12397.7</v>
      </c>
      <c r="E35" s="119">
        <f>'[2]9. RTSR Rates to Forecast'!$J$52</f>
        <v>1.7351224610480582</v>
      </c>
      <c r="F35" s="139">
        <f t="shared" si="11"/>
        <v>21511.527735335512</v>
      </c>
      <c r="G35" s="103"/>
    </row>
    <row r="36" spans="1:7" ht="12.75">
      <c r="A36" s="107" t="s">
        <v>40</v>
      </c>
      <c r="B36" s="137"/>
      <c r="C36" s="138" t="s">
        <v>26</v>
      </c>
      <c r="D36" s="94">
        <f>C11</f>
        <v>139437.49637471305</v>
      </c>
      <c r="E36" s="119">
        <f>'[2]9. RTSR Rates to Forecast'!$J$56</f>
        <v>1.7351225224911198</v>
      </c>
      <c r="F36" s="139">
        <f t="shared" si="11"/>
        <v>241941.1404395385</v>
      </c>
      <c r="G36" s="103"/>
    </row>
    <row r="37" spans="1:7" ht="12.75">
      <c r="A37" s="142" t="s">
        <v>20</v>
      </c>
      <c r="B37" s="143"/>
      <c r="C37" s="144"/>
      <c r="D37" s="143"/>
      <c r="E37" s="106"/>
      <c r="F37" s="30">
        <f>SUM(F29:F36)</f>
        <v>4820445.755919339</v>
      </c>
      <c r="G37" s="103"/>
    </row>
    <row r="39" spans="1:7" ht="12.75">
      <c r="A39" s="22" t="s">
        <v>28</v>
      </c>
      <c r="B39" s="13"/>
      <c r="C39" s="4" t="s">
        <v>22</v>
      </c>
      <c r="D39" s="20"/>
      <c r="E39" s="54">
        <v>2017</v>
      </c>
      <c r="F39" s="13"/>
      <c r="G39" s="103"/>
    </row>
    <row r="40" spans="1:7" ht="12.75">
      <c r="A40" s="8" t="s">
        <v>4</v>
      </c>
      <c r="B40" s="3"/>
      <c r="C40" s="5" t="s">
        <v>23</v>
      </c>
      <c r="D40" s="153" t="s">
        <v>24</v>
      </c>
      <c r="E40" s="154"/>
      <c r="F40" s="155"/>
      <c r="G40" s="103"/>
    </row>
    <row r="41" spans="1:7" ht="12.75">
      <c r="A41" s="107" t="s">
        <v>15</v>
      </c>
      <c r="B41" s="137"/>
      <c r="C41" s="138" t="s">
        <v>25</v>
      </c>
      <c r="D41" s="94">
        <f>E4</f>
        <v>310197866.4978313</v>
      </c>
      <c r="E41" s="119">
        <v>0.0036</v>
      </c>
      <c r="F41" s="139">
        <f>D41*E41</f>
        <v>1116712.3193921926</v>
      </c>
      <c r="G41" s="103"/>
    </row>
    <row r="42" spans="1:7" ht="12.75">
      <c r="A42" s="107" t="s">
        <v>16</v>
      </c>
      <c r="B42" s="137"/>
      <c r="C42" s="138" t="s">
        <v>25</v>
      </c>
      <c r="D42" s="94">
        <f>E5</f>
        <v>106199024.52809994</v>
      </c>
      <c r="E42" s="119">
        <f>E41</f>
        <v>0.0036</v>
      </c>
      <c r="F42" s="139">
        <f aca="true" t="shared" si="12" ref="F42:F48">D42*E42</f>
        <v>382316.48830115976</v>
      </c>
      <c r="G42" s="103"/>
    </row>
    <row r="43" spans="1:7" ht="12.75">
      <c r="A43" s="107" t="s">
        <v>39</v>
      </c>
      <c r="B43" s="137"/>
      <c r="C43" s="138" t="s">
        <v>26</v>
      </c>
      <c r="D43" s="94">
        <f>B6</f>
        <v>484255556.7874576</v>
      </c>
      <c r="E43" s="119">
        <f>E41</f>
        <v>0.0036</v>
      </c>
      <c r="F43" s="139">
        <f t="shared" si="12"/>
        <v>1743320.0044348473</v>
      </c>
      <c r="G43" s="51"/>
    </row>
    <row r="44" spans="1:7" ht="12.75">
      <c r="A44" s="107" t="s">
        <v>17</v>
      </c>
      <c r="B44" s="137"/>
      <c r="C44" s="138" t="s">
        <v>25</v>
      </c>
      <c r="D44" s="94">
        <f>E7</f>
        <v>1450118.8450782227</v>
      </c>
      <c r="E44" s="119">
        <f>E41</f>
        <v>0.0036</v>
      </c>
      <c r="F44" s="139">
        <f t="shared" si="12"/>
        <v>5220.427842281601</v>
      </c>
      <c r="G44" s="103"/>
    </row>
    <row r="45" spans="1:7" ht="12.75">
      <c r="A45" s="107" t="s">
        <v>18</v>
      </c>
      <c r="B45" s="137"/>
      <c r="C45" s="138" t="s">
        <v>26</v>
      </c>
      <c r="D45" s="94">
        <f>E8</f>
        <v>394530.67102533014</v>
      </c>
      <c r="E45" s="119">
        <f>E41</f>
        <v>0.0036</v>
      </c>
      <c r="F45" s="139">
        <f t="shared" si="12"/>
        <v>1420.3104156911884</v>
      </c>
      <c r="G45" s="103"/>
    </row>
    <row r="46" spans="1:7" ht="12.75">
      <c r="A46" s="107" t="s">
        <v>19</v>
      </c>
      <c r="B46" s="137"/>
      <c r="C46" s="138" t="s">
        <v>26</v>
      </c>
      <c r="D46" s="94">
        <f>E9</f>
        <v>7699059.840664957</v>
      </c>
      <c r="E46" s="119">
        <f>E41</f>
        <v>0.0036</v>
      </c>
      <c r="F46" s="139">
        <f t="shared" si="12"/>
        <v>27716.615426393844</v>
      </c>
      <c r="G46" s="103"/>
    </row>
    <row r="47" spans="1:7" ht="12.75">
      <c r="A47" s="107" t="s">
        <v>48</v>
      </c>
      <c r="B47" s="17" t="s">
        <v>50</v>
      </c>
      <c r="C47" s="138" t="s">
        <v>26</v>
      </c>
      <c r="D47" s="94">
        <v>0</v>
      </c>
      <c r="E47" s="119">
        <v>0</v>
      </c>
      <c r="F47" s="139">
        <v>0</v>
      </c>
      <c r="G47" s="103"/>
    </row>
    <row r="48" spans="1:7" ht="12.75">
      <c r="A48" s="107" t="s">
        <v>40</v>
      </c>
      <c r="B48" s="137"/>
      <c r="C48" s="138" t="s">
        <v>26</v>
      </c>
      <c r="D48" s="94">
        <v>0</v>
      </c>
      <c r="E48" s="119">
        <v>0</v>
      </c>
      <c r="F48" s="139">
        <f t="shared" si="12"/>
        <v>0</v>
      </c>
      <c r="G48" s="103"/>
    </row>
    <row r="49" spans="1:7" ht="12.75">
      <c r="A49" s="142" t="s">
        <v>20</v>
      </c>
      <c r="B49" s="143"/>
      <c r="C49" s="144"/>
      <c r="D49" s="143"/>
      <c r="E49" s="106"/>
      <c r="F49" s="30">
        <f>SUM(F41:F48)</f>
        <v>3276706.1658125664</v>
      </c>
      <c r="G49" s="103"/>
    </row>
    <row r="51" spans="1:7" ht="12.75">
      <c r="A51" s="22" t="s">
        <v>29</v>
      </c>
      <c r="B51" s="13"/>
      <c r="C51" s="4" t="s">
        <v>22</v>
      </c>
      <c r="D51" s="20"/>
      <c r="E51" s="54">
        <v>2017</v>
      </c>
      <c r="F51" s="13"/>
      <c r="G51" s="103"/>
    </row>
    <row r="52" spans="1:7" ht="12.75">
      <c r="A52" s="8" t="s">
        <v>4</v>
      </c>
      <c r="B52" s="3"/>
      <c r="C52" s="5" t="s">
        <v>23</v>
      </c>
      <c r="D52" s="153" t="s">
        <v>24</v>
      </c>
      <c r="E52" s="154"/>
      <c r="F52" s="155"/>
      <c r="G52" s="103"/>
    </row>
    <row r="53" spans="1:7" ht="12.75">
      <c r="A53" s="107" t="s">
        <v>15</v>
      </c>
      <c r="B53" s="137"/>
      <c r="C53" s="138" t="s">
        <v>25</v>
      </c>
      <c r="D53" s="118">
        <f>E4</f>
        <v>310197866.4978313</v>
      </c>
      <c r="E53" s="123">
        <v>0.0013</v>
      </c>
      <c r="F53" s="122">
        <f>D53*E53</f>
        <v>403257.22644718067</v>
      </c>
      <c r="G53" s="103"/>
    </row>
    <row r="54" spans="1:7" ht="12.75">
      <c r="A54" s="107" t="s">
        <v>16</v>
      </c>
      <c r="B54" s="137"/>
      <c r="C54" s="138" t="s">
        <v>25</v>
      </c>
      <c r="D54" s="118">
        <f>E5</f>
        <v>106199024.52809994</v>
      </c>
      <c r="E54" s="123">
        <v>0.0013</v>
      </c>
      <c r="F54" s="122">
        <f aca="true" t="shared" si="13" ref="F54:F60">D54*E54</f>
        <v>138058.73188652992</v>
      </c>
      <c r="G54" s="103"/>
    </row>
    <row r="55" spans="1:7" ht="12.75">
      <c r="A55" s="107" t="s">
        <v>39</v>
      </c>
      <c r="B55" s="137"/>
      <c r="C55" s="138" t="s">
        <v>26</v>
      </c>
      <c r="D55" s="118">
        <f>B6</f>
        <v>484255556.7874576</v>
      </c>
      <c r="E55" s="123">
        <v>0.0013</v>
      </c>
      <c r="F55" s="122">
        <f t="shared" si="13"/>
        <v>629532.2238236949</v>
      </c>
      <c r="G55" s="51"/>
    </row>
    <row r="56" spans="1:7" ht="12.75">
      <c r="A56" s="107" t="s">
        <v>17</v>
      </c>
      <c r="B56" s="137"/>
      <c r="C56" s="138" t="s">
        <v>25</v>
      </c>
      <c r="D56" s="118">
        <f>E7</f>
        <v>1450118.8450782227</v>
      </c>
      <c r="E56" s="123">
        <v>0.0013</v>
      </c>
      <c r="F56" s="122">
        <f t="shared" si="13"/>
        <v>1885.1544986016895</v>
      </c>
      <c r="G56" s="103"/>
    </row>
    <row r="57" spans="1:7" ht="12.75">
      <c r="A57" s="107" t="s">
        <v>18</v>
      </c>
      <c r="B57" s="137"/>
      <c r="C57" s="138" t="s">
        <v>26</v>
      </c>
      <c r="D57" s="118">
        <f>E8</f>
        <v>394530.67102533014</v>
      </c>
      <c r="E57" s="123">
        <v>0.0013</v>
      </c>
      <c r="F57" s="122">
        <f t="shared" si="13"/>
        <v>512.8898723329291</v>
      </c>
      <c r="G57" s="103"/>
    </row>
    <row r="58" spans="1:7" ht="12.75">
      <c r="A58" s="107" t="s">
        <v>19</v>
      </c>
      <c r="B58" s="137"/>
      <c r="C58" s="138" t="s">
        <v>26</v>
      </c>
      <c r="D58" s="118">
        <f>E9</f>
        <v>7699059.840664957</v>
      </c>
      <c r="E58" s="123">
        <v>0.0013</v>
      </c>
      <c r="F58" s="122">
        <f t="shared" si="13"/>
        <v>10008.777792864443</v>
      </c>
      <c r="G58" s="103"/>
    </row>
    <row r="59" spans="1:7" ht="12.75">
      <c r="A59" s="107" t="s">
        <v>48</v>
      </c>
      <c r="B59" s="17" t="s">
        <v>51</v>
      </c>
      <c r="C59" s="138" t="s">
        <v>26</v>
      </c>
      <c r="D59" s="118">
        <v>0</v>
      </c>
      <c r="E59" s="123">
        <v>0</v>
      </c>
      <c r="F59" s="122">
        <v>0</v>
      </c>
      <c r="G59" s="103"/>
    </row>
    <row r="60" spans="1:7" ht="12.75">
      <c r="A60" s="107" t="s">
        <v>40</v>
      </c>
      <c r="B60" s="137"/>
      <c r="C60" s="138" t="s">
        <v>26</v>
      </c>
      <c r="D60" s="118">
        <v>0</v>
      </c>
      <c r="E60" s="123">
        <v>0.0013</v>
      </c>
      <c r="F60" s="122">
        <f t="shared" si="13"/>
        <v>0</v>
      </c>
      <c r="G60" s="103"/>
    </row>
    <row r="61" spans="1:7" ht="12.75">
      <c r="A61" s="15" t="s">
        <v>20</v>
      </c>
      <c r="B61" s="7"/>
      <c r="C61" s="8"/>
      <c r="D61" s="7"/>
      <c r="E61" s="106"/>
      <c r="F61" s="30">
        <f>SUM(F53:F60)</f>
        <v>1183255.0043212047</v>
      </c>
      <c r="G61" s="103"/>
    </row>
    <row r="62" spans="1:7" ht="12.75">
      <c r="A62" s="62"/>
      <c r="B62" s="63"/>
      <c r="C62" s="64"/>
      <c r="D62" s="63"/>
      <c r="E62" s="111"/>
      <c r="F62" s="66"/>
      <c r="G62" s="103"/>
    </row>
    <row r="63" spans="1:7" ht="12.75">
      <c r="A63" s="62"/>
      <c r="B63" s="63"/>
      <c r="C63" s="64"/>
      <c r="D63" s="63"/>
      <c r="E63" s="111"/>
      <c r="F63" s="66"/>
      <c r="G63" s="103"/>
    </row>
    <row r="64" spans="1:7" ht="12.75">
      <c r="A64" s="22" t="s">
        <v>42</v>
      </c>
      <c r="B64" s="13"/>
      <c r="C64" s="4" t="s">
        <v>22</v>
      </c>
      <c r="D64" s="20"/>
      <c r="E64" s="54">
        <v>2017</v>
      </c>
      <c r="F64" s="13"/>
      <c r="G64" s="103"/>
    </row>
    <row r="65" spans="1:7" ht="12.75">
      <c r="A65" s="8" t="s">
        <v>4</v>
      </c>
      <c r="B65" s="3"/>
      <c r="C65" s="5" t="s">
        <v>23</v>
      </c>
      <c r="D65" s="153" t="s">
        <v>24</v>
      </c>
      <c r="E65" s="154"/>
      <c r="F65" s="155"/>
      <c r="G65" s="103"/>
    </row>
    <row r="66" spans="1:7" ht="12.75">
      <c r="A66" s="107" t="s">
        <v>15</v>
      </c>
      <c r="B66" s="137"/>
      <c r="C66" s="138" t="s">
        <v>43</v>
      </c>
      <c r="D66" s="94">
        <f>'[3]Summary'!$M$12</f>
        <v>36432.680734342255</v>
      </c>
      <c r="E66" s="119">
        <v>0.79</v>
      </c>
      <c r="F66" s="139">
        <f>D66*E66*12</f>
        <v>345381.8133615646</v>
      </c>
      <c r="G66" s="103"/>
    </row>
    <row r="67" spans="1:7" ht="12.75">
      <c r="A67" s="107" t="s">
        <v>16</v>
      </c>
      <c r="B67" s="137"/>
      <c r="C67" s="138" t="s">
        <v>43</v>
      </c>
      <c r="D67" s="94">
        <f>'[3]Summary'!$M$16</f>
        <v>2839.8399223469046</v>
      </c>
      <c r="E67" s="119">
        <v>0.79</v>
      </c>
      <c r="F67" s="139">
        <f>D67*E67*12</f>
        <v>26921.682463848658</v>
      </c>
      <c r="G67" s="103"/>
    </row>
    <row r="68" spans="1:7" ht="12.75">
      <c r="A68" s="107" t="s">
        <v>39</v>
      </c>
      <c r="B68" s="137"/>
      <c r="C68" s="138" t="s">
        <v>44</v>
      </c>
      <c r="D68" s="94"/>
      <c r="E68" s="119"/>
      <c r="F68" s="139"/>
      <c r="G68" s="51"/>
    </row>
    <row r="69" spans="1:7" ht="12.75">
      <c r="A69" s="107" t="s">
        <v>17</v>
      </c>
      <c r="B69" s="137"/>
      <c r="C69" s="138" t="s">
        <v>44</v>
      </c>
      <c r="D69" s="94"/>
      <c r="E69" s="119"/>
      <c r="F69" s="139"/>
      <c r="G69" s="103"/>
    </row>
    <row r="70" spans="1:7" ht="12.75">
      <c r="A70" s="107" t="s">
        <v>18</v>
      </c>
      <c r="B70" s="137"/>
      <c r="C70" s="138" t="s">
        <v>44</v>
      </c>
      <c r="D70" s="94"/>
      <c r="E70" s="119"/>
      <c r="F70" s="139"/>
      <c r="G70" s="103"/>
    </row>
    <row r="71" spans="1:7" ht="12.75">
      <c r="A71" s="107" t="s">
        <v>19</v>
      </c>
      <c r="B71" s="137"/>
      <c r="C71" s="138" t="s">
        <v>44</v>
      </c>
      <c r="D71" s="94"/>
      <c r="E71" s="119"/>
      <c r="F71" s="139"/>
      <c r="G71" s="103"/>
    </row>
    <row r="72" spans="1:7" ht="12.75">
      <c r="A72" s="107" t="s">
        <v>48</v>
      </c>
      <c r="B72" s="137"/>
      <c r="C72" s="138"/>
      <c r="D72" s="94"/>
      <c r="E72" s="119"/>
      <c r="F72" s="139"/>
      <c r="G72" s="103"/>
    </row>
    <row r="73" spans="1:7" ht="12.75">
      <c r="A73" s="107" t="s">
        <v>40</v>
      </c>
      <c r="B73" s="137"/>
      <c r="C73" s="138" t="s">
        <v>44</v>
      </c>
      <c r="D73" s="94"/>
      <c r="E73" s="119"/>
      <c r="F73" s="139"/>
      <c r="G73" s="103"/>
    </row>
    <row r="74" spans="1:7" ht="12.75">
      <c r="A74" s="15" t="s">
        <v>20</v>
      </c>
      <c r="B74" s="17"/>
      <c r="C74" s="8"/>
      <c r="D74" s="17"/>
      <c r="E74" s="140"/>
      <c r="F74" s="141">
        <f>SUM(F66:F73)</f>
        <v>372303.49582541327</v>
      </c>
      <c r="G74" s="103"/>
    </row>
    <row r="76" spans="1:7" ht="12.75">
      <c r="A76" s="19">
        <v>2016</v>
      </c>
      <c r="B76" s="23" t="s">
        <v>24</v>
      </c>
      <c r="C76" s="103"/>
      <c r="D76" s="103"/>
      <c r="E76" s="103"/>
      <c r="F76" s="103"/>
      <c r="G76" s="103"/>
    </row>
    <row r="77" spans="1:7" ht="12.75">
      <c r="A77" s="124"/>
      <c r="B77" s="117"/>
      <c r="C77" s="103"/>
      <c r="D77" s="103"/>
      <c r="E77" s="103"/>
      <c r="F77" s="103"/>
      <c r="G77" s="103"/>
    </row>
    <row r="78" spans="1:7" ht="12.75">
      <c r="A78" s="125" t="s">
        <v>30</v>
      </c>
      <c r="B78" s="126">
        <f>M12</f>
        <v>101253043.62537974</v>
      </c>
      <c r="C78" s="88"/>
      <c r="D78" s="127"/>
      <c r="E78" s="103"/>
      <c r="F78" s="103"/>
      <c r="G78" s="103"/>
    </row>
    <row r="79" spans="1:4" ht="12.75">
      <c r="A79" s="125" t="s">
        <v>31</v>
      </c>
      <c r="B79" s="128">
        <f>F49</f>
        <v>3276706.1658125664</v>
      </c>
      <c r="C79" s="129"/>
      <c r="D79" s="127"/>
    </row>
    <row r="80" spans="1:4" ht="12.75">
      <c r="A80" s="125" t="s">
        <v>32</v>
      </c>
      <c r="B80" s="128">
        <f>F25</f>
        <v>6702111.542342027</v>
      </c>
      <c r="C80" s="129"/>
      <c r="D80" s="127"/>
    </row>
    <row r="81" spans="1:4" ht="12.75">
      <c r="A81" s="125" t="s">
        <v>33</v>
      </c>
      <c r="B81" s="128">
        <f>F37</f>
        <v>4820445.755919339</v>
      </c>
      <c r="C81" s="129"/>
      <c r="D81" s="127"/>
    </row>
    <row r="82" spans="1:4" ht="12.75">
      <c r="A82" s="125" t="s">
        <v>34</v>
      </c>
      <c r="B82" s="128">
        <f>F61</f>
        <v>1183255.0043212047</v>
      </c>
      <c r="D82" s="127"/>
    </row>
    <row r="83" spans="1:4" ht="12.75">
      <c r="A83" s="125" t="s">
        <v>35</v>
      </c>
      <c r="B83" s="130">
        <v>0</v>
      </c>
      <c r="D83" s="127"/>
    </row>
    <row r="84" spans="1:4" ht="12.75">
      <c r="A84" s="131" t="s">
        <v>36</v>
      </c>
      <c r="B84" s="132">
        <f>F74</f>
        <v>372303.49582541327</v>
      </c>
      <c r="C84" s="129"/>
      <c r="D84" s="127"/>
    </row>
    <row r="85" spans="1:2" ht="12.75">
      <c r="A85" s="18" t="s">
        <v>20</v>
      </c>
      <c r="B85" s="17">
        <f>SUM(B78:B84)</f>
        <v>117607865.58960028</v>
      </c>
    </row>
    <row r="88" spans="1:2" ht="12.75">
      <c r="A88" s="103"/>
      <c r="B88" s="103" t="s">
        <v>37</v>
      </c>
    </row>
    <row r="90" spans="1:2" ht="12.75">
      <c r="A90" s="103"/>
      <c r="B90" s="133">
        <v>17306787.138687816</v>
      </c>
    </row>
    <row r="93" spans="1:2" ht="12.75">
      <c r="A93" s="134" t="s">
        <v>58</v>
      </c>
      <c r="B93" s="135">
        <f>M4</f>
        <v>34480663.58420162</v>
      </c>
    </row>
    <row r="94" spans="1:2" ht="12.75">
      <c r="A94" s="134" t="s">
        <v>59</v>
      </c>
      <c r="B94" s="135"/>
    </row>
    <row r="95" spans="1:2" ht="12.75">
      <c r="A95" s="134" t="s">
        <v>60</v>
      </c>
      <c r="B95" s="135"/>
    </row>
    <row r="96" spans="1:2" ht="12.75">
      <c r="A96" s="134" t="s">
        <v>61</v>
      </c>
      <c r="B96" s="135"/>
    </row>
    <row r="97" spans="1:2" ht="12.75">
      <c r="A97" s="134" t="s">
        <v>62</v>
      </c>
      <c r="B97" s="135">
        <f>M9</f>
        <v>829342.726036429</v>
      </c>
    </row>
    <row r="98" spans="1:2" ht="12.75">
      <c r="A98" s="134" t="s">
        <v>63</v>
      </c>
      <c r="B98" s="135">
        <f>M8</f>
        <v>43697.7512419034</v>
      </c>
    </row>
    <row r="99" spans="1:2" ht="12.75">
      <c r="A99" s="134" t="s">
        <v>64</v>
      </c>
      <c r="B99" s="135">
        <f>M7+M5+M6</f>
        <v>65899339.563899785</v>
      </c>
    </row>
    <row r="100" spans="1:2" ht="12.75">
      <c r="A100" s="134" t="s">
        <v>65</v>
      </c>
      <c r="B100" s="135"/>
    </row>
    <row r="101" spans="1:2" ht="12.75">
      <c r="A101" s="134" t="s">
        <v>66</v>
      </c>
      <c r="B101" s="135"/>
    </row>
    <row r="102" spans="1:2" ht="12.75">
      <c r="A102" s="134" t="s">
        <v>67</v>
      </c>
      <c r="B102" s="135"/>
    </row>
    <row r="103" spans="1:2" ht="12.75">
      <c r="A103" s="134" t="s">
        <v>68</v>
      </c>
      <c r="B103" s="135"/>
    </row>
    <row r="104" spans="1:2" ht="12.75">
      <c r="A104" s="134" t="s">
        <v>69</v>
      </c>
      <c r="B104" s="135"/>
    </row>
    <row r="105" spans="1:2" ht="12.75">
      <c r="A105" s="134" t="s">
        <v>70</v>
      </c>
      <c r="B105" s="135">
        <f>F49+F61</f>
        <v>4459961.170133771</v>
      </c>
    </row>
    <row r="106" spans="1:2" ht="12.75">
      <c r="A106" s="134" t="s">
        <v>71</v>
      </c>
      <c r="B106" s="135">
        <f>F74</f>
        <v>372303.49582541327</v>
      </c>
    </row>
    <row r="107" spans="1:2" ht="12.75">
      <c r="A107" s="134" t="s">
        <v>72</v>
      </c>
      <c r="B107" s="135">
        <f>F25</f>
        <v>6702111.542342027</v>
      </c>
    </row>
    <row r="108" spans="1:2" ht="12.75">
      <c r="A108" s="134" t="s">
        <v>73</v>
      </c>
      <c r="B108" s="135">
        <f>F37</f>
        <v>4820445.755919339</v>
      </c>
    </row>
    <row r="109" spans="1:2" ht="12.75">
      <c r="A109" s="134" t="s">
        <v>74</v>
      </c>
      <c r="B109" s="135">
        <v>0</v>
      </c>
    </row>
    <row r="110" ht="12.75">
      <c r="B110" s="136">
        <f>SUM(B93:B109)</f>
        <v>117607865.58960028</v>
      </c>
    </row>
  </sheetData>
  <sheetProtection/>
  <mergeCells count="12">
    <mergeCell ref="I2:J2"/>
    <mergeCell ref="K2:L2"/>
    <mergeCell ref="F2:H2"/>
    <mergeCell ref="O17:O21"/>
    <mergeCell ref="D65:F65"/>
    <mergeCell ref="C2:C3"/>
    <mergeCell ref="B2:B3"/>
    <mergeCell ref="D2:D3"/>
    <mergeCell ref="D52:F52"/>
    <mergeCell ref="D16:F16"/>
    <mergeCell ref="D28:F28"/>
    <mergeCell ref="D40:F4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3" sqref="E53"/>
    </sheetView>
  </sheetViews>
  <sheetFormatPr defaultColWidth="9.421875" defaultRowHeight="15"/>
  <cols>
    <col min="1" max="1" width="40.140625" style="0" bestFit="1" customWidth="1"/>
    <col min="2" max="2" width="23.421875" style="0" customWidth="1"/>
    <col min="3" max="3" width="12.57421875" style="0" customWidth="1"/>
    <col min="4" max="5" width="16.421875" style="0" bestFit="1" customWidth="1"/>
    <col min="6" max="6" width="11.7109375" style="0" bestFit="1" customWidth="1"/>
    <col min="7" max="9" width="9.421875" style="0" customWidth="1"/>
    <col min="10" max="10" width="11.140625" style="0" bestFit="1" customWidth="1"/>
    <col min="11" max="11" width="15.00390625" style="0" bestFit="1" customWidth="1"/>
    <col min="12" max="12" width="19.28125" style="0" bestFit="1" customWidth="1"/>
    <col min="13" max="13" width="22.421875" style="0" customWidth="1"/>
    <col min="14" max="14" width="18.00390625" style="0" bestFit="1" customWidth="1"/>
    <col min="15" max="15" width="33.140625" style="0" bestFit="1" customWidth="1"/>
    <col min="16" max="18" width="9.421875" style="0" customWidth="1"/>
    <col min="19" max="19" width="18.00390625" style="0" bestFit="1" customWidth="1"/>
  </cols>
  <sheetData>
    <row r="2" spans="1:19" ht="15" customHeight="1">
      <c r="A2" s="21" t="s">
        <v>0</v>
      </c>
      <c r="B2" s="149" t="s">
        <v>52</v>
      </c>
      <c r="C2" s="149" t="s">
        <v>53</v>
      </c>
      <c r="D2" s="151" t="s">
        <v>55</v>
      </c>
      <c r="E2" s="18"/>
      <c r="F2" s="160" t="s">
        <v>1</v>
      </c>
      <c r="G2" s="160"/>
      <c r="H2" s="157"/>
      <c r="I2" s="156" t="s">
        <v>56</v>
      </c>
      <c r="J2" s="157"/>
      <c r="K2" s="158" t="s">
        <v>2</v>
      </c>
      <c r="L2" s="159"/>
      <c r="M2" s="59" t="s">
        <v>3</v>
      </c>
      <c r="N2" s="2"/>
      <c r="O2" s="2"/>
      <c r="P2" s="2"/>
      <c r="Q2" s="2"/>
      <c r="R2" s="2"/>
      <c r="S2" s="2"/>
    </row>
    <row r="3" spans="1:18" ht="38.25">
      <c r="A3" s="8" t="s">
        <v>4</v>
      </c>
      <c r="B3" s="150"/>
      <c r="C3" s="150"/>
      <c r="D3" s="152"/>
      <c r="E3" s="48" t="s">
        <v>5</v>
      </c>
      <c r="F3" s="47" t="s">
        <v>6</v>
      </c>
      <c r="G3" s="38" t="s">
        <v>7</v>
      </c>
      <c r="H3" s="45" t="s">
        <v>8</v>
      </c>
      <c r="I3" s="8" t="s">
        <v>9</v>
      </c>
      <c r="J3" s="39" t="s">
        <v>10</v>
      </c>
      <c r="K3" s="8" t="s">
        <v>11</v>
      </c>
      <c r="L3" s="8" t="s">
        <v>12</v>
      </c>
      <c r="M3" s="60"/>
      <c r="N3" s="2" t="s">
        <v>13</v>
      </c>
      <c r="O3" s="2" t="s">
        <v>14</v>
      </c>
      <c r="P3" s="2"/>
      <c r="Q3" s="2"/>
      <c r="R3" s="2"/>
    </row>
    <row r="4" spans="1:18" ht="15">
      <c r="A4" s="12" t="s">
        <v>15</v>
      </c>
      <c r="B4" s="83">
        <f>'[3]Summary'!$L$13</f>
        <v>285034717.6266901</v>
      </c>
      <c r="C4" s="83" t="s">
        <v>47</v>
      </c>
      <c r="D4" s="85">
        <v>1.0349</v>
      </c>
      <c r="E4" s="67">
        <f aca="true" t="shared" si="0" ref="E4:E11">B4*D4</f>
        <v>294982429.27186155</v>
      </c>
      <c r="F4" s="46">
        <f>'Test Year Forecast '!$F$4</f>
        <v>0.11141</v>
      </c>
      <c r="G4" s="40">
        <f>'Test Year Forecast '!$G$4</f>
        <v>0.01686</v>
      </c>
      <c r="H4" s="50">
        <f>'Test Year Forecast '!$H$4</f>
        <v>0.09086</v>
      </c>
      <c r="I4" s="75">
        <f>'[1]Total'!$B$19/'[1]Total'!$J$19</f>
        <v>0.9314357359249245</v>
      </c>
      <c r="J4" s="75">
        <f>100%-I4</f>
        <v>0.06856426407507554</v>
      </c>
      <c r="K4" s="41">
        <f>E4*I4*F4</f>
        <v>30610696.988605615</v>
      </c>
      <c r="L4" s="76">
        <f>E4*J4*(G4+H4)</f>
        <v>2178664.2723452775</v>
      </c>
      <c r="M4" s="42">
        <f>K4+L4</f>
        <v>32789361.260950893</v>
      </c>
      <c r="N4" s="69">
        <f>E4*J4</f>
        <v>20225253.17810321</v>
      </c>
      <c r="O4" s="56">
        <f aca="true" t="shared" si="1" ref="O4:O9">N4*H4</f>
        <v>1837666.5037624575</v>
      </c>
      <c r="P4" s="1"/>
      <c r="Q4" s="1"/>
      <c r="R4" s="1"/>
    </row>
    <row r="5" spans="1:18" ht="15">
      <c r="A5" s="12" t="s">
        <v>16</v>
      </c>
      <c r="B5" s="83">
        <f>'[3]Summary'!$L$17</f>
        <v>98437152.62356113</v>
      </c>
      <c r="C5" s="83" t="s">
        <v>44</v>
      </c>
      <c r="D5" s="85">
        <v>1.0349</v>
      </c>
      <c r="E5" s="67">
        <f t="shared" si="0"/>
        <v>101872609.25012341</v>
      </c>
      <c r="F5" s="46">
        <f>'Test Year Forecast '!$F$4</f>
        <v>0.11141</v>
      </c>
      <c r="G5" s="40">
        <f>'Test Year Forecast '!$G$4</f>
        <v>0.01686</v>
      </c>
      <c r="H5" s="50">
        <f>'Test Year Forecast '!$H$4</f>
        <v>0.09086</v>
      </c>
      <c r="I5" s="75">
        <f>'[1]Total'!$B$20/'[1]Total'!$J$20</f>
        <v>0.8610192575068595</v>
      </c>
      <c r="J5" s="75">
        <f aca="true" t="shared" si="2" ref="J5:J10">100%-I5</f>
        <v>0.13898074249314052</v>
      </c>
      <c r="K5" s="41">
        <f aca="true" t="shared" si="3" ref="K5:K11">E5*I5*F5</f>
        <v>9772247.753962371</v>
      </c>
      <c r="L5" s="76">
        <f aca="true" t="shared" si="4" ref="L5:L11">E5*J5*(G5+H5)</f>
        <v>1525135.4016714157</v>
      </c>
      <c r="M5" s="42">
        <f aca="true" t="shared" si="5" ref="M5:M11">K5+L5</f>
        <v>11297383.155633787</v>
      </c>
      <c r="N5" s="69">
        <f aca="true" t="shared" si="6" ref="N5:N11">E5*J5</f>
        <v>14158330.873295726</v>
      </c>
      <c r="O5" s="56">
        <f t="shared" si="1"/>
        <v>1286425.9431476495</v>
      </c>
      <c r="P5" s="1"/>
      <c r="Q5" s="1"/>
      <c r="R5" s="1"/>
    </row>
    <row r="6" spans="1:18" ht="15">
      <c r="A6" s="12" t="s">
        <v>49</v>
      </c>
      <c r="B6" s="83">
        <f>'[3]Summary'!$L$21</f>
        <v>489888372.01748</v>
      </c>
      <c r="C6" s="83">
        <f>'[3]Summary'!$L$22</f>
        <v>1261419.3062616482</v>
      </c>
      <c r="D6" s="85">
        <v>1.0349</v>
      </c>
      <c r="E6" s="67">
        <f t="shared" si="0"/>
        <v>506985476.20089006</v>
      </c>
      <c r="F6" s="46">
        <f>'Test Year Forecast '!$F$4</f>
        <v>0.11141</v>
      </c>
      <c r="G6" s="40">
        <f>'Test Year Forecast '!$G$4</f>
        <v>0.01686</v>
      </c>
      <c r="H6" s="50">
        <f>'Test Year Forecast '!$H$4</f>
        <v>0.09086</v>
      </c>
      <c r="I6" s="75">
        <f>'[1]Total'!$B$21/'[1]Total'!$J$21</f>
        <v>0.06906119845168741</v>
      </c>
      <c r="J6" s="75">
        <f t="shared" si="2"/>
        <v>0.9309388015483125</v>
      </c>
      <c r="K6" s="41">
        <f t="shared" si="3"/>
        <v>3900801.0689071068</v>
      </c>
      <c r="L6" s="76">
        <f t="shared" si="4"/>
        <v>50840872.488167845</v>
      </c>
      <c r="M6" s="42">
        <f t="shared" si="5"/>
        <v>54741673.55707495</v>
      </c>
      <c r="N6" s="69">
        <f t="shared" si="6"/>
        <v>471972451.6168571</v>
      </c>
      <c r="O6" s="56">
        <f t="shared" si="1"/>
        <v>42883416.95390764</v>
      </c>
      <c r="P6" s="1"/>
      <c r="Q6" s="1"/>
      <c r="R6" s="1"/>
    </row>
    <row r="7" spans="1:18" ht="15">
      <c r="A7" s="34" t="s">
        <v>17</v>
      </c>
      <c r="B7" s="83">
        <f>'[3]Summary'!$L$41</f>
        <v>1459579.915501509</v>
      </c>
      <c r="C7" s="83" t="s">
        <v>47</v>
      </c>
      <c r="D7" s="85">
        <v>1.0349</v>
      </c>
      <c r="E7" s="67">
        <f t="shared" si="0"/>
        <v>1510519.2545525117</v>
      </c>
      <c r="F7" s="46">
        <f>'Test Year Forecast '!$F$4</f>
        <v>0.11141</v>
      </c>
      <c r="G7" s="40">
        <f>'Test Year Forecast '!$G$4</f>
        <v>0.01686</v>
      </c>
      <c r="H7" s="50">
        <f>'Test Year Forecast '!$H$4</f>
        <v>0.09086</v>
      </c>
      <c r="I7" s="75">
        <f>'[1]Total'!$B$25/'[1]Total'!$J$25</f>
        <v>1</v>
      </c>
      <c r="J7" s="75">
        <f t="shared" si="2"/>
        <v>0</v>
      </c>
      <c r="K7" s="41">
        <f t="shared" si="3"/>
        <v>168286.95014969533</v>
      </c>
      <c r="L7" s="76">
        <f t="shared" si="4"/>
        <v>0</v>
      </c>
      <c r="M7" s="42">
        <f t="shared" si="5"/>
        <v>168286.95014969533</v>
      </c>
      <c r="N7" s="69">
        <f t="shared" si="6"/>
        <v>0</v>
      </c>
      <c r="O7" s="56">
        <f t="shared" si="1"/>
        <v>0</v>
      </c>
      <c r="P7" s="1"/>
      <c r="Q7" s="1"/>
      <c r="R7" s="1"/>
    </row>
    <row r="8" spans="1:18" ht="15">
      <c r="A8" s="34" t="s">
        <v>18</v>
      </c>
      <c r="B8" s="83">
        <f>'[3]Summary'!$L$31</f>
        <v>386312.1485154677</v>
      </c>
      <c r="C8" s="83">
        <f>'[3]Summary'!$L$32</f>
        <v>1193.69109946835</v>
      </c>
      <c r="D8" s="85">
        <v>1.0349</v>
      </c>
      <c r="E8" s="67">
        <f t="shared" si="0"/>
        <v>399794.4424986575</v>
      </c>
      <c r="F8" s="46">
        <f>'Test Year Forecast '!$F$4</f>
        <v>0.11141</v>
      </c>
      <c r="G8" s="40">
        <f>'Test Year Forecast '!$G$4</f>
        <v>0.01686</v>
      </c>
      <c r="H8" s="50">
        <f>'Test Year Forecast '!$H$4</f>
        <v>0.09086</v>
      </c>
      <c r="I8" s="75">
        <f>'[1]Total'!$B$26/'[1]Total'!$J$26</f>
        <v>0.8235282253998346</v>
      </c>
      <c r="J8" s="75">
        <f t="shared" si="2"/>
        <v>0.1764717746001654</v>
      </c>
      <c r="K8" s="41">
        <f t="shared" si="3"/>
        <v>36680.85208405537</v>
      </c>
      <c r="L8" s="76">
        <f t="shared" si="4"/>
        <v>7599.908270518315</v>
      </c>
      <c r="M8" s="42">
        <f t="shared" si="5"/>
        <v>44280.760354573686</v>
      </c>
      <c r="N8" s="69">
        <f t="shared" si="6"/>
        <v>70552.43474302186</v>
      </c>
      <c r="O8" s="56">
        <f t="shared" si="1"/>
        <v>6410.394220750966</v>
      </c>
      <c r="P8" s="1"/>
      <c r="Q8" s="1"/>
      <c r="R8" s="1"/>
    </row>
    <row r="9" spans="1:18" ht="15">
      <c r="A9" s="36" t="s">
        <v>19</v>
      </c>
      <c r="B9" s="83">
        <f>'[3]Summary'!$L$36</f>
        <v>7414883.229607036</v>
      </c>
      <c r="C9" s="83">
        <f>'[3]Summary'!$L$37</f>
        <v>22657.408883825065</v>
      </c>
      <c r="D9" s="85">
        <v>1.0349</v>
      </c>
      <c r="E9" s="67">
        <f t="shared" si="0"/>
        <v>7673662.654320321</v>
      </c>
      <c r="F9" s="46">
        <f>'Test Year Forecast '!$F$4</f>
        <v>0.11141</v>
      </c>
      <c r="G9" s="40">
        <f>'Test Year Forecast '!$G$4</f>
        <v>0.01686</v>
      </c>
      <c r="H9" s="50">
        <f>'Test Year Forecast '!$H$4</f>
        <v>0.09086</v>
      </c>
      <c r="I9" s="75">
        <f>'[1]Total'!$B$24/'[1]Total'!$J$24</f>
        <v>0</v>
      </c>
      <c r="J9" s="75">
        <f t="shared" si="2"/>
        <v>1</v>
      </c>
      <c r="K9" s="41">
        <f t="shared" si="3"/>
        <v>0</v>
      </c>
      <c r="L9" s="76">
        <f t="shared" si="4"/>
        <v>826606.941123385</v>
      </c>
      <c r="M9" s="42">
        <f t="shared" si="5"/>
        <v>826606.941123385</v>
      </c>
      <c r="N9" s="69">
        <f t="shared" si="6"/>
        <v>7673662.654320321</v>
      </c>
      <c r="O9" s="56">
        <f t="shared" si="1"/>
        <v>697228.9887715443</v>
      </c>
      <c r="P9" s="1"/>
      <c r="Q9" s="1"/>
      <c r="R9" s="1"/>
    </row>
    <row r="10" spans="1:18" ht="15">
      <c r="A10" s="36" t="s">
        <v>48</v>
      </c>
      <c r="B10" s="84">
        <f>'[3]Summary'!$L$45</f>
        <v>6792377.6</v>
      </c>
      <c r="C10" s="84">
        <f>'[3]Summary'!$L$46</f>
        <v>12397.7</v>
      </c>
      <c r="D10" s="85">
        <v>1.0349</v>
      </c>
      <c r="E10" s="67">
        <f t="shared" si="0"/>
        <v>7029431.578239999</v>
      </c>
      <c r="F10" s="46"/>
      <c r="G10" s="40"/>
      <c r="H10" s="50"/>
      <c r="I10" s="75">
        <f>'[1]Total'!$B$31/'[1]Total'!$J$31</f>
        <v>0</v>
      </c>
      <c r="J10" s="75">
        <f t="shared" si="2"/>
        <v>1</v>
      </c>
      <c r="K10" s="41"/>
      <c r="L10" s="76"/>
      <c r="M10" s="42"/>
      <c r="N10" s="69"/>
      <c r="O10" s="56"/>
      <c r="P10" s="1"/>
      <c r="Q10" s="1"/>
      <c r="R10" s="1"/>
    </row>
    <row r="11" spans="1:18" ht="15">
      <c r="A11" s="36" t="s">
        <v>38</v>
      </c>
      <c r="B11" s="84">
        <f>'[3]Summary'!$L$26</f>
        <v>48387203.082246475</v>
      </c>
      <c r="C11" s="84">
        <f>'[3]Summary'!$L$27</f>
        <v>132259.9989334275</v>
      </c>
      <c r="D11" s="85">
        <v>1.0349</v>
      </c>
      <c r="E11" s="67">
        <f t="shared" si="0"/>
        <v>50075916.46981687</v>
      </c>
      <c r="F11" s="46"/>
      <c r="G11" s="40"/>
      <c r="H11" s="50"/>
      <c r="I11" s="87">
        <v>0</v>
      </c>
      <c r="J11" s="75">
        <v>1</v>
      </c>
      <c r="K11" s="41">
        <f t="shared" si="3"/>
        <v>0</v>
      </c>
      <c r="L11" s="76">
        <f t="shared" si="4"/>
        <v>0</v>
      </c>
      <c r="M11" s="42">
        <f t="shared" si="5"/>
        <v>0</v>
      </c>
      <c r="N11" s="69">
        <f t="shared" si="6"/>
        <v>50075916.46981687</v>
      </c>
      <c r="P11" s="1"/>
      <c r="Q11" s="1"/>
      <c r="R11" s="1"/>
    </row>
    <row r="12" spans="1:19" ht="15">
      <c r="A12" s="15" t="s">
        <v>20</v>
      </c>
      <c r="B12" s="7">
        <f>SUM(B4:B11)</f>
        <v>937800598.2436016</v>
      </c>
      <c r="C12" s="7">
        <f>SUM(C4:C11)</f>
        <v>1429928.1051783692</v>
      </c>
      <c r="D12" s="18"/>
      <c r="E12" s="68">
        <f>SUM(E4:E9)</f>
        <v>913424491.0742465</v>
      </c>
      <c r="F12" s="11"/>
      <c r="G12" s="43"/>
      <c r="H12" s="43"/>
      <c r="I12" s="43"/>
      <c r="J12" s="43"/>
      <c r="K12" s="41">
        <f>SUM(K4:K11)</f>
        <v>44488713.61370884</v>
      </c>
      <c r="L12" s="76">
        <f>SUM(L4:L11)</f>
        <v>55378879.01157844</v>
      </c>
      <c r="M12" s="44">
        <f>SUM(M4:M11)</f>
        <v>99867592.6252873</v>
      </c>
      <c r="N12" s="69">
        <f>SUM(N4:N11)</f>
        <v>564176167.2271363</v>
      </c>
      <c r="O12" s="61">
        <f>SUM(O4:O9)</f>
        <v>46711148.78381004</v>
      </c>
      <c r="P12" s="1"/>
      <c r="Q12" s="1"/>
      <c r="R12" s="1"/>
      <c r="S12" s="57"/>
    </row>
    <row r="13" spans="1:19" ht="15">
      <c r="A13" s="62"/>
      <c r="B13" s="77">
        <v>0</v>
      </c>
      <c r="C13" s="81">
        <v>21367.6375265033</v>
      </c>
      <c r="D13" s="64"/>
      <c r="E13" s="70"/>
      <c r="F13" s="65"/>
      <c r="G13" s="71"/>
      <c r="H13" s="71"/>
      <c r="I13" s="71"/>
      <c r="J13" s="71"/>
      <c r="K13" s="72"/>
      <c r="L13" s="72"/>
      <c r="M13" s="73"/>
      <c r="O13" s="1"/>
      <c r="P13" s="1"/>
      <c r="Q13" s="1"/>
      <c r="R13" s="1"/>
      <c r="S13" s="57"/>
    </row>
    <row r="14" spans="1:4" ht="15">
      <c r="A14" s="74"/>
      <c r="B14" s="79"/>
      <c r="C14" s="80"/>
      <c r="D14" s="80"/>
    </row>
    <row r="15" spans="1:19" ht="15">
      <c r="A15" s="22" t="s">
        <v>21</v>
      </c>
      <c r="B15" s="13"/>
      <c r="C15" s="19" t="s">
        <v>22</v>
      </c>
      <c r="D15" s="20"/>
      <c r="E15" s="54">
        <v>2017</v>
      </c>
      <c r="F15" s="13"/>
      <c r="G15" s="1"/>
      <c r="H15" s="1"/>
      <c r="I15" s="1"/>
      <c r="J15" s="1"/>
      <c r="K15" s="1"/>
      <c r="L15" s="1"/>
      <c r="M15" s="1"/>
      <c r="N15" s="49"/>
      <c r="O15" s="1"/>
      <c r="P15" s="1"/>
      <c r="Q15" s="1"/>
      <c r="R15" s="1"/>
      <c r="S15" s="1"/>
    </row>
    <row r="16" spans="1:19" ht="15">
      <c r="A16" s="8" t="s">
        <v>4</v>
      </c>
      <c r="B16" s="3"/>
      <c r="C16" s="5" t="s">
        <v>23</v>
      </c>
      <c r="D16" s="153" t="s">
        <v>24</v>
      </c>
      <c r="E16" s="154"/>
      <c r="F16" s="155"/>
      <c r="G16" s="1"/>
      <c r="H16" s="1"/>
      <c r="I16" s="1"/>
      <c r="J16" s="1"/>
      <c r="K16" s="1"/>
      <c r="L16" s="1"/>
      <c r="M16" s="1"/>
      <c r="N16" s="1"/>
      <c r="O16" s="1"/>
      <c r="P16" s="51"/>
      <c r="Q16" s="1"/>
      <c r="R16" s="1"/>
      <c r="S16" s="1"/>
    </row>
    <row r="17" spans="1:19" ht="15">
      <c r="A17" s="12" t="s">
        <v>15</v>
      </c>
      <c r="B17" s="16"/>
      <c r="C17" s="14" t="s">
        <v>25</v>
      </c>
      <c r="D17" s="86">
        <f>E4</f>
        <v>294982429.27186155</v>
      </c>
      <c r="E17" s="37">
        <v>0.0082</v>
      </c>
      <c r="F17" s="25">
        <f>D17*E17</f>
        <v>2418855.920029265</v>
      </c>
      <c r="G17" s="58"/>
      <c r="H17" s="1"/>
      <c r="I17" s="1"/>
      <c r="J17" s="1"/>
      <c r="K17" s="1"/>
      <c r="L17" s="1"/>
      <c r="M17" s="1"/>
      <c r="N17" s="52"/>
      <c r="O17" s="162"/>
      <c r="P17" s="1"/>
      <c r="Q17" s="1"/>
      <c r="R17" s="1"/>
      <c r="S17" s="1"/>
    </row>
    <row r="18" spans="1:15" ht="15">
      <c r="A18" s="12" t="s">
        <v>16</v>
      </c>
      <c r="B18" s="6"/>
      <c r="C18" s="14" t="s">
        <v>25</v>
      </c>
      <c r="D18" s="86">
        <f>E5</f>
        <v>101872609.25012341</v>
      </c>
      <c r="E18" s="37">
        <v>0.0073</v>
      </c>
      <c r="F18" s="25">
        <f aca="true" t="shared" si="7" ref="F18:F24">D18*E18</f>
        <v>743670.0475259009</v>
      </c>
      <c r="G18" s="52"/>
      <c r="H18" s="1"/>
      <c r="I18" s="1"/>
      <c r="J18" s="1"/>
      <c r="K18" s="1"/>
      <c r="L18" s="1"/>
      <c r="M18" s="1"/>
      <c r="N18" s="52"/>
      <c r="O18" s="163"/>
    </row>
    <row r="19" spans="1:15" ht="15">
      <c r="A19" s="12" t="s">
        <v>39</v>
      </c>
      <c r="B19" s="6"/>
      <c r="C19" s="14" t="s">
        <v>26</v>
      </c>
      <c r="D19" s="86">
        <f>C6</f>
        <v>1261419.3062616482</v>
      </c>
      <c r="E19" s="37">
        <v>2.5047</v>
      </c>
      <c r="F19" s="25">
        <f t="shared" si="7"/>
        <v>3159476.9363935506</v>
      </c>
      <c r="G19" s="52"/>
      <c r="H19" s="1"/>
      <c r="I19" s="1"/>
      <c r="J19" s="1"/>
      <c r="K19" s="1"/>
      <c r="L19" s="1"/>
      <c r="M19" s="1"/>
      <c r="N19" s="52"/>
      <c r="O19" s="163"/>
    </row>
    <row r="20" spans="1:15" ht="15">
      <c r="A20" s="34" t="s">
        <v>17</v>
      </c>
      <c r="B20" s="6"/>
      <c r="C20" s="14" t="s">
        <v>25</v>
      </c>
      <c r="D20" s="86">
        <f>E7</f>
        <v>1510519.2545525117</v>
      </c>
      <c r="E20" s="37">
        <v>0.0043</v>
      </c>
      <c r="F20" s="25">
        <f t="shared" si="7"/>
        <v>6495.232794575801</v>
      </c>
      <c r="G20" s="52"/>
      <c r="H20" s="1"/>
      <c r="I20" s="1"/>
      <c r="J20" s="1"/>
      <c r="K20" s="1"/>
      <c r="L20" s="1"/>
      <c r="M20" s="1"/>
      <c r="N20" s="52"/>
      <c r="O20" s="163"/>
    </row>
    <row r="21" spans="1:15" ht="15">
      <c r="A21" s="78" t="s">
        <v>18</v>
      </c>
      <c r="B21" s="6"/>
      <c r="C21" s="14" t="s">
        <v>26</v>
      </c>
      <c r="D21" s="86">
        <f>C8</f>
        <v>1193.69109946835</v>
      </c>
      <c r="E21" s="37">
        <v>2.3389</v>
      </c>
      <c r="F21" s="25">
        <f t="shared" si="7"/>
        <v>2791.924112546524</v>
      </c>
      <c r="G21" s="52"/>
      <c r="H21" s="1"/>
      <c r="I21" s="1"/>
      <c r="J21" s="1"/>
      <c r="K21" s="1"/>
      <c r="L21" s="1"/>
      <c r="M21" s="1"/>
      <c r="N21" s="52"/>
      <c r="O21" s="163"/>
    </row>
    <row r="22" spans="1:15" ht="15">
      <c r="A22" s="36" t="s">
        <v>19</v>
      </c>
      <c r="B22" s="6"/>
      <c r="C22" s="14" t="s">
        <v>26</v>
      </c>
      <c r="D22" s="86">
        <f>C9</f>
        <v>22657.408883825065</v>
      </c>
      <c r="E22" s="37">
        <v>2.4098</v>
      </c>
      <c r="F22" s="25">
        <f t="shared" si="7"/>
        <v>54599.82392824165</v>
      </c>
      <c r="G22" s="26"/>
      <c r="H22" s="1"/>
      <c r="I22" s="1"/>
      <c r="J22" s="1"/>
      <c r="K22" s="1"/>
      <c r="L22" s="1"/>
      <c r="M22" s="1"/>
      <c r="N22" s="1"/>
      <c r="O22" s="1"/>
    </row>
    <row r="23" spans="1:15" ht="15">
      <c r="A23" s="36" t="s">
        <v>48</v>
      </c>
      <c r="B23" s="6"/>
      <c r="C23" s="14" t="s">
        <v>26</v>
      </c>
      <c r="D23" s="86">
        <f>C10</f>
        <v>12397.7</v>
      </c>
      <c r="E23" s="29">
        <v>2.5047</v>
      </c>
      <c r="F23" s="25"/>
      <c r="G23" s="26"/>
      <c r="H23" s="1"/>
      <c r="I23" s="1"/>
      <c r="J23" s="1"/>
      <c r="K23" s="1"/>
      <c r="L23" s="1"/>
      <c r="M23" s="1"/>
      <c r="N23" s="1"/>
      <c r="O23" s="1"/>
    </row>
    <row r="24" spans="1:15" ht="15">
      <c r="A24" s="36" t="s">
        <v>40</v>
      </c>
      <c r="B24" s="6"/>
      <c r="C24" s="14" t="s">
        <v>41</v>
      </c>
      <c r="D24" s="86">
        <f>C11</f>
        <v>132259.9989334275</v>
      </c>
      <c r="E24" s="29">
        <v>2.5047</v>
      </c>
      <c r="F24" s="25">
        <f t="shared" si="7"/>
        <v>331271.6193285559</v>
      </c>
      <c r="G24" s="26"/>
      <c r="H24" s="1"/>
      <c r="I24" s="1"/>
      <c r="J24" s="1"/>
      <c r="K24" s="1"/>
      <c r="L24" s="1"/>
      <c r="M24" s="1"/>
      <c r="N24" s="1"/>
      <c r="O24" s="1"/>
    </row>
    <row r="25" spans="1:15" ht="15">
      <c r="A25" s="15" t="s">
        <v>20</v>
      </c>
      <c r="B25" s="7"/>
      <c r="C25" s="8"/>
      <c r="D25" s="7"/>
      <c r="E25" s="11"/>
      <c r="F25" s="30">
        <f>SUM(F17:F24)</f>
        <v>6717161.504112636</v>
      </c>
      <c r="G25" s="1"/>
      <c r="H25" s="1"/>
      <c r="I25" s="1"/>
      <c r="J25" s="1"/>
      <c r="K25" s="1"/>
      <c r="L25" s="1"/>
      <c r="M25" s="1"/>
      <c r="N25" s="1"/>
      <c r="O25" s="1"/>
    </row>
    <row r="27" spans="1:15" ht="15">
      <c r="A27" s="22" t="s">
        <v>27</v>
      </c>
      <c r="B27" s="13"/>
      <c r="C27" s="4" t="s">
        <v>22</v>
      </c>
      <c r="D27" s="20"/>
      <c r="E27" s="54">
        <v>2017</v>
      </c>
      <c r="F27" s="13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8" t="s">
        <v>4</v>
      </c>
      <c r="B28" s="3"/>
      <c r="C28" s="5" t="s">
        <v>23</v>
      </c>
      <c r="D28" s="153" t="s">
        <v>24</v>
      </c>
      <c r="E28" s="154"/>
      <c r="F28" s="155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2" t="s">
        <v>15</v>
      </c>
      <c r="B29" s="16"/>
      <c r="C29" s="14" t="s">
        <v>25</v>
      </c>
      <c r="D29" s="86">
        <f>E4</f>
        <v>294982429.27186155</v>
      </c>
      <c r="E29" s="37">
        <v>0.0056</v>
      </c>
      <c r="F29" s="24">
        <f>D29*E29</f>
        <v>1651901.6039224246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2" t="s">
        <v>16</v>
      </c>
      <c r="B30" s="6"/>
      <c r="C30" s="14" t="s">
        <v>25</v>
      </c>
      <c r="D30" s="86">
        <f>E5</f>
        <v>101872609.25012341</v>
      </c>
      <c r="E30" s="37">
        <v>0.0049</v>
      </c>
      <c r="F30" s="24">
        <f aca="true" t="shared" si="8" ref="F30:F36">D30*E30</f>
        <v>499175.7853256047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2" t="s">
        <v>39</v>
      </c>
      <c r="B31" s="6"/>
      <c r="C31" s="14" t="s">
        <v>26</v>
      </c>
      <c r="D31" s="86">
        <f>C6</f>
        <v>1261419.3062616482</v>
      </c>
      <c r="E31" s="37">
        <v>1.6685</v>
      </c>
      <c r="F31" s="24">
        <f t="shared" si="8"/>
        <v>2104678.11249756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34" t="s">
        <v>17</v>
      </c>
      <c r="B32" s="6"/>
      <c r="C32" s="14" t="s">
        <v>25</v>
      </c>
      <c r="D32" s="86">
        <f>E7</f>
        <v>1510519.2545525117</v>
      </c>
      <c r="E32" s="37">
        <v>0.0049</v>
      </c>
      <c r="F32" s="24">
        <f t="shared" si="8"/>
        <v>7401.544347307307</v>
      </c>
      <c r="G32" s="26"/>
      <c r="H32" s="1"/>
      <c r="I32" s="1"/>
      <c r="J32" s="1"/>
      <c r="K32" s="1"/>
      <c r="L32" s="1"/>
      <c r="M32" s="1"/>
      <c r="N32" s="1"/>
      <c r="O32" s="1"/>
    </row>
    <row r="33" spans="1:15" ht="15">
      <c r="A33" s="34" t="s">
        <v>18</v>
      </c>
      <c r="B33" s="35"/>
      <c r="C33" s="14" t="s">
        <v>26</v>
      </c>
      <c r="D33" s="86">
        <f>C8</f>
        <v>1193.69109946835</v>
      </c>
      <c r="E33" s="37">
        <v>1.5583</v>
      </c>
      <c r="F33" s="24">
        <f t="shared" si="8"/>
        <v>1860.12884030153</v>
      </c>
      <c r="G33" s="1"/>
      <c r="H33" s="1"/>
      <c r="I33" s="1"/>
      <c r="J33" s="1"/>
      <c r="K33" s="1"/>
      <c r="L33" s="1"/>
      <c r="M33" s="1"/>
      <c r="N33" s="1"/>
      <c r="O33" s="1"/>
    </row>
    <row r="34" spans="1:7" ht="15">
      <c r="A34" s="36" t="s">
        <v>19</v>
      </c>
      <c r="B34" s="6"/>
      <c r="C34" s="14" t="s">
        <v>26</v>
      </c>
      <c r="D34" s="86">
        <f>C9</f>
        <v>22657.408883825065</v>
      </c>
      <c r="E34" s="37">
        <v>1.5403</v>
      </c>
      <c r="F34" s="24">
        <f t="shared" si="8"/>
        <v>34899.206903755745</v>
      </c>
      <c r="G34" s="1"/>
    </row>
    <row r="35" spans="1:7" ht="15">
      <c r="A35" s="36" t="s">
        <v>48</v>
      </c>
      <c r="B35" s="6"/>
      <c r="C35" s="14" t="s">
        <v>26</v>
      </c>
      <c r="D35" s="86">
        <f>C10</f>
        <v>12397.7</v>
      </c>
      <c r="E35" s="37">
        <v>1.6685</v>
      </c>
      <c r="F35" s="24">
        <f t="shared" si="8"/>
        <v>20685.56245</v>
      </c>
      <c r="G35" s="1"/>
    </row>
    <row r="36" spans="1:7" ht="15">
      <c r="A36" s="36" t="s">
        <v>40</v>
      </c>
      <c r="B36" s="6"/>
      <c r="C36" s="14" t="s">
        <v>26</v>
      </c>
      <c r="D36" s="86">
        <f>C11</f>
        <v>132259.9989334275</v>
      </c>
      <c r="E36" s="37">
        <v>1.6685</v>
      </c>
      <c r="F36" s="24">
        <f t="shared" si="8"/>
        <v>220675.8082204238</v>
      </c>
      <c r="G36" s="1"/>
    </row>
    <row r="37" spans="1:7" ht="15">
      <c r="A37" s="15" t="s">
        <v>20</v>
      </c>
      <c r="B37" s="7"/>
      <c r="C37" s="8"/>
      <c r="D37" s="7"/>
      <c r="E37" s="11"/>
      <c r="F37" s="30">
        <f>SUM(F29:F36)</f>
        <v>4541277.752507377</v>
      </c>
      <c r="G37" s="1"/>
    </row>
    <row r="39" spans="1:7" ht="15">
      <c r="A39" s="22" t="s">
        <v>28</v>
      </c>
      <c r="B39" s="13"/>
      <c r="C39" s="4"/>
      <c r="D39" s="20"/>
      <c r="E39" s="54">
        <v>2017</v>
      </c>
      <c r="F39" s="13"/>
      <c r="G39" s="1"/>
    </row>
    <row r="40" spans="1:7" ht="15">
      <c r="A40" s="8" t="s">
        <v>4</v>
      </c>
      <c r="B40" s="3"/>
      <c r="C40" s="5"/>
      <c r="D40" s="153" t="s">
        <v>24</v>
      </c>
      <c r="E40" s="154"/>
      <c r="F40" s="155"/>
      <c r="G40" s="1"/>
    </row>
    <row r="41" spans="1:7" ht="15">
      <c r="A41" s="12" t="s">
        <v>15</v>
      </c>
      <c r="B41" s="16"/>
      <c r="C41" s="14"/>
      <c r="D41" s="86">
        <f>E4</f>
        <v>294982429.27186155</v>
      </c>
      <c r="E41" s="27">
        <v>0.0036</v>
      </c>
      <c r="F41" s="24">
        <f>D41*E41</f>
        <v>1061936.7453787015</v>
      </c>
      <c r="G41" s="1"/>
    </row>
    <row r="42" spans="1:7" ht="15">
      <c r="A42" s="12" t="s">
        <v>16</v>
      </c>
      <c r="B42" s="6"/>
      <c r="C42" s="14"/>
      <c r="D42" s="86">
        <f>E5</f>
        <v>101872609.25012341</v>
      </c>
      <c r="E42" s="28">
        <v>0.0036</v>
      </c>
      <c r="F42" s="24">
        <f aca="true" t="shared" si="9" ref="F42:F48">D42*E42</f>
        <v>366741.3933004443</v>
      </c>
      <c r="G42" s="1"/>
    </row>
    <row r="43" spans="1:7" ht="15">
      <c r="A43" s="12" t="s">
        <v>39</v>
      </c>
      <c r="B43" s="6"/>
      <c r="C43" s="14"/>
      <c r="D43" s="86">
        <f>B6</f>
        <v>489888372.01748</v>
      </c>
      <c r="E43" s="28">
        <v>0.0036</v>
      </c>
      <c r="F43" s="24">
        <f t="shared" si="9"/>
        <v>1763598.139262928</v>
      </c>
      <c r="G43" s="51"/>
    </row>
    <row r="44" spans="1:7" ht="15">
      <c r="A44" s="34" t="s">
        <v>17</v>
      </c>
      <c r="B44" s="6"/>
      <c r="C44" s="14"/>
      <c r="D44" s="86">
        <f>E7</f>
        <v>1510519.2545525117</v>
      </c>
      <c r="E44" s="28">
        <f>E43</f>
        <v>0.0036</v>
      </c>
      <c r="F44" s="24">
        <f t="shared" si="9"/>
        <v>5437.869316389042</v>
      </c>
      <c r="G44" s="1"/>
    </row>
    <row r="45" spans="1:7" ht="15">
      <c r="A45" s="34" t="s">
        <v>18</v>
      </c>
      <c r="B45" s="35"/>
      <c r="C45" s="14"/>
      <c r="D45" s="86">
        <f>E8</f>
        <v>399794.4424986575</v>
      </c>
      <c r="E45" s="28">
        <f>E44</f>
        <v>0.0036</v>
      </c>
      <c r="F45" s="24">
        <f t="shared" si="9"/>
        <v>1439.259992995167</v>
      </c>
      <c r="G45" s="1"/>
    </row>
    <row r="46" spans="1:7" ht="15">
      <c r="A46" s="36" t="s">
        <v>19</v>
      </c>
      <c r="B46" s="6"/>
      <c r="C46" s="14"/>
      <c r="D46" s="86">
        <f>E9</f>
        <v>7673662.654320321</v>
      </c>
      <c r="E46" s="28">
        <f>E45</f>
        <v>0.0036</v>
      </c>
      <c r="F46" s="24">
        <f t="shared" si="9"/>
        <v>27625.185555553155</v>
      </c>
      <c r="G46" s="1"/>
    </row>
    <row r="47" spans="1:7" ht="15">
      <c r="A47" s="36" t="s">
        <v>48</v>
      </c>
      <c r="B47" s="82" t="s">
        <v>50</v>
      </c>
      <c r="C47" s="14"/>
      <c r="D47" s="86">
        <v>0</v>
      </c>
      <c r="E47" s="28">
        <v>0</v>
      </c>
      <c r="F47" s="24">
        <v>0</v>
      </c>
      <c r="G47" s="1"/>
    </row>
    <row r="48" spans="1:7" ht="15">
      <c r="A48" s="36" t="s">
        <v>40</v>
      </c>
      <c r="B48" s="6"/>
      <c r="C48" s="14"/>
      <c r="D48" s="86">
        <v>0</v>
      </c>
      <c r="E48" s="28"/>
      <c r="F48" s="24">
        <f t="shared" si="9"/>
        <v>0</v>
      </c>
      <c r="G48" s="1"/>
    </row>
    <row r="49" spans="1:7" ht="15">
      <c r="A49" s="15" t="s">
        <v>20</v>
      </c>
      <c r="B49" s="7"/>
      <c r="C49" s="8"/>
      <c r="D49" s="7">
        <f>SUM(D41:D48)</f>
        <v>896327386.8908365</v>
      </c>
      <c r="E49" s="11"/>
      <c r="F49" s="30">
        <f>SUM(F41:F48)</f>
        <v>3226778.5928070107</v>
      </c>
      <c r="G49" s="1"/>
    </row>
    <row r="51" spans="1:7" ht="15">
      <c r="A51" s="22" t="s">
        <v>29</v>
      </c>
      <c r="B51" s="13"/>
      <c r="C51" s="4"/>
      <c r="D51" s="20"/>
      <c r="E51" s="54">
        <v>2017</v>
      </c>
      <c r="F51" s="13"/>
      <c r="G51" s="1"/>
    </row>
    <row r="52" spans="1:7" ht="15">
      <c r="A52" s="8" t="s">
        <v>4</v>
      </c>
      <c r="B52" s="3"/>
      <c r="C52" s="5"/>
      <c r="D52" s="153" t="s">
        <v>24</v>
      </c>
      <c r="E52" s="154"/>
      <c r="F52" s="155"/>
      <c r="G52" s="1"/>
    </row>
    <row r="53" spans="1:7" ht="15">
      <c r="A53" s="12" t="s">
        <v>15</v>
      </c>
      <c r="B53" s="16"/>
      <c r="C53" s="14"/>
      <c r="D53" s="86">
        <f>E4</f>
        <v>294982429.27186155</v>
      </c>
      <c r="E53" s="27">
        <v>0.0013</v>
      </c>
      <c r="F53" s="24">
        <f>D53*E53</f>
        <v>383477.15805342</v>
      </c>
      <c r="G53" s="1"/>
    </row>
    <row r="54" spans="1:7" ht="15">
      <c r="A54" s="12" t="s">
        <v>16</v>
      </c>
      <c r="B54" s="6"/>
      <c r="C54" s="14"/>
      <c r="D54" s="86">
        <f>E5</f>
        <v>101872609.25012341</v>
      </c>
      <c r="E54" s="27">
        <v>0.0013</v>
      </c>
      <c r="F54" s="24">
        <f aca="true" t="shared" si="10" ref="F54:F60">D54*E54</f>
        <v>132434.39202516043</v>
      </c>
      <c r="G54" s="1"/>
    </row>
    <row r="55" spans="1:7" ht="15">
      <c r="A55" s="12" t="s">
        <v>39</v>
      </c>
      <c r="B55" s="6"/>
      <c r="C55" s="14"/>
      <c r="D55" s="86">
        <f>B6</f>
        <v>489888372.01748</v>
      </c>
      <c r="E55" s="27">
        <v>0.0013</v>
      </c>
      <c r="F55" s="24">
        <f t="shared" si="10"/>
        <v>636854.883622724</v>
      </c>
      <c r="G55" s="51"/>
    </row>
    <row r="56" spans="1:7" ht="15">
      <c r="A56" s="34" t="s">
        <v>17</v>
      </c>
      <c r="B56" s="6"/>
      <c r="C56" s="14"/>
      <c r="D56" s="86">
        <f>E7</f>
        <v>1510519.2545525117</v>
      </c>
      <c r="E56" s="27">
        <v>0.0013</v>
      </c>
      <c r="F56" s="24">
        <f t="shared" si="10"/>
        <v>1963.675030918265</v>
      </c>
      <c r="G56" s="1"/>
    </row>
    <row r="57" spans="1:7" ht="15">
      <c r="A57" s="34" t="s">
        <v>18</v>
      </c>
      <c r="B57" s="35"/>
      <c r="C57" s="14"/>
      <c r="D57" s="86">
        <f>E8</f>
        <v>399794.4424986575</v>
      </c>
      <c r="E57" s="27">
        <v>0.0013</v>
      </c>
      <c r="F57" s="24">
        <f t="shared" si="10"/>
        <v>519.7327752482547</v>
      </c>
      <c r="G57" s="1"/>
    </row>
    <row r="58" spans="1:7" ht="15">
      <c r="A58" s="36" t="s">
        <v>19</v>
      </c>
      <c r="B58" s="6"/>
      <c r="C58" s="14"/>
      <c r="D58" s="86">
        <f>E9</f>
        <v>7673662.654320321</v>
      </c>
      <c r="E58" s="27">
        <v>0.0013</v>
      </c>
      <c r="F58" s="24">
        <f t="shared" si="10"/>
        <v>9975.761450616417</v>
      </c>
      <c r="G58" s="1"/>
    </row>
    <row r="59" spans="1:7" ht="15">
      <c r="A59" s="36" t="s">
        <v>48</v>
      </c>
      <c r="B59" s="82" t="s">
        <v>51</v>
      </c>
      <c r="C59" s="14"/>
      <c r="D59" s="86">
        <v>0</v>
      </c>
      <c r="E59" s="27">
        <v>0</v>
      </c>
      <c r="F59" s="24">
        <v>0</v>
      </c>
      <c r="G59" s="1"/>
    </row>
    <row r="60" spans="1:7" ht="15">
      <c r="A60" s="36" t="s">
        <v>40</v>
      </c>
      <c r="B60" s="6"/>
      <c r="C60" s="14"/>
      <c r="D60" s="86">
        <v>0</v>
      </c>
      <c r="E60" s="27">
        <v>0.0013</v>
      </c>
      <c r="F60" s="24">
        <f t="shared" si="10"/>
        <v>0</v>
      </c>
      <c r="G60" s="1"/>
    </row>
    <row r="61" spans="1:7" ht="15">
      <c r="A61" s="15" t="s">
        <v>20</v>
      </c>
      <c r="B61" s="7"/>
      <c r="C61" s="8"/>
      <c r="D61" s="7">
        <v>1818619997.3022587</v>
      </c>
      <c r="E61" s="11"/>
      <c r="F61" s="30">
        <f>SUM(F53:F60)</f>
        <v>1165225.6029580876</v>
      </c>
      <c r="G61" s="1"/>
    </row>
    <row r="62" spans="1:7" ht="15">
      <c r="A62" s="62"/>
      <c r="B62" s="63"/>
      <c r="C62" s="64"/>
      <c r="D62" s="63"/>
      <c r="E62" s="65"/>
      <c r="F62" s="66"/>
      <c r="G62" s="1"/>
    </row>
    <row r="63" spans="1:7" ht="15">
      <c r="A63" s="62"/>
      <c r="B63" s="63"/>
      <c r="C63" s="64"/>
      <c r="D63" s="63"/>
      <c r="E63" s="65"/>
      <c r="F63" s="66"/>
      <c r="G63" s="1"/>
    </row>
    <row r="64" spans="1:7" ht="15">
      <c r="A64" s="22" t="s">
        <v>42</v>
      </c>
      <c r="B64" s="13"/>
      <c r="C64" s="4"/>
      <c r="D64" s="20"/>
      <c r="E64" s="54">
        <v>2017</v>
      </c>
      <c r="F64" s="13"/>
      <c r="G64" s="1"/>
    </row>
    <row r="65" spans="1:7" ht="15">
      <c r="A65" s="8" t="s">
        <v>4</v>
      </c>
      <c r="B65" s="3"/>
      <c r="C65" s="5"/>
      <c r="D65" s="153" t="s">
        <v>24</v>
      </c>
      <c r="E65" s="154"/>
      <c r="F65" s="155"/>
      <c r="G65" s="1"/>
    </row>
    <row r="66" spans="1:7" ht="15">
      <c r="A66" s="12" t="s">
        <v>15</v>
      </c>
      <c r="B66" s="16"/>
      <c r="C66" s="14" t="s">
        <v>43</v>
      </c>
      <c r="D66" s="86">
        <f>'[3]Summary'!$L$12</f>
        <v>36086.445153657936</v>
      </c>
      <c r="E66" s="27">
        <v>0.79</v>
      </c>
      <c r="F66" s="24">
        <f>D66*E66*12</f>
        <v>342099.50005667727</v>
      </c>
      <c r="G66" s="1"/>
    </row>
    <row r="67" spans="1:7" ht="15">
      <c r="A67" s="12" t="s">
        <v>16</v>
      </c>
      <c r="B67" s="6"/>
      <c r="C67" s="14" t="s">
        <v>43</v>
      </c>
      <c r="D67" s="86">
        <f>'[3]Summary'!$L$16</f>
        <v>2811.781347084759</v>
      </c>
      <c r="E67" s="27">
        <v>0.79</v>
      </c>
      <c r="F67" s="24">
        <f>D67*E67*12</f>
        <v>26655.68717036352</v>
      </c>
      <c r="G67" s="1"/>
    </row>
    <row r="68" spans="1:7" ht="15">
      <c r="A68" s="12" t="s">
        <v>39</v>
      </c>
      <c r="B68" s="6"/>
      <c r="C68" s="14" t="s">
        <v>44</v>
      </c>
      <c r="D68" s="86"/>
      <c r="E68" s="27"/>
      <c r="F68" s="25"/>
      <c r="G68" s="51"/>
    </row>
    <row r="69" spans="1:7" ht="15">
      <c r="A69" s="34" t="s">
        <v>17</v>
      </c>
      <c r="B69" s="6"/>
      <c r="C69" s="14" t="s">
        <v>44</v>
      </c>
      <c r="D69" s="86"/>
      <c r="E69" s="27"/>
      <c r="F69" s="25"/>
      <c r="G69" s="1"/>
    </row>
    <row r="70" spans="1:7" ht="15">
      <c r="A70" s="34" t="s">
        <v>18</v>
      </c>
      <c r="B70" s="35"/>
      <c r="C70" s="14" t="s">
        <v>44</v>
      </c>
      <c r="D70" s="86"/>
      <c r="E70" s="27"/>
      <c r="F70" s="25"/>
      <c r="G70" s="1"/>
    </row>
    <row r="71" spans="1:7" ht="15">
      <c r="A71" s="36" t="s">
        <v>19</v>
      </c>
      <c r="B71" s="6"/>
      <c r="C71" s="14" t="s">
        <v>44</v>
      </c>
      <c r="D71" s="86"/>
      <c r="E71" s="27"/>
      <c r="F71" s="25"/>
      <c r="G71" s="1"/>
    </row>
    <row r="72" spans="1:7" ht="15">
      <c r="A72" s="36" t="s">
        <v>48</v>
      </c>
      <c r="B72" s="6"/>
      <c r="C72" s="14"/>
      <c r="D72" s="86"/>
      <c r="E72" s="27"/>
      <c r="F72" s="25"/>
      <c r="G72" s="1"/>
    </row>
    <row r="73" spans="1:7" ht="15">
      <c r="A73" s="36" t="s">
        <v>40</v>
      </c>
      <c r="B73" s="6"/>
      <c r="C73" s="14" t="s">
        <v>44</v>
      </c>
      <c r="D73" s="86"/>
      <c r="E73" s="27"/>
      <c r="F73" s="25"/>
      <c r="G73" s="1"/>
    </row>
    <row r="74" spans="1:7" ht="15">
      <c r="A74" s="15" t="s">
        <v>20</v>
      </c>
      <c r="B74" s="7"/>
      <c r="C74" s="8"/>
      <c r="D74" s="7"/>
      <c r="E74" s="11"/>
      <c r="F74" s="30">
        <f>SUM(F66:F73)</f>
        <v>368755.18722704076</v>
      </c>
      <c r="G74" s="1"/>
    </row>
    <row r="76" spans="1:7" ht="15">
      <c r="A76" s="19">
        <v>2016</v>
      </c>
      <c r="B76" s="23" t="s">
        <v>24</v>
      </c>
      <c r="C76" s="1"/>
      <c r="D76" s="1"/>
      <c r="E76" s="1"/>
      <c r="F76" s="1"/>
      <c r="G76" s="1"/>
    </row>
    <row r="77" spans="1:7" ht="15">
      <c r="A77" s="9"/>
      <c r="B77" s="16"/>
      <c r="C77" s="1"/>
      <c r="D77" s="1"/>
      <c r="E77" s="1"/>
      <c r="F77" s="1"/>
      <c r="G77" s="1"/>
    </row>
    <row r="78" spans="1:7" ht="15">
      <c r="A78" s="10" t="s">
        <v>30</v>
      </c>
      <c r="B78" s="31">
        <f>M12</f>
        <v>99867592.6252873</v>
      </c>
      <c r="C78" s="1"/>
      <c r="D78" s="1"/>
      <c r="E78" s="1"/>
      <c r="F78" s="1"/>
      <c r="G78" s="1"/>
    </row>
    <row r="79" spans="1:2" ht="15">
      <c r="A79" s="10" t="s">
        <v>31</v>
      </c>
      <c r="B79" s="32">
        <f>F49</f>
        <v>3226778.5928070107</v>
      </c>
    </row>
    <row r="80" spans="1:2" ht="15">
      <c r="A80" s="10" t="s">
        <v>32</v>
      </c>
      <c r="B80" s="32">
        <f>F25</f>
        <v>6717161.504112636</v>
      </c>
    </row>
    <row r="81" spans="1:2" ht="15">
      <c r="A81" s="10" t="s">
        <v>33</v>
      </c>
      <c r="B81" s="32">
        <f>F37</f>
        <v>4541277.752507377</v>
      </c>
    </row>
    <row r="82" spans="1:2" ht="15">
      <c r="A82" s="10" t="s">
        <v>34</v>
      </c>
      <c r="B82" s="32">
        <f>F61</f>
        <v>1165225.6029580876</v>
      </c>
    </row>
    <row r="83" spans="1:2" ht="15">
      <c r="A83" s="10" t="s">
        <v>35</v>
      </c>
      <c r="B83" s="33">
        <v>0</v>
      </c>
    </row>
    <row r="84" spans="1:2" ht="15">
      <c r="A84" s="55" t="s">
        <v>36</v>
      </c>
      <c r="B84" s="53">
        <f>F74</f>
        <v>368755.18722704076</v>
      </c>
    </row>
    <row r="85" spans="1:2" ht="15">
      <c r="A85" s="18" t="s">
        <v>20</v>
      </c>
      <c r="B85" s="17">
        <f>SUM(B78:B84)</f>
        <v>115886791.26489943</v>
      </c>
    </row>
    <row r="88" spans="1:2" ht="15">
      <c r="A88" s="1"/>
      <c r="B88" s="1"/>
    </row>
    <row r="90" spans="1:2" ht="15">
      <c r="A90" s="90" t="s">
        <v>58</v>
      </c>
      <c r="B90" s="89">
        <f>M4</f>
        <v>32789361.260950893</v>
      </c>
    </row>
    <row r="91" spans="1:2" ht="15">
      <c r="A91" s="90" t="s">
        <v>59</v>
      </c>
      <c r="B91" s="89"/>
    </row>
    <row r="92" spans="1:2" ht="15">
      <c r="A92" s="90" t="s">
        <v>60</v>
      </c>
      <c r="B92" s="89"/>
    </row>
    <row r="93" spans="1:2" ht="15">
      <c r="A93" s="90" t="s">
        <v>61</v>
      </c>
      <c r="B93" s="89"/>
    </row>
    <row r="94" spans="1:2" ht="15">
      <c r="A94" s="90" t="s">
        <v>62</v>
      </c>
      <c r="B94" s="89">
        <f>M9</f>
        <v>826606.941123385</v>
      </c>
    </row>
    <row r="95" spans="1:2" ht="15">
      <c r="A95" s="90" t="s">
        <v>63</v>
      </c>
      <c r="B95" s="89">
        <f>M8</f>
        <v>44280.760354573686</v>
      </c>
    </row>
    <row r="96" spans="1:2" ht="15">
      <c r="A96" s="90" t="s">
        <v>64</v>
      </c>
      <c r="B96" s="89">
        <f>M7+M5+M6</f>
        <v>66207343.66285843</v>
      </c>
    </row>
    <row r="97" spans="1:2" ht="15">
      <c r="A97" s="90" t="s">
        <v>65</v>
      </c>
      <c r="B97" s="89"/>
    </row>
    <row r="98" spans="1:2" ht="15">
      <c r="A98" s="90" t="s">
        <v>66</v>
      </c>
      <c r="B98" s="89"/>
    </row>
    <row r="99" spans="1:2" ht="15">
      <c r="A99" s="90" t="s">
        <v>67</v>
      </c>
      <c r="B99" s="89"/>
    </row>
    <row r="100" spans="1:2" ht="15">
      <c r="A100" s="90" t="s">
        <v>68</v>
      </c>
      <c r="B100" s="89"/>
    </row>
    <row r="101" spans="1:2" ht="15">
      <c r="A101" s="90" t="s">
        <v>69</v>
      </c>
      <c r="B101" s="89"/>
    </row>
    <row r="102" spans="1:2" ht="15">
      <c r="A102" s="90" t="s">
        <v>70</v>
      </c>
      <c r="B102" s="89">
        <f>F49+F61</f>
        <v>4392004.195765099</v>
      </c>
    </row>
    <row r="103" spans="1:2" ht="15">
      <c r="A103" s="90" t="s">
        <v>71</v>
      </c>
      <c r="B103" s="89">
        <f>F74</f>
        <v>368755.18722704076</v>
      </c>
    </row>
    <row r="104" spans="1:2" ht="15">
      <c r="A104" s="90" t="s">
        <v>72</v>
      </c>
      <c r="B104" s="89">
        <f>F25</f>
        <v>6717161.504112636</v>
      </c>
    </row>
    <row r="105" spans="1:2" ht="15">
      <c r="A105" s="90" t="s">
        <v>73</v>
      </c>
      <c r="B105" s="89">
        <f>F37</f>
        <v>4541277.752507377</v>
      </c>
    </row>
    <row r="106" spans="1:2" ht="15">
      <c r="A106" s="90" t="s">
        <v>74</v>
      </c>
      <c r="B106" s="89">
        <v>0</v>
      </c>
    </row>
    <row r="107" ht="15">
      <c r="B107" s="91">
        <f>SUM(B90:B106)</f>
        <v>115886791.2648994</v>
      </c>
    </row>
  </sheetData>
  <sheetProtection/>
  <mergeCells count="12">
    <mergeCell ref="D65:F65"/>
    <mergeCell ref="D16:F16"/>
    <mergeCell ref="O17:O21"/>
    <mergeCell ref="D28:F28"/>
    <mergeCell ref="D40:F40"/>
    <mergeCell ref="D52:F52"/>
    <mergeCell ref="B2:B3"/>
    <mergeCell ref="C2:C3"/>
    <mergeCell ref="D2:D3"/>
    <mergeCell ref="F2:H2"/>
    <mergeCell ref="I2:J2"/>
    <mergeCell ref="K2:L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Brantford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Susi Vogt</cp:lastModifiedBy>
  <dcterms:created xsi:type="dcterms:W3CDTF">2016-01-21T22:42:57Z</dcterms:created>
  <dcterms:modified xsi:type="dcterms:W3CDTF">2016-09-12T13:58:07Z</dcterms:modified>
  <cp:category/>
  <cp:version/>
  <cp:contentType/>
  <cp:contentStatus/>
</cp:coreProperties>
</file>