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0" yWindow="195" windowWidth="11145" windowHeight="10245" tabRatio="924" activeTab="0"/>
  </bookViews>
  <sheets>
    <sheet name="Summary" sheetId="1" r:id="rId1"/>
    <sheet name="Embedded Distributor Forecast" sheetId="2" r:id="rId2"/>
    <sheet name="WMP Forecast" sheetId="3" r:id="rId3"/>
    <sheet name="Purchased Power Model " sheetId="4" r:id="rId4"/>
    <sheet name="CDM Worksheet--simple ex." sheetId="5" state="hidden" r:id="rId5"/>
    <sheet name="Negative Impact Var" sheetId="6" r:id="rId6"/>
    <sheet name="CDM Results" sheetId="7" r:id="rId7"/>
    <sheet name="HDD&amp;CDD" sheetId="8" r:id="rId8"/>
    <sheet name="Rate Class Energy Model" sheetId="9" r:id="rId9"/>
    <sheet name="Rate Class Customer Model" sheetId="10" r:id="rId10"/>
    <sheet name="Rate Class Load Model" sheetId="11" r:id="rId11"/>
    <sheet name="Change Tracking" sheetId="12" r:id="rId12"/>
  </sheets>
  <externalReferences>
    <externalReference r:id="rId15"/>
  </externalReferences>
  <definedNames>
    <definedName name="_Order1" hidden="1">255</definedName>
    <definedName name="_Sort" hidden="1">'[1]Sheet1'!$G$40:$K$40</definedName>
    <definedName name="_xlfn.IFERROR" hidden="1">#NAME?</definedName>
    <definedName name="PAGE11" localSheetId="5">#REF!</definedName>
    <definedName name="PAGE11">#REF!</definedName>
    <definedName name="PAGE2">'[1]Sheet1'!$A$1:$I$40</definedName>
    <definedName name="PAGE3" localSheetId="5">#REF!</definedName>
    <definedName name="PAGE3">#REF!</definedName>
    <definedName name="PAGE4" localSheetId="5">#REF!</definedName>
    <definedName name="PAGE4">#REF!</definedName>
    <definedName name="PAGE7" localSheetId="5">#REF!</definedName>
    <definedName name="PAGE7">#REF!</definedName>
    <definedName name="PAGE9" localSheetId="5">#REF!</definedName>
    <definedName name="PAGE9">#REF!</definedName>
    <definedName name="_xlnm.Print_Area" localSheetId="3">'Purchased Power Model '!#REF!</definedName>
    <definedName name="_xlnm.Print_Area" localSheetId="9">'Rate Class Customer Model'!$A$1:$C$2</definedName>
    <definedName name="_xlnm.Print_Area" localSheetId="8">'Rate Class Energy Model'!$A$1:$I$2</definedName>
    <definedName name="_xlnm.Print_Area" localSheetId="10">'Rate Class Load Model'!$A$1:$A$1</definedName>
    <definedName name="_xlnm.Print_Area" localSheetId="0">'Summary'!#REF!</definedName>
  </definedNames>
  <calcPr fullCalcOnLoad="1"/>
</workbook>
</file>

<file path=xl/comments1.xml><?xml version="1.0" encoding="utf-8"?>
<comments xmlns="http://schemas.openxmlformats.org/spreadsheetml/2006/main">
  <authors>
    <author>User</author>
  </authors>
  <commentList>
    <comment ref="M35" authorId="0">
      <text>
        <r>
          <rPr>
            <b/>
            <sz val="9"/>
            <rFont val="Tahoma"/>
            <family val="2"/>
          </rPr>
          <t>User:</t>
        </r>
        <r>
          <rPr>
            <sz val="9"/>
            <rFont val="Tahoma"/>
            <family val="2"/>
          </rPr>
          <t xml:space="preserve">
revised number of connections</t>
        </r>
      </text>
    </comment>
  </commentList>
</comments>
</file>

<file path=xl/comments3.xml><?xml version="1.0" encoding="utf-8"?>
<comments xmlns="http://schemas.openxmlformats.org/spreadsheetml/2006/main">
  <authors>
    <author>User</author>
  </authors>
  <commentList>
    <comment ref="D7" authorId="0">
      <text>
        <r>
          <rPr>
            <b/>
            <sz val="9"/>
            <rFont val="Tahoma"/>
            <family val="2"/>
          </rPr>
          <t>User:</t>
        </r>
        <r>
          <rPr>
            <sz val="9"/>
            <rFont val="Tahoma"/>
            <family val="2"/>
          </rPr>
          <t xml:space="preserve">
actual consumption 
</t>
        </r>
      </text>
    </comment>
  </commentList>
</comments>
</file>

<file path=xl/comments5.xml><?xml version="1.0" encoding="utf-8"?>
<comments xmlns="http://schemas.openxmlformats.org/spreadsheetml/2006/main">
  <authors>
    <author>Oana Stefan</author>
  </authors>
  <commentList>
    <comment ref="C11" authorId="0">
      <text>
        <r>
          <rPr>
            <b/>
            <sz val="9"/>
            <rFont val="Tahoma"/>
            <family val="2"/>
          </rPr>
          <t>Oana Stefan:</t>
        </r>
        <r>
          <rPr>
            <sz val="9"/>
            <rFont val="Tahoma"/>
            <family val="2"/>
          </rPr>
          <t xml:space="preserve">
Pleaceholder to be updated in August with 2014 CDM Report from IESO
</t>
        </r>
      </text>
    </comment>
  </commentList>
</comments>
</file>

<file path=xl/comments7.xml><?xml version="1.0" encoding="utf-8"?>
<comments xmlns="http://schemas.openxmlformats.org/spreadsheetml/2006/main">
  <authors>
    <author>Oana Stefan</author>
    <author>User</author>
  </authors>
  <commentList>
    <comment ref="AE19" authorId="0">
      <text>
        <r>
          <rPr>
            <b/>
            <sz val="9"/>
            <rFont val="Tahoma"/>
            <family val="2"/>
          </rPr>
          <t>Oana Stefan:</t>
        </r>
        <r>
          <rPr>
            <sz val="9"/>
            <rFont val="Tahoma"/>
            <family val="2"/>
          </rPr>
          <t xml:space="preserve">
To be done as manual adjustment
</t>
        </r>
      </text>
    </comment>
    <comment ref="L38" authorId="1">
      <text>
        <r>
          <rPr>
            <b/>
            <sz val="9"/>
            <rFont val="Tahoma"/>
            <family val="2"/>
          </rPr>
          <t>User:</t>
        </r>
        <r>
          <rPr>
            <sz val="9"/>
            <rFont val="Tahoma"/>
            <family val="2"/>
          </rPr>
          <t xml:space="preserve">
exclusive of adjustments made through IESO letter. Includes other adjsutments to prior year's results included with original IESO report
</t>
        </r>
      </text>
    </comment>
    <comment ref="C53" authorId="1">
      <text>
        <r>
          <rPr>
            <b/>
            <sz val="9"/>
            <rFont val="Tahoma"/>
            <family val="2"/>
          </rPr>
          <t>User:</t>
        </r>
        <r>
          <rPr>
            <sz val="9"/>
            <rFont val="Tahoma"/>
            <family val="2"/>
          </rPr>
          <t xml:space="preserve">
matches 2014 in 2014 results from IESO report (prior to IESO letter adjusting); less adjustments to prior years' results </t>
        </r>
      </text>
    </comment>
  </commentList>
</comments>
</file>

<file path=xl/comments8.xml><?xml version="1.0" encoding="utf-8"?>
<comments xmlns="http://schemas.openxmlformats.org/spreadsheetml/2006/main">
  <authors>
    <author>User</author>
  </authors>
  <commentList>
    <comment ref="W13" authorId="0">
      <text>
        <r>
          <rPr>
            <b/>
            <sz val="9"/>
            <rFont val="Tahoma"/>
            <family val="2"/>
          </rPr>
          <t>User:</t>
        </r>
        <r>
          <rPr>
            <sz val="9"/>
            <rFont val="Tahoma"/>
            <family val="2"/>
          </rPr>
          <t xml:space="preserve">
transition mth from Pearson A to toronto Intl stations</t>
        </r>
      </text>
    </comment>
  </commentList>
</comments>
</file>

<file path=xl/comments9.xml><?xml version="1.0" encoding="utf-8"?>
<comments xmlns="http://schemas.openxmlformats.org/spreadsheetml/2006/main">
  <authors>
    <author>User</author>
  </authors>
  <commentList>
    <comment ref="H71" authorId="0">
      <text>
        <r>
          <rPr>
            <b/>
            <sz val="9"/>
            <rFont val="Tahoma"/>
            <family val="2"/>
          </rPr>
          <t>User:</t>
        </r>
        <r>
          <rPr>
            <sz val="9"/>
            <rFont val="Tahoma"/>
            <family val="2"/>
          </rPr>
          <t xml:space="preserve">
allocations on the basis of net kWh savings per class for 2014 programs. Heavy weighting towards GS&gt;50 appears to be consistent with BPI's CDM Plan for 2015-2021</t>
        </r>
      </text>
    </comment>
  </commentList>
</comments>
</file>

<file path=xl/sharedStrings.xml><?xml version="1.0" encoding="utf-8"?>
<sst xmlns="http://schemas.openxmlformats.org/spreadsheetml/2006/main" count="353" uniqueCount="202">
  <si>
    <t>Purchased</t>
  </si>
  <si>
    <t>Loss Factor</t>
  </si>
  <si>
    <t>Total Billed</t>
  </si>
  <si>
    <t>Heating Degree Days</t>
  </si>
  <si>
    <t>Cooling Degree Days</t>
  </si>
  <si>
    <t>Number of Days in Month</t>
  </si>
  <si>
    <t>Ontario Real GDP Monthly %</t>
  </si>
  <si>
    <t>Purchases</t>
  </si>
  <si>
    <t>Modeled Purchases</t>
  </si>
  <si>
    <t>% Difference</t>
  </si>
  <si>
    <t>Total</t>
  </si>
  <si>
    <t>Average</t>
  </si>
  <si>
    <t xml:space="preserve">Geomean </t>
  </si>
  <si>
    <t>Usage Per Customer</t>
  </si>
  <si>
    <t xml:space="preserve">Total </t>
  </si>
  <si>
    <t xml:space="preserve">Used </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</si>
  <si>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</si>
  <si>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</si>
  <si>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</si>
  <si>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</si>
  <si>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</si>
  <si>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</si>
  <si>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</si>
  <si>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</si>
  <si>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</si>
  <si>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</si>
  <si>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</si>
  <si>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</si>
  <si>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</si>
  <si>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</si>
  <si>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</si>
  <si>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</si>
  <si>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</si>
  <si>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</si>
  <si>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</si>
  <si>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</si>
  <si>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</si>
  <si>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</si>
  <si>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</si>
  <si>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Difference</t>
  </si>
  <si>
    <t xml:space="preserve">Growth Rate in Customer Numbers </t>
  </si>
  <si>
    <t>Weatther Normal Projection</t>
  </si>
  <si>
    <t>Weather Corrected Forecast</t>
  </si>
  <si>
    <t>Non Weather Corrected Forecast</t>
  </si>
  <si>
    <t>% Weather Sensitive</t>
  </si>
  <si>
    <t>Allocation of Weather Sensitive Amount</t>
  </si>
  <si>
    <t xml:space="preserve">  Customers</t>
  </si>
  <si>
    <t xml:space="preserve">  kWh</t>
  </si>
  <si>
    <t xml:space="preserve">  kW</t>
  </si>
  <si>
    <t xml:space="preserve">2006 Actual </t>
  </si>
  <si>
    <t xml:space="preserve">2007 Actual </t>
  </si>
  <si>
    <t xml:space="preserve">  kW from applicable classes</t>
  </si>
  <si>
    <t xml:space="preserve">  Customer/Connections</t>
  </si>
  <si>
    <t>Actual kWh Purchases</t>
  </si>
  <si>
    <t>Predicted kWh Purchases</t>
  </si>
  <si>
    <t>By Class</t>
  </si>
  <si>
    <t>Billed kWh</t>
  </si>
  <si>
    <t>Used</t>
  </si>
  <si>
    <t>kW/kWh</t>
  </si>
  <si>
    <t>Residential</t>
  </si>
  <si>
    <t>GS&lt;50</t>
  </si>
  <si>
    <t>USL</t>
  </si>
  <si>
    <t>Weather Normal</t>
  </si>
  <si>
    <t>Streetlights</t>
  </si>
  <si>
    <t xml:space="preserve">2009 Actual </t>
  </si>
  <si>
    <t xml:space="preserve">  Connections</t>
  </si>
  <si>
    <t>Total of Above</t>
  </si>
  <si>
    <t>Check should all be zero</t>
  </si>
  <si>
    <t>Sentinels</t>
  </si>
  <si>
    <t xml:space="preserve">2010 Actual </t>
  </si>
  <si>
    <t>May want to be consistent with proposed loss factor</t>
  </si>
  <si>
    <t xml:space="preserve">2011 Actual </t>
  </si>
  <si>
    <t xml:space="preserve">2015 Actual </t>
  </si>
  <si>
    <t>2014 Actual</t>
  </si>
  <si>
    <t>2013 Actual</t>
  </si>
  <si>
    <t xml:space="preserve">2012 Actual </t>
  </si>
  <si>
    <t xml:space="preserve">2008 Actual </t>
  </si>
  <si>
    <t>Total to 2015</t>
  </si>
  <si>
    <t>Negative Impact Variable</t>
  </si>
  <si>
    <t xml:space="preserve">Allocation of CDM Amount </t>
  </si>
  <si>
    <t>CDM Adjusted Weather Corrected Forecast</t>
  </si>
  <si>
    <t>(to be entered as negaitve)</t>
  </si>
  <si>
    <t>Summary of Degree Day Information</t>
  </si>
  <si>
    <t>Station Name</t>
  </si>
  <si>
    <t>TORONTO LESTER B. PEARSON INT'L A</t>
  </si>
  <si>
    <t>Summary of All Heating Degree Days</t>
  </si>
  <si>
    <t>Month</t>
  </si>
  <si>
    <t>20 Year Trend</t>
  </si>
  <si>
    <t>January</t>
  </si>
  <si>
    <t>February</t>
  </si>
  <si>
    <t>March</t>
  </si>
  <si>
    <t>April</t>
  </si>
  <si>
    <t>May</t>
  </si>
  <si>
    <t>June</t>
  </si>
  <si>
    <t>July</t>
  </si>
  <si>
    <t>August</t>
  </si>
  <si>
    <t>September</t>
  </si>
  <si>
    <t>October</t>
  </si>
  <si>
    <t>November</t>
  </si>
  <si>
    <t>December</t>
  </si>
  <si>
    <t>Summary of All Cooling Degree Days</t>
  </si>
  <si>
    <t xml:space="preserve"> </t>
  </si>
  <si>
    <t>Check</t>
  </si>
  <si>
    <t>Jan</t>
  </si>
  <si>
    <t>Feb</t>
  </si>
  <si>
    <t>Mar</t>
  </si>
  <si>
    <t>Apr</t>
  </si>
  <si>
    <t>Jun</t>
  </si>
  <si>
    <t>Jul</t>
  </si>
  <si>
    <t>Aug</t>
  </si>
  <si>
    <t>Sep</t>
  </si>
  <si>
    <t>Oct</t>
  </si>
  <si>
    <t>Nov</t>
  </si>
  <si>
    <t>Dec</t>
  </si>
  <si>
    <t>#</t>
  </si>
  <si>
    <t>Program Year</t>
  </si>
  <si>
    <t>Results Status</t>
  </si>
  <si>
    <t>2006 Programs</t>
  </si>
  <si>
    <t>Final</t>
  </si>
  <si>
    <t>2007 Programs</t>
  </si>
  <si>
    <t>2008 Programs</t>
  </si>
  <si>
    <t>2009 Programs</t>
  </si>
  <si>
    <t>2010 Programs</t>
  </si>
  <si>
    <t>2011 Programs</t>
  </si>
  <si>
    <t>2012 Programs</t>
  </si>
  <si>
    <t xml:space="preserve">Estimated </t>
  </si>
  <si>
    <t>2013 Programs</t>
  </si>
  <si>
    <t>2014 Programs</t>
  </si>
  <si>
    <t xml:space="preserve">Net Persistent CDM Impact </t>
  </si>
  <si>
    <t>kWh</t>
  </si>
  <si>
    <t xml:space="preserve">Half-Year New Net Savings </t>
  </si>
  <si>
    <t>Persistence+Half Year new Savings</t>
  </si>
  <si>
    <t xml:space="preserve">Net New CDM Savings in Year </t>
  </si>
  <si>
    <t xml:space="preserve">Increase over previous year </t>
  </si>
  <si>
    <t xml:space="preserve">Monthly Increase </t>
  </si>
  <si>
    <t>December Savings * 12</t>
  </si>
  <si>
    <t>( 1993- July 12, 2013)</t>
  </si>
  <si>
    <t>TORONTO INTL A</t>
  </si>
  <si>
    <t>(June 13, 2013- present)</t>
  </si>
  <si>
    <t>Mo.</t>
  </si>
  <si>
    <t>Table 1: 2006-2010 Programs - MWh</t>
  </si>
  <si>
    <t xml:space="preserve">Results Year </t>
  </si>
  <si>
    <t>Net Energy Savings (MWh)</t>
  </si>
  <si>
    <t xml:space="preserve">Program Year </t>
  </si>
  <si>
    <t>Table 1A: 2006-2010 Programs kWh</t>
  </si>
  <si>
    <t>Net Energy Savings (kWh)</t>
  </si>
  <si>
    <t xml:space="preserve">Persistence Results </t>
  </si>
  <si>
    <t>check</t>
  </si>
  <si>
    <t xml:space="preserve">Half of new results </t>
  </si>
  <si>
    <t>Table 2: 2011-2014 Programs: kWh</t>
  </si>
  <si>
    <t xml:space="preserve">NIV variable </t>
  </si>
  <si>
    <t xml:space="preserve">2014 Cumulative kWh Target: </t>
  </si>
  <si>
    <t>Final -pers. Est.</t>
  </si>
  <si>
    <t>Totals</t>
  </si>
  <si>
    <t xml:space="preserve">Table 2A: 2011-2014 Programs -- Estimated persistence </t>
  </si>
  <si>
    <t xml:space="preserve">Table 3: Expected 2015-2017 Program results </t>
  </si>
  <si>
    <t>Brantford Power Weather Normal Load Forecast for 2017 Rate Application</t>
  </si>
  <si>
    <t>2017 Weather Normal, CDM Adjusted</t>
  </si>
  <si>
    <t>2016 Weather Normal, CDM Adjusted</t>
  </si>
  <si>
    <t xml:space="preserve">Historic Load </t>
  </si>
  <si>
    <t>Description:</t>
  </si>
  <si>
    <t xml:space="preserve">Brantford Power Embedded Distributor is billed directly by the IESO for electricity consumption, global adjustment, and other charges. </t>
  </si>
  <si>
    <t xml:space="preserve">Brantford Power bills its Embedded Distributor for distribution and transmission charges only. </t>
  </si>
  <si>
    <t xml:space="preserve">Based on the above, BPI does not have - or require- kWh billing data for its embedded distritbutor. </t>
  </si>
  <si>
    <t>2016- Forecast</t>
  </si>
  <si>
    <t xml:space="preserve">2017- Forecast </t>
  </si>
  <si>
    <t xml:space="preserve">kW </t>
  </si>
  <si>
    <t xml:space="preserve">Number of connections </t>
  </si>
  <si>
    <t xml:space="preserve">Embedded Distributor </t>
  </si>
  <si>
    <t xml:space="preserve">apr </t>
  </si>
  <si>
    <t xml:space="preserve">may </t>
  </si>
  <si>
    <t>Population (x 1,000)6</t>
  </si>
  <si>
    <t>Unemployment rate (percent)10</t>
  </si>
  <si>
    <t xml:space="preserve">Predicted Purchases </t>
  </si>
  <si>
    <t xml:space="preserve">Est. kWh </t>
  </si>
  <si>
    <t>kW-kWH ratio (GS&gt;50)</t>
  </si>
  <si>
    <t>GS&gt;50 kWh to kW</t>
  </si>
  <si>
    <t>Change from 2015</t>
  </si>
  <si>
    <t xml:space="preserve">Table: </t>
  </si>
  <si>
    <t xml:space="preserve">2014 Results in 2014 per draft 6 of Burman Report </t>
  </si>
  <si>
    <t xml:space="preserve">Total Residential Net Energy Savings </t>
  </si>
  <si>
    <t xml:space="preserve">Total GS&lt;50 Net Energy Savings </t>
  </si>
  <si>
    <t xml:space="preserve">Total GS&gt;50 Net Energy Savings </t>
  </si>
  <si>
    <t xml:space="preserve">Wholesale Market Participants </t>
  </si>
  <si>
    <t>Less: Total from Model</t>
  </si>
  <si>
    <t xml:space="preserve">Less: Embedded +WMP </t>
  </si>
  <si>
    <t>GS&gt;50 (excl. WMP)</t>
  </si>
  <si>
    <t>Reduction from consultation (# of lights)</t>
  </si>
  <si>
    <t xml:space="preserve">Adjust Sentinel Light Consumption </t>
  </si>
  <si>
    <t>Forecast Years are based on the following assumptions :</t>
  </si>
  <si>
    <t>• elimination in 2016 of PM1 connection and load</t>
  </si>
  <si>
    <t xml:space="preserve">• Load Growth on remaining 2 feeders in line with Dec. 2015 forecasts for switches project. </t>
  </si>
  <si>
    <t>New Results (excl. 2016 and 2017)</t>
  </si>
  <si>
    <t>kWh's as per application</t>
  </si>
  <si>
    <t>Update for YTD June 2016 purchases</t>
  </si>
  <si>
    <t>Update for 2015 Verified CDM</t>
  </si>
  <si>
    <t>1-Staff-1</t>
  </si>
  <si>
    <t>3-VECC-21</t>
  </si>
  <si>
    <t>10 Year Average</t>
  </si>
  <si>
    <t>Updated for CDM Persistence (Burman)</t>
  </si>
  <si>
    <t>3-VECC-22</t>
  </si>
  <si>
    <t>Updated Load Forecast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</si>
</sst>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000"/>
    <numFmt numFmtId="176" formatCode="0.0000%"/>
    <numFmt numFmtId="177" formatCode="#,##0.0"/>
    <numFmt numFmtId="178" formatCode="_(* #,##0.0_);_(* \(#,##0.0\);_(* &quot;-&quot;??_);_(@_)"/>
    <numFmt numFmtId="179" formatCode="_(* #,##0_);_(* \(#,##0\);_(* &quot;-&quot;??_);_(@_)"/>
    <numFmt numFmtId="180" formatCode="0.0"/>
    <numFmt numFmtId="181" formatCode="0.000000"/>
    <numFmt numFmtId="182" formatCode="0.00000"/>
    <numFmt numFmtId="183" formatCode="0.000"/>
    <numFmt numFmtId="184" formatCode="_-* #,##0.0_-;\-* #,##0.0_-;_-* &quot;-&quot;?_-;_-@_-"/>
    <numFmt numFmtId="185" formatCode="_(* #,##0.000_);_(* \(#,##0.000\);_(* &quot;-&quot;??_);_(@_)"/>
    <numFmt numFmtId="186" formatCode="_-* #,##0_-;\-* #,##0_-;_-* &quot;-&quot;??_-;_-@_-"/>
    <numFmt numFmtId="187" formatCode="0.000%"/>
    <numFmt numFmtId="188" formatCode="_(* #,##0.0000_);_(* \(#,##0.0000\);_(* &quot;-&quot;??_);_(@_)"/>
    <numFmt numFmtId="189" formatCode="#,##0.000"/>
  </numFmts>
  <fonts count="60">
    <font>
      <sz val="10"/>
      <name val="Arial"/>
      <family val="0"/>
    </font>
    <font>
      <sz val="11"/>
      <color indexed="8"/>
      <name val="Calibri"/>
      <family val="2"/>
    </font>
    <font>
      <u val="single"/>
      <sz val="10"/>
      <name val="Arial"/>
      <family val="2"/>
    </font>
    <font>
      <b/>
      <sz val="10"/>
      <name val="Arial"/>
      <family val="2"/>
    </font>
    <font>
      <b/>
      <sz val="12"/>
      <name val="Arial"/>
      <family val="2"/>
    </font>
    <font>
      <b/>
      <sz val="10"/>
      <color indexed="10"/>
      <name val="Arial"/>
      <family val="2"/>
    </font>
    <font>
      <sz val="8"/>
      <name val="Arial"/>
      <family val="2"/>
    </font>
    <font>
      <sz val="10"/>
      <name val="Times New Roman"/>
      <family val="1"/>
    </font>
    <font>
      <i/>
      <sz val="8"/>
      <name val="Arial"/>
      <family val="2"/>
    </font>
    <font>
      <b/>
      <u val="single"/>
      <sz val="8"/>
      <name val="Arial"/>
      <family val="2"/>
    </font>
    <font>
      <b/>
      <sz val="8"/>
      <name val="Arial"/>
      <family val="2"/>
    </font>
    <font>
      <sz val="10"/>
      <color indexed="9"/>
      <name val="Arial"/>
      <family val="2"/>
    </font>
    <font>
      <sz val="9"/>
      <name val="Tahoma"/>
      <family val="2"/>
    </font>
    <font>
      <b/>
      <sz val="9"/>
      <name val="Tahoma"/>
      <family val="2"/>
    </font>
    <font>
      <b/>
      <u val="single"/>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u val="single"/>
      <sz val="11"/>
      <color theme="1"/>
      <name val="Calibri"/>
      <family val="2"/>
    </font>
    <font>
      <sz val="10"/>
      <color theme="0"/>
      <name val="Arial"/>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indexed="22"/>
        <bgColor indexed="64"/>
      </patternFill>
    </fill>
    <fill>
      <patternFill patternType="solid">
        <fgColor rgb="FFFFFFFF"/>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0" fillId="34" borderId="1" applyNumberFormat="0" applyAlignment="0" applyProtection="0"/>
    <xf numFmtId="0" fontId="41" fillId="3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42"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7" borderId="1" applyNumberFormat="0" applyAlignment="0" applyProtection="0"/>
    <xf numFmtId="0" fontId="51" fillId="0" borderId="6" applyNumberFormat="0" applyFill="0" applyAlignment="0" applyProtection="0"/>
    <xf numFmtId="0" fontId="52" fillId="38"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9" borderId="7" applyNumberFormat="0" applyFont="0" applyAlignment="0" applyProtection="0"/>
    <xf numFmtId="0" fontId="37" fillId="39" borderId="7" applyNumberFormat="0" applyFont="0" applyAlignment="0" applyProtection="0"/>
    <xf numFmtId="0" fontId="1" fillId="39" borderId="7" applyNumberFormat="0" applyFont="0" applyAlignment="0" applyProtection="0"/>
    <xf numFmtId="0" fontId="53" fillId="3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2">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7" fontId="0" fillId="0" borderId="0" xfId="0" applyNumberFormat="1" applyAlignment="1">
      <alignment/>
    </xf>
    <xf numFmtId="0" fontId="0" fillId="0" borderId="0" xfId="0" applyAlignment="1">
      <alignment horizontal="right"/>
    </xf>
    <xf numFmtId="172" fontId="0" fillId="0" borderId="0" xfId="0" applyNumberForma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Font="1" applyAlignment="1">
      <alignment horizontal="center" wrapText="1"/>
    </xf>
    <xf numFmtId="3" fontId="2" fillId="0" borderId="0" xfId="0" applyNumberFormat="1" applyFont="1" applyAlignment="1">
      <alignment horizontal="center" wrapText="1"/>
    </xf>
    <xf numFmtId="3" fontId="0" fillId="0" borderId="0" xfId="0" applyNumberFormat="1" applyFont="1" applyAlignment="1">
      <alignment horizontal="center"/>
    </xf>
    <xf numFmtId="0" fontId="2" fillId="0" borderId="0" xfId="0" applyFont="1" applyAlignment="1">
      <alignment horizontal="center" wrapText="1"/>
    </xf>
    <xf numFmtId="3" fontId="0" fillId="0" borderId="0" xfId="50" applyNumberFormat="1" applyAlignment="1">
      <alignment horizontal="center"/>
    </xf>
    <xf numFmtId="0" fontId="0" fillId="0" borderId="0" xfId="0" applyFont="1" applyAlignment="1">
      <alignment/>
    </xf>
    <xf numFmtId="10" fontId="0" fillId="0" borderId="0" xfId="0" applyNumberFormat="1" applyAlignment="1">
      <alignment horizontal="center"/>
    </xf>
    <xf numFmtId="1" fontId="0" fillId="0" borderId="0" xfId="0" applyNumberFormat="1" applyAlignment="1">
      <alignment/>
    </xf>
    <xf numFmtId="0" fontId="0" fillId="14" borderId="0" xfId="0" applyFill="1" applyAlignment="1">
      <alignment horizontal="center"/>
    </xf>
    <xf numFmtId="0" fontId="3" fillId="0" borderId="0" xfId="0" applyFont="1" applyAlignment="1">
      <alignment/>
    </xf>
    <xf numFmtId="0" fontId="3" fillId="0" borderId="0" xfId="0" applyFont="1" applyAlignment="1">
      <alignment/>
    </xf>
    <xf numFmtId="3" fontId="0" fillId="14" borderId="0" xfId="0" applyNumberFormat="1" applyFill="1" applyAlignment="1">
      <alignment horizontal="center"/>
    </xf>
    <xf numFmtId="17" fontId="3" fillId="0" borderId="0" xfId="0" applyNumberFormat="1" applyFont="1" applyAlignment="1">
      <alignment/>
    </xf>
    <xf numFmtId="0" fontId="0" fillId="0" borderId="0" xfId="0" applyFill="1" applyAlignment="1">
      <alignment horizontal="center"/>
    </xf>
    <xf numFmtId="174" fontId="0" fillId="0" borderId="0" xfId="0" applyNumberFormat="1" applyAlignment="1">
      <alignment horizontal="center"/>
    </xf>
    <xf numFmtId="175"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6" fontId="0" fillId="0" borderId="0" xfId="0" applyNumberFormat="1" applyAlignment="1">
      <alignment horizontal="center"/>
    </xf>
    <xf numFmtId="0" fontId="0" fillId="0" borderId="10" xfId="0" applyBorder="1" applyAlignment="1">
      <alignment horizontal="right"/>
    </xf>
    <xf numFmtId="3" fontId="0" fillId="14" borderId="10" xfId="0" applyNumberFormat="1" applyFont="1" applyFill="1" applyBorder="1" applyAlignment="1">
      <alignment horizontal="center"/>
    </xf>
    <xf numFmtId="0" fontId="0" fillId="0" borderId="0" xfId="0" applyFill="1" applyAlignment="1">
      <alignment/>
    </xf>
    <xf numFmtId="4" fontId="2" fillId="0" borderId="0" xfId="0" applyNumberFormat="1" applyFont="1" applyAlignment="1">
      <alignment horizontal="center" wrapText="1"/>
    </xf>
    <xf numFmtId="4" fontId="0" fillId="0" borderId="0" xfId="0" applyNumberFormat="1" applyAlignment="1">
      <alignment horizontal="center"/>
    </xf>
    <xf numFmtId="173" fontId="0" fillId="0" borderId="0" xfId="0" applyNumberFormat="1" applyAlignment="1">
      <alignment horizontal="center"/>
    </xf>
    <xf numFmtId="0" fontId="0" fillId="0" borderId="0" xfId="0" applyNumberFormat="1" applyBorder="1" applyAlignment="1">
      <alignment/>
    </xf>
    <xf numFmtId="3" fontId="0" fillId="40" borderId="0" xfId="0" applyNumberFormat="1" applyFill="1" applyAlignment="1">
      <alignment horizontal="center"/>
    </xf>
    <xf numFmtId="3" fontId="0" fillId="40" borderId="0" xfId="0" applyNumberFormat="1" applyFont="1" applyFill="1" applyAlignment="1">
      <alignment horizontal="center"/>
    </xf>
    <xf numFmtId="0" fontId="0" fillId="0" borderId="0" xfId="0" applyAlignment="1">
      <alignment horizontal="left"/>
    </xf>
    <xf numFmtId="0" fontId="0" fillId="0" borderId="0" xfId="0" applyAlignment="1">
      <alignment horizontal="center" wrapText="1"/>
    </xf>
    <xf numFmtId="3" fontId="0" fillId="40" borderId="10" xfId="0" applyNumberFormat="1" applyFill="1" applyBorder="1" applyAlignment="1">
      <alignment horizontal="center"/>
    </xf>
    <xf numFmtId="3" fontId="0" fillId="40" borderId="10" xfId="0" applyNumberFormat="1" applyFont="1" applyFill="1" applyBorder="1" applyAlignment="1">
      <alignment horizontal="center"/>
    </xf>
    <xf numFmtId="3" fontId="2" fillId="40" borderId="0" xfId="0" applyNumberFormat="1" applyFont="1" applyFill="1" applyAlignment="1">
      <alignment horizontal="center"/>
    </xf>
    <xf numFmtId="3" fontId="0" fillId="40" borderId="0" xfId="0" applyNumberFormat="1" applyFont="1" applyFill="1" applyAlignment="1">
      <alignment horizontal="center" wrapText="1"/>
    </xf>
    <xf numFmtId="3" fontId="2" fillId="40" borderId="0" xfId="0" applyNumberFormat="1" applyFont="1" applyFill="1" applyAlignment="1">
      <alignment horizontal="center" wrapText="1"/>
    </xf>
    <xf numFmtId="0" fontId="0" fillId="0" borderId="0" xfId="0" applyFont="1" applyFill="1" applyAlignment="1">
      <alignment/>
    </xf>
    <xf numFmtId="174" fontId="0" fillId="41" borderId="0" xfId="0" applyNumberFormat="1" applyFill="1" applyAlignment="1">
      <alignment horizontal="center"/>
    </xf>
    <xf numFmtId="174" fontId="0" fillId="0" borderId="0" xfId="0" applyNumberFormat="1" applyFill="1" applyAlignment="1">
      <alignment horizontal="center"/>
    </xf>
    <xf numFmtId="3" fontId="0" fillId="40" borderId="0" xfId="0" applyNumberFormat="1" applyFont="1" applyFill="1" applyAlignment="1">
      <alignment horizontal="center"/>
    </xf>
    <xf numFmtId="173" fontId="0" fillId="14" borderId="0" xfId="0" applyNumberFormat="1" applyFill="1" applyAlignment="1">
      <alignment horizontal="center"/>
    </xf>
    <xf numFmtId="10" fontId="0" fillId="40" borderId="0" xfId="0" applyNumberFormat="1" applyFill="1" applyAlignment="1">
      <alignment horizontal="center"/>
    </xf>
    <xf numFmtId="0" fontId="0" fillId="0" borderId="0" xfId="0" applyFill="1" applyAlignment="1">
      <alignment horizontal="center" wrapText="1"/>
    </xf>
    <xf numFmtId="3" fontId="0" fillId="0" borderId="0" xfId="0" applyNumberFormat="1" applyFill="1" applyAlignment="1">
      <alignment horizontal="center" wrapText="1"/>
    </xf>
    <xf numFmtId="17" fontId="0" fillId="0" borderId="11" xfId="0" applyNumberFormat="1" applyBorder="1" applyAlignment="1">
      <alignment/>
    </xf>
    <xf numFmtId="37" fontId="0" fillId="0" borderId="12" xfId="0" applyNumberFormat="1" applyFont="1" applyBorder="1" applyAlignment="1">
      <alignment horizontal="center"/>
    </xf>
    <xf numFmtId="0" fontId="0" fillId="0" borderId="12" xfId="0" applyBorder="1" applyAlignment="1">
      <alignment/>
    </xf>
    <xf numFmtId="3" fontId="0" fillId="0" borderId="12" xfId="0" applyNumberFormat="1" applyBorder="1" applyAlignment="1">
      <alignment horizontal="center"/>
    </xf>
    <xf numFmtId="17" fontId="0" fillId="0" borderId="13" xfId="0" applyNumberFormat="1" applyBorder="1" applyAlignment="1">
      <alignment/>
    </xf>
    <xf numFmtId="37" fontId="0" fillId="0" borderId="0"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horizontal="center"/>
    </xf>
    <xf numFmtId="17" fontId="0" fillId="0" borderId="14" xfId="0" applyNumberFormat="1" applyBorder="1" applyAlignment="1">
      <alignment/>
    </xf>
    <xf numFmtId="37" fontId="0" fillId="0" borderId="15" xfId="0" applyNumberFormat="1" applyFont="1" applyBorder="1" applyAlignment="1">
      <alignment horizontal="center"/>
    </xf>
    <xf numFmtId="0" fontId="0" fillId="0" borderId="15" xfId="0" applyBorder="1" applyAlignment="1">
      <alignment/>
    </xf>
    <xf numFmtId="3" fontId="0" fillId="0" borderId="15" xfId="0" applyNumberFormat="1" applyBorder="1" applyAlignment="1">
      <alignment horizontal="center"/>
    </xf>
    <xf numFmtId="37" fontId="0" fillId="0" borderId="12" xfId="0" applyNumberFormat="1" applyBorder="1" applyAlignment="1">
      <alignment horizontal="center"/>
    </xf>
    <xf numFmtId="37" fontId="0" fillId="0" borderId="0" xfId="0" applyNumberFormat="1" applyBorder="1" applyAlignment="1">
      <alignment horizontal="center"/>
    </xf>
    <xf numFmtId="37" fontId="0" fillId="0" borderId="15" xfId="0" applyNumberFormat="1" applyBorder="1" applyAlignment="1">
      <alignment horizontal="center"/>
    </xf>
    <xf numFmtId="173" fontId="0" fillId="0" borderId="0" xfId="0" applyNumberFormat="1" applyFill="1" applyAlignment="1">
      <alignment horizontal="center"/>
    </xf>
    <xf numFmtId="37" fontId="3" fillId="0" borderId="0" xfId="0" applyNumberFormat="1" applyFont="1" applyBorder="1" applyAlignment="1">
      <alignment horizontal="center"/>
    </xf>
    <xf numFmtId="0" fontId="0" fillId="0" borderId="0" xfId="0" applyNumberFormat="1" applyFill="1" applyBorder="1" applyAlignment="1">
      <alignment/>
    </xf>
    <xf numFmtId="3" fontId="0" fillId="42" borderId="0" xfId="0" applyNumberFormat="1" applyFill="1" applyAlignment="1">
      <alignment horizontal="center"/>
    </xf>
    <xf numFmtId="9" fontId="0" fillId="43" borderId="0" xfId="103" applyFont="1" applyFill="1" applyAlignment="1">
      <alignment horizontal="center"/>
    </xf>
    <xf numFmtId="173" fontId="0" fillId="0" borderId="0" xfId="0" applyNumberFormat="1" applyFont="1" applyFill="1" applyAlignment="1">
      <alignment horizontal="center"/>
    </xf>
    <xf numFmtId="0" fontId="0" fillId="43" borderId="0" xfId="0" applyFill="1" applyAlignment="1">
      <alignment/>
    </xf>
    <xf numFmtId="0" fontId="0" fillId="0" borderId="0" xfId="0" applyFill="1" applyAlignment="1">
      <alignment horizontal="right"/>
    </xf>
    <xf numFmtId="171" fontId="6" fillId="0" borderId="0" xfId="65" applyFont="1" applyAlignment="1">
      <alignment/>
    </xf>
    <xf numFmtId="171" fontId="10" fillId="0" borderId="0" xfId="65" applyFont="1" applyAlignment="1">
      <alignment horizontal="right"/>
    </xf>
    <xf numFmtId="4" fontId="6" fillId="14" borderId="0" xfId="89" applyNumberFormat="1" applyFont="1" applyFill="1">
      <alignment/>
      <protection/>
    </xf>
    <xf numFmtId="0" fontId="0" fillId="44" borderId="0" xfId="0" applyFill="1" applyAlignment="1">
      <alignment/>
    </xf>
    <xf numFmtId="0" fontId="0" fillId="0" borderId="0" xfId="0" applyAlignment="1">
      <alignment wrapText="1"/>
    </xf>
    <xf numFmtId="0" fontId="0" fillId="0" borderId="10" xfId="0" applyBorder="1" applyAlignment="1">
      <alignment horizontal="center"/>
    </xf>
    <xf numFmtId="0" fontId="37" fillId="0" borderId="0" xfId="92">
      <alignment/>
      <protection/>
    </xf>
    <xf numFmtId="0" fontId="55" fillId="0" borderId="0" xfId="92" applyFont="1">
      <alignment/>
      <protection/>
    </xf>
    <xf numFmtId="3" fontId="0" fillId="15" borderId="16" xfId="89" applyNumberFormat="1" applyFill="1" applyBorder="1" applyAlignment="1">
      <alignment horizontal="center"/>
      <protection/>
    </xf>
    <xf numFmtId="3" fontId="0" fillId="0" borderId="17" xfId="89" applyNumberFormat="1" applyBorder="1">
      <alignment/>
      <protection/>
    </xf>
    <xf numFmtId="3" fontId="0" fillId="0" borderId="16" xfId="89" applyNumberFormat="1" applyBorder="1" applyAlignment="1">
      <alignment horizontal="center"/>
      <protection/>
    </xf>
    <xf numFmtId="3" fontId="0" fillId="0" borderId="18" xfId="89" applyNumberFormat="1" applyBorder="1" applyAlignment="1">
      <alignment horizontal="center"/>
      <protection/>
    </xf>
    <xf numFmtId="0" fontId="0" fillId="0" borderId="19" xfId="89" applyBorder="1" applyAlignment="1">
      <alignment horizontal="center"/>
      <protection/>
    </xf>
    <xf numFmtId="0" fontId="0" fillId="0" borderId="20" xfId="89" applyBorder="1" applyAlignment="1">
      <alignment horizontal="center"/>
      <protection/>
    </xf>
    <xf numFmtId="0" fontId="0" fillId="0" borderId="21" xfId="89" applyBorder="1" applyAlignment="1">
      <alignment horizontal="center"/>
      <protection/>
    </xf>
    <xf numFmtId="0" fontId="37" fillId="0" borderId="16" xfId="92" applyBorder="1">
      <alignment/>
      <protection/>
    </xf>
    <xf numFmtId="0" fontId="37" fillId="0" borderId="18" xfId="92" applyBorder="1">
      <alignment/>
      <protection/>
    </xf>
    <xf numFmtId="0" fontId="37" fillId="0" borderId="22" xfId="92" applyBorder="1">
      <alignment/>
      <protection/>
    </xf>
    <xf numFmtId="0" fontId="37" fillId="0" borderId="23" xfId="92" applyBorder="1">
      <alignment/>
      <protection/>
    </xf>
    <xf numFmtId="171" fontId="2" fillId="0" borderId="0" xfId="50" applyFont="1" applyAlignment="1">
      <alignment horizontal="center"/>
    </xf>
    <xf numFmtId="171" fontId="0" fillId="40" borderId="12" xfId="50" applyFont="1" applyFill="1" applyBorder="1" applyAlignment="1">
      <alignment horizontal="center"/>
    </xf>
    <xf numFmtId="171" fontId="0" fillId="40" borderId="0" xfId="50" applyFont="1" applyFill="1" applyBorder="1" applyAlignment="1">
      <alignment horizontal="center"/>
    </xf>
    <xf numFmtId="171" fontId="0" fillId="40" borderId="15" xfId="50" applyFont="1" applyFill="1" applyBorder="1" applyAlignment="1">
      <alignment horizontal="center"/>
    </xf>
    <xf numFmtId="171" fontId="0" fillId="0" borderId="12" xfId="50" applyFont="1" applyBorder="1" applyAlignment="1">
      <alignment horizontal="center"/>
    </xf>
    <xf numFmtId="171" fontId="0" fillId="0" borderId="0" xfId="50" applyFont="1" applyBorder="1" applyAlignment="1">
      <alignment horizontal="center"/>
    </xf>
    <xf numFmtId="171" fontId="0" fillId="0" borderId="15" xfId="50" applyFont="1" applyBorder="1" applyAlignment="1">
      <alignment horizontal="center"/>
    </xf>
    <xf numFmtId="171" fontId="0" fillId="0" borderId="0" xfId="50" applyFont="1" applyAlignment="1">
      <alignment horizontal="center"/>
    </xf>
    <xf numFmtId="0" fontId="3" fillId="0" borderId="0" xfId="98" applyFont="1">
      <alignment/>
      <protection/>
    </xf>
    <xf numFmtId="0" fontId="0" fillId="0" borderId="0" xfId="98">
      <alignment/>
      <protection/>
    </xf>
    <xf numFmtId="0" fontId="0" fillId="0" borderId="0" xfId="98" applyFill="1">
      <alignment/>
      <protection/>
    </xf>
    <xf numFmtId="0" fontId="8" fillId="0" borderId="0" xfId="98" applyFont="1">
      <alignment/>
      <protection/>
    </xf>
    <xf numFmtId="0" fontId="9" fillId="0" borderId="0" xfId="98" applyFont="1">
      <alignment/>
      <protection/>
    </xf>
    <xf numFmtId="0" fontId="6" fillId="0" borderId="0" xfId="98" applyFont="1">
      <alignment/>
      <protection/>
    </xf>
    <xf numFmtId="0" fontId="10" fillId="0" borderId="15" xfId="98" applyFont="1" applyBorder="1" applyAlignment="1">
      <alignment horizontal="right"/>
      <protection/>
    </xf>
    <xf numFmtId="0" fontId="10" fillId="0" borderId="15" xfId="98" applyFont="1" applyFill="1" applyBorder="1" applyAlignment="1">
      <alignment horizontal="right"/>
      <protection/>
    </xf>
    <xf numFmtId="0" fontId="10" fillId="45" borderId="15" xfId="98" applyFont="1" applyFill="1" applyBorder="1" applyAlignment="1">
      <alignment horizontal="right"/>
      <protection/>
    </xf>
    <xf numFmtId="0" fontId="10" fillId="45" borderId="0" xfId="98" applyFont="1" applyFill="1" applyBorder="1" applyAlignment="1">
      <alignment horizontal="right"/>
      <protection/>
    </xf>
    <xf numFmtId="0" fontId="10" fillId="0" borderId="0" xfId="98" applyFont="1" applyFill="1" applyBorder="1" applyAlignment="1">
      <alignment horizontal="right"/>
      <protection/>
    </xf>
    <xf numFmtId="0" fontId="10" fillId="14" borderId="0" xfId="98" applyFont="1" applyFill="1">
      <alignment/>
      <protection/>
    </xf>
    <xf numFmtId="0" fontId="0" fillId="45" borderId="0" xfId="98" applyFill="1">
      <alignment/>
      <protection/>
    </xf>
    <xf numFmtId="0" fontId="6" fillId="0" borderId="0" xfId="98" applyFont="1" applyAlignment="1">
      <alignment horizontal="right"/>
      <protection/>
    </xf>
    <xf numFmtId="171" fontId="6" fillId="0" borderId="0" xfId="98" applyNumberFormat="1" applyFont="1" applyAlignment="1">
      <alignment horizontal="right"/>
      <protection/>
    </xf>
    <xf numFmtId="171" fontId="6" fillId="0" borderId="0" xfId="98" applyNumberFormat="1" applyFont="1" applyFill="1" applyAlignment="1">
      <alignment horizontal="right"/>
      <protection/>
    </xf>
    <xf numFmtId="171" fontId="6" fillId="45" borderId="0" xfId="98" applyNumberFormat="1" applyFont="1" applyFill="1" applyAlignment="1">
      <alignment horizontal="right"/>
      <protection/>
    </xf>
    <xf numFmtId="2" fontId="6" fillId="14" borderId="0" xfId="98" applyNumberFormat="1" applyFont="1" applyFill="1">
      <alignment/>
      <protection/>
    </xf>
    <xf numFmtId="171" fontId="6" fillId="29" borderId="0" xfId="98" applyNumberFormat="1" applyFont="1" applyFill="1" applyAlignment="1">
      <alignment horizontal="right"/>
      <protection/>
    </xf>
    <xf numFmtId="0" fontId="6" fillId="45" borderId="0" xfId="98" applyFont="1" applyFill="1" applyAlignment="1">
      <alignment horizontal="right"/>
      <protection/>
    </xf>
    <xf numFmtId="0" fontId="6" fillId="0" borderId="0" xfId="98" applyFont="1" applyFill="1" applyAlignment="1">
      <alignment horizontal="right"/>
      <protection/>
    </xf>
    <xf numFmtId="0" fontId="57" fillId="14" borderId="0" xfId="98" applyFont="1" applyFill="1">
      <alignment/>
      <protection/>
    </xf>
    <xf numFmtId="2" fontId="0" fillId="0" borderId="0" xfId="98" applyNumberFormat="1">
      <alignment/>
      <protection/>
    </xf>
    <xf numFmtId="180" fontId="0" fillId="0" borderId="0" xfId="0" applyNumberFormat="1" applyAlignment="1">
      <alignment horizontal="center"/>
    </xf>
    <xf numFmtId="180" fontId="3" fillId="0" borderId="0" xfId="0" applyNumberFormat="1" applyFont="1" applyAlignment="1">
      <alignment horizontal="center"/>
    </xf>
    <xf numFmtId="0" fontId="14" fillId="0" borderId="0" xfId="0" applyFont="1" applyBorder="1" applyAlignment="1">
      <alignment/>
    </xf>
    <xf numFmtId="0" fontId="37" fillId="0" borderId="0" xfId="92" applyBorder="1">
      <alignment/>
      <protection/>
    </xf>
    <xf numFmtId="3" fontId="37" fillId="0" borderId="0" xfId="92" applyNumberFormat="1" applyBorder="1">
      <alignment/>
      <protection/>
    </xf>
    <xf numFmtId="179" fontId="37" fillId="0" borderId="0" xfId="92" applyNumberFormat="1" applyBorder="1">
      <alignment/>
      <protection/>
    </xf>
    <xf numFmtId="0" fontId="0" fillId="0" borderId="0" xfId="0"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vertical="top"/>
    </xf>
    <xf numFmtId="0" fontId="3" fillId="46" borderId="10" xfId="0" applyFont="1" applyFill="1" applyBorder="1" applyAlignment="1">
      <alignment vertical="top" wrapText="1"/>
    </xf>
    <xf numFmtId="0" fontId="3" fillId="46" borderId="10" xfId="0" applyFont="1" applyFill="1" applyBorder="1" applyAlignment="1">
      <alignment vertical="top"/>
    </xf>
    <xf numFmtId="0" fontId="0" fillId="0" borderId="0" xfId="0" applyFill="1" applyBorder="1" applyAlignment="1">
      <alignment vertical="top"/>
    </xf>
    <xf numFmtId="0" fontId="3" fillId="0" borderId="0" xfId="0" applyFont="1" applyFill="1" applyBorder="1" applyAlignment="1">
      <alignment vertical="top" wrapText="1"/>
    </xf>
    <xf numFmtId="3" fontId="0" fillId="0" borderId="0" xfId="0" applyNumberFormat="1" applyFill="1" applyBorder="1" applyAlignment="1">
      <alignment vertical="top"/>
    </xf>
    <xf numFmtId="0" fontId="11" fillId="0" borderId="0" xfId="0" applyNumberFormat="1" applyFont="1"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ont="1" applyFill="1" applyBorder="1" applyAlignment="1">
      <alignment vertical="top"/>
    </xf>
    <xf numFmtId="3" fontId="0" fillId="0" borderId="25" xfId="0" applyNumberFormat="1" applyFill="1" applyBorder="1" applyAlignment="1">
      <alignment vertical="top"/>
    </xf>
    <xf numFmtId="0" fontId="0" fillId="2" borderId="27" xfId="0" applyFill="1" applyBorder="1" applyAlignment="1">
      <alignment vertical="top"/>
    </xf>
    <xf numFmtId="0" fontId="0" fillId="2" borderId="28" xfId="0" applyFill="1" applyBorder="1" applyAlignment="1">
      <alignment vertical="top"/>
    </xf>
    <xf numFmtId="0" fontId="0" fillId="2" borderId="29" xfId="0" applyFont="1" applyFill="1" applyBorder="1" applyAlignment="1">
      <alignment vertical="top"/>
    </xf>
    <xf numFmtId="3" fontId="0" fillId="2" borderId="28" xfId="0" applyNumberFormat="1"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ont="1" applyFill="1" applyBorder="1" applyAlignment="1">
      <alignment vertical="top"/>
    </xf>
    <xf numFmtId="3" fontId="0" fillId="0" borderId="28" xfId="0" applyNumberFormat="1" applyFill="1" applyBorder="1" applyAlignment="1">
      <alignment vertical="top"/>
    </xf>
    <xf numFmtId="0" fontId="3" fillId="46" borderId="22" xfId="0" applyFont="1" applyFill="1" applyBorder="1" applyAlignment="1">
      <alignment vertical="top"/>
    </xf>
    <xf numFmtId="0" fontId="3" fillId="46" borderId="30" xfId="0" applyFont="1" applyFill="1" applyBorder="1" applyAlignment="1">
      <alignment vertical="top"/>
    </xf>
    <xf numFmtId="0" fontId="3" fillId="46" borderId="31" xfId="0" applyFont="1" applyFill="1" applyBorder="1" applyAlignment="1">
      <alignment vertical="top"/>
    </xf>
    <xf numFmtId="3" fontId="3" fillId="46" borderId="10" xfId="0" applyNumberFormat="1" applyFont="1" applyFill="1" applyBorder="1" applyAlignment="1">
      <alignment vertical="top"/>
    </xf>
    <xf numFmtId="0" fontId="37" fillId="0" borderId="0" xfId="92" applyBorder="1" applyAlignment="1">
      <alignment wrapText="1"/>
      <protection/>
    </xf>
    <xf numFmtId="3" fontId="37" fillId="0" borderId="0" xfId="92" applyNumberFormat="1" applyFont="1" applyBorder="1">
      <alignment/>
      <protection/>
    </xf>
    <xf numFmtId="49" fontId="37" fillId="0" borderId="0" xfId="52" applyNumberFormat="1" applyFont="1" applyBorder="1" applyAlignment="1">
      <alignment/>
    </xf>
    <xf numFmtId="179" fontId="37" fillId="0" borderId="0" xfId="52" applyNumberFormat="1" applyFont="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3" fontId="0" fillId="0" borderId="0" xfId="0" applyNumberFormat="1" applyFill="1" applyBorder="1" applyAlignment="1">
      <alignment horizontal="center" vertical="top"/>
    </xf>
    <xf numFmtId="0" fontId="15" fillId="0" borderId="0" xfId="0" applyFont="1" applyFill="1" applyBorder="1" applyAlignment="1">
      <alignment vertical="top" wrapText="1"/>
    </xf>
    <xf numFmtId="0" fontId="0" fillId="0" borderId="0" xfId="0" applyFont="1" applyBorder="1" applyAlignment="1">
      <alignment wrapText="1"/>
    </xf>
    <xf numFmtId="0" fontId="0" fillId="0" borderId="0" xfId="0" applyFont="1" applyBorder="1" applyAlignment="1">
      <alignment/>
    </xf>
    <xf numFmtId="171" fontId="0" fillId="0" borderId="0" xfId="52" applyFont="1" applyBorder="1" applyAlignment="1">
      <alignment/>
    </xf>
    <xf numFmtId="0" fontId="55" fillId="0" borderId="32" xfId="92" applyFont="1" applyBorder="1">
      <alignment/>
      <protection/>
    </xf>
    <xf numFmtId="0" fontId="55" fillId="0" borderId="33" xfId="92" applyFont="1" applyBorder="1">
      <alignment/>
      <protection/>
    </xf>
    <xf numFmtId="0" fontId="37" fillId="0" borderId="34" xfId="92" applyBorder="1">
      <alignment/>
      <protection/>
    </xf>
    <xf numFmtId="0" fontId="37" fillId="0" borderId="35" xfId="92" applyBorder="1">
      <alignment/>
      <protection/>
    </xf>
    <xf numFmtId="3" fontId="0" fillId="15" borderId="34" xfId="89" applyNumberFormat="1" applyFill="1" applyBorder="1" applyAlignment="1">
      <alignment horizontal="center"/>
      <protection/>
    </xf>
    <xf numFmtId="3" fontId="0" fillId="15" borderId="36" xfId="89" applyNumberFormat="1" applyFill="1" applyBorder="1" applyAlignment="1">
      <alignment horizontal="center"/>
      <protection/>
    </xf>
    <xf numFmtId="3" fontId="0" fillId="0" borderId="37" xfId="89" applyNumberFormat="1" applyBorder="1">
      <alignment/>
      <protection/>
    </xf>
    <xf numFmtId="0" fontId="37" fillId="43" borderId="22" xfId="92" applyFill="1" applyBorder="1">
      <alignment/>
      <protection/>
    </xf>
    <xf numFmtId="3" fontId="0" fillId="43" borderId="10" xfId="89" applyNumberFormat="1" applyFill="1" applyBorder="1" applyAlignment="1">
      <alignment horizontal="center"/>
      <protection/>
    </xf>
    <xf numFmtId="3" fontId="0" fillId="0" borderId="10" xfId="89" applyNumberFormat="1" applyFill="1" applyBorder="1" applyAlignment="1">
      <alignment horizontal="center"/>
      <protection/>
    </xf>
    <xf numFmtId="3" fontId="0" fillId="0" borderId="38" xfId="89" applyNumberFormat="1" applyBorder="1" applyAlignment="1">
      <alignment horizontal="center"/>
      <protection/>
    </xf>
    <xf numFmtId="0" fontId="58" fillId="0" borderId="0" xfId="92" applyFont="1">
      <alignment/>
      <protection/>
    </xf>
    <xf numFmtId="3" fontId="0" fillId="43" borderId="36" xfId="89" applyNumberFormat="1" applyFill="1" applyBorder="1" applyAlignment="1">
      <alignment horizontal="center"/>
      <protection/>
    </xf>
    <xf numFmtId="0" fontId="14" fillId="0" borderId="0" xfId="0" applyFont="1" applyAlignment="1">
      <alignment/>
    </xf>
    <xf numFmtId="0" fontId="0" fillId="0" borderId="10" xfId="0" applyFont="1" applyBorder="1" applyAlignment="1">
      <alignment wrapText="1"/>
    </xf>
    <xf numFmtId="0" fontId="0" fillId="0" borderId="10" xfId="0" applyBorder="1" applyAlignment="1">
      <alignment/>
    </xf>
    <xf numFmtId="179" fontId="0" fillId="0" borderId="10" xfId="52" applyNumberFormat="1" applyFont="1" applyBorder="1" applyAlignment="1">
      <alignment/>
    </xf>
    <xf numFmtId="179" fontId="0" fillId="43" borderId="10" xfId="0" applyNumberFormat="1" applyFill="1" applyBorder="1" applyAlignment="1">
      <alignment/>
    </xf>
    <xf numFmtId="171" fontId="0" fillId="0" borderId="0" xfId="50" applyFont="1" applyAlignment="1">
      <alignment/>
    </xf>
    <xf numFmtId="2" fontId="0" fillId="14" borderId="0" xfId="0" applyNumberFormat="1" applyFill="1" applyAlignment="1">
      <alignment horizontal="center"/>
    </xf>
    <xf numFmtId="10" fontId="0" fillId="40" borderId="0" xfId="0" applyNumberFormat="1" applyFont="1" applyFill="1" applyAlignment="1">
      <alignment horizontal="center"/>
    </xf>
    <xf numFmtId="0" fontId="4" fillId="0" borderId="0" xfId="0" applyFont="1" applyAlignment="1">
      <alignment wrapText="1"/>
    </xf>
    <xf numFmtId="0" fontId="3" fillId="0" borderId="0" xfId="0" applyFont="1" applyAlignment="1">
      <alignment wrapText="1"/>
    </xf>
    <xf numFmtId="0" fontId="0" fillId="0" borderId="0" xfId="0" applyFill="1" applyAlignment="1">
      <alignment horizontal="left" wrapText="1"/>
    </xf>
    <xf numFmtId="0" fontId="0" fillId="0" borderId="0" xfId="0" applyFill="1" applyAlignment="1">
      <alignment wrapText="1"/>
    </xf>
    <xf numFmtId="3" fontId="3" fillId="0" borderId="0" xfId="0" applyNumberFormat="1" applyFont="1" applyAlignment="1">
      <alignment wrapText="1"/>
    </xf>
    <xf numFmtId="3" fontId="0" fillId="0" borderId="0" xfId="0" applyNumberFormat="1" applyAlignment="1">
      <alignment wrapText="1"/>
    </xf>
    <xf numFmtId="3" fontId="0" fillId="43" borderId="0" xfId="0" applyNumberFormat="1" applyFont="1" applyFill="1" applyAlignment="1">
      <alignment horizontal="center" wrapText="1"/>
    </xf>
    <xf numFmtId="179" fontId="0" fillId="0" borderId="0" xfId="50" applyNumberFormat="1" applyFont="1" applyAlignment="1">
      <alignment wrapText="1"/>
    </xf>
    <xf numFmtId="0" fontId="0" fillId="0" borderId="0" xfId="0" applyFont="1" applyFill="1" applyAlignment="1">
      <alignment horizontal="center"/>
    </xf>
    <xf numFmtId="171" fontId="0" fillId="0" borderId="0" xfId="0" applyNumberFormat="1" applyAlignment="1">
      <alignment/>
    </xf>
    <xf numFmtId="171" fontId="0" fillId="29" borderId="0" xfId="0" applyNumberFormat="1" applyFill="1" applyAlignment="1">
      <alignment/>
    </xf>
    <xf numFmtId="0" fontId="0" fillId="0" borderId="0" xfId="0" applyFont="1" applyAlignment="1">
      <alignment/>
    </xf>
    <xf numFmtId="171" fontId="0" fillId="0" borderId="0" xfId="0" applyNumberFormat="1" applyAlignment="1">
      <alignment wrapText="1"/>
    </xf>
    <xf numFmtId="0" fontId="0" fillId="0" borderId="0" xfId="0" applyFont="1" applyFill="1" applyAlignment="1">
      <alignment horizontal="center" wrapText="1"/>
    </xf>
    <xf numFmtId="0" fontId="0" fillId="0" borderId="0" xfId="98" applyFont="1">
      <alignment/>
      <protection/>
    </xf>
    <xf numFmtId="3" fontId="0" fillId="15" borderId="10" xfId="89" applyNumberFormat="1" applyFill="1" applyBorder="1" applyAlignment="1">
      <alignment horizontal="center"/>
      <protection/>
    </xf>
    <xf numFmtId="0" fontId="0" fillId="18" borderId="0" xfId="0" applyFont="1" applyFill="1" applyBorder="1" applyAlignment="1">
      <alignment vertical="top"/>
    </xf>
    <xf numFmtId="3" fontId="0" fillId="18" borderId="0" xfId="0" applyNumberFormat="1" applyFont="1" applyFill="1" applyBorder="1" applyAlignment="1">
      <alignment vertical="top"/>
    </xf>
    <xf numFmtId="0" fontId="0" fillId="10" borderId="0" xfId="0" applyFill="1" applyBorder="1" applyAlignment="1">
      <alignment vertical="top"/>
    </xf>
    <xf numFmtId="3" fontId="0" fillId="10" borderId="0" xfId="0" applyNumberFormat="1" applyFill="1" applyBorder="1" applyAlignment="1">
      <alignment vertical="top"/>
    </xf>
    <xf numFmtId="3" fontId="0" fillId="10" borderId="0" xfId="0" applyNumberFormat="1" applyFill="1" applyBorder="1" applyAlignment="1">
      <alignment/>
    </xf>
    <xf numFmtId="0" fontId="0" fillId="9" borderId="0" xfId="0" applyFill="1" applyBorder="1" applyAlignment="1">
      <alignment vertical="top"/>
    </xf>
    <xf numFmtId="179" fontId="0" fillId="9" borderId="0" xfId="0" applyNumberFormat="1" applyFill="1" applyBorder="1" applyAlignment="1">
      <alignment/>
    </xf>
    <xf numFmtId="179" fontId="0" fillId="9" borderId="0" xfId="0" applyNumberFormat="1" applyFill="1" applyBorder="1" applyAlignment="1">
      <alignment vertical="top"/>
    </xf>
    <xf numFmtId="179" fontId="0" fillId="0" borderId="0" xfId="50" applyNumberFormat="1" applyFont="1" applyAlignment="1">
      <alignment/>
    </xf>
    <xf numFmtId="179" fontId="0" fillId="43" borderId="0" xfId="50" applyNumberFormat="1" applyFont="1" applyFill="1" applyAlignment="1">
      <alignment/>
    </xf>
    <xf numFmtId="179" fontId="0" fillId="0" borderId="12" xfId="50" applyNumberFormat="1" applyFont="1" applyBorder="1" applyAlignment="1">
      <alignment/>
    </xf>
    <xf numFmtId="179" fontId="0" fillId="0" borderId="0" xfId="50" applyNumberFormat="1" applyFont="1" applyBorder="1" applyAlignment="1">
      <alignment/>
    </xf>
    <xf numFmtId="179" fontId="0" fillId="0" borderId="15" xfId="50" applyNumberFormat="1" applyFont="1" applyBorder="1" applyAlignment="1">
      <alignment/>
    </xf>
    <xf numFmtId="0" fontId="37" fillId="47" borderId="0" xfId="92" applyFill="1" applyAlignment="1">
      <alignment horizontal="right" vertical="center"/>
      <protection/>
    </xf>
    <xf numFmtId="0" fontId="49" fillId="47" borderId="0" xfId="85" applyFill="1" applyAlignment="1">
      <alignment horizontal="right" vertical="center" wrapText="1"/>
    </xf>
    <xf numFmtId="171" fontId="0" fillId="0" borderId="12" xfId="0" applyNumberFormat="1" applyBorder="1" applyAlignment="1">
      <alignment/>
    </xf>
    <xf numFmtId="10" fontId="0" fillId="0" borderId="0" xfId="103" applyNumberFormat="1" applyFont="1" applyAlignment="1">
      <alignment/>
    </xf>
    <xf numFmtId="171" fontId="0" fillId="0" borderId="0" xfId="0" applyNumberFormat="1" applyBorder="1" applyAlignment="1">
      <alignment/>
    </xf>
    <xf numFmtId="3" fontId="59" fillId="0" borderId="0" xfId="0" applyNumberFormat="1" applyFont="1" applyFill="1" applyAlignment="1">
      <alignment horizontal="center" wrapText="1"/>
    </xf>
    <xf numFmtId="0" fontId="0" fillId="0" borderId="0" xfId="0" applyFont="1" applyAlignment="1">
      <alignment wrapText="1"/>
    </xf>
    <xf numFmtId="179" fontId="0" fillId="0" borderId="0" xfId="50" applyNumberFormat="1" applyFont="1" applyAlignment="1">
      <alignment/>
    </xf>
    <xf numFmtId="179" fontId="0" fillId="48" borderId="0" xfId="50" applyNumberFormat="1" applyFont="1" applyFill="1" applyAlignment="1">
      <alignment/>
    </xf>
    <xf numFmtId="176" fontId="0" fillId="0" borderId="0" xfId="103" applyNumberFormat="1" applyFont="1" applyAlignment="1">
      <alignment/>
    </xf>
    <xf numFmtId="176" fontId="0" fillId="0" borderId="0" xfId="103" applyNumberFormat="1" applyFont="1" applyAlignment="1">
      <alignment/>
    </xf>
    <xf numFmtId="179" fontId="0" fillId="48" borderId="0" xfId="0" applyNumberFormat="1" applyFill="1" applyAlignment="1">
      <alignment/>
    </xf>
    <xf numFmtId="179" fontId="0" fillId="48" borderId="0" xfId="50" applyNumberFormat="1" applyFont="1" applyFill="1" applyAlignment="1">
      <alignment/>
    </xf>
    <xf numFmtId="0" fontId="0" fillId="17" borderId="0" xfId="0" applyFill="1" applyAlignment="1">
      <alignment/>
    </xf>
    <xf numFmtId="171" fontId="0" fillId="17" borderId="0" xfId="0" applyNumberFormat="1" applyFill="1" applyAlignment="1">
      <alignment/>
    </xf>
    <xf numFmtId="0" fontId="0" fillId="29" borderId="0" xfId="0" applyFill="1" applyAlignment="1">
      <alignment/>
    </xf>
    <xf numFmtId="10" fontId="0" fillId="0" borderId="0" xfId="103" applyNumberFormat="1" applyFont="1" applyAlignment="1">
      <alignment horizontal="center"/>
    </xf>
    <xf numFmtId="9" fontId="0" fillId="0" borderId="0" xfId="103" applyFont="1" applyAlignment="1">
      <alignment/>
    </xf>
    <xf numFmtId="172" fontId="0" fillId="0" borderId="0" xfId="103" applyNumberFormat="1" applyFont="1" applyAlignment="1">
      <alignment/>
    </xf>
    <xf numFmtId="9" fontId="0" fillId="0" borderId="0" xfId="103" applyFont="1" applyFill="1" applyAlignment="1">
      <alignment horizontal="center"/>
    </xf>
    <xf numFmtId="179" fontId="37" fillId="0" borderId="0" xfId="60" applyNumberFormat="1" applyFont="1" applyAlignment="1">
      <alignment/>
    </xf>
    <xf numFmtId="179" fontId="37" fillId="0" borderId="12" xfId="60" applyNumberFormat="1" applyFont="1" applyBorder="1" applyAlignment="1">
      <alignment/>
    </xf>
    <xf numFmtId="179" fontId="37" fillId="0" borderId="0" xfId="60" applyNumberFormat="1" applyFont="1" applyBorder="1" applyAlignment="1">
      <alignment/>
    </xf>
    <xf numFmtId="179" fontId="37" fillId="0" borderId="15" xfId="60" applyNumberFormat="1" applyFont="1" applyBorder="1" applyAlignment="1">
      <alignment/>
    </xf>
    <xf numFmtId="179" fontId="37" fillId="0" borderId="0" xfId="60" applyNumberFormat="1" applyFont="1" applyAlignment="1">
      <alignment/>
    </xf>
    <xf numFmtId="0" fontId="0" fillId="0" borderId="0" xfId="0" applyFill="1" applyBorder="1" applyAlignment="1">
      <alignment/>
    </xf>
    <xf numFmtId="0" fontId="0" fillId="0" borderId="39" xfId="0" applyFill="1" applyBorder="1" applyAlignment="1">
      <alignment/>
    </xf>
    <xf numFmtId="0" fontId="15" fillId="0" borderId="40" xfId="0" applyFont="1" applyFill="1" applyBorder="1" applyAlignment="1">
      <alignment horizontal="center"/>
    </xf>
    <xf numFmtId="0" fontId="15" fillId="0" borderId="40" xfId="0" applyFont="1" applyFill="1" applyBorder="1" applyAlignment="1">
      <alignment horizontal="centerContinuous"/>
    </xf>
    <xf numFmtId="3" fontId="0" fillId="0" borderId="0" xfId="0" applyNumberFormat="1" applyFont="1" applyFill="1" applyAlignment="1">
      <alignment horizontal="center" wrapText="1"/>
    </xf>
    <xf numFmtId="179" fontId="0" fillId="0" borderId="0" xfId="0" applyNumberFormat="1" applyAlignment="1">
      <alignment/>
    </xf>
    <xf numFmtId="0" fontId="3" fillId="10" borderId="0" xfId="0" applyFont="1" applyFill="1" applyAlignment="1">
      <alignment horizontal="center" wrapText="1"/>
    </xf>
    <xf numFmtId="179" fontId="0" fillId="10" borderId="0" xfId="50" applyNumberFormat="1" applyFont="1" applyFill="1" applyAlignment="1">
      <alignment wrapText="1"/>
    </xf>
    <xf numFmtId="0" fontId="3" fillId="11" borderId="0" xfId="0" applyFont="1" applyFill="1" applyAlignment="1">
      <alignment horizontal="center" wrapText="1"/>
    </xf>
    <xf numFmtId="179" fontId="0" fillId="11" borderId="0" xfId="50" applyNumberFormat="1" applyFont="1" applyFill="1" applyAlignment="1">
      <alignment wrapText="1"/>
    </xf>
    <xf numFmtId="179" fontId="0" fillId="11" borderId="0" xfId="50" applyNumberFormat="1" applyFont="1" applyFill="1" applyAlignment="1">
      <alignment horizontal="center" wrapText="1"/>
    </xf>
    <xf numFmtId="179" fontId="0" fillId="10" borderId="0" xfId="50" applyNumberFormat="1" applyFont="1" applyFill="1" applyAlignment="1">
      <alignment horizontal="center" wrapText="1"/>
    </xf>
    <xf numFmtId="179" fontId="0" fillId="11" borderId="0" xfId="50" applyNumberFormat="1" applyFont="1" applyFill="1" applyAlignment="1">
      <alignment horizontal="center" wrapText="1"/>
    </xf>
    <xf numFmtId="179" fontId="5" fillId="10" borderId="0" xfId="50" applyNumberFormat="1" applyFont="1" applyFill="1" applyAlignment="1">
      <alignment horizontal="center" wrapText="1"/>
    </xf>
    <xf numFmtId="179" fontId="3" fillId="11" borderId="0" xfId="50" applyNumberFormat="1" applyFont="1" applyFill="1" applyAlignment="1">
      <alignment wrapText="1"/>
    </xf>
    <xf numFmtId="179" fontId="3" fillId="10" borderId="0" xfId="50" applyNumberFormat="1" applyFont="1" applyFill="1" applyAlignment="1">
      <alignment wrapText="1"/>
    </xf>
    <xf numFmtId="179" fontId="0" fillId="11" borderId="0" xfId="50" applyNumberFormat="1" applyFont="1" applyFill="1" applyAlignment="1">
      <alignment wrapText="1"/>
    </xf>
    <xf numFmtId="179" fontId="0" fillId="10" borderId="0" xfId="50" applyNumberFormat="1" applyFont="1" applyFill="1" applyAlignment="1">
      <alignment wrapText="1"/>
    </xf>
    <xf numFmtId="0" fontId="0" fillId="0" borderId="10" xfId="0" applyFill="1" applyBorder="1" applyAlignment="1">
      <alignment horizontal="right"/>
    </xf>
    <xf numFmtId="10" fontId="0" fillId="11" borderId="0" xfId="103" applyNumberFormat="1" applyFont="1" applyFill="1" applyAlignment="1">
      <alignment horizontal="center" wrapText="1"/>
    </xf>
    <xf numFmtId="10" fontId="0" fillId="10" borderId="0" xfId="103" applyNumberFormat="1" applyFont="1" applyFill="1" applyAlignment="1">
      <alignment horizontal="center" wrapText="1"/>
    </xf>
    <xf numFmtId="3" fontId="0" fillId="32" borderId="0" xfId="0" applyNumberFormat="1" applyFill="1" applyAlignment="1">
      <alignment horizontal="center"/>
    </xf>
    <xf numFmtId="0" fontId="0" fillId="0" borderId="0" xfId="0" applyFont="1" applyAlignment="1">
      <alignment horizontal="right" wrapText="1"/>
    </xf>
    <xf numFmtId="175" fontId="0" fillId="32" borderId="0" xfId="0" applyNumberFormat="1" applyFill="1" applyAlignment="1">
      <alignment horizontal="center"/>
    </xf>
    <xf numFmtId="2" fontId="0" fillId="0" borderId="0" xfId="0" applyNumberFormat="1" applyAlignment="1">
      <alignment wrapText="1"/>
    </xf>
    <xf numFmtId="10" fontId="0" fillId="0" borderId="0" xfId="103" applyNumberFormat="1" applyFont="1" applyAlignment="1">
      <alignment wrapText="1"/>
    </xf>
    <xf numFmtId="10" fontId="0" fillId="0" borderId="0" xfId="103" applyNumberFormat="1" applyFont="1" applyFill="1" applyAlignment="1">
      <alignment horizontal="left" wrapText="1"/>
    </xf>
    <xf numFmtId="10" fontId="0" fillId="0" borderId="0" xfId="103" applyNumberFormat="1" applyFont="1" applyFill="1" applyAlignment="1">
      <alignment wrapText="1"/>
    </xf>
    <xf numFmtId="171" fontId="0" fillId="0" borderId="0" xfId="0" applyNumberFormat="1" applyFill="1" applyAlignment="1">
      <alignment/>
    </xf>
    <xf numFmtId="171" fontId="0" fillId="29" borderId="0" xfId="0" applyNumberFormat="1" applyFont="1" applyFill="1" applyAlignment="1">
      <alignment/>
    </xf>
    <xf numFmtId="3" fontId="0" fillId="0" borderId="0" xfId="0" applyNumberFormat="1" applyFont="1" applyAlignment="1">
      <alignment horizontal="center" wrapText="1"/>
    </xf>
    <xf numFmtId="179" fontId="0" fillId="11" borderId="12" xfId="50" applyNumberFormat="1" applyFont="1" applyFill="1" applyBorder="1" applyAlignment="1">
      <alignment/>
    </xf>
    <xf numFmtId="179" fontId="0" fillId="11" borderId="0" xfId="50" applyNumberFormat="1" applyFont="1" applyFill="1" applyBorder="1" applyAlignment="1">
      <alignment/>
    </xf>
    <xf numFmtId="179" fontId="0" fillId="11" borderId="15" xfId="50" applyNumberFormat="1" applyFont="1" applyFill="1" applyBorder="1" applyAlignment="1">
      <alignment/>
    </xf>
    <xf numFmtId="171" fontId="0" fillId="0" borderId="15" xfId="50" applyNumberFormat="1" applyFont="1" applyBorder="1" applyAlignment="1">
      <alignment/>
    </xf>
    <xf numFmtId="179" fontId="3" fillId="0" borderId="0" xfId="50" applyNumberFormat="1" applyFont="1" applyAlignment="1">
      <alignment/>
    </xf>
    <xf numFmtId="3" fontId="3" fillId="0" borderId="0" xfId="0" applyNumberFormat="1" applyFont="1" applyBorder="1" applyAlignment="1">
      <alignment/>
    </xf>
    <xf numFmtId="0" fontId="0" fillId="0" borderId="0" xfId="0" applyFont="1" applyFill="1" applyBorder="1" applyAlignment="1">
      <alignment vertical="top" wrapText="1"/>
    </xf>
    <xf numFmtId="0" fontId="3" fillId="0" borderId="0" xfId="0" applyFont="1" applyFill="1" applyAlignment="1">
      <alignment horizontal="center" wrapText="1"/>
    </xf>
    <xf numFmtId="172" fontId="0" fillId="0" borderId="0" xfId="0" applyNumberFormat="1" applyFill="1" applyAlignment="1">
      <alignment horizontal="center" wrapText="1"/>
    </xf>
    <xf numFmtId="3" fontId="3" fillId="0" borderId="0" xfId="0" applyNumberFormat="1" applyFont="1" applyFill="1" applyAlignment="1">
      <alignment wrapText="1"/>
    </xf>
    <xf numFmtId="3" fontId="0" fillId="0" borderId="0" xfId="0" applyNumberFormat="1" applyFill="1" applyAlignment="1">
      <alignment wrapText="1"/>
    </xf>
    <xf numFmtId="171" fontId="0" fillId="0" borderId="0" xfId="0" applyNumberFormat="1" applyFill="1" applyAlignment="1">
      <alignment wrapText="1"/>
    </xf>
    <xf numFmtId="179" fontId="0" fillId="0" borderId="0" xfId="50" applyNumberFormat="1" applyFont="1" applyFill="1" applyAlignment="1">
      <alignment wrapText="1"/>
    </xf>
    <xf numFmtId="171" fontId="0" fillId="0" borderId="0" xfId="0" applyNumberFormat="1" applyFill="1" applyAlignment="1">
      <alignment horizontal="center" wrapText="1"/>
    </xf>
    <xf numFmtId="10" fontId="0" fillId="0" borderId="0" xfId="103" applyNumberFormat="1" applyFont="1" applyAlignment="1">
      <alignment wrapText="1"/>
    </xf>
    <xf numFmtId="187" fontId="0" fillId="0" borderId="0" xfId="103" applyNumberFormat="1" applyFont="1" applyAlignment="1">
      <alignment horizontal="center"/>
    </xf>
    <xf numFmtId="172" fontId="0" fillId="0" borderId="0" xfId="0" applyNumberFormat="1" applyFill="1" applyAlignment="1">
      <alignment horizontal="center"/>
    </xf>
    <xf numFmtId="3" fontId="0" fillId="0" borderId="0" xfId="0" applyNumberFormat="1" applyFont="1" applyFill="1" applyAlignment="1">
      <alignment horizontal="center"/>
    </xf>
    <xf numFmtId="176" fontId="0" fillId="0" borderId="0" xfId="0" applyNumberFormat="1" applyFill="1" applyAlignment="1">
      <alignment horizontal="center"/>
    </xf>
    <xf numFmtId="179" fontId="0" fillId="0" borderId="0" xfId="50" applyNumberFormat="1" applyFont="1" applyBorder="1" applyAlignment="1">
      <alignment horizontal="center"/>
    </xf>
    <xf numFmtId="0" fontId="3" fillId="0" borderId="0" xfId="0" applyFont="1" applyAlignment="1">
      <alignment horizontal="center"/>
    </xf>
    <xf numFmtId="179" fontId="0" fillId="18" borderId="0" xfId="50" applyNumberFormat="1" applyFont="1" applyFill="1" applyBorder="1" applyAlignment="1">
      <alignment vertical="top"/>
    </xf>
    <xf numFmtId="3" fontId="0" fillId="43" borderId="28" xfId="0" applyNumberFormat="1" applyFill="1" applyBorder="1" applyAlignment="1">
      <alignment vertical="top"/>
    </xf>
    <xf numFmtId="179" fontId="0" fillId="0" borderId="0" xfId="103" applyNumberFormat="1" applyFont="1" applyAlignment="1">
      <alignment wrapText="1"/>
    </xf>
    <xf numFmtId="0" fontId="14" fillId="0" borderId="0" xfId="0" applyFont="1" applyBorder="1" applyAlignment="1">
      <alignment horizontal="center"/>
    </xf>
    <xf numFmtId="0" fontId="14" fillId="0" borderId="0" xfId="0" applyFont="1" applyFill="1" applyBorder="1" applyAlignment="1">
      <alignment horizontal="center" vertical="center" wrapText="1"/>
    </xf>
    <xf numFmtId="0" fontId="3" fillId="0" borderId="41" xfId="89" applyFont="1" applyBorder="1" applyAlignment="1">
      <alignment horizontal="center"/>
      <protection/>
    </xf>
    <xf numFmtId="0" fontId="3" fillId="0" borderId="40" xfId="89" applyFont="1" applyBorder="1" applyAlignment="1">
      <alignment horizontal="center"/>
      <protection/>
    </xf>
    <xf numFmtId="0" fontId="3" fillId="0" borderId="42" xfId="89" applyFont="1" applyBorder="1" applyAlignment="1">
      <alignment horizontal="center"/>
      <protection/>
    </xf>
    <xf numFmtId="0" fontId="3" fillId="0" borderId="0" xfId="98" applyFont="1" applyAlignment="1">
      <alignment horizontal="center"/>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2 3" xfId="54"/>
    <cellStyle name="Comma 3" xfId="55"/>
    <cellStyle name="Comma 3 2" xfId="56"/>
    <cellStyle name="Comma 3 3" xfId="57"/>
    <cellStyle name="Comma 4" xfId="58"/>
    <cellStyle name="Comma 4 2" xfId="59"/>
    <cellStyle name="Comma 5" xfId="60"/>
    <cellStyle name="Comma 5 2" xfId="61"/>
    <cellStyle name="Comma 6" xfId="62"/>
    <cellStyle name="Comma 7" xfId="63"/>
    <cellStyle name="Comma 8" xfId="64"/>
    <cellStyle name="Comma_Horizon 2011 Load Forecast Model  June 25, 2010" xfId="65"/>
    <cellStyle name="Comma0" xfId="66"/>
    <cellStyle name="Comma0 2" xfId="67"/>
    <cellStyle name="Currency" xfId="68"/>
    <cellStyle name="Currency [0]" xfId="69"/>
    <cellStyle name="Currency 2" xfId="70"/>
    <cellStyle name="Currency0" xfId="71"/>
    <cellStyle name="Currency0 2" xfId="72"/>
    <cellStyle name="Date" xfId="73"/>
    <cellStyle name="Date 2" xfId="74"/>
    <cellStyle name="Explanatory Text" xfId="75"/>
    <cellStyle name="Fixed" xfId="76"/>
    <cellStyle name="Fixed 2" xfId="77"/>
    <cellStyle name="Followed Hyperlink" xfId="78"/>
    <cellStyle name="Good" xfId="79"/>
    <cellStyle name="Heading 1" xfId="80"/>
    <cellStyle name="Heading 2" xfId="81"/>
    <cellStyle name="Heading 3" xfId="82"/>
    <cellStyle name="Heading 4" xfId="83"/>
    <cellStyle name="Hyperlink" xfId="84"/>
    <cellStyle name="Hyperlink 2" xfId="85"/>
    <cellStyle name="Input" xfId="86"/>
    <cellStyle name="Linked Cell" xfId="87"/>
    <cellStyle name="Neutral" xfId="88"/>
    <cellStyle name="Normal 2" xfId="89"/>
    <cellStyle name="Normal 2 2" xfId="90"/>
    <cellStyle name="Normal 2 3" xfId="91"/>
    <cellStyle name="Normal 3" xfId="92"/>
    <cellStyle name="Normal 3 2" xfId="93"/>
    <cellStyle name="Normal 3 3" xfId="94"/>
    <cellStyle name="Normal 4" xfId="95"/>
    <cellStyle name="Normal 4 2" xfId="96"/>
    <cellStyle name="Normal 5" xfId="97"/>
    <cellStyle name="Normal 6" xfId="98"/>
    <cellStyle name="Note" xfId="99"/>
    <cellStyle name="Note 2" xfId="100"/>
    <cellStyle name="Note 2 2" xfId="101"/>
    <cellStyle name="Output" xfId="102"/>
    <cellStyle name="Percent" xfId="103"/>
    <cellStyle name="Percent 2" xfId="104"/>
    <cellStyle name="Percent 2 2" xfId="105"/>
    <cellStyle name="Percent 3" xfId="106"/>
    <cellStyle name="Percent 3 2" xfId="107"/>
    <cellStyle name="Percent 4" xfId="108"/>
    <cellStyle name="Percent 4 2" xfId="109"/>
    <cellStyle name="Percent 5" xfId="110"/>
    <cellStyle name="Percent 6"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457200</xdr:rowOff>
    </xdr:from>
    <xdr:to>
      <xdr:col>16</xdr:col>
      <xdr:colOff>19050</xdr:colOff>
      <xdr:row>14</xdr:row>
      <xdr:rowOff>66675</xdr:rowOff>
    </xdr:to>
    <xdr:sp>
      <xdr:nvSpPr>
        <xdr:cNvPr id="1" name="TextBox 1"/>
        <xdr:cNvSpPr txBox="1">
          <a:spLocks noChangeArrowheads="1"/>
        </xdr:cNvSpPr>
      </xdr:nvSpPr>
      <xdr:spPr>
        <a:xfrm>
          <a:off x="9010650" y="457200"/>
          <a:ext cx="382905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For each year, the NIV grows monthly at an equal rate. The savings in each year equal the total of the OPA savings caculated.Total kWh savings for the year is calculated as total persistance kWh from previoius years plus a half-year of the new savings from programs in that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3%20Rate%20Application%20Files%20-%20BLG\Dummy%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ummy 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P66"/>
  <sheetViews>
    <sheetView tabSelected="1" zoomScalePageLayoutView="0" workbookViewId="0" topLeftCell="A1">
      <pane xSplit="1" ySplit="3" topLeftCell="L40" activePane="bottomRight" state="frozen"/>
      <selection pane="topLeft" activeCell="A1" sqref="A1"/>
      <selection pane="topRight" activeCell="B1" sqref="B1"/>
      <selection pane="bottomLeft" activeCell="A4" sqref="A4"/>
      <selection pane="bottomRight" activeCell="M50" sqref="M50"/>
    </sheetView>
  </sheetViews>
  <sheetFormatPr defaultColWidth="9.140625" defaultRowHeight="12.75"/>
  <cols>
    <col min="1" max="1" width="32.7109375" style="78" customWidth="1"/>
    <col min="2" max="2" width="12.8515625" style="49" bestFit="1" customWidth="1"/>
    <col min="3" max="11" width="14.00390625" style="49" bestFit="1" customWidth="1"/>
    <col min="12" max="12" width="13.421875" style="49" bestFit="1" customWidth="1"/>
    <col min="13" max="13" width="13.421875" style="37" bestFit="1" customWidth="1"/>
    <col min="14" max="14" width="11.57421875" style="266" bestFit="1" customWidth="1"/>
    <col min="15" max="15" width="10.140625" style="78" bestFit="1" customWidth="1"/>
    <col min="16" max="16" width="11.57421875" style="78" bestFit="1" customWidth="1"/>
    <col min="17" max="16384" width="9.140625" style="78" customWidth="1"/>
  </cols>
  <sheetData>
    <row r="1" spans="1:3" ht="63">
      <c r="A1" s="187" t="s">
        <v>156</v>
      </c>
      <c r="B1" s="195"/>
      <c r="C1" s="21"/>
    </row>
    <row r="2" ht="12.75"/>
    <row r="3" spans="2:14" ht="63.75">
      <c r="B3" s="279" t="s">
        <v>49</v>
      </c>
      <c r="C3" s="279" t="s">
        <v>50</v>
      </c>
      <c r="D3" s="279" t="s">
        <v>76</v>
      </c>
      <c r="E3" s="279" t="s">
        <v>64</v>
      </c>
      <c r="F3" s="279" t="s">
        <v>69</v>
      </c>
      <c r="G3" s="279" t="s">
        <v>71</v>
      </c>
      <c r="H3" s="279" t="s">
        <v>75</v>
      </c>
      <c r="I3" s="279" t="s">
        <v>74</v>
      </c>
      <c r="J3" s="279" t="s">
        <v>73</v>
      </c>
      <c r="K3" s="279" t="s">
        <v>72</v>
      </c>
      <c r="L3" s="249" t="s">
        <v>158</v>
      </c>
      <c r="M3" s="247" t="s">
        <v>157</v>
      </c>
      <c r="N3" s="286"/>
    </row>
    <row r="4" spans="1:13" ht="12.75">
      <c r="A4" s="188" t="s">
        <v>53</v>
      </c>
      <c r="B4" s="50">
        <f>'Purchased Power Model '!$B149</f>
        <v>1022795092.0059999</v>
      </c>
      <c r="C4" s="50">
        <f>'Purchased Power Model '!$B150</f>
        <v>1043014996.6977228</v>
      </c>
      <c r="D4" s="50">
        <f>'Purchased Power Model '!$B151</f>
        <v>1013423329.7209052</v>
      </c>
      <c r="E4" s="50">
        <f>'Purchased Power Model '!$B152</f>
        <v>940830205.04</v>
      </c>
      <c r="F4" s="50">
        <f>'Purchased Power Model '!$B153</f>
        <v>950759112.6500769</v>
      </c>
      <c r="G4" s="50">
        <f>'Purchased Power Model '!$B154</f>
        <v>944902732.1238462</v>
      </c>
      <c r="H4" s="50">
        <f>'Purchased Power Model '!$B155</f>
        <v>964379230.7051749</v>
      </c>
      <c r="I4" s="50">
        <f>'Purchased Power Model '!$B156</f>
        <v>961335479.0000001</v>
      </c>
      <c r="J4" s="50">
        <f>'Purchased Power Model '!$B157</f>
        <v>913546785.3566668</v>
      </c>
      <c r="K4" s="50">
        <f>'Purchased Power Model '!$B158</f>
        <v>920489866.9830768</v>
      </c>
      <c r="L4" s="251"/>
      <c r="M4" s="252"/>
    </row>
    <row r="5" spans="1:13" ht="12.75">
      <c r="A5" s="188" t="s">
        <v>54</v>
      </c>
      <c r="B5" s="50">
        <f>'Purchased Power Model '!M149</f>
        <v>987312085.8367729</v>
      </c>
      <c r="C5" s="50">
        <f>'Purchased Power Model '!M150</f>
        <v>1010478553.6991246</v>
      </c>
      <c r="D5" s="50">
        <f>'Purchased Power Model '!M151</f>
        <v>991464070.4996934</v>
      </c>
      <c r="E5" s="50">
        <f>'Purchased Power Model '!M152</f>
        <v>951892668.3263597</v>
      </c>
      <c r="F5" s="50">
        <f>'Purchased Power Model '!M153</f>
        <v>971441399.1870096</v>
      </c>
      <c r="G5" s="50">
        <f>'Purchased Power Model '!M154</f>
        <v>985304804.0978585</v>
      </c>
      <c r="H5" s="50">
        <f>'Purchased Power Model '!M155</f>
        <v>989253301.3684258</v>
      </c>
      <c r="I5" s="50">
        <f>'Purchased Power Model '!M156</f>
        <v>971777023.9012134</v>
      </c>
      <c r="J5" s="50">
        <f>'Purchased Power Model '!M157</f>
        <v>928986220.4144613</v>
      </c>
      <c r="K5" s="50">
        <f>'Purchased Power Model '!M158</f>
        <v>903313108.8975948</v>
      </c>
      <c r="L5" s="251">
        <f>'Purchased Power Model '!M159</f>
        <v>918491576.43463</v>
      </c>
      <c r="M5" s="252">
        <f>'Purchased Power Model '!M160</f>
        <v>945357099.975493</v>
      </c>
    </row>
    <row r="6" spans="1:16" ht="12.75">
      <c r="A6" s="188" t="s">
        <v>9</v>
      </c>
      <c r="B6" s="280">
        <f aca="true" t="shared" si="0" ref="B6:K6">(B5-B4)/B4</f>
        <v>-0.03469219440585549</v>
      </c>
      <c r="C6" s="280">
        <f t="shared" si="0"/>
        <v>-0.03119460707814505</v>
      </c>
      <c r="D6" s="280">
        <f t="shared" si="0"/>
        <v>-0.021668397181323355</v>
      </c>
      <c r="E6" s="280">
        <f t="shared" si="0"/>
        <v>0.01175819316503498</v>
      </c>
      <c r="F6" s="280">
        <f t="shared" si="0"/>
        <v>0.021753445496077765</v>
      </c>
      <c r="G6" s="280">
        <f t="shared" si="0"/>
        <v>0.042757916344681464</v>
      </c>
      <c r="H6" s="280">
        <f t="shared" si="0"/>
        <v>0.02579283115114628</v>
      </c>
      <c r="I6" s="280">
        <f t="shared" si="0"/>
        <v>0.010861499579808274</v>
      </c>
      <c r="J6" s="280">
        <f t="shared" si="0"/>
        <v>0.01690054117126206</v>
      </c>
      <c r="K6" s="280">
        <f t="shared" si="0"/>
        <v>-0.01866045320170569</v>
      </c>
      <c r="L6" s="253"/>
      <c r="M6" s="254"/>
      <c r="N6" s="267"/>
      <c r="O6" s="190"/>
      <c r="P6" s="190"/>
    </row>
    <row r="7" spans="1:13" ht="12.75">
      <c r="A7" s="188"/>
      <c r="L7" s="251"/>
      <c r="M7" s="252"/>
    </row>
    <row r="8" spans="1:14" ht="12.75">
      <c r="A8" s="188" t="s">
        <v>56</v>
      </c>
      <c r="B8" s="281">
        <f>'Rate Class Energy Model'!$G7</f>
        <v>987570495</v>
      </c>
      <c r="C8" s="281">
        <f>'Rate Class Energy Model'!$G8</f>
        <v>1004831701</v>
      </c>
      <c r="D8" s="281">
        <f>'Rate Class Energy Model'!$G9</f>
        <v>977884255</v>
      </c>
      <c r="E8" s="281">
        <f>'Rate Class Energy Model'!$G10</f>
        <v>912366781</v>
      </c>
      <c r="F8" s="281">
        <f>'Rate Class Energy Model'!$G11</f>
        <v>917169662</v>
      </c>
      <c r="G8" s="281">
        <f>'Rate Class Energy Model'!$G12</f>
        <v>919260512</v>
      </c>
      <c r="H8" s="281">
        <f>'Rate Class Energy Model'!$G13</f>
        <v>936319334</v>
      </c>
      <c r="I8" s="281">
        <f>'Rate Class Energy Model'!$G14</f>
        <v>926349236</v>
      </c>
      <c r="J8" s="281">
        <f>'Rate Class Energy Model'!$G15</f>
        <v>889619639</v>
      </c>
      <c r="K8" s="281">
        <f>'Rate Class Energy Model'!$G16</f>
        <v>904891892</v>
      </c>
      <c r="L8" s="255">
        <f>'Rate Class Energy Model'!G80</f>
        <v>882621017.5613551</v>
      </c>
      <c r="M8" s="256">
        <f>'Rate Class Energy Model'!G81</f>
        <v>896988696.6931744</v>
      </c>
      <c r="N8" s="295">
        <f>M50-M8</f>
        <v>57805461.74314535</v>
      </c>
    </row>
    <row r="9" spans="1:14" ht="25.5">
      <c r="A9" s="188"/>
      <c r="K9" s="200" t="s">
        <v>177</v>
      </c>
      <c r="L9" s="260">
        <f>L8/K8-1</f>
        <v>-0.024611641054072875</v>
      </c>
      <c r="M9" s="261">
        <f>M8/K8-1</f>
        <v>-0.008733855808297664</v>
      </c>
      <c r="N9" s="295">
        <f>M26+M45</f>
        <v>57805461.74314532</v>
      </c>
    </row>
    <row r="10" spans="1:13" ht="15.75">
      <c r="A10" s="187" t="s">
        <v>55</v>
      </c>
      <c r="L10" s="251"/>
      <c r="M10" s="252"/>
    </row>
    <row r="11" spans="1:13" ht="12.75">
      <c r="A11" s="191" t="str">
        <f>'Rate Class Energy Model'!H2</f>
        <v>Residential</v>
      </c>
      <c r="L11" s="251"/>
      <c r="M11" s="252"/>
    </row>
    <row r="12" spans="1:15" ht="12.75">
      <c r="A12" s="78" t="s">
        <v>46</v>
      </c>
      <c r="B12" s="50">
        <f>'Rate Class Customer Model'!$B$3</f>
        <v>32800</v>
      </c>
      <c r="C12" s="50">
        <f>'Rate Class Customer Model'!$B$4</f>
        <v>33263.5</v>
      </c>
      <c r="D12" s="50">
        <f>'Rate Class Customer Model'!$B$5</f>
        <v>33683.5</v>
      </c>
      <c r="E12" s="50">
        <f>'Rate Class Customer Model'!$B$6</f>
        <v>33947</v>
      </c>
      <c r="F12" s="50">
        <f>'Rate Class Customer Model'!$B$7</f>
        <v>34256</v>
      </c>
      <c r="G12" s="50">
        <f>'Rate Class Customer Model'!$B$8</f>
        <v>34643</v>
      </c>
      <c r="H12" s="50">
        <f>'Rate Class Customer Model'!$B$9</f>
        <v>34938</v>
      </c>
      <c r="I12" s="50">
        <f>'Rate Class Customer Model'!$B$10</f>
        <v>35225.5</v>
      </c>
      <c r="J12" s="50">
        <f>'Rate Class Customer Model'!$B$11</f>
        <v>35479</v>
      </c>
      <c r="K12" s="50">
        <f>'Rate Class Customer Model'!$B$12</f>
        <v>35743.5</v>
      </c>
      <c r="L12" s="251">
        <f>'Rate Class Customer Model'!$B$13</f>
        <v>36086.445153657936</v>
      </c>
      <c r="M12" s="252">
        <f>'Rate Class Customer Model'!$B$14</f>
        <v>36432.680734342255</v>
      </c>
      <c r="O12" s="199"/>
    </row>
    <row r="13" spans="1:15" ht="12.75">
      <c r="A13" s="78" t="s">
        <v>47</v>
      </c>
      <c r="B13" s="50">
        <f>'Rate Class Energy Model'!$H$7</f>
        <v>281767239</v>
      </c>
      <c r="C13" s="50">
        <f>'Rate Class Energy Model'!$H$8</f>
        <v>285310578</v>
      </c>
      <c r="D13" s="50">
        <f>'Rate Class Energy Model'!$H$9</f>
        <v>278923645</v>
      </c>
      <c r="E13" s="50">
        <f>'Rate Class Energy Model'!$H$10</f>
        <v>275417341</v>
      </c>
      <c r="F13" s="50">
        <f>'Rate Class Energy Model'!$H$11</f>
        <v>287357342</v>
      </c>
      <c r="G13" s="50">
        <f>'Rate Class Energy Model'!$H$12</f>
        <v>291380972</v>
      </c>
      <c r="H13" s="50">
        <f>'Rate Class Energy Model'!$H$13</f>
        <v>287058174</v>
      </c>
      <c r="I13" s="50">
        <f>'Rate Class Energy Model'!$H$14</f>
        <v>282501947</v>
      </c>
      <c r="J13" s="50">
        <f>'Rate Class Energy Model'!$H$15</f>
        <v>282925750</v>
      </c>
      <c r="K13" s="245">
        <f>'Rate Class Energy Model'!$H$16</f>
        <v>287594336</v>
      </c>
      <c r="L13" s="251">
        <f>'Rate Class Energy Model'!$H$80</f>
        <v>285034717.6266901</v>
      </c>
      <c r="M13" s="252">
        <f>'Rate Class Energy Model'!$H$81</f>
        <v>300579328.0017745</v>
      </c>
      <c r="O13" s="199"/>
    </row>
    <row r="14" spans="8:13" ht="12.75">
      <c r="H14" s="189"/>
      <c r="L14" s="251"/>
      <c r="M14" s="254"/>
    </row>
    <row r="15" spans="1:13" ht="12.75">
      <c r="A15" s="191" t="str">
        <f>'Rate Class Energy Model'!I2</f>
        <v>GS&lt;50</v>
      </c>
      <c r="L15" s="251"/>
      <c r="M15" s="252"/>
    </row>
    <row r="16" spans="1:13" ht="12.75">
      <c r="A16" s="78" t="s">
        <v>46</v>
      </c>
      <c r="B16" s="50">
        <f>'Rate Class Customer Model'!$C$3</f>
        <v>2546</v>
      </c>
      <c r="C16" s="50">
        <f>'Rate Class Customer Model'!$C$4</f>
        <v>2640</v>
      </c>
      <c r="D16" s="50">
        <f>'Rate Class Customer Model'!$C$5</f>
        <v>2702</v>
      </c>
      <c r="E16" s="50">
        <f>'Rate Class Customer Model'!$C$6</f>
        <v>2703.5</v>
      </c>
      <c r="F16" s="50">
        <f>'Rate Class Customer Model'!$C$7</f>
        <v>2687.5</v>
      </c>
      <c r="G16" s="50">
        <f>'Rate Class Customer Model'!$C$8</f>
        <v>2709</v>
      </c>
      <c r="H16" s="50">
        <f>'Rate Class Customer Model'!$C$9</f>
        <v>2728</v>
      </c>
      <c r="I16" s="50">
        <f>'Rate Class Customer Model'!$C$10</f>
        <v>2748.5</v>
      </c>
      <c r="J16" s="50">
        <f>'Rate Class Customer Model'!$C$11</f>
        <v>2771.5</v>
      </c>
      <c r="K16" s="50">
        <f>'Rate Class Customer Model'!$C$12</f>
        <v>2784</v>
      </c>
      <c r="L16" s="251">
        <f>'Rate Class Customer Model'!$C$13</f>
        <v>2811.781347084759</v>
      </c>
      <c r="M16" s="252">
        <f>'Rate Class Customer Model'!$C$14</f>
        <v>2839.8399223469046</v>
      </c>
    </row>
    <row r="17" spans="1:13" ht="12.75">
      <c r="A17" s="78" t="s">
        <v>47</v>
      </c>
      <c r="B17" s="50">
        <f>'Rate Class Energy Model'!$I$7</f>
        <v>102615621</v>
      </c>
      <c r="C17" s="50">
        <f>'Rate Class Energy Model'!$I$8</f>
        <v>105113198</v>
      </c>
      <c r="D17" s="50">
        <f>'Rate Class Energy Model'!$I$9</f>
        <v>104110563</v>
      </c>
      <c r="E17" s="50">
        <f>'Rate Class Energy Model'!$I$10</f>
        <v>99603717</v>
      </c>
      <c r="F17" s="50">
        <f>'Rate Class Energy Model'!$I$11</f>
        <v>98691975</v>
      </c>
      <c r="G17" s="50">
        <f>'Rate Class Energy Model'!$I$12</f>
        <v>99001655</v>
      </c>
      <c r="H17" s="50">
        <f>'Rate Class Energy Model'!$I$13</f>
        <v>100340238</v>
      </c>
      <c r="I17" s="50">
        <f>'Rate Class Energy Model'!$I$14</f>
        <v>99838335</v>
      </c>
      <c r="J17" s="50">
        <f>'Rate Class Energy Model'!$I$15</f>
        <v>99356580</v>
      </c>
      <c r="K17" s="245">
        <f>'Rate Class Energy Model'!$I$16</f>
        <v>100078635</v>
      </c>
      <c r="L17" s="251">
        <f>'Rate Class Energy Model'!$I$80</f>
        <v>98437152.62356113</v>
      </c>
      <c r="M17" s="252">
        <f>'Rate Class Energy Model'!$I$81</f>
        <v>102906031.51947668</v>
      </c>
    </row>
    <row r="18" spans="8:13" ht="12.75">
      <c r="H18" s="189"/>
      <c r="L18" s="251"/>
      <c r="M18" s="254"/>
    </row>
    <row r="19" spans="1:13" ht="12.75">
      <c r="A19" s="191" t="str">
        <f>'Rate Class Energy Model'!J2</f>
        <v>GS&gt;50 (excl. WMP)</v>
      </c>
      <c r="L19" s="251"/>
      <c r="M19" s="252"/>
    </row>
    <row r="20" spans="1:13" ht="12.75">
      <c r="A20" s="78" t="s">
        <v>46</v>
      </c>
      <c r="B20" s="50">
        <f>'Rate Class Customer Model'!$D$3</f>
        <v>398.5</v>
      </c>
      <c r="C20" s="50">
        <f>'Rate Class Customer Model'!$D$4</f>
        <v>409</v>
      </c>
      <c r="D20" s="50">
        <f>'Rate Class Customer Model'!$D$5</f>
        <v>407</v>
      </c>
      <c r="E20" s="50">
        <f>'Rate Class Customer Model'!$D$6</f>
        <v>408.5</v>
      </c>
      <c r="F20" s="50">
        <f>'Rate Class Customer Model'!$D$7</f>
        <v>417</v>
      </c>
      <c r="G20" s="50">
        <f>'Rate Class Customer Model'!$D$8</f>
        <v>421</v>
      </c>
      <c r="H20" s="50">
        <f>'Rate Class Customer Model'!$D$9</f>
        <v>419</v>
      </c>
      <c r="I20" s="50">
        <f>'Rate Class Customer Model'!$D$10</f>
        <v>423.5</v>
      </c>
      <c r="J20" s="50">
        <f>'Rate Class Customer Model'!$D$11</f>
        <v>432</v>
      </c>
      <c r="K20" s="50">
        <f>'Rate Class Customer Model'!$D$12</f>
        <v>437.5</v>
      </c>
      <c r="L20" s="251">
        <f>'Rate Class Customer Model'!$D$13</f>
        <v>442.0624060165668</v>
      </c>
      <c r="M20" s="252">
        <f>'Rate Class Customer Model'!$D$14</f>
        <v>446.6723904300707</v>
      </c>
    </row>
    <row r="21" spans="1:13" ht="12.75">
      <c r="A21" s="78" t="s">
        <v>47</v>
      </c>
      <c r="B21" s="50">
        <f>'Rate Class Energy Model'!$J$7</f>
        <v>594077901</v>
      </c>
      <c r="C21" s="50">
        <f>'Rate Class Energy Model'!$J$8</f>
        <v>605456649</v>
      </c>
      <c r="D21" s="50">
        <f>'Rate Class Energy Model'!$J$9</f>
        <v>585927516</v>
      </c>
      <c r="E21" s="50">
        <f>'Rate Class Energy Model'!$J$10</f>
        <v>528476684</v>
      </c>
      <c r="F21" s="50">
        <f>'Rate Class Energy Model'!$J$11</f>
        <v>521725747</v>
      </c>
      <c r="G21" s="50">
        <f>'Rate Class Energy Model'!$J$12</f>
        <v>519515098</v>
      </c>
      <c r="H21" s="50">
        <f>'Rate Class Energy Model'!$J$13</f>
        <v>539521215</v>
      </c>
      <c r="I21" s="50">
        <f>'Rate Class Energy Model'!$J$14</f>
        <v>534621114</v>
      </c>
      <c r="J21" s="50">
        <f>'Rate Class Energy Model'!$J$15</f>
        <v>497985709</v>
      </c>
      <c r="K21" s="245">
        <f>'Rate Class Energy Model'!$J$16</f>
        <v>507886846</v>
      </c>
      <c r="L21" s="251">
        <f>'Rate Class Energy Model'!$J$80</f>
        <v>489888372.01748</v>
      </c>
      <c r="M21" s="252">
        <f>'Rate Class Energy Model'!$J$81</f>
        <v>484255556.7874576</v>
      </c>
    </row>
    <row r="22" spans="1:13" ht="12.75">
      <c r="A22" s="78" t="s">
        <v>48</v>
      </c>
      <c r="B22" s="282">
        <f>'Rate Class Load Model'!$B$2</f>
        <v>1481342.88</v>
      </c>
      <c r="C22" s="282">
        <f>'Rate Class Load Model'!$B$3</f>
        <v>1489945.61</v>
      </c>
      <c r="D22" s="282">
        <f>'Rate Class Load Model'!$B$4</f>
        <v>1450726.3200000003</v>
      </c>
      <c r="E22" s="282">
        <f>'Rate Class Load Model'!$B$5</f>
        <v>1326769.78</v>
      </c>
      <c r="F22" s="282">
        <f>'Rate Class Load Model'!$B$6</f>
        <v>1323482.2400000002</v>
      </c>
      <c r="G22" s="282">
        <f>'Rate Class Load Model'!$B$7</f>
        <v>1344251</v>
      </c>
      <c r="H22" s="282">
        <f>'Rate Class Load Model'!$B$8</f>
        <v>1398783.62</v>
      </c>
      <c r="I22" s="282">
        <f>'Rate Class Load Model'!$B$9</f>
        <v>1395148.24</v>
      </c>
      <c r="J22" s="282">
        <f>'Rate Class Load Model'!$B$10</f>
        <v>1368652.3</v>
      </c>
      <c r="K22" s="282">
        <f>'Rate Class Load Model'!$B$11</f>
        <v>1388241.3</v>
      </c>
      <c r="L22" s="257">
        <f>'Rate Class Load Model'!$B$12</f>
        <v>1261419.3062616482</v>
      </c>
      <c r="M22" s="258">
        <f>'Rate Class Load Model'!$B$13</f>
        <v>1246915.3043591466</v>
      </c>
    </row>
    <row r="23" spans="8:16" ht="12.75">
      <c r="H23" s="189"/>
      <c r="L23" s="251"/>
      <c r="M23" s="254"/>
      <c r="P23" s="199"/>
    </row>
    <row r="24" spans="1:13" ht="12.75">
      <c r="A24" s="191" t="s">
        <v>168</v>
      </c>
      <c r="L24" s="251"/>
      <c r="M24" s="252"/>
    </row>
    <row r="25" spans="1:15" ht="12.75">
      <c r="A25" s="78" t="s">
        <v>46</v>
      </c>
      <c r="B25" s="283"/>
      <c r="C25" s="283"/>
      <c r="D25" s="283"/>
      <c r="E25" s="283"/>
      <c r="F25" s="283">
        <v>3</v>
      </c>
      <c r="G25" s="283">
        <v>3</v>
      </c>
      <c r="H25" s="283">
        <v>3</v>
      </c>
      <c r="I25" s="283">
        <v>3</v>
      </c>
      <c r="J25" s="283">
        <v>3</v>
      </c>
      <c r="K25" s="283">
        <v>3</v>
      </c>
      <c r="L25" s="257">
        <f>'Embedded Distributor Forecast'!C19</f>
        <v>2</v>
      </c>
      <c r="M25" s="258">
        <f>'Embedded Distributor Forecast'!C20</f>
        <v>2</v>
      </c>
      <c r="O25" s="199"/>
    </row>
    <row r="26" spans="1:15" ht="12.75">
      <c r="A26" s="78" t="s">
        <v>47</v>
      </c>
      <c r="B26" s="50">
        <f>'Embedded Distributor Forecast'!E9</f>
        <v>0</v>
      </c>
      <c r="C26" s="50">
        <f>'Embedded Distributor Forecast'!E10</f>
        <v>0</v>
      </c>
      <c r="D26" s="50">
        <f>'Embedded Distributor Forecast'!E11</f>
        <v>0</v>
      </c>
      <c r="E26" s="50">
        <f>'Embedded Distributor Forecast'!E12</f>
        <v>0</v>
      </c>
      <c r="F26" s="50">
        <f>'Embedded Distributor Forecast'!E13</f>
        <v>0</v>
      </c>
      <c r="G26" s="50">
        <f>'Embedded Distributor Forecast'!E14</f>
        <v>0</v>
      </c>
      <c r="H26" s="50">
        <f>'Embedded Distributor Forecast'!E15</f>
        <v>0</v>
      </c>
      <c r="I26" s="50">
        <f>'Embedded Distributor Forecast'!E16</f>
        <v>0</v>
      </c>
      <c r="J26" s="50">
        <f>'Embedded Distributor Forecast'!E17</f>
        <v>0</v>
      </c>
      <c r="K26" s="50">
        <f>'Embedded Distributor Forecast'!E18</f>
        <v>52024994.84362936</v>
      </c>
      <c r="L26" s="251">
        <f>'Embedded Distributor Forecast'!E19</f>
        <v>48387203.082246475</v>
      </c>
      <c r="M26" s="252">
        <f>'Embedded Distributor Forecast'!E20</f>
        <v>51013084.143145315</v>
      </c>
      <c r="O26" s="199"/>
    </row>
    <row r="27" spans="1:15" ht="12.75">
      <c r="A27" s="78" t="s">
        <v>48</v>
      </c>
      <c r="B27" s="50">
        <f>'Embedded Distributor Forecast'!B9</f>
        <v>24679.71</v>
      </c>
      <c r="C27" s="50">
        <f>'Embedded Distributor Forecast'!B10</f>
        <v>23111.48</v>
      </c>
      <c r="D27" s="50">
        <f>'Embedded Distributor Forecast'!B11</f>
        <v>136273.84999999998</v>
      </c>
      <c r="E27" s="50">
        <f>'Embedded Distributor Forecast'!B12</f>
        <v>215796.66</v>
      </c>
      <c r="F27" s="50">
        <f>'Embedded Distributor Forecast'!B13</f>
        <v>158115.16</v>
      </c>
      <c r="G27" s="50">
        <f>'Embedded Distributor Forecast'!B14</f>
        <v>156839.26</v>
      </c>
      <c r="H27" s="50">
        <f>'Embedded Distributor Forecast'!B15</f>
        <v>153310.46</v>
      </c>
      <c r="I27" s="50">
        <f>'Embedded Distributor Forecast'!B16</f>
        <v>159285.71000000002</v>
      </c>
      <c r="J27" s="50">
        <f>'Embedded Distributor Forecast'!B17</f>
        <v>164324.43999999997</v>
      </c>
      <c r="K27" s="50">
        <f>'Embedded Distributor Forecast'!B18</f>
        <v>142203.42</v>
      </c>
      <c r="L27" s="251">
        <f>'Embedded Distributor Forecast'!B19</f>
        <v>132259.9989334275</v>
      </c>
      <c r="M27" s="252">
        <f>'Embedded Distributor Forecast'!B20</f>
        <v>139437.49637471305</v>
      </c>
      <c r="O27" s="199"/>
    </row>
    <row r="28" spans="8:13" ht="12.75">
      <c r="H28" s="189"/>
      <c r="L28" s="251"/>
      <c r="M28" s="254"/>
    </row>
    <row r="29" spans="1:13" ht="12.75">
      <c r="A29" s="191" t="str">
        <f>'Rate Class Energy Model'!K2</f>
        <v>Sentinels</v>
      </c>
      <c r="L29" s="251"/>
      <c r="M29" s="252"/>
    </row>
    <row r="30" spans="1:13" ht="12.75">
      <c r="A30" s="78" t="s">
        <v>65</v>
      </c>
      <c r="B30" s="50">
        <f>'Rate Class Customer Model'!$E$3</f>
        <v>276.5</v>
      </c>
      <c r="C30" s="50">
        <f>'Rate Class Customer Model'!$E$4</f>
        <v>569</v>
      </c>
      <c r="D30" s="50">
        <f>'Rate Class Customer Model'!$E$5</f>
        <v>585</v>
      </c>
      <c r="E30" s="50">
        <f>'Rate Class Customer Model'!$E$6</f>
        <v>590</v>
      </c>
      <c r="F30" s="50">
        <f>'Rate Class Customer Model'!$E$7</f>
        <v>602.5</v>
      </c>
      <c r="G30" s="50">
        <f>'Rate Class Customer Model'!$E$8</f>
        <v>620.5</v>
      </c>
      <c r="H30" s="50">
        <f>'Rate Class Customer Model'!$E$9</f>
        <v>625</v>
      </c>
      <c r="I30" s="50">
        <f>'Rate Class Customer Model'!$E$10</f>
        <v>624.5</v>
      </c>
      <c r="J30" s="50">
        <f>'Rate Class Customer Model'!$E$11</f>
        <v>621.5</v>
      </c>
      <c r="K30" s="50">
        <f>'Rate Class Customer Model'!$E$12</f>
        <v>618.5</v>
      </c>
      <c r="L30" s="251">
        <f>'Rate Class Customer Model'!$E$13</f>
        <v>590.9828982398665</v>
      </c>
      <c r="M30" s="252">
        <f>'Rate Class Customer Model'!$E$14</f>
        <v>597.1773719517346</v>
      </c>
    </row>
    <row r="31" spans="1:13" ht="12.75">
      <c r="A31" s="78" t="s">
        <v>47</v>
      </c>
      <c r="B31" s="50">
        <f>'Rate Class Energy Model'!$K$7</f>
        <v>0</v>
      </c>
      <c r="C31" s="50">
        <f>'Rate Class Energy Model'!$K$8</f>
        <v>0</v>
      </c>
      <c r="D31" s="50">
        <f>'Rate Class Energy Model'!$K$9</f>
        <v>0</v>
      </c>
      <c r="E31" s="50">
        <f>'Rate Class Energy Model'!$K$10</f>
        <v>0</v>
      </c>
      <c r="F31" s="50">
        <f>'Rate Class Energy Model'!$K$11</f>
        <v>480615</v>
      </c>
      <c r="G31" s="50">
        <f>'Rate Class Energy Model'!$K$12</f>
        <v>475427</v>
      </c>
      <c r="H31" s="50">
        <f>'Rate Class Energy Model'!$K$13</f>
        <v>459394</v>
      </c>
      <c r="I31" s="50">
        <f>'Rate Class Energy Model'!$K$14</f>
        <v>448778</v>
      </c>
      <c r="J31" s="50">
        <f>'Rate Class Energy Model'!$K$15</f>
        <v>445147</v>
      </c>
      <c r="K31" s="245">
        <f>'Rate Class Energy Model'!$K$16</f>
        <v>446247</v>
      </c>
      <c r="L31" s="251">
        <f>'Rate Class Energy Model'!$K$80</f>
        <v>386312.1485154677</v>
      </c>
      <c r="M31" s="252">
        <f>'Rate Class Energy Model'!$K$81</f>
        <v>382297.1618462501</v>
      </c>
    </row>
    <row r="32" spans="1:15" ht="12.75">
      <c r="A32" s="78" t="s">
        <v>48</v>
      </c>
      <c r="B32" s="282">
        <f>'Rate Class Load Model'!$C$2</f>
        <v>0</v>
      </c>
      <c r="C32" s="282">
        <f>'Rate Class Load Model'!$C$3</f>
        <v>0</v>
      </c>
      <c r="D32" s="282">
        <f>'Rate Class Load Model'!$C$4</f>
        <v>0</v>
      </c>
      <c r="E32" s="282">
        <f>'Rate Class Load Model'!$C$5</f>
        <v>0</v>
      </c>
      <c r="F32" s="282">
        <f>'Rate Class Load Model'!$C$6</f>
        <v>1534.31</v>
      </c>
      <c r="G32" s="282">
        <f>'Rate Class Load Model'!$C$7</f>
        <v>1487.24</v>
      </c>
      <c r="H32" s="282">
        <f>'Rate Class Load Model'!$C$8</f>
        <v>1392.0700000000002</v>
      </c>
      <c r="I32" s="282">
        <f>'Rate Class Load Model'!$C$9</f>
        <v>1384.9899999999998</v>
      </c>
      <c r="J32" s="282">
        <f>'Rate Class Load Model'!$C$10</f>
        <v>1361</v>
      </c>
      <c r="K32" s="282">
        <f>'Rate Class Load Model'!$C$11</f>
        <v>1359</v>
      </c>
      <c r="L32" s="257">
        <f>'Rate Class Load Model'!$C$12</f>
        <v>1193.69109946835</v>
      </c>
      <c r="M32" s="258">
        <f>'Rate Class Load Model'!$C$13</f>
        <v>1181.2849303381622</v>
      </c>
      <c r="O32" s="265"/>
    </row>
    <row r="33" spans="2:13" ht="12.75">
      <c r="B33" s="50"/>
      <c r="C33" s="50"/>
      <c r="D33" s="50"/>
      <c r="E33" s="50"/>
      <c r="F33" s="50"/>
      <c r="G33" s="50"/>
      <c r="H33" s="50"/>
      <c r="I33" s="50"/>
      <c r="J33" s="50"/>
      <c r="K33" s="50"/>
      <c r="L33" s="251"/>
      <c r="M33" s="252"/>
    </row>
    <row r="34" spans="1:13" ht="12.75">
      <c r="A34" s="191" t="str">
        <f>'Rate Class Energy Model'!L2</f>
        <v>Streetlights</v>
      </c>
      <c r="L34" s="251"/>
      <c r="M34" s="252"/>
    </row>
    <row r="35" spans="1:13" ht="12.75">
      <c r="A35" s="78" t="s">
        <v>65</v>
      </c>
      <c r="B35" s="50">
        <f>'Rate Class Customer Model'!$F$3</f>
        <v>9366</v>
      </c>
      <c r="C35" s="50">
        <f>'Rate Class Customer Model'!$F$4</f>
        <v>9602</v>
      </c>
      <c r="D35" s="50">
        <f>'Rate Class Customer Model'!$F$5</f>
        <v>9740</v>
      </c>
      <c r="E35" s="50">
        <f>'Rate Class Customer Model'!$F$6</f>
        <v>9852</v>
      </c>
      <c r="F35" s="50">
        <f>'Rate Class Customer Model'!$F$7</f>
        <v>9953</v>
      </c>
      <c r="G35" s="50">
        <f>'Rate Class Customer Model'!$F$8</f>
        <v>9988</v>
      </c>
      <c r="H35" s="50">
        <f>'Rate Class Customer Model'!$F$9</f>
        <v>10134</v>
      </c>
      <c r="I35" s="50">
        <f>'Rate Class Customer Model'!$F$10</f>
        <v>10231.5</v>
      </c>
      <c r="J35" s="50">
        <f>'Rate Class Customer Model'!$F$11</f>
        <v>10392</v>
      </c>
      <c r="K35" s="50">
        <f>'Rate Class Customer Model'!$F$12</f>
        <v>10631.5</v>
      </c>
      <c r="L35" s="251">
        <f>M35</f>
        <v>6351</v>
      </c>
      <c r="M35" s="252">
        <v>6351</v>
      </c>
    </row>
    <row r="36" spans="1:13" ht="12.75">
      <c r="A36" s="78" t="s">
        <v>47</v>
      </c>
      <c r="B36" s="50">
        <f>'Rate Class Energy Model'!$L$7</f>
        <v>6975374</v>
      </c>
      <c r="C36" s="50">
        <f>'Rate Class Energy Model'!$L$8</f>
        <v>7101501</v>
      </c>
      <c r="D36" s="50">
        <f>'Rate Class Energy Model'!$L$9</f>
        <v>7240798</v>
      </c>
      <c r="E36" s="50">
        <f>'Rate Class Energy Model'!$L$10</f>
        <v>7316579</v>
      </c>
      <c r="F36" s="50">
        <f>'Rate Class Energy Model'!$L$11</f>
        <v>7354351</v>
      </c>
      <c r="G36" s="50">
        <f>'Rate Class Energy Model'!$L$12</f>
        <v>7330830</v>
      </c>
      <c r="H36" s="50">
        <f>'Rate Class Energy Model'!$L$13</f>
        <v>7395374</v>
      </c>
      <c r="I36" s="50">
        <f>'Rate Class Energy Model'!$L$14</f>
        <v>7386717</v>
      </c>
      <c r="J36" s="50">
        <f>'Rate Class Energy Model'!$L$15</f>
        <v>7378259</v>
      </c>
      <c r="K36" s="245">
        <f>'Rate Class Energy Model'!$L$16</f>
        <v>7369714</v>
      </c>
      <c r="L36" s="251">
        <f>'Rate Class Energy Model'!$L$80</f>
        <v>7414883.229607036</v>
      </c>
      <c r="M36" s="252">
        <f>'Rate Class Energy Model'!$L$81</f>
        <v>7460329.3029699195</v>
      </c>
    </row>
    <row r="37" spans="1:13" ht="12.75">
      <c r="A37" s="78" t="s">
        <v>48</v>
      </c>
      <c r="B37" s="282">
        <f>'Rate Class Load Model'!$D$2</f>
        <v>21299</v>
      </c>
      <c r="C37" s="282">
        <f>'Rate Class Load Model'!$D$3</f>
        <v>21758</v>
      </c>
      <c r="D37" s="282">
        <f>'Rate Class Load Model'!$D$4</f>
        <v>22064</v>
      </c>
      <c r="E37" s="282">
        <f>'Rate Class Load Model'!$D$5</f>
        <v>22380</v>
      </c>
      <c r="F37" s="282">
        <f>'Rate Class Load Model'!$D$6</f>
        <v>22480</v>
      </c>
      <c r="G37" s="282">
        <f>'Rate Class Load Model'!$D$7</f>
        <v>22428</v>
      </c>
      <c r="H37" s="282">
        <f>'Rate Class Load Model'!$D$8</f>
        <v>22533</v>
      </c>
      <c r="I37" s="282">
        <f>'Rate Class Load Model'!$D$9</f>
        <v>22581</v>
      </c>
      <c r="J37" s="282">
        <f>'Rate Class Load Model'!$D$10</f>
        <v>22553</v>
      </c>
      <c r="K37" s="282">
        <f>'Rate Class Load Model'!$D$11</f>
        <v>22527</v>
      </c>
      <c r="L37" s="257">
        <f>'Rate Class Load Model'!$D$12</f>
        <v>22657.408883825065</v>
      </c>
      <c r="M37" s="258">
        <f>'Rate Class Load Model'!$D$13</f>
        <v>22796.276919161843</v>
      </c>
    </row>
    <row r="38" spans="12:13" ht="12.75">
      <c r="L38" s="251"/>
      <c r="M38" s="252"/>
    </row>
    <row r="39" spans="1:13" ht="12.75">
      <c r="A39" s="191" t="str">
        <f>'Rate Class Energy Model'!M2</f>
        <v>USL</v>
      </c>
      <c r="L39" s="251"/>
      <c r="M39" s="252"/>
    </row>
    <row r="40" spans="1:13" ht="12.75">
      <c r="A40" s="78" t="s">
        <v>65</v>
      </c>
      <c r="B40" s="50">
        <f>'Rate Class Customer Model'!$G$3</f>
        <v>455.5</v>
      </c>
      <c r="C40" s="50">
        <f>'Rate Class Customer Model'!$G$4</f>
        <v>439</v>
      </c>
      <c r="D40" s="50">
        <f>'Rate Class Customer Model'!$G$5</f>
        <v>442</v>
      </c>
      <c r="E40" s="50">
        <f>'Rate Class Customer Model'!$G$6</f>
        <v>444</v>
      </c>
      <c r="F40" s="50">
        <f>'Rate Class Customer Model'!$G$7</f>
        <v>445.5</v>
      </c>
      <c r="G40" s="50">
        <f>'Rate Class Customer Model'!$G$8</f>
        <v>445.5</v>
      </c>
      <c r="H40" s="50">
        <f>'Rate Class Customer Model'!$G$9</f>
        <v>442.5</v>
      </c>
      <c r="I40" s="50">
        <f>'Rate Class Customer Model'!$G$10</f>
        <v>437.5</v>
      </c>
      <c r="J40" s="50">
        <f>'Rate Class Customer Model'!$G$11</f>
        <v>434</v>
      </c>
      <c r="K40" s="50">
        <f>'Rate Class Customer Model'!$G$12</f>
        <v>430.5</v>
      </c>
      <c r="L40" s="251">
        <f>'Rate Class Customer Model'!$G$13</f>
        <v>427.80833515306745</v>
      </c>
      <c r="M40" s="252">
        <f>'Rate Class Customer Model'!$G$14</f>
        <v>425.1334997129832</v>
      </c>
    </row>
    <row r="41" spans="1:13" ht="12.75">
      <c r="A41" s="78" t="s">
        <v>47</v>
      </c>
      <c r="B41" s="50">
        <f>'Rate Class Energy Model'!$M$7</f>
        <v>2134360</v>
      </c>
      <c r="C41" s="50">
        <f>'Rate Class Energy Model'!$M$8</f>
        <v>1849775</v>
      </c>
      <c r="D41" s="50">
        <f>'Rate Class Energy Model'!$M$9</f>
        <v>1681733</v>
      </c>
      <c r="E41" s="50">
        <f>'Rate Class Energy Model'!$M$10</f>
        <v>1552460</v>
      </c>
      <c r="F41" s="50">
        <f>'Rate Class Energy Model'!$M$11</f>
        <v>1559632</v>
      </c>
      <c r="G41" s="50">
        <f>'Rate Class Energy Model'!$M$12</f>
        <v>1556530</v>
      </c>
      <c r="H41" s="50">
        <f>'Rate Class Energy Model'!$M$13</f>
        <v>1544939</v>
      </c>
      <c r="I41" s="50">
        <f>'Rate Class Energy Model'!$M$14</f>
        <v>1552345</v>
      </c>
      <c r="J41" s="50">
        <f>'Rate Class Energy Model'!$M$15</f>
        <v>1528194</v>
      </c>
      <c r="K41" s="245">
        <f>'Rate Class Energy Model'!$M$16</f>
        <v>1516114</v>
      </c>
      <c r="L41" s="251">
        <f>'Rate Class Energy Model'!$M$80</f>
        <v>1459579.915501509</v>
      </c>
      <c r="M41" s="252">
        <f>'Rate Class Energy Model'!$M$81</f>
        <v>1405153.9196494406</v>
      </c>
    </row>
    <row r="42" spans="2:14" s="190" customFormat="1" ht="12.75">
      <c r="B42" s="50"/>
      <c r="C42" s="50"/>
      <c r="D42" s="50"/>
      <c r="E42" s="50"/>
      <c r="F42" s="50"/>
      <c r="G42" s="50"/>
      <c r="H42" s="50"/>
      <c r="I42" s="50"/>
      <c r="J42" s="50"/>
      <c r="K42" s="245"/>
      <c r="L42" s="251"/>
      <c r="M42" s="252"/>
      <c r="N42" s="268"/>
    </row>
    <row r="43" spans="1:14" s="190" customFormat="1" ht="12.75">
      <c r="A43" s="191" t="s">
        <v>183</v>
      </c>
      <c r="B43" s="50"/>
      <c r="C43" s="50"/>
      <c r="D43" s="50"/>
      <c r="E43" s="50"/>
      <c r="F43" s="50"/>
      <c r="G43" s="50">
        <f>'WMP Forecast'!B3</f>
        <v>0</v>
      </c>
      <c r="L43" s="257"/>
      <c r="M43" s="258"/>
      <c r="N43" s="268"/>
    </row>
    <row r="44" spans="1:14" s="190" customFormat="1" ht="12.75">
      <c r="A44" s="78" t="s">
        <v>65</v>
      </c>
      <c r="B44" s="50"/>
      <c r="C44" s="50"/>
      <c r="D44" s="50"/>
      <c r="E44" s="50"/>
      <c r="F44" s="50"/>
      <c r="G44" s="50"/>
      <c r="H44" s="50">
        <v>2</v>
      </c>
      <c r="I44" s="50">
        <v>2</v>
      </c>
      <c r="J44" s="50">
        <v>2</v>
      </c>
      <c r="K44" s="245">
        <v>2</v>
      </c>
      <c r="L44" s="251">
        <v>2</v>
      </c>
      <c r="M44" s="252">
        <v>2</v>
      </c>
      <c r="N44" s="268"/>
    </row>
    <row r="45" spans="1:15" ht="12.75">
      <c r="A45" s="78" t="s">
        <v>47</v>
      </c>
      <c r="H45" s="50">
        <f>'WMP Forecast'!D4</f>
        <v>0</v>
      </c>
      <c r="I45" s="50">
        <f>'WMP Forecast'!D5</f>
        <v>0</v>
      </c>
      <c r="J45" s="50">
        <f>'WMP Forecast'!D6</f>
        <v>0</v>
      </c>
      <c r="K45" s="245">
        <f>'WMP Forecast'!D7</f>
        <v>6792377.6</v>
      </c>
      <c r="L45" s="251">
        <f>'WMP Forecast'!D8</f>
        <v>6792377.6</v>
      </c>
      <c r="M45" s="252">
        <f>'WMP Forecast'!D9</f>
        <v>6792377.6</v>
      </c>
      <c r="O45" s="192"/>
    </row>
    <row r="46" spans="1:13" ht="12.75">
      <c r="A46" s="78" t="s">
        <v>48</v>
      </c>
      <c r="H46" s="49">
        <f>'WMP Forecast'!B4</f>
        <v>3486.38</v>
      </c>
      <c r="I46" s="49">
        <f>'WMP Forecast'!B5</f>
        <v>13589.76</v>
      </c>
      <c r="J46" s="49">
        <f>'WMP Forecast'!B6</f>
        <v>12736.7</v>
      </c>
      <c r="K46" s="49">
        <f>'WMP Forecast'!B7</f>
        <v>12397.7</v>
      </c>
      <c r="L46" s="251">
        <f>'WMP Forecast'!B8</f>
        <v>12397.7</v>
      </c>
      <c r="M46" s="252">
        <f>'WMP Forecast'!B9</f>
        <v>12397.7</v>
      </c>
    </row>
    <row r="47" spans="12:13" ht="12.75">
      <c r="L47" s="251"/>
      <c r="M47" s="252"/>
    </row>
    <row r="48" spans="1:13" ht="12.75">
      <c r="A48" s="191" t="s">
        <v>66</v>
      </c>
      <c r="B48" s="50"/>
      <c r="C48" s="50"/>
      <c r="D48" s="50"/>
      <c r="E48" s="50"/>
      <c r="F48" s="50"/>
      <c r="H48" s="50"/>
      <c r="I48" s="50"/>
      <c r="J48" s="50"/>
      <c r="K48" s="50"/>
      <c r="L48" s="251"/>
      <c r="M48" s="252"/>
    </row>
    <row r="49" spans="1:13" ht="12.75">
      <c r="A49" s="78" t="s">
        <v>52</v>
      </c>
      <c r="B49" s="284">
        <f aca="true" t="shared" si="1" ref="B49:J49">B12+B16+B20+B25+B30+B35+B40+B44</f>
        <v>45842.5</v>
      </c>
      <c r="C49" s="284">
        <f t="shared" si="1"/>
        <v>46922.5</v>
      </c>
      <c r="D49" s="284">
        <f t="shared" si="1"/>
        <v>47559.5</v>
      </c>
      <c r="E49" s="284">
        <f t="shared" si="1"/>
        <v>47945</v>
      </c>
      <c r="F49" s="284">
        <f t="shared" si="1"/>
        <v>48364.5</v>
      </c>
      <c r="G49" s="284">
        <f t="shared" si="1"/>
        <v>48830</v>
      </c>
      <c r="H49" s="284">
        <f t="shared" si="1"/>
        <v>49291.5</v>
      </c>
      <c r="I49" s="284">
        <f t="shared" si="1"/>
        <v>49696</v>
      </c>
      <c r="J49" s="284">
        <f t="shared" si="1"/>
        <v>50135</v>
      </c>
      <c r="K49" s="284">
        <f>K12+K16+K20+K25+K30+K35+K40+K44</f>
        <v>50650.5</v>
      </c>
      <c r="L49" s="250">
        <f>L12+L16+L20+L25+L30+L35+L40+L44</f>
        <v>46714.0801401522</v>
      </c>
      <c r="M49" s="248">
        <f>M12+M16+M20+M25+M30+M35+M40+M44</f>
        <v>47096.50391878395</v>
      </c>
    </row>
    <row r="50" spans="1:13" ht="12.75">
      <c r="A50" s="78" t="s">
        <v>47</v>
      </c>
      <c r="B50" s="284">
        <f aca="true" t="shared" si="2" ref="B50:K50">B41+B36+B31+B21+B17+B13+B45+B26</f>
        <v>987570495</v>
      </c>
      <c r="C50" s="284">
        <f t="shared" si="2"/>
        <v>1004831701</v>
      </c>
      <c r="D50" s="284">
        <f t="shared" si="2"/>
        <v>977884255</v>
      </c>
      <c r="E50" s="284">
        <f t="shared" si="2"/>
        <v>912366781</v>
      </c>
      <c r="F50" s="284">
        <f t="shared" si="2"/>
        <v>917169662</v>
      </c>
      <c r="G50" s="284">
        <f t="shared" si="2"/>
        <v>919260512</v>
      </c>
      <c r="H50" s="284">
        <f t="shared" si="2"/>
        <v>936319334</v>
      </c>
      <c r="I50" s="284">
        <f t="shared" si="2"/>
        <v>926349236</v>
      </c>
      <c r="J50" s="284">
        <f t="shared" si="2"/>
        <v>889619639</v>
      </c>
      <c r="K50" s="284">
        <f t="shared" si="2"/>
        <v>963709264.4436294</v>
      </c>
      <c r="L50" s="250">
        <f>L41+L36+L31+L21+L17+L13+L45+L26</f>
        <v>937800598.2436018</v>
      </c>
      <c r="M50" s="248">
        <f>M41+M36+M31+M21+M17+M13+M45+M26</f>
        <v>954794158.4363197</v>
      </c>
    </row>
    <row r="51" spans="1:13" ht="12.75">
      <c r="A51" s="78" t="s">
        <v>51</v>
      </c>
      <c r="B51" s="284">
        <f aca="true" t="shared" si="3" ref="B51:L51">B37+B32+B22+B46+B27</f>
        <v>1527321.5899999999</v>
      </c>
      <c r="C51" s="284">
        <f t="shared" si="3"/>
        <v>1534815.09</v>
      </c>
      <c r="D51" s="284">
        <f t="shared" si="3"/>
        <v>1609064.1700000004</v>
      </c>
      <c r="E51" s="284">
        <f t="shared" si="3"/>
        <v>1564946.44</v>
      </c>
      <c r="F51" s="284">
        <f t="shared" si="3"/>
        <v>1505611.7100000002</v>
      </c>
      <c r="G51" s="284">
        <f t="shared" si="3"/>
        <v>1525005.5</v>
      </c>
      <c r="H51" s="284">
        <f t="shared" si="3"/>
        <v>1579505.53</v>
      </c>
      <c r="I51" s="284">
        <f t="shared" si="3"/>
        <v>1591989.7</v>
      </c>
      <c r="J51" s="284">
        <f t="shared" si="3"/>
        <v>1569627.44</v>
      </c>
      <c r="K51" s="284">
        <f t="shared" si="3"/>
        <v>1566728.42</v>
      </c>
      <c r="L51" s="250">
        <f t="shared" si="3"/>
        <v>1429928.105178369</v>
      </c>
      <c r="M51" s="248">
        <f>M37+M32+M22+M46+M27</f>
        <v>1422728.0625833597</v>
      </c>
    </row>
    <row r="52" spans="12:13" ht="12.75">
      <c r="L52" s="251"/>
      <c r="M52" s="252"/>
    </row>
    <row r="53" spans="1:13" ht="12.75">
      <c r="A53" s="191" t="s">
        <v>184</v>
      </c>
      <c r="L53" s="251"/>
      <c r="M53" s="252"/>
    </row>
    <row r="54" spans="1:13" ht="12.75">
      <c r="A54" s="78" t="s">
        <v>52</v>
      </c>
      <c r="B54" s="282">
        <f>'Rate Class Customer Model'!$H$3</f>
        <v>45842.5</v>
      </c>
      <c r="C54" s="282">
        <f>'Rate Class Customer Model'!$H$4</f>
        <v>46922.5</v>
      </c>
      <c r="D54" s="282">
        <f>'Rate Class Customer Model'!$H$5</f>
        <v>47559.5</v>
      </c>
      <c r="E54" s="282">
        <f>'Rate Class Customer Model'!$H$6</f>
        <v>47945</v>
      </c>
      <c r="F54" s="282">
        <f>'Rate Class Customer Model'!$H$7</f>
        <v>48361.5</v>
      </c>
      <c r="G54" s="282">
        <f>'Rate Class Customer Model'!$H$8</f>
        <v>48827</v>
      </c>
      <c r="H54" s="282">
        <f>'Rate Class Customer Model'!$H$9</f>
        <v>49286.5</v>
      </c>
      <c r="I54" s="282">
        <f>'Rate Class Customer Model'!$H$10</f>
        <v>49691</v>
      </c>
      <c r="J54" s="282">
        <f>'Rate Class Customer Model'!$H$11</f>
        <v>50130</v>
      </c>
      <c r="K54" s="282">
        <f>'Rate Class Customer Model'!$H$12</f>
        <v>50645.5</v>
      </c>
      <c r="L54" s="257">
        <f>'Rate Class Customer Model'!$H$13</f>
        <v>51141.34863999753</v>
      </c>
      <c r="M54" s="258">
        <f>'Rate Class Customer Model'!$H$14</f>
        <v>51676.67901192763</v>
      </c>
    </row>
    <row r="55" spans="1:13" ht="12.75">
      <c r="A55" s="78" t="s">
        <v>47</v>
      </c>
      <c r="B55" s="282">
        <f>'Rate Class Energy Model'!$G$7</f>
        <v>987570495</v>
      </c>
      <c r="C55" s="282">
        <f>'Rate Class Energy Model'!$G$8</f>
        <v>1004831701</v>
      </c>
      <c r="D55" s="282">
        <f>'Rate Class Energy Model'!$G$9</f>
        <v>977884255</v>
      </c>
      <c r="E55" s="282">
        <f>'Rate Class Energy Model'!$G$10</f>
        <v>912366781</v>
      </c>
      <c r="F55" s="282">
        <f>'Rate Class Energy Model'!$G$11</f>
        <v>917169662</v>
      </c>
      <c r="G55" s="282">
        <f>'Rate Class Energy Model'!$G$12</f>
        <v>919260512</v>
      </c>
      <c r="H55" s="282">
        <f>'Rate Class Energy Model'!$G$13</f>
        <v>936319334</v>
      </c>
      <c r="I55" s="282">
        <f>'Rate Class Energy Model'!$G$14</f>
        <v>926349236</v>
      </c>
      <c r="J55" s="282">
        <f>'Rate Class Energy Model'!$G$15</f>
        <v>889619639</v>
      </c>
      <c r="K55" s="282">
        <f>'Rate Class Energy Model'!$G$16</f>
        <v>904891892</v>
      </c>
      <c r="L55" s="257">
        <f>'Rate Class Energy Model'!G80</f>
        <v>882621017.5613551</v>
      </c>
      <c r="M55" s="258">
        <f>'Rate Class Energy Model'!G81</f>
        <v>896988696.6931744</v>
      </c>
    </row>
    <row r="56" spans="1:16" ht="12.75">
      <c r="A56" s="78" t="s">
        <v>51</v>
      </c>
      <c r="B56" s="282">
        <f>'Rate Class Load Model'!$E$2</f>
        <v>1502641.88</v>
      </c>
      <c r="C56" s="282">
        <f>'Rate Class Load Model'!$E$3</f>
        <v>1511703.61</v>
      </c>
      <c r="D56" s="282">
        <f>'Rate Class Load Model'!$E$4</f>
        <v>1472790.3200000003</v>
      </c>
      <c r="E56" s="282">
        <f>'Rate Class Load Model'!$E$5</f>
        <v>1349149.78</v>
      </c>
      <c r="F56" s="282">
        <f>'Rate Class Load Model'!$E$6</f>
        <v>1347496.5500000003</v>
      </c>
      <c r="G56" s="282">
        <f>'Rate Class Load Model'!$E$7</f>
        <v>1368166.24</v>
      </c>
      <c r="H56" s="282">
        <f>'Rate Class Load Model'!$E$8</f>
        <v>1422708.6900000002</v>
      </c>
      <c r="I56" s="282">
        <f>'Rate Class Load Model'!$E$9</f>
        <v>1419114.23</v>
      </c>
      <c r="J56" s="282">
        <f>'Rate Class Load Model'!$E$10</f>
        <v>1392566.3</v>
      </c>
      <c r="K56" s="282">
        <f>'Rate Class Load Model'!$E$11</f>
        <v>1412127.3</v>
      </c>
      <c r="L56" s="257">
        <f>'Rate Class Load Model'!$E$12</f>
        <v>1285270.4062449418</v>
      </c>
      <c r="M56" s="258">
        <f>'Rate Class Load Model'!$E$13</f>
        <v>1270892.8662086467</v>
      </c>
      <c r="O56" s="192"/>
      <c r="P56" s="192"/>
    </row>
    <row r="57" spans="12:13" ht="12.75">
      <c r="L57" s="251"/>
      <c r="M57" s="252"/>
    </row>
    <row r="58" spans="1:13" ht="12.75">
      <c r="A58" s="191" t="s">
        <v>185</v>
      </c>
      <c r="L58" s="251"/>
      <c r="M58" s="252"/>
    </row>
    <row r="59" spans="1:13" ht="12.75">
      <c r="A59" s="78" t="s">
        <v>52</v>
      </c>
      <c r="B59" s="285">
        <f aca="true" t="shared" si="4" ref="B59:M61">B44+B25</f>
        <v>0</v>
      </c>
      <c r="C59" s="285">
        <f t="shared" si="4"/>
        <v>0</v>
      </c>
      <c r="D59" s="285">
        <f t="shared" si="4"/>
        <v>0</v>
      </c>
      <c r="E59" s="285">
        <f t="shared" si="4"/>
        <v>0</v>
      </c>
      <c r="F59" s="285">
        <f t="shared" si="4"/>
        <v>3</v>
      </c>
      <c r="G59" s="285">
        <f t="shared" si="4"/>
        <v>3</v>
      </c>
      <c r="H59" s="285">
        <f t="shared" si="4"/>
        <v>5</v>
      </c>
      <c r="I59" s="285">
        <f t="shared" si="4"/>
        <v>5</v>
      </c>
      <c r="J59" s="285">
        <f t="shared" si="4"/>
        <v>5</v>
      </c>
      <c r="K59" s="285">
        <f t="shared" si="4"/>
        <v>5</v>
      </c>
      <c r="L59" s="251">
        <f t="shared" si="4"/>
        <v>4</v>
      </c>
      <c r="M59" s="252">
        <f t="shared" si="4"/>
        <v>4</v>
      </c>
    </row>
    <row r="60" spans="1:13" ht="12.75">
      <c r="A60" s="78" t="s">
        <v>47</v>
      </c>
      <c r="B60" s="285">
        <f t="shared" si="4"/>
        <v>0</v>
      </c>
      <c r="C60" s="285">
        <f t="shared" si="4"/>
        <v>0</v>
      </c>
      <c r="D60" s="285">
        <f t="shared" si="4"/>
        <v>0</v>
      </c>
      <c r="E60" s="285">
        <f t="shared" si="4"/>
        <v>0</v>
      </c>
      <c r="F60" s="285">
        <f t="shared" si="4"/>
        <v>0</v>
      </c>
      <c r="G60" s="285">
        <f t="shared" si="4"/>
        <v>0</v>
      </c>
      <c r="H60" s="285">
        <f t="shared" si="4"/>
        <v>0</v>
      </c>
      <c r="I60" s="285">
        <f t="shared" si="4"/>
        <v>0</v>
      </c>
      <c r="J60" s="285">
        <f t="shared" si="4"/>
        <v>0</v>
      </c>
      <c r="K60" s="285">
        <f t="shared" si="4"/>
        <v>58817372.44362936</v>
      </c>
      <c r="L60" s="251">
        <f t="shared" si="4"/>
        <v>55179580.68224648</v>
      </c>
      <c r="M60" s="252">
        <f t="shared" si="4"/>
        <v>57805461.74314532</v>
      </c>
    </row>
    <row r="61" spans="1:13" ht="12.75">
      <c r="A61" s="78" t="s">
        <v>51</v>
      </c>
      <c r="B61" s="285">
        <f t="shared" si="4"/>
        <v>24679.71</v>
      </c>
      <c r="C61" s="285">
        <f t="shared" si="4"/>
        <v>23111.48</v>
      </c>
      <c r="D61" s="285">
        <f t="shared" si="4"/>
        <v>136273.84999999998</v>
      </c>
      <c r="E61" s="285">
        <f t="shared" si="4"/>
        <v>215796.66</v>
      </c>
      <c r="F61" s="285">
        <f t="shared" si="4"/>
        <v>158115.16</v>
      </c>
      <c r="G61" s="285">
        <f t="shared" si="4"/>
        <v>156839.26</v>
      </c>
      <c r="H61" s="285">
        <f t="shared" si="4"/>
        <v>156796.84</v>
      </c>
      <c r="I61" s="285">
        <f t="shared" si="4"/>
        <v>172875.47000000003</v>
      </c>
      <c r="J61" s="285">
        <f t="shared" si="4"/>
        <v>177061.13999999998</v>
      </c>
      <c r="K61" s="285">
        <f t="shared" si="4"/>
        <v>154601.12000000002</v>
      </c>
      <c r="L61" s="251">
        <f t="shared" si="4"/>
        <v>144657.6989334275</v>
      </c>
      <c r="M61" s="252">
        <f>M46+M27</f>
        <v>151835.19637471306</v>
      </c>
    </row>
    <row r="62" spans="12:13" ht="12.75">
      <c r="L62" s="251"/>
      <c r="M62" s="252"/>
    </row>
    <row r="63" spans="1:13" ht="12.75">
      <c r="A63" s="191" t="s">
        <v>67</v>
      </c>
      <c r="C63" s="50"/>
      <c r="D63" s="50"/>
      <c r="E63" s="50"/>
      <c r="F63" s="50"/>
      <c r="G63" s="50"/>
      <c r="H63" s="50"/>
      <c r="I63" s="50"/>
      <c r="J63" s="50"/>
      <c r="K63" s="50"/>
      <c r="L63" s="251"/>
      <c r="M63" s="252"/>
    </row>
    <row r="64" spans="1:14" ht="12.75">
      <c r="A64" s="78" t="s">
        <v>52</v>
      </c>
      <c r="B64" s="50">
        <f aca="true" t="shared" si="5" ref="B64:M64">B49-B54-B59</f>
        <v>0</v>
      </c>
      <c r="C64" s="50">
        <f t="shared" si="5"/>
        <v>0</v>
      </c>
      <c r="D64" s="50">
        <f t="shared" si="5"/>
        <v>0</v>
      </c>
      <c r="E64" s="50">
        <f t="shared" si="5"/>
        <v>0</v>
      </c>
      <c r="F64" s="50">
        <f t="shared" si="5"/>
        <v>0</v>
      </c>
      <c r="G64" s="50">
        <f t="shared" si="5"/>
        <v>0</v>
      </c>
      <c r="H64" s="50">
        <f t="shared" si="5"/>
        <v>0</v>
      </c>
      <c r="I64" s="50">
        <f t="shared" si="5"/>
        <v>0</v>
      </c>
      <c r="J64" s="50">
        <f t="shared" si="5"/>
        <v>0</v>
      </c>
      <c r="K64" s="50">
        <f>K49-K54-K59</f>
        <v>0</v>
      </c>
      <c r="L64" s="251">
        <f t="shared" si="5"/>
        <v>-4431.268499845333</v>
      </c>
      <c r="M64" s="252">
        <f t="shared" si="5"/>
        <v>-4584.175093143676</v>
      </c>
      <c r="N64" s="286"/>
    </row>
    <row r="65" spans="1:14" ht="12.75">
      <c r="A65" s="78" t="s">
        <v>47</v>
      </c>
      <c r="B65" s="50">
        <f aca="true" t="shared" si="6" ref="B65:L66">B50-B55-B60</f>
        <v>0</v>
      </c>
      <c r="C65" s="50">
        <f t="shared" si="6"/>
        <v>0</v>
      </c>
      <c r="D65" s="50">
        <f t="shared" si="6"/>
        <v>0</v>
      </c>
      <c r="E65" s="50">
        <f t="shared" si="6"/>
        <v>0</v>
      </c>
      <c r="F65" s="50">
        <f t="shared" si="6"/>
        <v>0</v>
      </c>
      <c r="G65" s="50">
        <f t="shared" si="6"/>
        <v>0</v>
      </c>
      <c r="H65" s="50">
        <f t="shared" si="6"/>
        <v>0</v>
      </c>
      <c r="I65" s="50">
        <f t="shared" si="6"/>
        <v>0</v>
      </c>
      <c r="J65" s="50">
        <f t="shared" si="6"/>
        <v>0</v>
      </c>
      <c r="K65" s="50">
        <f t="shared" si="6"/>
        <v>0</v>
      </c>
      <c r="L65" s="251">
        <f>L50-L55-L60</f>
        <v>2.086162567138672E-07</v>
      </c>
      <c r="M65" s="252">
        <f>M50-M55-M60</f>
        <v>0</v>
      </c>
      <c r="N65" s="286"/>
    </row>
    <row r="66" spans="1:13" ht="12.75">
      <c r="A66" s="78" t="s">
        <v>51</v>
      </c>
      <c r="B66" s="50">
        <f t="shared" si="6"/>
        <v>-3.637978807091713E-11</v>
      </c>
      <c r="C66" s="50">
        <f t="shared" si="6"/>
        <v>0</v>
      </c>
      <c r="D66" s="50">
        <f t="shared" si="6"/>
        <v>0</v>
      </c>
      <c r="E66" s="50">
        <f t="shared" si="6"/>
        <v>0</v>
      </c>
      <c r="F66" s="50">
        <f t="shared" si="6"/>
        <v>0</v>
      </c>
      <c r="G66" s="50">
        <f t="shared" si="6"/>
        <v>0</v>
      </c>
      <c r="H66" s="50">
        <f t="shared" si="6"/>
        <v>0</v>
      </c>
      <c r="I66" s="50">
        <f t="shared" si="6"/>
        <v>0</v>
      </c>
      <c r="J66" s="50">
        <f t="shared" si="6"/>
        <v>0</v>
      </c>
      <c r="K66" s="50">
        <f t="shared" si="6"/>
        <v>0</v>
      </c>
      <c r="L66" s="251">
        <f t="shared" si="6"/>
        <v>-2.9103830456733704E-10</v>
      </c>
      <c r="M66" s="252">
        <f>M51-M56-M61</f>
        <v>0</v>
      </c>
    </row>
  </sheetData>
  <sheetProtection/>
  <printOptions/>
  <pageMargins left="0.38" right="0.75" top="0.73" bottom="0.74" header="0.5" footer="0.5"/>
  <pageSetup fitToHeight="1" fitToWidth="1" horizontalDpi="600" verticalDpi="600" orientation="landscape" scale="66" r:id="rId3"/>
  <legacy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M85"/>
  <sheetViews>
    <sheetView zoomScalePageLayoutView="0" workbookViewId="0" topLeftCell="A1">
      <selection activeCell="F39" sqref="F39"/>
    </sheetView>
  </sheetViews>
  <sheetFormatPr defaultColWidth="9.140625" defaultRowHeight="12.75"/>
  <cols>
    <col min="1" max="1" width="11.00390625" style="0" customWidth="1"/>
    <col min="2" max="2" width="15.00390625" style="6" customWidth="1"/>
    <col min="3" max="4" width="14.140625" style="6" bestFit="1" customWidth="1"/>
    <col min="5" max="5" width="14.140625" style="6" customWidth="1"/>
    <col min="6" max="6" width="17.57421875" style="6" customWidth="1"/>
    <col min="7" max="7" width="12.57421875" style="6" customWidth="1"/>
    <col min="8" max="9" width="12.7109375" style="6" bestFit="1" customWidth="1"/>
    <col min="10" max="10" width="11.7109375" style="6" bestFit="1" customWidth="1"/>
    <col min="11" max="11" width="10.7109375" style="6" bestFit="1" customWidth="1"/>
    <col min="12" max="13" width="9.140625" style="6" customWidth="1"/>
  </cols>
  <sheetData>
    <row r="2" spans="2:8" ht="42" customHeight="1">
      <c r="B2" s="9" t="str">
        <f>'Rate Class Energy Model'!H2</f>
        <v>Residential</v>
      </c>
      <c r="C2" s="9" t="str">
        <f>'Rate Class Energy Model'!I2</f>
        <v>GS&lt;50</v>
      </c>
      <c r="D2" s="9" t="str">
        <f>'Rate Class Energy Model'!J2</f>
        <v>GS&gt;50 (excl. WMP)</v>
      </c>
      <c r="E2" s="9" t="str">
        <f>'Rate Class Energy Model'!K2</f>
        <v>Sentinels</v>
      </c>
      <c r="F2" s="9" t="str">
        <f>'Rate Class Energy Model'!L2</f>
        <v>Streetlights</v>
      </c>
      <c r="G2" s="9" t="str">
        <f>'Rate Class Energy Model'!M2</f>
        <v>USL</v>
      </c>
      <c r="H2" s="6" t="s">
        <v>10</v>
      </c>
    </row>
    <row r="3" spans="1:11" ht="12.75">
      <c r="A3" s="4">
        <v>2006</v>
      </c>
      <c r="B3" s="35">
        <v>32800</v>
      </c>
      <c r="C3" s="35">
        <v>2546</v>
      </c>
      <c r="D3" s="35">
        <v>398.5</v>
      </c>
      <c r="E3" s="46">
        <v>276.5</v>
      </c>
      <c r="F3" s="35">
        <v>9366</v>
      </c>
      <c r="G3" s="35">
        <v>455.5</v>
      </c>
      <c r="H3" s="34">
        <f aca="true" t="shared" si="0" ref="H3:H12">SUM(B3:G3)</f>
        <v>45842.5</v>
      </c>
      <c r="K3"/>
    </row>
    <row r="4" spans="1:11" ht="12.75">
      <c r="A4" s="4">
        <v>2007</v>
      </c>
      <c r="B4" s="35">
        <v>33263.5</v>
      </c>
      <c r="C4" s="35">
        <v>2640</v>
      </c>
      <c r="D4" s="35">
        <v>409</v>
      </c>
      <c r="E4" s="46">
        <v>569</v>
      </c>
      <c r="F4" s="35">
        <v>9602</v>
      </c>
      <c r="G4" s="35">
        <v>439</v>
      </c>
      <c r="H4" s="34">
        <f t="shared" si="0"/>
        <v>46922.5</v>
      </c>
      <c r="K4"/>
    </row>
    <row r="5" spans="1:11" ht="12.75">
      <c r="A5" s="4">
        <v>2008</v>
      </c>
      <c r="B5" s="35">
        <v>33683.5</v>
      </c>
      <c r="C5" s="35">
        <v>2702</v>
      </c>
      <c r="D5" s="35">
        <v>407</v>
      </c>
      <c r="E5" s="46">
        <v>585</v>
      </c>
      <c r="F5" s="35">
        <v>9740</v>
      </c>
      <c r="G5" s="35">
        <v>442</v>
      </c>
      <c r="H5" s="34">
        <f t="shared" si="0"/>
        <v>47559.5</v>
      </c>
      <c r="K5"/>
    </row>
    <row r="6" spans="1:11" ht="12.75">
      <c r="A6" s="4">
        <v>2009</v>
      </c>
      <c r="B6" s="35">
        <v>33947</v>
      </c>
      <c r="C6" s="35">
        <v>2703.5</v>
      </c>
      <c r="D6" s="35">
        <v>408.5</v>
      </c>
      <c r="E6" s="46">
        <v>590</v>
      </c>
      <c r="F6" s="35">
        <v>9852</v>
      </c>
      <c r="G6" s="35">
        <v>444</v>
      </c>
      <c r="H6" s="34">
        <f t="shared" si="0"/>
        <v>47945</v>
      </c>
      <c r="K6"/>
    </row>
    <row r="7" spans="1:8" ht="12.75">
      <c r="A7" s="4">
        <v>2010</v>
      </c>
      <c r="B7" s="35">
        <v>34256</v>
      </c>
      <c r="C7" s="35">
        <v>2687.5</v>
      </c>
      <c r="D7" s="35">
        <v>417</v>
      </c>
      <c r="E7" s="46">
        <v>602.5</v>
      </c>
      <c r="F7" s="35">
        <v>9953</v>
      </c>
      <c r="G7" s="35">
        <v>445.5</v>
      </c>
      <c r="H7" s="34">
        <f t="shared" si="0"/>
        <v>48361.5</v>
      </c>
    </row>
    <row r="8" spans="1:8" ht="12.75">
      <c r="A8" s="4">
        <v>2011</v>
      </c>
      <c r="B8" s="35">
        <v>34643</v>
      </c>
      <c r="C8" s="35">
        <v>2709</v>
      </c>
      <c r="D8" s="35">
        <v>421</v>
      </c>
      <c r="E8" s="46">
        <v>620.5</v>
      </c>
      <c r="F8" s="35">
        <v>9988</v>
      </c>
      <c r="G8" s="35">
        <v>445.5</v>
      </c>
      <c r="H8" s="34">
        <f t="shared" si="0"/>
        <v>48827</v>
      </c>
    </row>
    <row r="9" spans="1:13" s="29" customFormat="1" ht="12.75">
      <c r="A9" s="73">
        <v>2012</v>
      </c>
      <c r="B9" s="35">
        <v>34938</v>
      </c>
      <c r="C9" s="35">
        <v>2728</v>
      </c>
      <c r="D9" s="35">
        <v>419</v>
      </c>
      <c r="E9" s="46">
        <v>625</v>
      </c>
      <c r="F9" s="35">
        <v>10134</v>
      </c>
      <c r="G9" s="35">
        <v>442.5</v>
      </c>
      <c r="H9" s="34">
        <f t="shared" si="0"/>
        <v>49286.5</v>
      </c>
      <c r="I9" s="25"/>
      <c r="J9" s="25"/>
      <c r="K9" s="25"/>
      <c r="L9" s="25"/>
      <c r="M9" s="25"/>
    </row>
    <row r="10" spans="1:13" s="29" customFormat="1" ht="12.75">
      <c r="A10" s="73">
        <v>2013</v>
      </c>
      <c r="B10" s="35">
        <v>35225.5</v>
      </c>
      <c r="C10" s="35">
        <v>2748.5</v>
      </c>
      <c r="D10" s="35">
        <v>423.5</v>
      </c>
      <c r="E10" s="46">
        <v>624.5</v>
      </c>
      <c r="F10" s="35">
        <v>10231.5</v>
      </c>
      <c r="G10" s="35">
        <v>437.5</v>
      </c>
      <c r="H10" s="34">
        <f t="shared" si="0"/>
        <v>49691</v>
      </c>
      <c r="I10" s="25"/>
      <c r="J10" s="25"/>
      <c r="K10" s="25"/>
      <c r="L10" s="25"/>
      <c r="M10" s="25"/>
    </row>
    <row r="11" spans="1:13" s="29" customFormat="1" ht="12.75">
      <c r="A11" s="73">
        <v>2014</v>
      </c>
      <c r="B11" s="35">
        <v>35479</v>
      </c>
      <c r="C11" s="35">
        <v>2771.5</v>
      </c>
      <c r="D11" s="35">
        <v>432</v>
      </c>
      <c r="E11" s="46">
        <v>621.5</v>
      </c>
      <c r="F11" s="35">
        <v>10392</v>
      </c>
      <c r="G11" s="35">
        <v>434</v>
      </c>
      <c r="H11" s="34">
        <f t="shared" si="0"/>
        <v>50130</v>
      </c>
      <c r="I11" s="25"/>
      <c r="J11" s="25"/>
      <c r="K11" s="25"/>
      <c r="L11" s="25"/>
      <c r="M11" s="25"/>
    </row>
    <row r="12" spans="1:13" s="29" customFormat="1" ht="12.75">
      <c r="A12" s="73">
        <v>2015</v>
      </c>
      <c r="B12" s="35">
        <v>35743.5</v>
      </c>
      <c r="C12" s="35">
        <v>2784</v>
      </c>
      <c r="D12" s="35">
        <v>437.5</v>
      </c>
      <c r="E12" s="46">
        <v>618.5</v>
      </c>
      <c r="F12" s="35">
        <v>10631.5</v>
      </c>
      <c r="G12" s="35">
        <v>430.5</v>
      </c>
      <c r="H12" s="34">
        <f t="shared" si="0"/>
        <v>50645.5</v>
      </c>
      <c r="I12" s="25"/>
      <c r="J12" s="25"/>
      <c r="K12" s="25"/>
      <c r="L12" s="25"/>
      <c r="M12" s="25"/>
    </row>
    <row r="13" spans="1:8" ht="12.75">
      <c r="A13" s="4">
        <v>2016</v>
      </c>
      <c r="B13" s="69">
        <f aca="true" t="shared" si="1" ref="B13:G13">B12*B28</f>
        <v>36086.445153657936</v>
      </c>
      <c r="C13" s="69">
        <f t="shared" si="1"/>
        <v>2811.781347084759</v>
      </c>
      <c r="D13" s="69">
        <f t="shared" si="1"/>
        <v>442.0624060165668</v>
      </c>
      <c r="E13" s="262">
        <f>E12*E28-E32</f>
        <v>590.9828982398665</v>
      </c>
      <c r="F13" s="69">
        <f t="shared" si="1"/>
        <v>10782.268499845335</v>
      </c>
      <c r="G13" s="69">
        <f t="shared" si="1"/>
        <v>427.80833515306745</v>
      </c>
      <c r="H13" s="69">
        <f>SUM(B13:G13)</f>
        <v>51141.34863999753</v>
      </c>
    </row>
    <row r="14" spans="1:8" ht="12.75">
      <c r="A14" s="4">
        <v>2017</v>
      </c>
      <c r="B14" s="69">
        <f aca="true" t="shared" si="2" ref="B14:G14">B13*B30</f>
        <v>36432.680734342255</v>
      </c>
      <c r="C14" s="69">
        <f t="shared" si="2"/>
        <v>2839.8399223469046</v>
      </c>
      <c r="D14" s="69">
        <f t="shared" si="2"/>
        <v>446.6723904300707</v>
      </c>
      <c r="E14" s="262">
        <f>E13*E30</f>
        <v>597.1773719517346</v>
      </c>
      <c r="F14" s="69">
        <f t="shared" si="2"/>
        <v>10935.175093143675</v>
      </c>
      <c r="G14" s="69">
        <f t="shared" si="2"/>
        <v>425.1334997129832</v>
      </c>
      <c r="H14" s="69">
        <f>SUM(B14:G14)</f>
        <v>51676.67901192763</v>
      </c>
    </row>
    <row r="15" ht="12.75">
      <c r="A15" s="18"/>
    </row>
    <row r="16" spans="1:7" ht="12.75">
      <c r="A16" s="17" t="s">
        <v>40</v>
      </c>
      <c r="B16" s="5"/>
      <c r="C16" s="5"/>
      <c r="D16" s="5"/>
      <c r="E16" s="5"/>
      <c r="F16" s="5"/>
      <c r="G16" s="5"/>
    </row>
    <row r="17" spans="1:7" ht="12.75">
      <c r="A17" s="4">
        <v>2006</v>
      </c>
      <c r="B17" s="22"/>
      <c r="C17" s="22"/>
      <c r="D17" s="22"/>
      <c r="E17" s="22"/>
      <c r="F17" s="22"/>
      <c r="G17" s="22"/>
    </row>
    <row r="18" spans="1:7" ht="12.75">
      <c r="A18" s="4">
        <v>2007</v>
      </c>
      <c r="B18" s="22">
        <f aca="true" t="shared" si="3" ref="B18:D26">B4/B3</f>
        <v>1.0141310975609756</v>
      </c>
      <c r="C18" s="22">
        <f t="shared" si="3"/>
        <v>1.0369206598586018</v>
      </c>
      <c r="D18" s="22">
        <f t="shared" si="3"/>
        <v>1.0263488080301129</v>
      </c>
      <c r="E18" s="22"/>
      <c r="F18" s="22">
        <f aca="true" t="shared" si="4" ref="F18:G26">F4/F3</f>
        <v>1.0251975229553705</v>
      </c>
      <c r="G18" s="22">
        <f t="shared" si="4"/>
        <v>0.9637760702524698</v>
      </c>
    </row>
    <row r="19" spans="1:7" ht="12.75">
      <c r="A19" s="4">
        <v>2008</v>
      </c>
      <c r="B19" s="22">
        <f t="shared" si="3"/>
        <v>1.0126264524178152</v>
      </c>
      <c r="C19" s="22">
        <f t="shared" si="3"/>
        <v>1.0234848484848484</v>
      </c>
      <c r="D19" s="22">
        <f t="shared" si="3"/>
        <v>0.9951100244498777</v>
      </c>
      <c r="E19" s="22">
        <f aca="true" t="shared" si="5" ref="E19:E26">E5/E4</f>
        <v>1.0281195079086116</v>
      </c>
      <c r="F19" s="22">
        <f t="shared" si="4"/>
        <v>1.0143720058321184</v>
      </c>
      <c r="G19" s="22">
        <f t="shared" si="4"/>
        <v>1.0068337129840548</v>
      </c>
    </row>
    <row r="20" spans="1:7" ht="12.75">
      <c r="A20" s="4">
        <v>2009</v>
      </c>
      <c r="B20" s="22">
        <f t="shared" si="3"/>
        <v>1.0078228212626361</v>
      </c>
      <c r="C20" s="22">
        <f t="shared" si="3"/>
        <v>1.0005551443375278</v>
      </c>
      <c r="D20" s="22">
        <f t="shared" si="3"/>
        <v>1.0036855036855037</v>
      </c>
      <c r="E20" s="22">
        <f t="shared" si="5"/>
        <v>1.0085470085470085</v>
      </c>
      <c r="F20" s="22">
        <f t="shared" si="4"/>
        <v>1.0114989733059547</v>
      </c>
      <c r="G20" s="22">
        <f t="shared" si="4"/>
        <v>1.004524886877828</v>
      </c>
    </row>
    <row r="21" spans="1:7" ht="12.75">
      <c r="A21" s="4">
        <v>2010</v>
      </c>
      <c r="B21" s="22">
        <f t="shared" si="3"/>
        <v>1.0091024243673963</v>
      </c>
      <c r="C21" s="22">
        <f t="shared" si="3"/>
        <v>0.9940817458849639</v>
      </c>
      <c r="D21" s="22">
        <f t="shared" si="3"/>
        <v>1.0208078335373316</v>
      </c>
      <c r="E21" s="22">
        <f t="shared" si="5"/>
        <v>1.021186440677966</v>
      </c>
      <c r="F21" s="22">
        <f t="shared" si="4"/>
        <v>1.010251725537962</v>
      </c>
      <c r="G21" s="22">
        <f t="shared" si="4"/>
        <v>1.0033783783783783</v>
      </c>
    </row>
    <row r="22" spans="1:7" ht="12.75">
      <c r="A22" s="4">
        <v>2011</v>
      </c>
      <c r="B22" s="22">
        <f t="shared" si="3"/>
        <v>1.0112972909855207</v>
      </c>
      <c r="C22" s="22">
        <f t="shared" si="3"/>
        <v>1.008</v>
      </c>
      <c r="D22" s="22">
        <f t="shared" si="3"/>
        <v>1.0095923261390887</v>
      </c>
      <c r="E22" s="22">
        <f t="shared" si="5"/>
        <v>1.029875518672199</v>
      </c>
      <c r="F22" s="22">
        <f t="shared" si="4"/>
        <v>1.0035165276800964</v>
      </c>
      <c r="G22" s="22">
        <f t="shared" si="4"/>
        <v>1</v>
      </c>
    </row>
    <row r="23" spans="1:7" ht="12.75">
      <c r="A23" s="4">
        <v>2012</v>
      </c>
      <c r="B23" s="22">
        <f t="shared" si="3"/>
        <v>1.0085154288023555</v>
      </c>
      <c r="C23" s="22">
        <f t="shared" si="3"/>
        <v>1.0070136581764488</v>
      </c>
      <c r="D23" s="22">
        <f t="shared" si="3"/>
        <v>0.995249406175772</v>
      </c>
      <c r="E23" s="22">
        <f t="shared" si="5"/>
        <v>1.0072522159548751</v>
      </c>
      <c r="F23" s="22">
        <f t="shared" si="4"/>
        <v>1.014617541049259</v>
      </c>
      <c r="G23" s="22">
        <f t="shared" si="4"/>
        <v>0.9932659932659933</v>
      </c>
    </row>
    <row r="24" spans="1:7" ht="12.75">
      <c r="A24" s="4">
        <v>2013</v>
      </c>
      <c r="B24" s="22">
        <f t="shared" si="3"/>
        <v>1.0082288625565288</v>
      </c>
      <c r="C24" s="22">
        <f t="shared" si="3"/>
        <v>1.0075146627565983</v>
      </c>
      <c r="D24" s="22">
        <f t="shared" si="3"/>
        <v>1.0107398568019093</v>
      </c>
      <c r="E24" s="22">
        <f t="shared" si="5"/>
        <v>0.9992</v>
      </c>
      <c r="F24" s="22">
        <f t="shared" si="4"/>
        <v>1.0096210775606869</v>
      </c>
      <c r="G24" s="22">
        <f t="shared" si="4"/>
        <v>0.9887005649717514</v>
      </c>
    </row>
    <row r="25" spans="1:7" ht="12.75">
      <c r="A25" s="4">
        <v>2014</v>
      </c>
      <c r="B25" s="22">
        <f t="shared" si="3"/>
        <v>1.0071964911782658</v>
      </c>
      <c r="C25" s="22">
        <f t="shared" si="3"/>
        <v>1.00836820083682</v>
      </c>
      <c r="D25" s="22">
        <f t="shared" si="3"/>
        <v>1.0200708382526564</v>
      </c>
      <c r="E25" s="22">
        <f t="shared" si="5"/>
        <v>0.9951961569255404</v>
      </c>
      <c r="F25" s="22">
        <f t="shared" si="4"/>
        <v>1.0156868494355666</v>
      </c>
      <c r="G25" s="22">
        <f t="shared" si="4"/>
        <v>0.992</v>
      </c>
    </row>
    <row r="26" spans="1:7" ht="12.75">
      <c r="A26" s="4">
        <v>2015</v>
      </c>
      <c r="B26" s="22">
        <f t="shared" si="3"/>
        <v>1.007455114292962</v>
      </c>
      <c r="C26" s="22">
        <f t="shared" si="3"/>
        <v>1.0045101930362619</v>
      </c>
      <c r="D26" s="22">
        <f t="shared" si="3"/>
        <v>1.0127314814814814</v>
      </c>
      <c r="E26" s="22">
        <f t="shared" si="5"/>
        <v>0.995172968624296</v>
      </c>
      <c r="F26" s="22">
        <f t="shared" si="4"/>
        <v>1.0230465742879138</v>
      </c>
      <c r="G26" s="22">
        <f t="shared" si="4"/>
        <v>0.9919354838709677</v>
      </c>
    </row>
    <row r="28" spans="1:7" ht="12.75">
      <c r="A28" t="s">
        <v>57</v>
      </c>
      <c r="B28" s="23">
        <f aca="true" t="shared" si="6" ref="B28:G28">B30</f>
        <v>1.0095946159066107</v>
      </c>
      <c r="C28" s="23">
        <f t="shared" si="6"/>
        <v>1.009978932142514</v>
      </c>
      <c r="D28" s="23">
        <f t="shared" si="6"/>
        <v>1.0104283566092955</v>
      </c>
      <c r="E28" s="23">
        <f>E30</f>
        <v>1.010481646305362</v>
      </c>
      <c r="F28" s="23">
        <f t="shared" si="6"/>
        <v>1.0141813008366962</v>
      </c>
      <c r="G28" s="23">
        <f t="shared" si="6"/>
        <v>0.9937475845599708</v>
      </c>
    </row>
    <row r="29" spans="2:7" ht="12.75">
      <c r="B29" s="23"/>
      <c r="C29" s="23"/>
      <c r="D29" s="23"/>
      <c r="E29" s="23"/>
      <c r="F29" s="23"/>
      <c r="G29" s="23"/>
    </row>
    <row r="30" spans="1:7" ht="12.75">
      <c r="A30" t="s">
        <v>12</v>
      </c>
      <c r="B30" s="23">
        <f>GEOMEAN(B17:B26)</f>
        <v>1.0095946159066107</v>
      </c>
      <c r="C30" s="23">
        <f>GEOMEAN(C17:C26)</f>
        <v>1.009978932142514</v>
      </c>
      <c r="D30" s="23">
        <f>GEOMEAN(D17:D26)</f>
        <v>1.0104283566092955</v>
      </c>
      <c r="E30" s="23">
        <f>GEOMEAN(E19:E26)</f>
        <v>1.010481646305362</v>
      </c>
      <c r="F30" s="23">
        <f>GEOMEAN(F17:F26)</f>
        <v>1.0141813008366962</v>
      </c>
      <c r="G30" s="23">
        <f>GEOMEAN(G17:G26)</f>
        <v>0.9937475845599708</v>
      </c>
    </row>
    <row r="31" spans="1:7" ht="12.75">
      <c r="A31" s="4"/>
      <c r="B31" s="23"/>
      <c r="C31" s="23"/>
      <c r="D31" s="23"/>
      <c r="E31" s="23"/>
      <c r="F31" s="23"/>
      <c r="G31" s="23"/>
    </row>
    <row r="32" spans="1:7" ht="51">
      <c r="A32" s="263" t="s">
        <v>187</v>
      </c>
      <c r="B32" s="23"/>
      <c r="C32" s="23"/>
      <c r="D32" s="23"/>
      <c r="E32" s="264">
        <v>34</v>
      </c>
      <c r="F32" s="23"/>
      <c r="G32" s="23"/>
    </row>
    <row r="33" spans="1:7" ht="12.75">
      <c r="A33" s="4"/>
      <c r="B33" s="23"/>
      <c r="C33" s="23"/>
      <c r="D33" s="23"/>
      <c r="E33" s="23"/>
      <c r="F33" s="23"/>
      <c r="G33" s="23"/>
    </row>
    <row r="34" spans="1:7" ht="12.75">
      <c r="A34" s="4"/>
      <c r="B34" s="23"/>
      <c r="C34" s="23"/>
      <c r="D34" s="23"/>
      <c r="E34" s="23"/>
      <c r="F34" s="23"/>
      <c r="G34" s="23"/>
    </row>
    <row r="35" spans="1:7" ht="12.75">
      <c r="A35" s="4"/>
      <c r="B35" s="23"/>
      <c r="C35" s="23"/>
      <c r="D35" s="23"/>
      <c r="E35" s="23"/>
      <c r="F35" s="23"/>
      <c r="G35" s="23"/>
    </row>
    <row r="36" spans="1:7" ht="12.75">
      <c r="A36" s="4"/>
      <c r="B36" s="23"/>
      <c r="C36" s="23"/>
      <c r="D36" s="23"/>
      <c r="E36" s="23"/>
      <c r="F36" s="23"/>
      <c r="G36" s="23"/>
    </row>
    <row r="37" spans="1:7" ht="12.75">
      <c r="A37" s="4"/>
      <c r="B37" s="23"/>
      <c r="C37" s="23"/>
      <c r="D37" s="23"/>
      <c r="E37" s="23"/>
      <c r="F37" s="23"/>
      <c r="G37" s="23"/>
    </row>
    <row r="38" spans="1:7" ht="12.75">
      <c r="A38" s="4"/>
      <c r="B38" s="23"/>
      <c r="C38" s="23"/>
      <c r="D38" s="23"/>
      <c r="E38" s="23"/>
      <c r="F38" s="23"/>
      <c r="G38" s="23"/>
    </row>
    <row r="39" spans="2:7" ht="12.75">
      <c r="B39" s="23"/>
      <c r="C39" s="23"/>
      <c r="D39" s="23"/>
      <c r="E39" s="23"/>
      <c r="F39" s="23"/>
      <c r="G39" s="23"/>
    </row>
    <row r="40" spans="2:7" ht="12.75">
      <c r="B40" s="23"/>
      <c r="C40" s="23"/>
      <c r="D40" s="23"/>
      <c r="E40" s="23"/>
      <c r="F40" s="23"/>
      <c r="G40" s="23"/>
    </row>
    <row r="41" spans="2:7" ht="12.75">
      <c r="B41" s="23"/>
      <c r="C41" s="23"/>
      <c r="D41" s="23"/>
      <c r="E41" s="23"/>
      <c r="F41" s="23"/>
      <c r="G41" s="23"/>
    </row>
    <row r="42" spans="2:7" ht="12.75">
      <c r="B42" s="23"/>
      <c r="C42" s="23"/>
      <c r="D42" s="23"/>
      <c r="E42" s="23"/>
      <c r="F42" s="23"/>
      <c r="G42" s="23"/>
    </row>
    <row r="43" spans="2:7" ht="12.75">
      <c r="B43" s="23"/>
      <c r="C43" s="23"/>
      <c r="D43" s="23"/>
      <c r="E43" s="23"/>
      <c r="F43" s="23"/>
      <c r="G43" s="23"/>
    </row>
    <row r="44" spans="2:7" ht="12.75">
      <c r="B44" s="23"/>
      <c r="C44" s="23"/>
      <c r="D44" s="23"/>
      <c r="E44" s="23"/>
      <c r="F44" s="23"/>
      <c r="G44" s="23"/>
    </row>
    <row r="45" spans="2:7" ht="12.75">
      <c r="B45" s="23"/>
      <c r="C45" s="23"/>
      <c r="D45" s="23"/>
      <c r="E45" s="23"/>
      <c r="F45" s="23"/>
      <c r="G45" s="23"/>
    </row>
    <row r="46" spans="2:7" ht="12.75">
      <c r="B46" s="23"/>
      <c r="C46" s="23"/>
      <c r="D46" s="23"/>
      <c r="E46" s="23"/>
      <c r="F46" s="23"/>
      <c r="G46" s="23"/>
    </row>
    <row r="47" spans="2:7" ht="12.75">
      <c r="B47" s="23"/>
      <c r="C47" s="23"/>
      <c r="D47" s="23"/>
      <c r="E47" s="23"/>
      <c r="F47" s="23"/>
      <c r="G47" s="23"/>
    </row>
    <row r="48" spans="2:7" ht="12.75">
      <c r="B48" s="23"/>
      <c r="C48" s="23"/>
      <c r="D48" s="23"/>
      <c r="E48" s="23"/>
      <c r="F48" s="23"/>
      <c r="G48" s="23"/>
    </row>
    <row r="49" spans="2:7" ht="12.75">
      <c r="B49" s="23"/>
      <c r="C49" s="23"/>
      <c r="D49" s="23"/>
      <c r="E49" s="23"/>
      <c r="F49" s="23"/>
      <c r="G49" s="23"/>
    </row>
    <row r="50" spans="2:7" ht="12.75">
      <c r="B50" s="23"/>
      <c r="C50" s="23"/>
      <c r="D50" s="23"/>
      <c r="E50" s="23"/>
      <c r="F50" s="23"/>
      <c r="G50" s="23"/>
    </row>
    <row r="51" spans="2:7" ht="12.75">
      <c r="B51" s="23"/>
      <c r="C51" s="23"/>
      <c r="D51" s="23"/>
      <c r="E51" s="23"/>
      <c r="F51" s="23"/>
      <c r="G51" s="23"/>
    </row>
    <row r="52" spans="2:7" ht="12.75">
      <c r="B52" s="23"/>
      <c r="C52" s="23"/>
      <c r="D52" s="23"/>
      <c r="E52" s="23"/>
      <c r="F52" s="23"/>
      <c r="G52" s="23"/>
    </row>
    <row r="53" spans="2:7" ht="12.75">
      <c r="B53" s="23"/>
      <c r="C53" s="23"/>
      <c r="D53" s="23"/>
      <c r="E53" s="23"/>
      <c r="F53" s="23"/>
      <c r="G53" s="23"/>
    </row>
    <row r="54" spans="2:7" ht="12.75">
      <c r="B54" s="23"/>
      <c r="C54" s="23"/>
      <c r="D54" s="23"/>
      <c r="E54" s="23"/>
      <c r="F54" s="23"/>
      <c r="G54" s="23"/>
    </row>
    <row r="55" spans="2:7" ht="12.75">
      <c r="B55" s="23"/>
      <c r="C55" s="23"/>
      <c r="D55" s="23"/>
      <c r="E55" s="23"/>
      <c r="F55" s="23"/>
      <c r="G55" s="23"/>
    </row>
    <row r="56" spans="2:7" ht="12.75">
      <c r="B56" s="23"/>
      <c r="C56" s="23"/>
      <c r="D56" s="23"/>
      <c r="E56" s="23"/>
      <c r="F56" s="23"/>
      <c r="G56" s="23"/>
    </row>
    <row r="57" spans="2:7" ht="12.75">
      <c r="B57" s="23"/>
      <c r="C57" s="23"/>
      <c r="F57" s="23"/>
      <c r="G57" s="23"/>
    </row>
    <row r="63" spans="4:5" ht="12.75">
      <c r="D63" s="24"/>
      <c r="E63" s="24"/>
    </row>
    <row r="64" spans="2:7" ht="12.75">
      <c r="B64" s="24"/>
      <c r="C64" s="24"/>
      <c r="D64" s="24"/>
      <c r="E64" s="24"/>
      <c r="F64" s="24"/>
      <c r="G64" s="24"/>
    </row>
    <row r="65" spans="2:7" ht="12.75">
      <c r="B65" s="24"/>
      <c r="C65" s="24"/>
      <c r="F65" s="24"/>
      <c r="G65" s="24"/>
    </row>
    <row r="83" spans="4:5" ht="12.75">
      <c r="D83" s="14"/>
      <c r="E83" s="14"/>
    </row>
    <row r="84" spans="2:7" ht="12.75">
      <c r="B84" s="14"/>
      <c r="C84" s="14"/>
      <c r="D84" s="14"/>
      <c r="E84" s="14"/>
      <c r="F84" s="14"/>
      <c r="G84" s="14"/>
    </row>
    <row r="85" spans="2:7" ht="12.75">
      <c r="B85" s="14"/>
      <c r="C85" s="14"/>
      <c r="F85" s="14"/>
      <c r="G85" s="14"/>
    </row>
  </sheetData>
  <sheetProtection/>
  <printOptions/>
  <pageMargins left="0.38" right="0.75" top="0.73" bottom="0.74" header="0.5" footer="0.5"/>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J55"/>
  <sheetViews>
    <sheetView zoomScalePageLayoutView="0" workbookViewId="0" topLeftCell="A1">
      <selection activeCell="C21" sqref="C21"/>
    </sheetView>
  </sheetViews>
  <sheetFormatPr defaultColWidth="9.140625" defaultRowHeight="12.75"/>
  <cols>
    <col min="1" max="1" width="11.00390625" style="0" customWidth="1"/>
    <col min="2" max="2" width="14.140625" style="6" bestFit="1" customWidth="1"/>
    <col min="3" max="3" width="14.140625" style="6" customWidth="1"/>
    <col min="4" max="4" width="17.7109375" style="6" customWidth="1"/>
    <col min="5" max="6" width="12.7109375" style="6" bestFit="1" customWidth="1"/>
    <col min="7" max="7" width="11.7109375" style="6" bestFit="1" customWidth="1"/>
    <col min="8" max="8" width="10.7109375" style="6" bestFit="1" customWidth="1"/>
    <col min="9" max="10" width="9.140625" style="6" customWidth="1"/>
  </cols>
  <sheetData>
    <row r="1" spans="2:5" ht="42" customHeight="1">
      <c r="B1" s="8" t="str">
        <f>'Rate Class Customer Model'!D2</f>
        <v>GS&gt;50 (excl. WMP)</v>
      </c>
      <c r="C1" s="8" t="str">
        <f>'Rate Class Customer Model'!E2</f>
        <v>Sentinels</v>
      </c>
      <c r="D1" s="8" t="str">
        <f>'Rate Class Customer Model'!F2</f>
        <v>Streetlights</v>
      </c>
      <c r="E1" s="6" t="s">
        <v>10</v>
      </c>
    </row>
    <row r="2" spans="1:5" ht="12.75">
      <c r="A2" s="27">
        <v>2006</v>
      </c>
      <c r="B2" s="39">
        <v>1481342.88</v>
      </c>
      <c r="C2" s="38">
        <v>0</v>
      </c>
      <c r="D2" s="39">
        <v>21299</v>
      </c>
      <c r="E2" s="6">
        <f aca="true" t="shared" si="0" ref="E2:E13">SUM(B2:D2)</f>
        <v>1502641.88</v>
      </c>
    </row>
    <row r="3" spans="1:5" ht="12.75">
      <c r="A3" s="27">
        <v>2007</v>
      </c>
      <c r="B3" s="39">
        <v>1489945.61</v>
      </c>
      <c r="C3" s="38">
        <v>0</v>
      </c>
      <c r="D3" s="39">
        <v>21758</v>
      </c>
      <c r="E3" s="6">
        <f t="shared" si="0"/>
        <v>1511703.61</v>
      </c>
    </row>
    <row r="4" spans="1:5" ht="12.75">
      <c r="A4" s="27">
        <v>2008</v>
      </c>
      <c r="B4" s="39">
        <v>1450726.3200000003</v>
      </c>
      <c r="C4" s="38">
        <v>0</v>
      </c>
      <c r="D4" s="39">
        <v>22064</v>
      </c>
      <c r="E4" s="6">
        <f t="shared" si="0"/>
        <v>1472790.3200000003</v>
      </c>
    </row>
    <row r="5" spans="1:5" ht="12.75">
      <c r="A5" s="27">
        <v>2009</v>
      </c>
      <c r="B5" s="39">
        <v>1326769.78</v>
      </c>
      <c r="C5" s="38">
        <v>0</v>
      </c>
      <c r="D5" s="39">
        <v>22380</v>
      </c>
      <c r="E5" s="6">
        <f t="shared" si="0"/>
        <v>1349149.78</v>
      </c>
    </row>
    <row r="6" spans="1:5" ht="12.75">
      <c r="A6" s="27">
        <v>2010</v>
      </c>
      <c r="B6" s="39">
        <v>1323482.2400000002</v>
      </c>
      <c r="C6" s="38">
        <v>1534.31</v>
      </c>
      <c r="D6" s="39">
        <v>22480</v>
      </c>
      <c r="E6" s="6">
        <f t="shared" si="0"/>
        <v>1347496.5500000003</v>
      </c>
    </row>
    <row r="7" spans="1:10" s="29" customFormat="1" ht="12.75">
      <c r="A7" s="259">
        <v>2011</v>
      </c>
      <c r="B7" s="39">
        <v>1344251</v>
      </c>
      <c r="C7" s="38">
        <v>1487.24</v>
      </c>
      <c r="D7" s="39">
        <v>22428</v>
      </c>
      <c r="E7" s="25">
        <f>SUM(B7:D7)</f>
        <v>1368166.24</v>
      </c>
      <c r="F7" s="25"/>
      <c r="G7" s="25"/>
      <c r="H7" s="25"/>
      <c r="I7" s="25"/>
      <c r="J7" s="25"/>
    </row>
    <row r="8" spans="1:10" s="29" customFormat="1" ht="12.75">
      <c r="A8" s="259">
        <v>2012</v>
      </c>
      <c r="B8" s="39">
        <v>1398783.62</v>
      </c>
      <c r="C8" s="38">
        <v>1392.0700000000002</v>
      </c>
      <c r="D8" s="39">
        <v>22533</v>
      </c>
      <c r="E8" s="25">
        <f t="shared" si="0"/>
        <v>1422708.6900000002</v>
      </c>
      <c r="F8" s="25"/>
      <c r="G8" s="25"/>
      <c r="H8" s="25"/>
      <c r="I8" s="25"/>
      <c r="J8" s="25"/>
    </row>
    <row r="9" spans="1:10" s="29" customFormat="1" ht="12.75">
      <c r="A9" s="259">
        <v>2013</v>
      </c>
      <c r="B9" s="39">
        <v>1395148.24</v>
      </c>
      <c r="C9" s="38">
        <v>1384.9899999999998</v>
      </c>
      <c r="D9" s="39">
        <v>22581</v>
      </c>
      <c r="E9" s="25">
        <f t="shared" si="0"/>
        <v>1419114.23</v>
      </c>
      <c r="F9" s="25"/>
      <c r="G9" s="25"/>
      <c r="H9" s="25"/>
      <c r="I9" s="25"/>
      <c r="J9" s="25"/>
    </row>
    <row r="10" spans="1:10" s="29" customFormat="1" ht="12.75">
      <c r="A10" s="259">
        <v>2014</v>
      </c>
      <c r="B10" s="39">
        <v>1368652.3</v>
      </c>
      <c r="C10" s="38">
        <v>1361</v>
      </c>
      <c r="D10" s="39">
        <v>22553</v>
      </c>
      <c r="E10" s="25">
        <f t="shared" si="0"/>
        <v>1392566.3</v>
      </c>
      <c r="F10" s="25"/>
      <c r="G10" s="25"/>
      <c r="H10" s="25"/>
      <c r="I10" s="25"/>
      <c r="J10" s="25"/>
    </row>
    <row r="11" spans="1:10" s="29" customFormat="1" ht="12.75">
      <c r="A11" s="259">
        <v>2015</v>
      </c>
      <c r="B11" s="39">
        <v>1388241.3</v>
      </c>
      <c r="C11" s="38">
        <v>1359</v>
      </c>
      <c r="D11" s="39">
        <v>22527</v>
      </c>
      <c r="E11" s="25">
        <f t="shared" si="0"/>
        <v>1412127.3</v>
      </c>
      <c r="F11" s="25"/>
      <c r="G11" s="25"/>
      <c r="H11" s="25"/>
      <c r="I11" s="25"/>
      <c r="J11" s="25"/>
    </row>
    <row r="12" spans="1:5" ht="12.75">
      <c r="A12" s="27">
        <v>2016</v>
      </c>
      <c r="B12" s="28">
        <f>'Rate Class Energy Model'!J80*'Rate Class Load Model'!B27</f>
        <v>1261419.3062616482</v>
      </c>
      <c r="C12" s="28">
        <f>'Rate Class Energy Model'!K80*'Rate Class Load Model'!C27</f>
        <v>1193.69109946835</v>
      </c>
      <c r="D12" s="28">
        <f>'Rate Class Energy Model'!L80*'Rate Class Load Model'!D27</f>
        <v>22657.408883825065</v>
      </c>
      <c r="E12" s="6">
        <f>SUM(B12:D12)</f>
        <v>1285270.4062449418</v>
      </c>
    </row>
    <row r="13" spans="1:5" ht="12.75">
      <c r="A13" s="27">
        <v>2017</v>
      </c>
      <c r="B13" s="28">
        <f>'Rate Class Energy Model'!J81*'Rate Class Load Model'!B27</f>
        <v>1246915.3043591466</v>
      </c>
      <c r="C13" s="28">
        <f>'Rate Class Energy Model'!K81*'Rate Class Load Model'!C27</f>
        <v>1181.2849303381622</v>
      </c>
      <c r="D13" s="28">
        <f>D27*'Rate Class Energy Model'!L81</f>
        <v>22796.276919161843</v>
      </c>
      <c r="E13" s="6">
        <f t="shared" si="0"/>
        <v>1270892.8662086467</v>
      </c>
    </row>
    <row r="14" ht="12.75">
      <c r="A14" s="18"/>
    </row>
    <row r="15" spans="1:4" ht="12.75">
      <c r="A15" s="17" t="s">
        <v>58</v>
      </c>
      <c r="B15" s="5"/>
      <c r="C15" s="5"/>
      <c r="D15" s="5"/>
    </row>
    <row r="16" spans="1:4" ht="12.75">
      <c r="A16" s="4">
        <v>2006</v>
      </c>
      <c r="B16" s="290">
        <f>B2/'Rate Class Energy Model'!J7</f>
        <v>0.002493516216486901</v>
      </c>
      <c r="C16" s="26"/>
      <c r="D16" s="26">
        <f>D2/'Rate Class Energy Model'!L7</f>
        <v>0.003053456345136476</v>
      </c>
    </row>
    <row r="17" spans="1:4" ht="12.75">
      <c r="A17" s="4">
        <v>2007</v>
      </c>
      <c r="B17" s="290">
        <f>B3/'Rate Class Energy Model'!J8</f>
        <v>0.002460862577792915</v>
      </c>
      <c r="C17" s="26"/>
      <c r="D17" s="26">
        <f>D3/'Rate Class Energy Model'!L8</f>
        <v>0.0030638593165022436</v>
      </c>
    </row>
    <row r="18" spans="1:4" ht="12.75">
      <c r="A18" s="4">
        <v>2008</v>
      </c>
      <c r="B18" s="290">
        <f>B4/'Rate Class Energy Model'!J9</f>
        <v>0.0024759484413768348</v>
      </c>
      <c r="C18" s="26"/>
      <c r="D18" s="26">
        <f>D4/'Rate Class Energy Model'!L9</f>
        <v>0.0030471779491707957</v>
      </c>
    </row>
    <row r="19" spans="1:4" ht="12.75">
      <c r="A19" s="4">
        <v>2009</v>
      </c>
      <c r="B19" s="290">
        <f>B5/'Rate Class Energy Model'!J10</f>
        <v>0.0025105549973515958</v>
      </c>
      <c r="C19" s="26"/>
      <c r="D19" s="26">
        <f>D5/'Rate Class Energy Model'!L10</f>
        <v>0.0030588065816004994</v>
      </c>
    </row>
    <row r="20" spans="1:4" ht="12.75">
      <c r="A20" s="4">
        <v>2010</v>
      </c>
      <c r="B20" s="290">
        <f>B6/'Rate Class Energy Model'!J11</f>
        <v>0.0025367393647145425</v>
      </c>
      <c r="C20" s="26">
        <f>C6/'Rate Class Energy Model'!K11</f>
        <v>0.003192388918365011</v>
      </c>
      <c r="D20" s="26">
        <f>D6/'Rate Class Energy Model'!L11</f>
        <v>0.0030566939217342225</v>
      </c>
    </row>
    <row r="21" spans="1:4" ht="12.75">
      <c r="A21" s="4">
        <v>2011</v>
      </c>
      <c r="B21" s="290">
        <f>B7/'Rate Class Energy Model'!J12</f>
        <v>0.0025875109408273634</v>
      </c>
      <c r="C21" s="26">
        <f>C7/'Rate Class Energy Model'!K12</f>
        <v>0.003128219474283118</v>
      </c>
      <c r="D21" s="26">
        <f>D7/'Rate Class Energy Model'!L12</f>
        <v>0.003059408007006028</v>
      </c>
    </row>
    <row r="22" spans="1:4" ht="12.75">
      <c r="A22" s="4">
        <v>2012</v>
      </c>
      <c r="B22" s="290">
        <f>B8/'Rate Class Energy Model'!J13</f>
        <v>0.0025926387713965985</v>
      </c>
      <c r="C22" s="26">
        <f>C8/'Rate Class Energy Model'!K13</f>
        <v>0.0030302311305763683</v>
      </c>
      <c r="D22" s="26">
        <f>D8/'Rate Class Energy Model'!L13</f>
        <v>0.003046904727198381</v>
      </c>
    </row>
    <row r="23" spans="1:4" ht="12.75">
      <c r="A23" s="4">
        <v>2013</v>
      </c>
      <c r="B23" s="290">
        <f>B9/'Rate Class Energy Model'!J14</f>
        <v>0.0026096018347677905</v>
      </c>
      <c r="C23" s="26">
        <f>C9/'Rate Class Energy Model'!K14</f>
        <v>0.0030861361296676748</v>
      </c>
      <c r="D23" s="26">
        <f>D9/'Rate Class Energy Model'!L14</f>
        <v>0.003056973754375591</v>
      </c>
    </row>
    <row r="24" spans="1:4" ht="12.75">
      <c r="A24" s="4">
        <v>2014</v>
      </c>
      <c r="B24" s="290">
        <f>B10/'Rate Class Energy Model'!J15</f>
        <v>0.0027483766607446962</v>
      </c>
      <c r="C24" s="26">
        <f>C10/'Rate Class Energy Model'!K15</f>
        <v>0.003057416988096067</v>
      </c>
      <c r="D24" s="26">
        <f>D10/'Rate Class Energy Model'!L15</f>
        <v>0.003056683155199621</v>
      </c>
    </row>
    <row r="25" spans="1:4" ht="12.75">
      <c r="A25" s="4">
        <v>2015</v>
      </c>
      <c r="B25" s="290">
        <f>B11/'Rate Class Energy Model'!J16</f>
        <v>0.0027333673059924063</v>
      </c>
      <c r="C25" s="26">
        <f>C11/'Rate Class Energy Model'!K16</f>
        <v>0.003045398624528568</v>
      </c>
      <c r="D25" s="26">
        <f>D11/'Rate Class Energy Model'!L16</f>
        <v>0.0030566993508839013</v>
      </c>
    </row>
    <row r="26" ht="12.75">
      <c r="A26" s="4"/>
    </row>
    <row r="27" spans="1:4" ht="12.75">
      <c r="A27" t="s">
        <v>11</v>
      </c>
      <c r="B27" s="26">
        <f>AVERAGE(B16:B25)</f>
        <v>0.002574911711145164</v>
      </c>
      <c r="C27" s="26">
        <f>AVERAGE(C16:C25)</f>
        <v>0.003089965210919468</v>
      </c>
      <c r="D27" s="26">
        <f>AVERAGE(D16:D25)</f>
        <v>0.003055666310880776</v>
      </c>
    </row>
    <row r="33" ht="12.75">
      <c r="B33" s="287"/>
    </row>
    <row r="34" spans="2:4" ht="12.75">
      <c r="B34" s="24"/>
      <c r="D34" s="24"/>
    </row>
    <row r="35" spans="2:4" ht="12.75">
      <c r="B35" s="24"/>
      <c r="D35" s="24"/>
    </row>
    <row r="54" spans="2:4" ht="12.75">
      <c r="B54" s="14"/>
      <c r="C54" s="14"/>
      <c r="D54" s="14"/>
    </row>
    <row r="55" spans="2:4" ht="12.75">
      <c r="B55" s="14"/>
      <c r="C55" s="14"/>
      <c r="D55" s="14"/>
    </row>
  </sheetData>
  <sheetProtection/>
  <printOptions/>
  <pageMargins left="0.38" right="0.75" top="0.73" bottom="0.74" header="0.5" footer="0.5"/>
  <pageSetup fitToHeight="1" fitToWidth="1" horizontalDpi="600" verticalDpi="600" orientation="portrait" scale="77" r:id="rId1"/>
</worksheet>
</file>

<file path=xl/worksheets/sheet12.xml><?xml version="1.0" encoding="utf-8"?>
<worksheet xmlns="http://schemas.openxmlformats.org/spreadsheetml/2006/main" xmlns:r="http://schemas.openxmlformats.org/officeDocument/2006/relationships">
  <dimension ref="A3:G40"/>
  <sheetViews>
    <sheetView zoomScalePageLayoutView="0" workbookViewId="0" topLeftCell="A1">
      <selection activeCell="G20" sqref="G20"/>
    </sheetView>
  </sheetViews>
  <sheetFormatPr defaultColWidth="9.140625" defaultRowHeight="12.75"/>
  <cols>
    <col min="1" max="1" width="35.28125" style="0" customWidth="1"/>
    <col min="2" max="2" width="14.8515625" style="0" customWidth="1"/>
    <col min="3" max="4" width="15.00390625" style="0" bestFit="1" customWidth="1"/>
    <col min="5" max="5" width="2.421875" style="0" customWidth="1"/>
    <col min="6" max="7" width="12.28125" style="0" bestFit="1" customWidth="1"/>
  </cols>
  <sheetData>
    <row r="3" spans="3:7" ht="12.75">
      <c r="C3" s="292">
        <v>2016</v>
      </c>
      <c r="D3" s="292">
        <v>2017</v>
      </c>
      <c r="F3" s="292">
        <v>2016</v>
      </c>
      <c r="G3" s="292">
        <v>2017</v>
      </c>
    </row>
    <row r="4" spans="1:7" ht="12.75">
      <c r="A4" t="s">
        <v>193</v>
      </c>
      <c r="C4" s="211"/>
      <c r="D4" s="211"/>
      <c r="F4" s="211">
        <v>905675275.5309454</v>
      </c>
      <c r="G4" s="211">
        <v>924712893.6093848</v>
      </c>
    </row>
    <row r="5" spans="3:4" ht="12.75">
      <c r="C5" s="211"/>
      <c r="D5" s="211"/>
    </row>
    <row r="6" spans="1:7" ht="12.75">
      <c r="A6" s="198" t="s">
        <v>194</v>
      </c>
      <c r="B6" s="198" t="s">
        <v>196</v>
      </c>
      <c r="C6" s="211">
        <v>917974538.0461261</v>
      </c>
      <c r="D6" s="211">
        <v>939079536.9044032</v>
      </c>
      <c r="F6" s="246">
        <f>C6-F4</f>
        <v>12299262.515180707</v>
      </c>
      <c r="G6" s="246">
        <f>D6-G4</f>
        <v>14366643.295018435</v>
      </c>
    </row>
    <row r="7" spans="3:4" ht="12.75">
      <c r="C7" s="211"/>
      <c r="D7" s="211"/>
    </row>
    <row r="8" spans="1:7" ht="12.75">
      <c r="A8" s="198" t="s">
        <v>195</v>
      </c>
      <c r="B8" s="198" t="s">
        <v>197</v>
      </c>
      <c r="C8" s="211">
        <v>915084672.3981235</v>
      </c>
      <c r="D8" s="211">
        <v>934762154.7896364</v>
      </c>
      <c r="F8" s="246">
        <f>C8-C6</f>
        <v>-2889865.6480026245</v>
      </c>
      <c r="G8" s="246">
        <f>D8-D6</f>
        <v>-4317382.114766836</v>
      </c>
    </row>
    <row r="9" spans="3:4" ht="12.75">
      <c r="C9" s="211"/>
      <c r="D9" s="211"/>
    </row>
    <row r="10" spans="1:7" ht="12.75">
      <c r="A10" s="198" t="s">
        <v>199</v>
      </c>
      <c r="B10" s="198" t="s">
        <v>200</v>
      </c>
      <c r="C10" s="211">
        <v>918491576.43463</v>
      </c>
      <c r="D10" s="211">
        <v>945357099.975493</v>
      </c>
      <c r="F10" s="246">
        <f>C10-C8</f>
        <v>3406904.0365065336</v>
      </c>
      <c r="G10" s="246">
        <f>D10-D8</f>
        <v>10594945.18585658</v>
      </c>
    </row>
    <row r="11" spans="3:4" ht="12.75">
      <c r="C11" s="211"/>
      <c r="D11" s="211"/>
    </row>
    <row r="12" spans="3:4" ht="12.75">
      <c r="C12" s="211"/>
      <c r="D12" s="211"/>
    </row>
    <row r="13" spans="3:4" ht="12.75">
      <c r="C13" s="211"/>
      <c r="D13" s="211"/>
    </row>
    <row r="14" spans="3:4" ht="12.75">
      <c r="C14" s="211"/>
      <c r="D14" s="211"/>
    </row>
    <row r="15" spans="3:4" ht="12.75">
      <c r="C15" s="211"/>
      <c r="D15" s="211"/>
    </row>
    <row r="16" spans="3:4" ht="12.75">
      <c r="C16" s="211"/>
      <c r="D16" s="211"/>
    </row>
    <row r="17" spans="1:7" ht="12.75">
      <c r="A17" s="198" t="s">
        <v>201</v>
      </c>
      <c r="C17" s="211"/>
      <c r="D17" s="211"/>
      <c r="F17" s="246">
        <f>SUM(F4:F16)</f>
        <v>918491576.43463</v>
      </c>
      <c r="G17" s="246">
        <f>SUM(G4:G16)</f>
        <v>945357099.975493</v>
      </c>
    </row>
    <row r="18" spans="3:4" ht="12.75">
      <c r="C18" s="211"/>
      <c r="D18" s="211"/>
    </row>
    <row r="19" spans="3:4" ht="12.75">
      <c r="C19" s="211"/>
      <c r="D19" s="211"/>
    </row>
    <row r="20" spans="3:4" ht="12.75">
      <c r="C20" s="211"/>
      <c r="D20" s="211"/>
    </row>
    <row r="21" spans="3:4" ht="12.75">
      <c r="C21" s="211"/>
      <c r="D21" s="211"/>
    </row>
    <row r="22" spans="3:4" ht="12.75">
      <c r="C22" s="211"/>
      <c r="D22" s="211"/>
    </row>
    <row r="23" spans="3:4" ht="12.75">
      <c r="C23" s="211"/>
      <c r="D23" s="211"/>
    </row>
    <row r="24" spans="3:4" ht="12.75">
      <c r="C24" s="211"/>
      <c r="D24" s="211"/>
    </row>
    <row r="25" spans="3:4" ht="12.75">
      <c r="C25" s="211"/>
      <c r="D25" s="211"/>
    </row>
    <row r="26" spans="3:4" ht="12.75">
      <c r="C26" s="211"/>
      <c r="D26" s="211"/>
    </row>
    <row r="27" spans="3:4" ht="12.75">
      <c r="C27" s="211"/>
      <c r="D27" s="211"/>
    </row>
    <row r="28" spans="3:4" ht="12.75">
      <c r="C28" s="211"/>
      <c r="D28" s="211"/>
    </row>
    <row r="29" spans="3:4" ht="12.75">
      <c r="C29" s="211"/>
      <c r="D29" s="211"/>
    </row>
    <row r="30" spans="3:4" ht="12.75">
      <c r="C30" s="211"/>
      <c r="D30" s="211"/>
    </row>
    <row r="31" spans="3:4" ht="12.75">
      <c r="C31" s="211"/>
      <c r="D31" s="211"/>
    </row>
    <row r="32" spans="3:4" ht="12.75">
      <c r="C32" s="211"/>
      <c r="D32" s="211"/>
    </row>
    <row r="33" spans="3:4" ht="12.75">
      <c r="C33" s="211"/>
      <c r="D33" s="211"/>
    </row>
    <row r="34" spans="3:4" ht="12.75">
      <c r="C34" s="211"/>
      <c r="D34" s="211"/>
    </row>
    <row r="35" spans="3:4" ht="12.75">
      <c r="C35" s="211"/>
      <c r="D35" s="211"/>
    </row>
    <row r="36" spans="3:4" ht="12.75">
      <c r="C36" s="211"/>
      <c r="D36" s="211"/>
    </row>
    <row r="37" spans="3:4" ht="12.75">
      <c r="C37" s="211"/>
      <c r="D37" s="211"/>
    </row>
    <row r="38" spans="3:4" ht="12.75">
      <c r="C38" s="211"/>
      <c r="D38" s="211"/>
    </row>
    <row r="39" spans="3:4" ht="12.75">
      <c r="C39" s="211"/>
      <c r="D39" s="211"/>
    </row>
    <row r="40" spans="3:4" ht="12.75">
      <c r="C40" s="211"/>
      <c r="D40" s="21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4:E26"/>
  <sheetViews>
    <sheetView zoomScalePageLayoutView="0" workbookViewId="0" topLeftCell="A1">
      <selection activeCell="D42" sqref="D42"/>
    </sheetView>
  </sheetViews>
  <sheetFormatPr defaultColWidth="9.140625" defaultRowHeight="12.75"/>
  <cols>
    <col min="1" max="1" width="14.140625" style="0" customWidth="1"/>
    <col min="2" max="2" width="13.421875" style="0" customWidth="1"/>
    <col min="5" max="5" width="15.00390625" style="0" bestFit="1" customWidth="1"/>
  </cols>
  <sheetData>
    <row r="4" spans="1:2" ht="12.75">
      <c r="A4" t="s">
        <v>160</v>
      </c>
      <c r="B4" t="s">
        <v>161</v>
      </c>
    </row>
    <row r="5" ht="12.75">
      <c r="B5" t="s">
        <v>162</v>
      </c>
    </row>
    <row r="6" ht="12.75">
      <c r="B6" t="s">
        <v>163</v>
      </c>
    </row>
    <row r="8" spans="1:5" ht="51">
      <c r="A8" t="s">
        <v>159</v>
      </c>
      <c r="B8" t="s">
        <v>166</v>
      </c>
      <c r="C8" s="78" t="s">
        <v>167</v>
      </c>
      <c r="D8" s="222" t="s">
        <v>176</v>
      </c>
      <c r="E8" s="198" t="s">
        <v>174</v>
      </c>
    </row>
    <row r="9" spans="1:5" ht="12.75">
      <c r="A9">
        <v>2006</v>
      </c>
      <c r="B9" s="196">
        <v>24679.71</v>
      </c>
      <c r="E9" s="196"/>
    </row>
    <row r="10" spans="1:5" ht="12.75">
      <c r="A10">
        <v>2007</v>
      </c>
      <c r="B10" s="196">
        <v>23111.48</v>
      </c>
      <c r="E10" s="196"/>
    </row>
    <row r="11" spans="1:5" ht="12.75">
      <c r="A11">
        <v>2008</v>
      </c>
      <c r="B11" s="196">
        <v>136273.84999999998</v>
      </c>
      <c r="E11" s="196"/>
    </row>
    <row r="12" spans="1:5" ht="12.75">
      <c r="A12">
        <v>2009</v>
      </c>
      <c r="B12" s="196">
        <v>215796.66</v>
      </c>
      <c r="E12" s="196"/>
    </row>
    <row r="13" spans="1:5" ht="12.75">
      <c r="A13" s="229">
        <v>2010</v>
      </c>
      <c r="B13" s="230">
        <v>158115.16</v>
      </c>
      <c r="C13" s="229">
        <v>3</v>
      </c>
      <c r="E13" s="230"/>
    </row>
    <row r="14" spans="1:5" ht="12.75">
      <c r="A14" s="229">
        <v>2011</v>
      </c>
      <c r="B14" s="230">
        <v>156839.26</v>
      </c>
      <c r="C14" s="229">
        <v>3</v>
      </c>
      <c r="E14" s="230"/>
    </row>
    <row r="15" spans="1:5" ht="12.75">
      <c r="A15" s="229">
        <v>2012</v>
      </c>
      <c r="B15" s="230">
        <v>153310.46</v>
      </c>
      <c r="C15" s="229">
        <v>3</v>
      </c>
      <c r="E15" s="230"/>
    </row>
    <row r="16" spans="1:5" ht="12.75">
      <c r="A16" s="229">
        <v>2013</v>
      </c>
      <c r="B16" s="230">
        <v>159285.71000000002</v>
      </c>
      <c r="C16" s="229">
        <v>3</v>
      </c>
      <c r="E16" s="230"/>
    </row>
    <row r="17" spans="1:5" ht="12.75">
      <c r="A17" s="229">
        <v>2014</v>
      </c>
      <c r="B17" s="230">
        <v>164324.43999999997</v>
      </c>
      <c r="C17" s="229">
        <v>3</v>
      </c>
      <c r="E17" s="230"/>
    </row>
    <row r="18" spans="1:5" ht="12.75">
      <c r="A18" s="229">
        <v>2015</v>
      </c>
      <c r="B18" s="230">
        <v>142203.42</v>
      </c>
      <c r="C18" s="229">
        <v>3</v>
      </c>
      <c r="D18">
        <f>'Rate Class Load Model'!B25</f>
        <v>0.0027333673059924063</v>
      </c>
      <c r="E18" s="230">
        <f>B18/D18</f>
        <v>52024994.84362936</v>
      </c>
    </row>
    <row r="19" spans="1:5" ht="12.75">
      <c r="A19" t="s">
        <v>164</v>
      </c>
      <c r="B19" s="197">
        <v>132259.9989334275</v>
      </c>
      <c r="C19" s="231">
        <v>2</v>
      </c>
      <c r="E19" s="197">
        <f>B19/D18</f>
        <v>48387203.082246475</v>
      </c>
    </row>
    <row r="20" spans="1:5" ht="12.75">
      <c r="A20" t="s">
        <v>165</v>
      </c>
      <c r="B20" s="197">
        <v>139437.49637471305</v>
      </c>
      <c r="C20" s="231">
        <v>2</v>
      </c>
      <c r="E20" s="197">
        <f>B20/D18</f>
        <v>51013084.143145315</v>
      </c>
    </row>
    <row r="22" spans="1:5" ht="12.75">
      <c r="A22" s="222"/>
      <c r="C22" s="269"/>
      <c r="E22" s="269"/>
    </row>
    <row r="24" spans="1:5" ht="12.75">
      <c r="A24" s="270" t="s">
        <v>189</v>
      </c>
      <c r="B24" s="196"/>
      <c r="C24" s="196"/>
      <c r="E24" s="196"/>
    </row>
    <row r="25" ht="12.75">
      <c r="A25" s="198" t="s">
        <v>190</v>
      </c>
    </row>
    <row r="26" ht="12.75">
      <c r="A26" s="198" t="s">
        <v>191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14"/>
  <sheetViews>
    <sheetView zoomScalePageLayoutView="0" workbookViewId="0" topLeftCell="A1">
      <selection activeCell="A1" sqref="A1"/>
    </sheetView>
  </sheetViews>
  <sheetFormatPr defaultColWidth="9.140625" defaultRowHeight="12.75"/>
  <cols>
    <col min="2" max="2" width="12.00390625" style="0" bestFit="1" customWidth="1"/>
    <col min="3" max="3" width="12.7109375" style="0" bestFit="1" customWidth="1"/>
    <col min="4" max="4" width="11.28125" style="0" bestFit="1" customWidth="1"/>
  </cols>
  <sheetData>
    <row r="2" spans="2:4" ht="38.25">
      <c r="B2" s="198" t="s">
        <v>166</v>
      </c>
      <c r="C2" s="222" t="s">
        <v>175</v>
      </c>
      <c r="D2" s="198" t="s">
        <v>174</v>
      </c>
    </row>
    <row r="3" spans="1:4" ht="12.75">
      <c r="A3">
        <v>2011</v>
      </c>
      <c r="B3" s="223">
        <v>0</v>
      </c>
      <c r="C3" s="225"/>
      <c r="D3" s="211"/>
    </row>
    <row r="4" spans="1:4" ht="12.75">
      <c r="A4">
        <v>2012</v>
      </c>
      <c r="B4" s="223">
        <v>3486.38</v>
      </c>
      <c r="C4" s="225"/>
      <c r="D4" s="211"/>
    </row>
    <row r="5" spans="1:4" ht="12.75">
      <c r="A5">
        <v>2013</v>
      </c>
      <c r="B5" s="223">
        <v>13589.76</v>
      </c>
      <c r="C5" s="226"/>
      <c r="D5" s="211"/>
    </row>
    <row r="6" spans="1:4" ht="12.75">
      <c r="A6">
        <v>2014</v>
      </c>
      <c r="B6" s="223">
        <v>12736.7</v>
      </c>
      <c r="C6" s="226"/>
      <c r="D6" s="211"/>
    </row>
    <row r="7" spans="1:4" ht="12.75">
      <c r="A7">
        <v>2015</v>
      </c>
      <c r="B7" s="223">
        <v>12397.7</v>
      </c>
      <c r="C7" s="226"/>
      <c r="D7" s="211">
        <v>6792377.6</v>
      </c>
    </row>
    <row r="8" spans="1:4" ht="12.75">
      <c r="A8">
        <v>2016</v>
      </c>
      <c r="B8" s="228">
        <f>B7</f>
        <v>12397.7</v>
      </c>
      <c r="D8" s="224">
        <f>D12</f>
        <v>6792377.6</v>
      </c>
    </row>
    <row r="9" spans="1:4" ht="12.75">
      <c r="A9">
        <v>2017</v>
      </c>
      <c r="B9" s="228">
        <f>B8</f>
        <v>12397.7</v>
      </c>
      <c r="D9" s="224">
        <f>D12</f>
        <v>6792377.6</v>
      </c>
    </row>
    <row r="12" spans="1:4" ht="12.75">
      <c r="A12" s="222"/>
      <c r="B12" s="227">
        <f>B9</f>
        <v>12397.7</v>
      </c>
      <c r="D12" s="227">
        <f>D7</f>
        <v>6792377.6</v>
      </c>
    </row>
    <row r="14" spans="2:4" ht="12.75">
      <c r="B14" s="246"/>
      <c r="D14" s="246"/>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W170"/>
  <sheetViews>
    <sheetView zoomScalePageLayoutView="0" workbookViewId="0" topLeftCell="B140">
      <selection activeCell="M159" sqref="M159:M160"/>
    </sheetView>
  </sheetViews>
  <sheetFormatPr defaultColWidth="9.140625" defaultRowHeight="12.75"/>
  <cols>
    <col min="1" max="1" width="11.8515625" style="0" customWidth="1"/>
    <col min="2" max="2" width="18.00390625" style="100" customWidth="1"/>
    <col min="3" max="3" width="11.7109375" style="1" customWidth="1"/>
    <col min="4" max="4" width="13.421875" style="1" customWidth="1"/>
    <col min="5" max="5" width="14.421875" style="31" customWidth="1"/>
    <col min="6" max="6" width="10.140625" style="1" customWidth="1"/>
    <col min="7" max="8" width="12.421875" style="1" customWidth="1"/>
    <col min="9" max="9" width="10.7109375" style="6" bestFit="1" customWidth="1"/>
    <col min="10" max="11" width="14.8515625" style="1" hidden="1" customWidth="1"/>
    <col min="12" max="12" width="9.28125" style="6" hidden="1" customWidth="1"/>
    <col min="13" max="14" width="20.140625" style="0" customWidth="1"/>
    <col min="15" max="15" width="24.140625" style="0" bestFit="1" customWidth="1"/>
    <col min="16" max="16" width="24.00390625" style="0" bestFit="1" customWidth="1"/>
    <col min="17" max="17" width="22.421875" style="0" bestFit="1" customWidth="1"/>
    <col min="18" max="18" width="15.57421875" style="0" bestFit="1" customWidth="1"/>
    <col min="19" max="19" width="14.57421875" style="0" bestFit="1" customWidth="1"/>
    <col min="20" max="20" width="15.57421875" style="0" bestFit="1" customWidth="1"/>
    <col min="21" max="21" width="14.57421875" style="0" bestFit="1" customWidth="1"/>
  </cols>
  <sheetData>
    <row r="2" spans="2:15" ht="42" customHeight="1">
      <c r="B2" s="93" t="s">
        <v>0</v>
      </c>
      <c r="C2" s="11" t="s">
        <v>3</v>
      </c>
      <c r="D2" s="11" t="s">
        <v>4</v>
      </c>
      <c r="E2" s="30" t="s">
        <v>6</v>
      </c>
      <c r="F2" s="11" t="s">
        <v>5</v>
      </c>
      <c r="G2" s="11" t="s">
        <v>169</v>
      </c>
      <c r="H2" s="11" t="s">
        <v>170</v>
      </c>
      <c r="I2" s="271" t="s">
        <v>78</v>
      </c>
      <c r="J2" s="11" t="s">
        <v>78</v>
      </c>
      <c r="K2" s="217" t="s">
        <v>171</v>
      </c>
      <c r="L2" s="217" t="s">
        <v>172</v>
      </c>
      <c r="M2" s="198" t="s">
        <v>173</v>
      </c>
      <c r="N2" s="198"/>
      <c r="O2" t="s">
        <v>16</v>
      </c>
    </row>
    <row r="3" spans="1:23" s="53" customFormat="1" ht="15.75" thickBot="1">
      <c r="A3" s="51">
        <v>38718</v>
      </c>
      <c r="B3" s="236">
        <v>88782670.29649998</v>
      </c>
      <c r="C3" s="117">
        <v>551.8</v>
      </c>
      <c r="D3" s="117">
        <v>0</v>
      </c>
      <c r="E3" s="124">
        <v>134.25197202423305</v>
      </c>
      <c r="F3" s="52">
        <v>31</v>
      </c>
      <c r="G3" s="52">
        <v>0</v>
      </c>
      <c r="H3" s="52">
        <v>0</v>
      </c>
      <c r="I3" s="272">
        <v>17090.417516246955</v>
      </c>
      <c r="J3" s="94">
        <f>'Negative Impact Var'!B17</f>
        <v>17090.417516246955</v>
      </c>
      <c r="K3" s="216">
        <v>103.3</v>
      </c>
      <c r="L3" s="216">
        <v>5.5</v>
      </c>
      <c r="M3" s="240">
        <f>$P$18+$P$19*C3+$P$20*D3+$P$21*E3+$P$22*F3+$P$23*G3+$P$24*H3+$P$25*I3</f>
        <v>83795769.47826922</v>
      </c>
      <c r="N3" s="220"/>
      <c r="O3"/>
      <c r="P3"/>
      <c r="Q3"/>
      <c r="R3"/>
      <c r="S3"/>
      <c r="T3"/>
      <c r="U3"/>
      <c r="V3"/>
      <c r="W3"/>
    </row>
    <row r="4" spans="1:23" s="57" customFormat="1" ht="15">
      <c r="A4" s="55">
        <v>38749</v>
      </c>
      <c r="B4" s="236">
        <v>82652726.3545</v>
      </c>
      <c r="C4" s="117">
        <v>604.3</v>
      </c>
      <c r="D4" s="117">
        <v>0</v>
      </c>
      <c r="E4" s="124">
        <v>134.5285091055065</v>
      </c>
      <c r="F4" s="56">
        <v>28</v>
      </c>
      <c r="G4" s="56">
        <v>0</v>
      </c>
      <c r="H4" s="56">
        <v>0</v>
      </c>
      <c r="I4" s="273">
        <v>34180.83503249391</v>
      </c>
      <c r="J4" s="95">
        <f>'Negative Impact Var'!B18</f>
        <v>34180.83503249391</v>
      </c>
      <c r="K4" s="216">
        <v>103.3</v>
      </c>
      <c r="L4" s="216">
        <v>5.1</v>
      </c>
      <c r="M4" s="240">
        <f aca="true" t="shared" si="0" ref="M4:M67">$P$18+$P$19*C4+$P$20*D4+$P$21*E4+$P$22*F4+$P$23*G4+$P$24*H4+$P$25*I4</f>
        <v>79501348.17131473</v>
      </c>
      <c r="N4" s="220"/>
      <c r="O4" s="244" t="s">
        <v>17</v>
      </c>
      <c r="P4" s="244"/>
      <c r="Q4"/>
      <c r="R4"/>
      <c r="S4"/>
      <c r="T4"/>
      <c r="U4"/>
      <c r="V4"/>
      <c r="W4"/>
    </row>
    <row r="5" spans="1:23" s="57" customFormat="1" ht="15">
      <c r="A5" s="55">
        <v>38777</v>
      </c>
      <c r="B5" s="236">
        <v>87287263.1885</v>
      </c>
      <c r="C5" s="117">
        <v>516.6</v>
      </c>
      <c r="D5" s="117">
        <v>0</v>
      </c>
      <c r="E5" s="124">
        <v>134.80561580788986</v>
      </c>
      <c r="F5" s="56">
        <v>31</v>
      </c>
      <c r="G5" s="56">
        <v>0</v>
      </c>
      <c r="H5" s="56">
        <v>0</v>
      </c>
      <c r="I5" s="273">
        <v>51271.252548740864</v>
      </c>
      <c r="J5" s="95">
        <f>'Negative Impact Var'!B19</f>
        <v>51271.252548740864</v>
      </c>
      <c r="K5" s="216">
        <v>103.4</v>
      </c>
      <c r="L5" s="216">
        <v>5.5</v>
      </c>
      <c r="M5" s="240">
        <f t="shared" si="0"/>
        <v>83373114.13204084</v>
      </c>
      <c r="N5" s="220"/>
      <c r="O5" s="241" t="s">
        <v>18</v>
      </c>
      <c r="P5" s="241">
        <v>0.9075910527304412</v>
      </c>
      <c r="Q5"/>
      <c r="R5"/>
      <c r="S5"/>
      <c r="T5"/>
      <c r="U5"/>
      <c r="V5"/>
      <c r="W5"/>
    </row>
    <row r="6" spans="1:23" s="57" customFormat="1" ht="15">
      <c r="A6" s="55">
        <v>38808</v>
      </c>
      <c r="B6" s="236">
        <v>76130011.419</v>
      </c>
      <c r="C6" s="117">
        <v>293.3</v>
      </c>
      <c r="D6" s="117">
        <v>0</v>
      </c>
      <c r="E6" s="124">
        <v>135.08329330470943</v>
      </c>
      <c r="F6" s="56">
        <v>30</v>
      </c>
      <c r="G6" s="56">
        <v>1</v>
      </c>
      <c r="H6" s="56">
        <v>0</v>
      </c>
      <c r="I6" s="273">
        <v>68361.67006498782</v>
      </c>
      <c r="J6" s="95">
        <f>'Negative Impact Var'!B20</f>
        <v>68361.67006498782</v>
      </c>
      <c r="K6" s="216">
        <v>103.5</v>
      </c>
      <c r="L6" s="216">
        <v>6.6</v>
      </c>
      <c r="M6" s="240">
        <f t="shared" si="0"/>
        <v>74458413.56825036</v>
      </c>
      <c r="N6" s="220"/>
      <c r="O6" s="241" t="s">
        <v>19</v>
      </c>
      <c r="P6" s="241">
        <v>0.8237215189963505</v>
      </c>
      <c r="Q6"/>
      <c r="R6"/>
      <c r="S6"/>
      <c r="T6"/>
      <c r="U6"/>
      <c r="V6"/>
      <c r="W6"/>
    </row>
    <row r="7" spans="1:23" s="57" customFormat="1" ht="15">
      <c r="A7" s="55">
        <v>38838</v>
      </c>
      <c r="B7" s="236">
        <v>81448519.1515</v>
      </c>
      <c r="C7" s="117">
        <v>136.9</v>
      </c>
      <c r="D7" s="117">
        <v>26</v>
      </c>
      <c r="E7" s="124">
        <v>135.3615427717083</v>
      </c>
      <c r="F7" s="56">
        <v>31</v>
      </c>
      <c r="G7" s="56">
        <v>0</v>
      </c>
      <c r="H7" s="56">
        <v>1</v>
      </c>
      <c r="I7" s="273">
        <v>85452.08758123478</v>
      </c>
      <c r="J7" s="95">
        <f>'Negative Impact Var'!B21</f>
        <v>85452.08758123478</v>
      </c>
      <c r="K7" s="216">
        <v>103.6</v>
      </c>
      <c r="L7" s="216">
        <v>6.9</v>
      </c>
      <c r="M7" s="240">
        <f t="shared" si="0"/>
        <v>78092940.97259955</v>
      </c>
      <c r="N7" s="220"/>
      <c r="O7" s="241" t="s">
        <v>20</v>
      </c>
      <c r="P7" s="241">
        <v>0.8132643209707102</v>
      </c>
      <c r="Q7"/>
      <c r="R7"/>
      <c r="S7"/>
      <c r="T7"/>
      <c r="U7"/>
      <c r="V7"/>
      <c r="W7"/>
    </row>
    <row r="8" spans="1:23" s="57" customFormat="1" ht="15">
      <c r="A8" s="55">
        <v>38869</v>
      </c>
      <c r="B8" s="236">
        <v>86666222.06</v>
      </c>
      <c r="C8" s="117">
        <v>19.5</v>
      </c>
      <c r="D8" s="117">
        <v>73.6</v>
      </c>
      <c r="E8" s="124">
        <v>135.64036538705133</v>
      </c>
      <c r="F8" s="56">
        <v>30</v>
      </c>
      <c r="G8" s="56">
        <v>0</v>
      </c>
      <c r="H8" s="56">
        <v>0</v>
      </c>
      <c r="I8" s="273">
        <v>102542.50509748174</v>
      </c>
      <c r="J8" s="95">
        <f>'Negative Impact Var'!B22</f>
        <v>102542.50509748174</v>
      </c>
      <c r="K8" s="216">
        <v>103.7</v>
      </c>
      <c r="L8" s="216">
        <v>6.3</v>
      </c>
      <c r="M8" s="240">
        <f t="shared" si="0"/>
        <v>82955061.66250814</v>
      </c>
      <c r="N8" s="220"/>
      <c r="O8" s="241" t="s">
        <v>21</v>
      </c>
      <c r="P8" s="241">
        <v>2783309.423985215</v>
      </c>
      <c r="Q8"/>
      <c r="R8"/>
      <c r="S8"/>
      <c r="T8"/>
      <c r="U8"/>
      <c r="V8"/>
      <c r="W8"/>
    </row>
    <row r="9" spans="1:23" s="57" customFormat="1" ht="15.75" thickBot="1">
      <c r="A9" s="55">
        <v>38899</v>
      </c>
      <c r="B9" s="236">
        <v>96205464.49549998</v>
      </c>
      <c r="C9" s="117">
        <v>0</v>
      </c>
      <c r="D9" s="117">
        <v>167.3</v>
      </c>
      <c r="E9" s="124">
        <v>135.9197623313303</v>
      </c>
      <c r="F9" s="56">
        <v>31</v>
      </c>
      <c r="G9" s="56">
        <v>0</v>
      </c>
      <c r="H9" s="56">
        <v>0</v>
      </c>
      <c r="I9" s="273">
        <v>119632.9226137287</v>
      </c>
      <c r="J9" s="95">
        <f>'Negative Impact Var'!B23</f>
        <v>119632.9226137287</v>
      </c>
      <c r="K9" s="216">
        <v>103.8</v>
      </c>
      <c r="L9" s="216">
        <v>5.9</v>
      </c>
      <c r="M9" s="240">
        <f t="shared" si="0"/>
        <v>96251944.14062233</v>
      </c>
      <c r="N9" s="220"/>
      <c r="O9" s="242" t="s">
        <v>22</v>
      </c>
      <c r="P9" s="242">
        <v>126</v>
      </c>
      <c r="Q9"/>
      <c r="R9"/>
      <c r="S9"/>
      <c r="T9"/>
      <c r="U9"/>
      <c r="V9"/>
      <c r="W9"/>
    </row>
    <row r="10" spans="1:23" s="57" customFormat="1" ht="15">
      <c r="A10" s="55">
        <v>38930</v>
      </c>
      <c r="B10" s="236">
        <v>91965538.51699999</v>
      </c>
      <c r="C10" s="117">
        <v>4.2</v>
      </c>
      <c r="D10" s="117">
        <v>101.6</v>
      </c>
      <c r="E10" s="124">
        <v>136.1997347875688</v>
      </c>
      <c r="F10" s="56">
        <v>31</v>
      </c>
      <c r="G10" s="56">
        <v>0</v>
      </c>
      <c r="H10" s="56">
        <v>0</v>
      </c>
      <c r="I10" s="273">
        <v>136723.34012997567</v>
      </c>
      <c r="J10" s="95">
        <f>'Negative Impact Var'!B24</f>
        <v>136723.34012997567</v>
      </c>
      <c r="K10" s="216">
        <v>103.9</v>
      </c>
      <c r="L10" s="216">
        <v>6</v>
      </c>
      <c r="M10" s="240">
        <f t="shared" si="0"/>
        <v>88131389.2063533</v>
      </c>
      <c r="N10" s="220"/>
      <c r="O10"/>
      <c r="P10"/>
      <c r="Q10"/>
      <c r="R10"/>
      <c r="S10"/>
      <c r="T10"/>
      <c r="U10"/>
      <c r="V10"/>
      <c r="W10"/>
    </row>
    <row r="11" spans="1:23" s="57" customFormat="1" ht="15.75" thickBot="1">
      <c r="A11" s="55">
        <v>38961</v>
      </c>
      <c r="B11" s="236">
        <v>78075370.6405</v>
      </c>
      <c r="C11" s="117">
        <v>80.9</v>
      </c>
      <c r="D11" s="117">
        <v>12.9</v>
      </c>
      <c r="E11" s="124">
        <v>136.48028394122719</v>
      </c>
      <c r="F11" s="56">
        <v>30</v>
      </c>
      <c r="G11" s="56">
        <v>0</v>
      </c>
      <c r="H11" s="56">
        <v>0</v>
      </c>
      <c r="I11" s="273">
        <v>153813.75764622263</v>
      </c>
      <c r="J11" s="95">
        <f>'Negative Impact Var'!B25</f>
        <v>153813.75764622263</v>
      </c>
      <c r="K11" s="216">
        <v>104</v>
      </c>
      <c r="L11" s="216">
        <v>5.8</v>
      </c>
      <c r="M11" s="240">
        <f t="shared" si="0"/>
        <v>76563057.22992863</v>
      </c>
      <c r="N11" s="220"/>
      <c r="O11" t="s">
        <v>23</v>
      </c>
      <c r="P11"/>
      <c r="Q11"/>
      <c r="R11"/>
      <c r="S11"/>
      <c r="T11"/>
      <c r="U11"/>
      <c r="V11"/>
      <c r="W11"/>
    </row>
    <row r="12" spans="1:23" s="57" customFormat="1" ht="15">
      <c r="A12" s="55">
        <v>38991</v>
      </c>
      <c r="B12" s="236">
        <v>81808422.6755</v>
      </c>
      <c r="C12" s="117">
        <v>288.3</v>
      </c>
      <c r="D12" s="117">
        <v>1.1</v>
      </c>
      <c r="E12" s="124">
        <v>136.76141098020776</v>
      </c>
      <c r="F12" s="56">
        <v>31</v>
      </c>
      <c r="G12" s="56">
        <v>0</v>
      </c>
      <c r="H12" s="56">
        <v>0</v>
      </c>
      <c r="I12" s="273">
        <v>170904.1751624696</v>
      </c>
      <c r="J12" s="95">
        <f>'Negative Impact Var'!B26</f>
        <v>170904.1751624696</v>
      </c>
      <c r="K12" s="216">
        <v>104.1</v>
      </c>
      <c r="L12" s="216">
        <v>5.6</v>
      </c>
      <c r="M12" s="240">
        <f t="shared" si="0"/>
        <v>80312626.80096255</v>
      </c>
      <c r="N12" s="220"/>
      <c r="O12" s="243"/>
      <c r="P12" s="243" t="s">
        <v>27</v>
      </c>
      <c r="Q12" s="243" t="s">
        <v>28</v>
      </c>
      <c r="R12" s="243" t="s">
        <v>29</v>
      </c>
      <c r="S12" s="243" t="s">
        <v>30</v>
      </c>
      <c r="T12" s="243" t="s">
        <v>31</v>
      </c>
      <c r="U12"/>
      <c r="V12"/>
      <c r="W12"/>
    </row>
    <row r="13" spans="1:23" s="57" customFormat="1" ht="15">
      <c r="A13" s="55">
        <v>39022</v>
      </c>
      <c r="B13" s="236">
        <v>83973333.3565</v>
      </c>
      <c r="C13" s="117">
        <v>382.2</v>
      </c>
      <c r="D13" s="117">
        <v>0</v>
      </c>
      <c r="E13" s="124">
        <v>137.04311709485967</v>
      </c>
      <c r="F13" s="56">
        <v>30</v>
      </c>
      <c r="G13" s="56">
        <v>0</v>
      </c>
      <c r="H13" s="56">
        <v>0</v>
      </c>
      <c r="I13" s="273">
        <v>187994.59267871655</v>
      </c>
      <c r="J13" s="95">
        <f>'Negative Impact Var'!B27</f>
        <v>187994.59267871655</v>
      </c>
      <c r="K13" s="216">
        <v>104.2</v>
      </c>
      <c r="L13" s="216">
        <v>5.6</v>
      </c>
      <c r="M13" s="240">
        <f t="shared" si="0"/>
        <v>80052979.83044349</v>
      </c>
      <c r="N13" s="220"/>
      <c r="O13" s="241" t="s">
        <v>24</v>
      </c>
      <c r="P13" s="241">
        <v>7</v>
      </c>
      <c r="Q13" s="241">
        <v>4271555953767924</v>
      </c>
      <c r="R13" s="241">
        <v>610222279109703.4</v>
      </c>
      <c r="S13" s="241">
        <v>78.77076794153173</v>
      </c>
      <c r="T13" s="241">
        <v>1.8043069131777327E-41</v>
      </c>
      <c r="U13"/>
      <c r="V13"/>
      <c r="W13"/>
    </row>
    <row r="14" spans="1:23" s="61" customFormat="1" ht="15">
      <c r="A14" s="59">
        <v>39052</v>
      </c>
      <c r="B14" s="236">
        <v>87799549.851</v>
      </c>
      <c r="C14" s="117">
        <v>500.5</v>
      </c>
      <c r="D14" s="117">
        <v>0</v>
      </c>
      <c r="E14" s="125">
        <v>137.3254034779841</v>
      </c>
      <c r="F14" s="60">
        <v>31</v>
      </c>
      <c r="G14" s="60">
        <v>0</v>
      </c>
      <c r="H14" s="60">
        <v>0</v>
      </c>
      <c r="I14" s="274">
        <v>205085.0101949635</v>
      </c>
      <c r="J14" s="96">
        <f>'Negative Impact Var'!B28</f>
        <v>205085.0101949635</v>
      </c>
      <c r="K14" s="216">
        <v>104.3</v>
      </c>
      <c r="L14" s="216">
        <v>6.5</v>
      </c>
      <c r="M14" s="240">
        <f t="shared" si="0"/>
        <v>83823440.64347973</v>
      </c>
      <c r="N14" s="220"/>
      <c r="O14" s="241" t="s">
        <v>25</v>
      </c>
      <c r="P14" s="241">
        <v>118</v>
      </c>
      <c r="Q14" s="241">
        <v>914123739258099.2</v>
      </c>
      <c r="R14" s="241">
        <v>7746811349644.909</v>
      </c>
      <c r="S14" s="241"/>
      <c r="T14" s="241"/>
      <c r="U14"/>
      <c r="V14"/>
      <c r="W14"/>
    </row>
    <row r="15" spans="1:23" s="53" customFormat="1" ht="15.75" thickBot="1">
      <c r="A15" s="51">
        <v>39083</v>
      </c>
      <c r="B15" s="236">
        <v>92807711.0028585</v>
      </c>
      <c r="C15" s="117">
        <v>647.1</v>
      </c>
      <c r="D15" s="117">
        <v>0</v>
      </c>
      <c r="E15" s="124">
        <v>137.552207546647</v>
      </c>
      <c r="F15" s="52">
        <v>31</v>
      </c>
      <c r="G15" s="52">
        <v>0</v>
      </c>
      <c r="H15" s="52">
        <v>0</v>
      </c>
      <c r="I15" s="272">
        <v>216606.09745012998</v>
      </c>
      <c r="J15" s="94">
        <f>'Negative Impact Var'!B29</f>
        <v>216606.09745012998</v>
      </c>
      <c r="K15" s="216">
        <v>104.4</v>
      </c>
      <c r="L15" s="216">
        <v>7.4</v>
      </c>
      <c r="M15" s="240">
        <f t="shared" si="0"/>
        <v>86304354.1935804</v>
      </c>
      <c r="N15" s="220"/>
      <c r="O15" s="242" t="s">
        <v>10</v>
      </c>
      <c r="P15" s="242">
        <v>125</v>
      </c>
      <c r="Q15" s="242">
        <v>5185679693026023</v>
      </c>
      <c r="R15" s="242"/>
      <c r="S15" s="242"/>
      <c r="T15" s="242"/>
      <c r="U15"/>
      <c r="V15"/>
      <c r="W15"/>
    </row>
    <row r="16" spans="1:23" s="57" customFormat="1" ht="15.75" thickBot="1">
      <c r="A16" s="55">
        <v>39114</v>
      </c>
      <c r="B16" s="236">
        <v>87369732.39952359</v>
      </c>
      <c r="C16" s="117">
        <v>740.1</v>
      </c>
      <c r="D16" s="117">
        <v>0</v>
      </c>
      <c r="E16" s="124">
        <v>137.77938620066888</v>
      </c>
      <c r="F16" s="56">
        <v>28</v>
      </c>
      <c r="G16" s="56">
        <v>0</v>
      </c>
      <c r="H16" s="56">
        <v>0</v>
      </c>
      <c r="I16" s="273">
        <v>228127.18470529644</v>
      </c>
      <c r="J16" s="95">
        <f>'Negative Impact Var'!B30</f>
        <v>228127.18470529644</v>
      </c>
      <c r="K16" s="216">
        <v>104.4</v>
      </c>
      <c r="L16" s="216">
        <v>7.2</v>
      </c>
      <c r="M16" s="240">
        <f t="shared" si="0"/>
        <v>82668863.71019845</v>
      </c>
      <c r="N16" s="220"/>
      <c r="O16"/>
      <c r="P16"/>
      <c r="Q16"/>
      <c r="R16"/>
      <c r="S16"/>
      <c r="T16"/>
      <c r="U16"/>
      <c r="V16"/>
      <c r="W16"/>
    </row>
    <row r="17" spans="1:23" s="57" customFormat="1" ht="15">
      <c r="A17" s="55">
        <v>39142</v>
      </c>
      <c r="B17" s="236">
        <v>89810435.90285851</v>
      </c>
      <c r="C17" s="117">
        <v>546.7</v>
      </c>
      <c r="D17" s="117">
        <v>0</v>
      </c>
      <c r="E17" s="124">
        <v>138.00694005870795</v>
      </c>
      <c r="F17" s="56">
        <v>31</v>
      </c>
      <c r="G17" s="56">
        <v>0</v>
      </c>
      <c r="H17" s="56">
        <v>0</v>
      </c>
      <c r="I17" s="273">
        <v>239648.2719604629</v>
      </c>
      <c r="J17" s="95">
        <f>'Negative Impact Var'!B31</f>
        <v>239648.2719604629</v>
      </c>
      <c r="K17" s="216">
        <v>104.5</v>
      </c>
      <c r="L17" s="216">
        <v>7.1</v>
      </c>
      <c r="M17" s="240">
        <f t="shared" si="0"/>
        <v>84795965.9410325</v>
      </c>
      <c r="N17" s="220"/>
      <c r="O17" s="243"/>
      <c r="P17" s="243" t="s">
        <v>32</v>
      </c>
      <c r="Q17" s="243" t="s">
        <v>21</v>
      </c>
      <c r="R17" s="243" t="s">
        <v>33</v>
      </c>
      <c r="S17" s="243" t="s">
        <v>34</v>
      </c>
      <c r="T17" s="243" t="s">
        <v>35</v>
      </c>
      <c r="U17" s="243" t="s">
        <v>36</v>
      </c>
      <c r="V17" s="243" t="s">
        <v>37</v>
      </c>
      <c r="W17" s="243" t="s">
        <v>38</v>
      </c>
    </row>
    <row r="18" spans="1:23" s="57" customFormat="1" ht="15">
      <c r="A18" s="55">
        <v>39173</v>
      </c>
      <c r="B18" s="236">
        <v>80121095.49809434</v>
      </c>
      <c r="C18" s="117">
        <v>356.4</v>
      </c>
      <c r="D18" s="117">
        <v>0</v>
      </c>
      <c r="E18" s="124">
        <v>138.23486974044414</v>
      </c>
      <c r="F18" s="56">
        <v>30</v>
      </c>
      <c r="G18" s="56">
        <v>1</v>
      </c>
      <c r="H18" s="56">
        <v>0</v>
      </c>
      <c r="I18" s="273">
        <v>251169.35921562937</v>
      </c>
      <c r="J18" s="95">
        <f>'Negative Impact Var'!B32</f>
        <v>251169.35921562937</v>
      </c>
      <c r="K18" s="216">
        <v>104.6</v>
      </c>
      <c r="L18" s="216">
        <v>7.1</v>
      </c>
      <c r="M18" s="240">
        <f t="shared" si="0"/>
        <v>76416720.59511052</v>
      </c>
      <c r="N18" s="220"/>
      <c r="O18" s="241" t="s">
        <v>26</v>
      </c>
      <c r="P18" s="241">
        <v>-40255494.36001051</v>
      </c>
      <c r="Q18" s="241">
        <v>19568908.514468364</v>
      </c>
      <c r="R18" s="241">
        <v>-2.0571149550956007</v>
      </c>
      <c r="S18" s="241">
        <v>0.041879147421070316</v>
      </c>
      <c r="T18" s="241">
        <v>-79007260.83977379</v>
      </c>
      <c r="U18" s="241">
        <v>-1503727.8802472353</v>
      </c>
      <c r="V18" s="241">
        <v>-79007260.83977379</v>
      </c>
      <c r="W18" s="241">
        <v>-1503727.8802472353</v>
      </c>
    </row>
    <row r="19" spans="1:23" s="57" customFormat="1" ht="15">
      <c r="A19" s="55">
        <v>39203</v>
      </c>
      <c r="B19" s="236">
        <v>80608588.85669366</v>
      </c>
      <c r="C19" s="117">
        <v>136.4</v>
      </c>
      <c r="D19" s="117">
        <v>22.4</v>
      </c>
      <c r="E19" s="124">
        <v>138.46317586658083</v>
      </c>
      <c r="F19" s="56">
        <v>31</v>
      </c>
      <c r="G19" s="56">
        <v>0</v>
      </c>
      <c r="H19" s="56">
        <v>1</v>
      </c>
      <c r="I19" s="273">
        <v>262690.44647079584</v>
      </c>
      <c r="J19" s="95">
        <f>'Negative Impact Var'!B33</f>
        <v>262690.44647079584</v>
      </c>
      <c r="K19" s="216">
        <v>104.7</v>
      </c>
      <c r="L19" s="216">
        <v>7.2</v>
      </c>
      <c r="M19" s="240">
        <f t="shared" si="0"/>
        <v>78545426.40199968</v>
      </c>
      <c r="N19" s="220"/>
      <c r="O19" s="241" t="s">
        <v>3</v>
      </c>
      <c r="P19" s="241">
        <v>16439.85171108947</v>
      </c>
      <c r="Q19" s="241">
        <v>1443.9881080668513</v>
      </c>
      <c r="R19" s="241">
        <v>11.385032618515421</v>
      </c>
      <c r="S19" s="241">
        <v>1.0237381568418947E-20</v>
      </c>
      <c r="T19" s="241">
        <v>13580.362132404505</v>
      </c>
      <c r="U19" s="241">
        <v>19299.34128977444</v>
      </c>
      <c r="V19" s="241">
        <v>13580.362132404505</v>
      </c>
      <c r="W19" s="241">
        <v>19299.34128977444</v>
      </c>
    </row>
    <row r="20" spans="1:23" s="57" customFormat="1" ht="15">
      <c r="A20" s="55">
        <v>39234</v>
      </c>
      <c r="B20" s="236">
        <v>89502716.39729396</v>
      </c>
      <c r="C20" s="117">
        <v>16.5</v>
      </c>
      <c r="D20" s="117">
        <v>99.2</v>
      </c>
      <c r="E20" s="124">
        <v>138.69185905884657</v>
      </c>
      <c r="F20" s="56">
        <v>30</v>
      </c>
      <c r="G20" s="56">
        <v>0</v>
      </c>
      <c r="H20" s="56">
        <v>0</v>
      </c>
      <c r="I20" s="273">
        <v>274211.53372596233</v>
      </c>
      <c r="J20" s="95">
        <f>'Negative Impact Var'!B34</f>
        <v>274211.53372596233</v>
      </c>
      <c r="K20" s="216">
        <v>104.8</v>
      </c>
      <c r="L20" s="216">
        <v>6.4</v>
      </c>
      <c r="M20" s="240">
        <f t="shared" si="0"/>
        <v>87034341.34422508</v>
      </c>
      <c r="N20" s="220"/>
      <c r="O20" s="241" t="s">
        <v>4</v>
      </c>
      <c r="P20" s="241">
        <v>125860.66765925853</v>
      </c>
      <c r="Q20" s="241">
        <v>8204.32959739073</v>
      </c>
      <c r="R20" s="241">
        <v>15.340761992215272</v>
      </c>
      <c r="S20" s="241">
        <v>7.067542140154766E-30</v>
      </c>
      <c r="T20" s="241">
        <v>109613.86143365677</v>
      </c>
      <c r="U20" s="241">
        <v>142107.4738848603</v>
      </c>
      <c r="V20" s="241">
        <v>109613.86143365677</v>
      </c>
      <c r="W20" s="241">
        <v>142107.4738848603</v>
      </c>
    </row>
    <row r="21" spans="1:23" s="57" customFormat="1" ht="15">
      <c r="A21" s="55">
        <v>39264</v>
      </c>
      <c r="B21" s="236">
        <v>89014823.66136254</v>
      </c>
      <c r="C21" s="117">
        <v>3.2</v>
      </c>
      <c r="D21" s="117">
        <v>106.1</v>
      </c>
      <c r="E21" s="124">
        <v>138.9209199399967</v>
      </c>
      <c r="F21" s="56">
        <v>31</v>
      </c>
      <c r="G21" s="56">
        <v>0</v>
      </c>
      <c r="H21" s="56">
        <v>0</v>
      </c>
      <c r="I21" s="273">
        <v>285732.6209811288</v>
      </c>
      <c r="J21" s="95">
        <f>'Negative Impact Var'!B35</f>
        <v>285732.6209811288</v>
      </c>
      <c r="K21" s="216">
        <v>104.9</v>
      </c>
      <c r="L21" s="216">
        <v>5.5</v>
      </c>
      <c r="M21" s="240">
        <f t="shared" si="0"/>
        <v>89501118.09390847</v>
      </c>
      <c r="N21" s="220"/>
      <c r="O21" s="241" t="s">
        <v>6</v>
      </c>
      <c r="P21" s="241">
        <v>453835.1135180863</v>
      </c>
      <c r="Q21" s="241">
        <v>125647.05551403406</v>
      </c>
      <c r="R21" s="241">
        <v>3.6119836765088023</v>
      </c>
      <c r="S21" s="241">
        <v>0.00044754383064627264</v>
      </c>
      <c r="T21" s="241">
        <v>205019.73628078416</v>
      </c>
      <c r="U21" s="241">
        <v>702650.4907553885</v>
      </c>
      <c r="V21" s="241">
        <v>205019.73628078416</v>
      </c>
      <c r="W21" s="241">
        <v>702650.4907553885</v>
      </c>
    </row>
    <row r="22" spans="1:23" s="57" customFormat="1" ht="15">
      <c r="A22" s="55">
        <v>39295</v>
      </c>
      <c r="B22" s="236">
        <v>94084356.45931396</v>
      </c>
      <c r="C22" s="117">
        <v>5.2</v>
      </c>
      <c r="D22" s="117">
        <v>141</v>
      </c>
      <c r="E22" s="124">
        <v>139.15035913381516</v>
      </c>
      <c r="F22" s="56">
        <v>31</v>
      </c>
      <c r="G22" s="56">
        <v>0</v>
      </c>
      <c r="H22" s="56">
        <v>0</v>
      </c>
      <c r="I22" s="273">
        <v>297253.7082362953</v>
      </c>
      <c r="J22" s="95">
        <f>'Negative Impact Var'!B36</f>
        <v>297253.7082362953</v>
      </c>
      <c r="K22" s="216">
        <v>105</v>
      </c>
      <c r="L22" s="216">
        <v>5.6</v>
      </c>
      <c r="M22" s="240">
        <f t="shared" si="0"/>
        <v>93998562.30021784</v>
      </c>
      <c r="N22" s="220"/>
      <c r="O22" s="241" t="s">
        <v>5</v>
      </c>
      <c r="P22" s="241">
        <v>1745132.6605857115</v>
      </c>
      <c r="Q22" s="241">
        <v>320270.026725563</v>
      </c>
      <c r="R22" s="241">
        <v>5.4489415648036985</v>
      </c>
      <c r="S22" s="241">
        <v>2.813411179403485E-07</v>
      </c>
      <c r="T22" s="241">
        <v>1110910.8143871662</v>
      </c>
      <c r="U22" s="241">
        <v>2379354.5067842565</v>
      </c>
      <c r="V22" s="241">
        <v>1110910.8143871662</v>
      </c>
      <c r="W22" s="241">
        <v>2379354.5067842565</v>
      </c>
    </row>
    <row r="23" spans="1:23" s="57" customFormat="1" ht="15">
      <c r="A23" s="55">
        <v>39326</v>
      </c>
      <c r="B23" s="236">
        <v>82681854.59861839</v>
      </c>
      <c r="C23" s="117">
        <v>36.9</v>
      </c>
      <c r="D23" s="117">
        <v>47.5</v>
      </c>
      <c r="E23" s="124">
        <v>139.38017726511606</v>
      </c>
      <c r="F23" s="56">
        <v>30</v>
      </c>
      <c r="G23" s="56">
        <v>0</v>
      </c>
      <c r="H23" s="56">
        <v>0</v>
      </c>
      <c r="I23" s="273">
        <v>308774.7954914618</v>
      </c>
      <c r="J23" s="95">
        <f>'Negative Impact Var'!B37</f>
        <v>308774.7954914618</v>
      </c>
      <c r="K23" s="216">
        <v>105.1</v>
      </c>
      <c r="L23" s="216">
        <v>5.1</v>
      </c>
      <c r="M23" s="240">
        <f t="shared" si="0"/>
        <v>81078799.6894474</v>
      </c>
      <c r="N23" s="220"/>
      <c r="O23" s="241" t="s">
        <v>169</v>
      </c>
      <c r="P23" s="241">
        <v>-3576951.036707763</v>
      </c>
      <c r="Q23" s="241">
        <v>934467.8658970873</v>
      </c>
      <c r="R23" s="241">
        <v>-3.827794584754284</v>
      </c>
      <c r="S23" s="241">
        <v>0.0002084389783480853</v>
      </c>
      <c r="T23" s="241">
        <v>-5427451.819381102</v>
      </c>
      <c r="U23" s="241">
        <v>-1726450.2540344244</v>
      </c>
      <c r="V23" s="241">
        <v>-5427451.819381102</v>
      </c>
      <c r="W23" s="241">
        <v>-1726450.2540344244</v>
      </c>
    </row>
    <row r="24" spans="1:23" s="57" customFormat="1" ht="15">
      <c r="A24" s="55">
        <v>39356</v>
      </c>
      <c r="B24" s="236">
        <v>83253587.62220106</v>
      </c>
      <c r="C24" s="117">
        <v>137.7</v>
      </c>
      <c r="D24" s="117">
        <v>19.8</v>
      </c>
      <c r="E24" s="124">
        <v>139.61037495974546</v>
      </c>
      <c r="F24" s="56">
        <v>31</v>
      </c>
      <c r="G24" s="56">
        <v>0</v>
      </c>
      <c r="H24" s="56">
        <v>0</v>
      </c>
      <c r="I24" s="273">
        <v>320295.8827466283</v>
      </c>
      <c r="J24" s="95">
        <f>'Negative Impact Var'!B38</f>
        <v>320295.8827466283</v>
      </c>
      <c r="K24" s="216">
        <v>105.1</v>
      </c>
      <c r="L24" s="216">
        <v>4.5</v>
      </c>
      <c r="M24" s="240">
        <f t="shared" si="0"/>
        <v>81067100.34423018</v>
      </c>
      <c r="N24" s="220"/>
      <c r="O24" s="241" t="s">
        <v>170</v>
      </c>
      <c r="P24" s="241">
        <v>-2467402.4452111335</v>
      </c>
      <c r="Q24" s="241">
        <v>969910.2380905513</v>
      </c>
      <c r="R24" s="241">
        <v>-2.54394927314993</v>
      </c>
      <c r="S24" s="241">
        <v>0.012252770142895254</v>
      </c>
      <c r="T24" s="241">
        <v>-4388088.773987593</v>
      </c>
      <c r="U24" s="241">
        <v>-546716.116434674</v>
      </c>
      <c r="V24" s="241">
        <v>-4388088.773987593</v>
      </c>
      <c r="W24" s="241">
        <v>-546716.116434674</v>
      </c>
    </row>
    <row r="25" spans="1:23" s="57" customFormat="1" ht="15.75" thickBot="1">
      <c r="A25" s="55">
        <v>39387</v>
      </c>
      <c r="B25" s="236">
        <v>85256947.26669843</v>
      </c>
      <c r="C25" s="117">
        <v>462.5</v>
      </c>
      <c r="D25" s="117">
        <v>0</v>
      </c>
      <c r="E25" s="124">
        <v>139.84095284458306</v>
      </c>
      <c r="F25" s="56">
        <v>30</v>
      </c>
      <c r="G25" s="56">
        <v>0</v>
      </c>
      <c r="H25" s="56">
        <v>0</v>
      </c>
      <c r="I25" s="273">
        <v>331816.9700017948</v>
      </c>
      <c r="J25" s="95">
        <f>'Negative Impact Var'!B39</f>
        <v>331816.9700017948</v>
      </c>
      <c r="K25" s="216">
        <v>105.2</v>
      </c>
      <c r="L25" s="216">
        <v>4.3</v>
      </c>
      <c r="M25" s="240">
        <f t="shared" si="0"/>
        <v>82242134.27929999</v>
      </c>
      <c r="N25" s="220"/>
      <c r="O25" s="242" t="s">
        <v>78</v>
      </c>
      <c r="P25" s="242">
        <v>-2.786226706046472</v>
      </c>
      <c r="Q25" s="242">
        <v>0.4167677439182145</v>
      </c>
      <c r="R25" s="242">
        <v>-6.685322332894445</v>
      </c>
      <c r="S25" s="242">
        <v>8.067624690672603E-10</v>
      </c>
      <c r="T25" s="242">
        <v>-3.6115403037198166</v>
      </c>
      <c r="U25" s="242">
        <v>-1.9609131083731275</v>
      </c>
      <c r="V25" s="242">
        <v>-3.6115403037198166</v>
      </c>
      <c r="W25" s="242">
        <v>-1.9609131083731275</v>
      </c>
    </row>
    <row r="26" spans="1:23" s="61" customFormat="1" ht="15">
      <c r="A26" s="59">
        <v>39417</v>
      </c>
      <c r="B26" s="236">
        <v>88503147.03220582</v>
      </c>
      <c r="C26" s="117">
        <v>630.7</v>
      </c>
      <c r="D26" s="117">
        <v>0</v>
      </c>
      <c r="E26" s="125">
        <v>140.0719115475438</v>
      </c>
      <c r="F26" s="60">
        <v>31</v>
      </c>
      <c r="G26" s="60">
        <v>0</v>
      </c>
      <c r="H26" s="60">
        <v>0</v>
      </c>
      <c r="I26" s="274">
        <v>343338.0572569613</v>
      </c>
      <c r="J26" s="96">
        <f>'Negative Impact Var'!B40</f>
        <v>343338.0572569613</v>
      </c>
      <c r="K26" s="216">
        <v>105.3</v>
      </c>
      <c r="L26" s="216">
        <v>4.7</v>
      </c>
      <c r="M26" s="240">
        <f t="shared" si="0"/>
        <v>86825166.80587412</v>
      </c>
      <c r="N26" s="220"/>
      <c r="O26"/>
      <c r="P26"/>
      <c r="Q26"/>
      <c r="R26"/>
      <c r="S26"/>
      <c r="T26"/>
      <c r="U26"/>
      <c r="V26"/>
      <c r="W26"/>
    </row>
    <row r="27" spans="1:23" s="53" customFormat="1" ht="15">
      <c r="A27" s="51">
        <v>39448</v>
      </c>
      <c r="B27" s="236">
        <v>91586648.64</v>
      </c>
      <c r="C27" s="117">
        <v>623.5</v>
      </c>
      <c r="D27" s="117">
        <v>0</v>
      </c>
      <c r="E27" s="124">
        <v>139.96642175819056</v>
      </c>
      <c r="F27" s="52">
        <v>31</v>
      </c>
      <c r="G27" s="52">
        <v>0</v>
      </c>
      <c r="H27" s="52">
        <v>0</v>
      </c>
      <c r="I27" s="273">
        <v>359620.11798585183</v>
      </c>
      <c r="J27" s="94">
        <f>'Negative Impact Var'!B41</f>
        <v>359620.11798585183</v>
      </c>
      <c r="K27" s="216">
        <v>105.3</v>
      </c>
      <c r="L27" s="216">
        <v>5.3</v>
      </c>
      <c r="M27" s="240">
        <f t="shared" si="0"/>
        <v>86613559.39059584</v>
      </c>
      <c r="N27" s="218"/>
      <c r="O27"/>
      <c r="P27"/>
      <c r="Q27"/>
      <c r="R27"/>
      <c r="S27"/>
      <c r="T27"/>
      <c r="U27"/>
      <c r="V27"/>
      <c r="W27"/>
    </row>
    <row r="28" spans="1:23" s="57" customFormat="1" ht="15">
      <c r="A28" s="55">
        <v>39479</v>
      </c>
      <c r="B28" s="236">
        <v>87242238.65</v>
      </c>
      <c r="C28" s="117">
        <v>674.7</v>
      </c>
      <c r="D28" s="117">
        <v>0</v>
      </c>
      <c r="E28" s="124">
        <v>139.86101141442734</v>
      </c>
      <c r="F28" s="67">
        <v>29</v>
      </c>
      <c r="G28" s="56">
        <v>0</v>
      </c>
      <c r="H28" s="56">
        <v>0</v>
      </c>
      <c r="I28" s="273">
        <v>375902.17871474236</v>
      </c>
      <c r="J28" s="95">
        <f>'Negative Impact Var'!B42</f>
        <v>375902.17871474236</v>
      </c>
      <c r="K28" s="216">
        <v>105.4</v>
      </c>
      <c r="L28" s="216">
        <v>5.3</v>
      </c>
      <c r="M28" s="240">
        <f t="shared" si="0"/>
        <v>83871810.04927212</v>
      </c>
      <c r="N28" s="220"/>
      <c r="O28"/>
      <c r="P28"/>
      <c r="Q28"/>
      <c r="R28"/>
      <c r="S28"/>
      <c r="T28"/>
      <c r="U28"/>
      <c r="V28"/>
      <c r="W28"/>
    </row>
    <row r="29" spans="1:21" s="57" customFormat="1" ht="15">
      <c r="A29" s="55">
        <v>39508</v>
      </c>
      <c r="B29" s="236">
        <v>88370233.78</v>
      </c>
      <c r="C29" s="117">
        <v>610.2</v>
      </c>
      <c r="D29" s="117">
        <v>0</v>
      </c>
      <c r="E29" s="124">
        <v>139.75568045642274</v>
      </c>
      <c r="F29" s="56">
        <v>31</v>
      </c>
      <c r="G29" s="56">
        <v>0</v>
      </c>
      <c r="H29" s="56">
        <v>0</v>
      </c>
      <c r="I29" s="273">
        <v>392184.2394436329</v>
      </c>
      <c r="J29" s="95">
        <f>'Negative Impact Var'!B43</f>
        <v>392184.2394436329</v>
      </c>
      <c r="K29" s="216">
        <v>105.4</v>
      </c>
      <c r="L29" s="216">
        <v>6.4</v>
      </c>
      <c r="M29" s="240">
        <f t="shared" si="0"/>
        <v>86208536.53536297</v>
      </c>
      <c r="N29" s="220"/>
      <c r="O29"/>
      <c r="P29"/>
      <c r="Q29"/>
      <c r="R29"/>
      <c r="S29"/>
      <c r="T29"/>
      <c r="U29"/>
    </row>
    <row r="30" spans="1:14" s="57" customFormat="1" ht="15">
      <c r="A30" s="55">
        <v>39539</v>
      </c>
      <c r="B30" s="236">
        <v>79320754.96</v>
      </c>
      <c r="C30" s="117">
        <v>253.9</v>
      </c>
      <c r="D30" s="117">
        <v>0</v>
      </c>
      <c r="E30" s="124">
        <v>139.65042882439042</v>
      </c>
      <c r="F30" s="56">
        <v>30</v>
      </c>
      <c r="G30" s="56">
        <v>1</v>
      </c>
      <c r="H30" s="56">
        <v>0</v>
      </c>
      <c r="I30" s="273">
        <v>408466.3001725234</v>
      </c>
      <c r="J30" s="95">
        <f>'Negative Impact Var'!B44</f>
        <v>408466.3001725234</v>
      </c>
      <c r="K30" s="216">
        <v>105.5</v>
      </c>
      <c r="L30" s="216">
        <v>7.1</v>
      </c>
      <c r="M30" s="240">
        <f t="shared" si="0"/>
        <v>74935801.27460466</v>
      </c>
      <c r="N30" s="220"/>
    </row>
    <row r="31" spans="1:14" s="57" customFormat="1" ht="15">
      <c r="A31" s="55">
        <v>39569</v>
      </c>
      <c r="B31" s="236">
        <v>77025832.7</v>
      </c>
      <c r="C31" s="117">
        <v>193.5</v>
      </c>
      <c r="D31" s="117">
        <v>2.5</v>
      </c>
      <c r="E31" s="124">
        <v>139.54525645858905</v>
      </c>
      <c r="F31" s="56">
        <v>31</v>
      </c>
      <c r="G31" s="56">
        <v>0</v>
      </c>
      <c r="H31" s="56">
        <v>1</v>
      </c>
      <c r="I31" s="273">
        <v>424748.36090141395</v>
      </c>
      <c r="J31" s="95">
        <f>'Negative Impact Var'!B45</f>
        <v>424748.36090141395</v>
      </c>
      <c r="K31" s="216">
        <v>105.6</v>
      </c>
      <c r="L31" s="216">
        <v>7.6</v>
      </c>
      <c r="M31" s="240">
        <f t="shared" si="0"/>
        <v>77019070.72748062</v>
      </c>
      <c r="N31" s="220"/>
    </row>
    <row r="32" spans="1:14" s="57" customFormat="1" ht="15">
      <c r="A32" s="55">
        <v>39600</v>
      </c>
      <c r="B32" s="236">
        <v>84090014.99000001</v>
      </c>
      <c r="C32" s="117">
        <v>22.7</v>
      </c>
      <c r="D32" s="117">
        <v>71.5</v>
      </c>
      <c r="E32" s="124">
        <v>139.44016329932234</v>
      </c>
      <c r="F32" s="56">
        <v>30</v>
      </c>
      <c r="G32" s="56">
        <v>0</v>
      </c>
      <c r="H32" s="56">
        <v>0</v>
      </c>
      <c r="I32" s="273">
        <v>441030.4216303045</v>
      </c>
      <c r="J32" s="95">
        <f>'Negative Impact Var'!B46</f>
        <v>441030.4216303045</v>
      </c>
      <c r="K32" s="216">
        <v>105.6</v>
      </c>
      <c r="L32" s="216">
        <v>6.6</v>
      </c>
      <c r="M32" s="240">
        <f t="shared" si="0"/>
        <v>83524739.4300427</v>
      </c>
      <c r="N32" s="220"/>
    </row>
    <row r="33" spans="1:14" s="57" customFormat="1" ht="15">
      <c r="A33" s="55">
        <v>39630</v>
      </c>
      <c r="B33" s="236">
        <v>91739839.00090519</v>
      </c>
      <c r="C33" s="117">
        <v>1</v>
      </c>
      <c r="D33" s="117">
        <v>111</v>
      </c>
      <c r="E33" s="124">
        <v>139.3351492869389</v>
      </c>
      <c r="F33" s="56">
        <v>31</v>
      </c>
      <c r="G33" s="56">
        <v>0</v>
      </c>
      <c r="H33" s="56">
        <v>0</v>
      </c>
      <c r="I33" s="273">
        <v>457312.482359195</v>
      </c>
      <c r="J33" s="95">
        <f>'Negative Impact Var'!B47</f>
        <v>457312.482359195</v>
      </c>
      <c r="K33" s="216">
        <v>105.7</v>
      </c>
      <c r="L33" s="216">
        <v>5.9</v>
      </c>
      <c r="M33" s="240">
        <f t="shared" si="0"/>
        <v>89791599.12237515</v>
      </c>
      <c r="N33" s="220"/>
    </row>
    <row r="34" spans="1:14" s="57" customFormat="1" ht="15">
      <c r="A34" s="55">
        <v>39661</v>
      </c>
      <c r="B34" s="236">
        <v>85561376.91999999</v>
      </c>
      <c r="C34" s="117">
        <v>12.7</v>
      </c>
      <c r="D34" s="117">
        <v>64</v>
      </c>
      <c r="E34" s="124">
        <v>139.23021436183228</v>
      </c>
      <c r="F34" s="56">
        <v>31</v>
      </c>
      <c r="G34" s="56">
        <v>0</v>
      </c>
      <c r="H34" s="56">
        <v>0</v>
      </c>
      <c r="I34" s="273">
        <v>473594.54308808554</v>
      </c>
      <c r="J34" s="95">
        <f>'Negative Impact Var'!B48</f>
        <v>473594.54308808554</v>
      </c>
      <c r="K34" s="216">
        <v>105.8</v>
      </c>
      <c r="L34" s="216">
        <v>6.3</v>
      </c>
      <c r="M34" s="240">
        <f t="shared" si="0"/>
        <v>83975505.34132966</v>
      </c>
      <c r="N34" s="220"/>
    </row>
    <row r="35" spans="1:14" s="57" customFormat="1" ht="15">
      <c r="A35" s="55">
        <v>39692</v>
      </c>
      <c r="B35" s="236">
        <v>81335600.26</v>
      </c>
      <c r="C35" s="117">
        <v>59</v>
      </c>
      <c r="D35" s="117">
        <v>26.7</v>
      </c>
      <c r="E35" s="124">
        <v>139.12535846444095</v>
      </c>
      <c r="F35" s="56">
        <v>30</v>
      </c>
      <c r="G35" s="56">
        <v>0</v>
      </c>
      <c r="H35" s="56">
        <v>0</v>
      </c>
      <c r="I35" s="273">
        <v>489876.6038169761</v>
      </c>
      <c r="J35" s="95">
        <f>'Negative Impact Var'!B49</f>
        <v>489876.6038169761</v>
      </c>
      <c r="K35" s="216">
        <v>105.9</v>
      </c>
      <c r="L35" s="216">
        <v>6.4</v>
      </c>
      <c r="M35" s="240">
        <f t="shared" si="0"/>
        <v>78203982.11074913</v>
      </c>
      <c r="N35" s="220"/>
    </row>
    <row r="36" spans="1:14" s="57" customFormat="1" ht="15">
      <c r="A36" s="55">
        <v>39722</v>
      </c>
      <c r="B36" s="236">
        <v>79888372.33</v>
      </c>
      <c r="C36" s="117">
        <v>278.6</v>
      </c>
      <c r="D36" s="117">
        <v>0</v>
      </c>
      <c r="E36" s="124">
        <v>139.02058153524823</v>
      </c>
      <c r="F36" s="56">
        <v>31</v>
      </c>
      <c r="G36" s="56">
        <v>0</v>
      </c>
      <c r="H36" s="56">
        <v>0</v>
      </c>
      <c r="I36" s="273">
        <v>506158.6645458666</v>
      </c>
      <c r="J36" s="95">
        <f>'Negative Impact Var'!B50</f>
        <v>506158.6645458666</v>
      </c>
      <c r="K36" s="216">
        <v>106</v>
      </c>
      <c r="L36" s="216">
        <v>6.1</v>
      </c>
      <c r="M36" s="240">
        <f t="shared" si="0"/>
        <v>80105909.41860133</v>
      </c>
      <c r="N36" s="220"/>
    </row>
    <row r="37" spans="1:14" s="57" customFormat="1" ht="15">
      <c r="A37" s="55">
        <v>39753</v>
      </c>
      <c r="B37" s="236">
        <v>81455825.91999999</v>
      </c>
      <c r="C37" s="117">
        <v>451.6</v>
      </c>
      <c r="D37" s="117">
        <v>0</v>
      </c>
      <c r="E37" s="124">
        <v>138.91588351478222</v>
      </c>
      <c r="F37" s="56">
        <v>30</v>
      </c>
      <c r="G37" s="56">
        <v>0</v>
      </c>
      <c r="H37" s="56">
        <v>0</v>
      </c>
      <c r="I37" s="273">
        <v>522440.72527475713</v>
      </c>
      <c r="J37" s="95">
        <f>'Negative Impact Var'!B51</f>
        <v>522440.72527475713</v>
      </c>
      <c r="K37" s="216">
        <v>106</v>
      </c>
      <c r="L37" s="216">
        <v>4.8</v>
      </c>
      <c r="M37" s="240">
        <f t="shared" si="0"/>
        <v>81111989.95359847</v>
      </c>
      <c r="N37" s="220"/>
    </row>
    <row r="38" spans="1:14" s="61" customFormat="1" ht="15">
      <c r="A38" s="59">
        <v>39783</v>
      </c>
      <c r="B38" s="236">
        <v>85806591.57000001</v>
      </c>
      <c r="C38" s="117">
        <v>654.6</v>
      </c>
      <c r="D38" s="117">
        <v>0</v>
      </c>
      <c r="E38" s="125">
        <v>138.8112643436159</v>
      </c>
      <c r="F38" s="60">
        <v>31</v>
      </c>
      <c r="G38" s="60">
        <v>0</v>
      </c>
      <c r="H38" s="60">
        <v>0</v>
      </c>
      <c r="I38" s="274">
        <v>538722.7860036476</v>
      </c>
      <c r="J38" s="96">
        <f>'Negative Impact Var'!B52</f>
        <v>538722.7860036476</v>
      </c>
      <c r="K38" s="216">
        <v>106.1</v>
      </c>
      <c r="L38" s="216">
        <v>4.7</v>
      </c>
      <c r="M38" s="240">
        <f t="shared" si="0"/>
        <v>86101567.1456806</v>
      </c>
      <c r="N38" s="220"/>
    </row>
    <row r="39" spans="1:14" s="53" customFormat="1" ht="15">
      <c r="A39" s="51">
        <v>39814</v>
      </c>
      <c r="B39" s="236">
        <v>90223487.16999999</v>
      </c>
      <c r="C39" s="117">
        <v>830.2</v>
      </c>
      <c r="D39" s="117">
        <v>0</v>
      </c>
      <c r="E39" s="124">
        <v>138.4355582585443</v>
      </c>
      <c r="F39" s="52">
        <v>31</v>
      </c>
      <c r="G39" s="52">
        <v>0</v>
      </c>
      <c r="H39" s="52">
        <v>0</v>
      </c>
      <c r="I39" s="272">
        <v>578878.0458491795</v>
      </c>
      <c r="J39" s="94">
        <f>'Negative Impact Var'!B53</f>
        <v>578878.0458491795</v>
      </c>
      <c r="K39" s="216">
        <v>106.1</v>
      </c>
      <c r="L39" s="216">
        <v>5.9</v>
      </c>
      <c r="M39" s="240">
        <f t="shared" si="0"/>
        <v>88706014.83501016</v>
      </c>
      <c r="N39" s="218"/>
    </row>
    <row r="40" spans="1:14" s="57" customFormat="1" ht="15">
      <c r="A40" s="55">
        <v>39845</v>
      </c>
      <c r="B40" s="236">
        <v>77995972.64</v>
      </c>
      <c r="C40" s="117">
        <v>606.4</v>
      </c>
      <c r="D40" s="117">
        <v>0</v>
      </c>
      <c r="E40" s="124">
        <v>138.06086905825526</v>
      </c>
      <c r="F40" s="56">
        <v>28</v>
      </c>
      <c r="G40" s="56">
        <v>0</v>
      </c>
      <c r="H40" s="56">
        <v>0</v>
      </c>
      <c r="I40" s="273">
        <v>619033.3056947114</v>
      </c>
      <c r="J40" s="95">
        <f>'Negative Impact Var'!B54</f>
        <v>619033.3056947114</v>
      </c>
      <c r="K40" s="216">
        <v>106.2</v>
      </c>
      <c r="L40" s="216">
        <v>6.8</v>
      </c>
      <c r="M40" s="240">
        <f t="shared" si="0"/>
        <v>79509449.26719415</v>
      </c>
      <c r="N40" s="220"/>
    </row>
    <row r="41" spans="1:14" s="57" customFormat="1" ht="15">
      <c r="A41" s="55">
        <v>39873</v>
      </c>
      <c r="B41" s="236">
        <v>80993878.66</v>
      </c>
      <c r="C41" s="117">
        <v>533.8</v>
      </c>
      <c r="D41" s="117">
        <v>0</v>
      </c>
      <c r="E41" s="124">
        <v>137.687193990452</v>
      </c>
      <c r="F41" s="56">
        <v>31</v>
      </c>
      <c r="G41" s="56">
        <v>0</v>
      </c>
      <c r="H41" s="56">
        <v>0</v>
      </c>
      <c r="I41" s="273">
        <v>659188.5655402433</v>
      </c>
      <c r="J41" s="95">
        <f>'Negative Impact Var'!B55</f>
        <v>659188.5655402433</v>
      </c>
      <c r="K41" s="216">
        <v>106.2</v>
      </c>
      <c r="L41" s="216">
        <v>8.5</v>
      </c>
      <c r="M41" s="240">
        <f t="shared" si="0"/>
        <v>83269845.49054097</v>
      </c>
      <c r="N41" s="220"/>
    </row>
    <row r="42" spans="1:14" s="57" customFormat="1" ht="15">
      <c r="A42" s="55">
        <v>39904</v>
      </c>
      <c r="B42" s="236">
        <v>72518419.66</v>
      </c>
      <c r="C42" s="117">
        <v>305.8</v>
      </c>
      <c r="D42" s="117">
        <v>1.2</v>
      </c>
      <c r="E42" s="124">
        <v>137.31453031028698</v>
      </c>
      <c r="F42" s="56">
        <v>30</v>
      </c>
      <c r="G42" s="56">
        <v>1</v>
      </c>
      <c r="H42" s="56">
        <v>0</v>
      </c>
      <c r="I42" s="273">
        <v>699343.8253857752</v>
      </c>
      <c r="J42" s="95">
        <f>'Negative Impact Var'!B56</f>
        <v>699343.8253857752</v>
      </c>
      <c r="K42" s="216">
        <v>106.3</v>
      </c>
      <c r="L42" s="216">
        <v>8.8</v>
      </c>
      <c r="M42" s="240">
        <f t="shared" si="0"/>
        <v>74069498.8833486</v>
      </c>
      <c r="N42" s="220"/>
    </row>
    <row r="43" spans="1:14" s="57" customFormat="1" ht="15">
      <c r="A43" s="55">
        <v>39934</v>
      </c>
      <c r="B43" s="236">
        <v>72158813.11</v>
      </c>
      <c r="C43" s="117">
        <v>158.8</v>
      </c>
      <c r="D43" s="117">
        <v>6.9</v>
      </c>
      <c r="E43" s="124">
        <v>136.94287528034204</v>
      </c>
      <c r="F43" s="56">
        <v>31</v>
      </c>
      <c r="G43" s="56">
        <v>0</v>
      </c>
      <c r="H43" s="56">
        <v>1</v>
      </c>
      <c r="I43" s="273">
        <v>739499.0852313071</v>
      </c>
      <c r="J43" s="95">
        <f>'Negative Impact Var'!B57</f>
        <v>739499.0852313071</v>
      </c>
      <c r="K43" s="216">
        <v>106.3</v>
      </c>
      <c r="L43" s="216">
        <v>9.9</v>
      </c>
      <c r="M43" s="240">
        <f t="shared" si="0"/>
        <v>74944375.97948407</v>
      </c>
      <c r="N43" s="220"/>
    </row>
    <row r="44" spans="1:14" s="57" customFormat="1" ht="15">
      <c r="A44" s="55">
        <v>39965</v>
      </c>
      <c r="B44" s="236">
        <v>76645029.93</v>
      </c>
      <c r="C44" s="117">
        <v>49.3</v>
      </c>
      <c r="D44" s="117">
        <v>34.2</v>
      </c>
      <c r="E44" s="124">
        <v>136.57222617060793</v>
      </c>
      <c r="F44" s="56">
        <v>30</v>
      </c>
      <c r="G44" s="56">
        <v>0</v>
      </c>
      <c r="H44" s="56">
        <v>0</v>
      </c>
      <c r="I44" s="273">
        <v>779654.345076839</v>
      </c>
      <c r="J44" s="95">
        <f>'Negative Impact Var'!B58</f>
        <v>779654.345076839</v>
      </c>
      <c r="K44" s="216">
        <v>106.4</v>
      </c>
      <c r="L44" s="216">
        <v>10.1</v>
      </c>
      <c r="M44" s="240">
        <f t="shared" si="0"/>
        <v>77022382.99068153</v>
      </c>
      <c r="N44" s="220"/>
    </row>
    <row r="45" spans="1:14" s="57" customFormat="1" ht="15">
      <c r="A45" s="55">
        <v>39995</v>
      </c>
      <c r="B45" s="236">
        <v>77751228.34</v>
      </c>
      <c r="C45" s="117">
        <v>6.2</v>
      </c>
      <c r="D45" s="117">
        <v>43.7</v>
      </c>
      <c r="E45" s="124">
        <v>136.20258025846454</v>
      </c>
      <c r="F45" s="56">
        <v>31</v>
      </c>
      <c r="G45" s="56">
        <v>0</v>
      </c>
      <c r="H45" s="56">
        <v>0</v>
      </c>
      <c r="I45" s="273">
        <v>819809.6049223709</v>
      </c>
      <c r="J45" s="95">
        <f>'Negative Impact Var'!B59</f>
        <v>819809.6049223709</v>
      </c>
      <c r="K45" s="216">
        <v>106.5</v>
      </c>
      <c r="L45" s="216">
        <v>11.4</v>
      </c>
      <c r="M45" s="240">
        <f t="shared" si="0"/>
        <v>78974994.4334133</v>
      </c>
      <c r="N45" s="220"/>
    </row>
    <row r="46" spans="1:14" s="57" customFormat="1" ht="15">
      <c r="A46" s="55">
        <v>40026</v>
      </c>
      <c r="B46" s="236">
        <v>84421102.88</v>
      </c>
      <c r="C46" s="117">
        <v>9.8</v>
      </c>
      <c r="D46" s="117">
        <v>91</v>
      </c>
      <c r="E46" s="124">
        <v>135.83393482866074</v>
      </c>
      <c r="F46" s="56">
        <v>31</v>
      </c>
      <c r="G46" s="56">
        <v>0</v>
      </c>
      <c r="H46" s="56">
        <v>0</v>
      </c>
      <c r="I46" s="273">
        <v>859964.8647679028</v>
      </c>
      <c r="J46" s="95">
        <f>'Negative Impact Var'!B60</f>
        <v>859964.8647679028</v>
      </c>
      <c r="K46" s="216">
        <v>106.6</v>
      </c>
      <c r="L46" s="216">
        <v>12</v>
      </c>
      <c r="M46" s="240">
        <f t="shared" si="0"/>
        <v>84708201.58200338</v>
      </c>
      <c r="N46" s="220"/>
    </row>
    <row r="47" spans="1:14" s="57" customFormat="1" ht="15">
      <c r="A47" s="55">
        <v>40057</v>
      </c>
      <c r="B47" s="236">
        <v>74688913.47</v>
      </c>
      <c r="C47" s="117">
        <v>55.2</v>
      </c>
      <c r="D47" s="117">
        <v>20.9</v>
      </c>
      <c r="E47" s="124">
        <v>135.46628717329455</v>
      </c>
      <c r="F47" s="56">
        <v>30</v>
      </c>
      <c r="G47" s="56">
        <v>0</v>
      </c>
      <c r="H47" s="56">
        <v>0</v>
      </c>
      <c r="I47" s="273">
        <v>900120.1246134347</v>
      </c>
      <c r="J47" s="95">
        <f>'Negative Impact Var'!B61</f>
        <v>900120.1246134347</v>
      </c>
      <c r="K47" s="216">
        <v>106.7</v>
      </c>
      <c r="L47" s="216">
        <v>11.8</v>
      </c>
      <c r="M47" s="240">
        <f t="shared" si="0"/>
        <v>74607872.31340946</v>
      </c>
      <c r="N47" s="220"/>
    </row>
    <row r="48" spans="1:14" s="57" customFormat="1" ht="15">
      <c r="A48" s="55">
        <v>40087</v>
      </c>
      <c r="B48" s="236">
        <v>75437058.18</v>
      </c>
      <c r="C48" s="117">
        <v>287.8</v>
      </c>
      <c r="D48" s="117">
        <v>0</v>
      </c>
      <c r="E48" s="124">
        <v>135.09963459179312</v>
      </c>
      <c r="F48" s="56">
        <v>31</v>
      </c>
      <c r="G48" s="56">
        <v>0</v>
      </c>
      <c r="H48" s="56">
        <v>0</v>
      </c>
      <c r="I48" s="273">
        <v>940275.3844589666</v>
      </c>
      <c r="J48" s="95">
        <f>'Negative Impact Var'!B62</f>
        <v>940275.3844589666</v>
      </c>
      <c r="K48" s="216">
        <v>106.8</v>
      </c>
      <c r="L48" s="216">
        <v>10.1</v>
      </c>
      <c r="M48" s="240">
        <f t="shared" si="0"/>
        <v>77268145.05459882</v>
      </c>
      <c r="N48" s="220"/>
    </row>
    <row r="49" spans="1:14" s="57" customFormat="1" ht="15">
      <c r="A49" s="55">
        <v>40118</v>
      </c>
      <c r="B49" s="236">
        <v>75196069.55</v>
      </c>
      <c r="C49" s="117">
        <v>361.2</v>
      </c>
      <c r="D49" s="117">
        <v>0</v>
      </c>
      <c r="E49" s="124">
        <v>134.733974390893</v>
      </c>
      <c r="F49" s="56">
        <v>30</v>
      </c>
      <c r="G49" s="56">
        <v>0</v>
      </c>
      <c r="H49" s="56">
        <v>0</v>
      </c>
      <c r="I49" s="273">
        <v>980430.6443044984</v>
      </c>
      <c r="J49" s="95">
        <f>'Negative Impact Var'!B63</f>
        <v>980430.6443044984</v>
      </c>
      <c r="K49" s="216">
        <v>106.8</v>
      </c>
      <c r="L49" s="216">
        <v>9.3</v>
      </c>
      <c r="M49" s="240">
        <f t="shared" si="0"/>
        <v>76451866.41345267</v>
      </c>
      <c r="N49" s="220"/>
    </row>
    <row r="50" spans="1:14" s="61" customFormat="1" ht="15">
      <c r="A50" s="59">
        <v>40148</v>
      </c>
      <c r="B50" s="236">
        <v>82800231.44999999</v>
      </c>
      <c r="C50" s="117">
        <v>631.3</v>
      </c>
      <c r="D50" s="117">
        <v>0</v>
      </c>
      <c r="E50" s="125">
        <v>134.3693038846202</v>
      </c>
      <c r="F50" s="60">
        <v>31</v>
      </c>
      <c r="G50" s="60">
        <v>0</v>
      </c>
      <c r="H50" s="60">
        <v>0</v>
      </c>
      <c r="I50" s="274">
        <v>1020585.9041500303</v>
      </c>
      <c r="J50" s="96">
        <f>'Negative Impact Var'!B64</f>
        <v>1020585.9041500303</v>
      </c>
      <c r="K50" s="216">
        <v>106.9</v>
      </c>
      <c r="L50" s="216">
        <v>9.2</v>
      </c>
      <c r="M50" s="240">
        <f t="shared" si="0"/>
        <v>82360021.08322278</v>
      </c>
      <c r="N50" s="220"/>
    </row>
    <row r="51" spans="1:14" s="53" customFormat="1" ht="15">
      <c r="A51" s="51">
        <v>40179</v>
      </c>
      <c r="B51" s="236">
        <v>85740317.67384616</v>
      </c>
      <c r="C51" s="117">
        <v>720</v>
      </c>
      <c r="D51" s="117">
        <v>0</v>
      </c>
      <c r="E51" s="124">
        <v>134.73334561620703</v>
      </c>
      <c r="F51" s="52">
        <v>31</v>
      </c>
      <c r="G51" s="52">
        <v>0</v>
      </c>
      <c r="H51" s="52">
        <v>0</v>
      </c>
      <c r="I51" s="272">
        <v>1020471.3719021552</v>
      </c>
      <c r="J51" s="94">
        <f>'Negative Impact Var'!B65</f>
        <v>1020471.3719021552</v>
      </c>
      <c r="K51" s="216">
        <v>106.9</v>
      </c>
      <c r="L51" s="216">
        <v>10</v>
      </c>
      <c r="M51" s="240">
        <f t="shared" si="0"/>
        <v>83983769.96338417</v>
      </c>
      <c r="N51" s="218"/>
    </row>
    <row r="52" spans="1:14" s="57" customFormat="1" ht="15">
      <c r="A52" s="55">
        <v>40210</v>
      </c>
      <c r="B52" s="236">
        <v>76200452.5176923</v>
      </c>
      <c r="C52" s="117">
        <v>598.3</v>
      </c>
      <c r="D52" s="117">
        <v>0</v>
      </c>
      <c r="E52" s="124">
        <v>135.09837363244745</v>
      </c>
      <c r="F52" s="56">
        <v>28</v>
      </c>
      <c r="G52" s="56">
        <v>0</v>
      </c>
      <c r="H52" s="56">
        <v>0</v>
      </c>
      <c r="I52" s="273">
        <v>1020356.8396542801</v>
      </c>
      <c r="J52" s="95">
        <f>'Negative Impact Var'!B66</f>
        <v>1020356.8396542801</v>
      </c>
      <c r="K52" s="216">
        <v>107</v>
      </c>
      <c r="L52" s="216">
        <v>9.3</v>
      </c>
      <c r="M52" s="240">
        <f t="shared" si="0"/>
        <v>76913623.67238294</v>
      </c>
      <c r="N52" s="220"/>
    </row>
    <row r="53" spans="1:14" s="57" customFormat="1" ht="15">
      <c r="A53" s="55">
        <v>40238</v>
      </c>
      <c r="B53" s="236">
        <v>78025070.52461539</v>
      </c>
      <c r="C53" s="117">
        <v>422.8</v>
      </c>
      <c r="D53" s="117">
        <v>0</v>
      </c>
      <c r="E53" s="124">
        <v>135.46439060544563</v>
      </c>
      <c r="F53" s="56">
        <v>31</v>
      </c>
      <c r="G53" s="56">
        <v>0</v>
      </c>
      <c r="H53" s="56">
        <v>0</v>
      </c>
      <c r="I53" s="273">
        <v>1020242.307406405</v>
      </c>
      <c r="J53" s="95">
        <f>'Negative Impact Var'!B67</f>
        <v>1020242.307406405</v>
      </c>
      <c r="K53" s="216">
        <v>107</v>
      </c>
      <c r="L53" s="216">
        <v>9.7</v>
      </c>
      <c r="M53" s="240">
        <f t="shared" si="0"/>
        <v>79430258.14614178</v>
      </c>
      <c r="N53" s="220"/>
    </row>
    <row r="54" spans="1:14" s="57" customFormat="1" ht="15">
      <c r="A54" s="55">
        <v>40269</v>
      </c>
      <c r="B54" s="236">
        <v>69790833.68769231</v>
      </c>
      <c r="C54" s="117">
        <v>225.1</v>
      </c>
      <c r="D54" s="117">
        <v>0</v>
      </c>
      <c r="E54" s="124">
        <v>135.83139921454512</v>
      </c>
      <c r="F54" s="56">
        <v>30</v>
      </c>
      <c r="G54" s="56">
        <v>1</v>
      </c>
      <c r="H54" s="56">
        <v>0</v>
      </c>
      <c r="I54" s="273">
        <v>1020127.7751585299</v>
      </c>
      <c r="J54" s="95">
        <f>'Negative Impact Var'!B68</f>
        <v>1020127.7751585299</v>
      </c>
      <c r="K54" s="216">
        <v>107.1</v>
      </c>
      <c r="L54" s="216">
        <v>9.6</v>
      </c>
      <c r="M54" s="240">
        <f t="shared" si="0"/>
        <v>71024896.27214643</v>
      </c>
      <c r="N54" s="220"/>
    </row>
    <row r="55" spans="1:14" s="57" customFormat="1" ht="15">
      <c r="A55" s="55">
        <v>40299</v>
      </c>
      <c r="B55" s="236">
        <v>76066069.50923076</v>
      </c>
      <c r="C55" s="117">
        <v>107.9</v>
      </c>
      <c r="D55" s="117">
        <v>45.7</v>
      </c>
      <c r="E55" s="124">
        <v>136.19940214634852</v>
      </c>
      <c r="F55" s="56">
        <v>31</v>
      </c>
      <c r="G55" s="56">
        <v>0</v>
      </c>
      <c r="H55" s="56">
        <v>1</v>
      </c>
      <c r="I55" s="273">
        <v>1020013.2429106547</v>
      </c>
      <c r="J55" s="95">
        <f>'Negative Impact Var'!B69</f>
        <v>1020013.2429106547</v>
      </c>
      <c r="K55" s="216">
        <v>107.2</v>
      </c>
      <c r="L55" s="216">
        <v>9.7</v>
      </c>
      <c r="M55" s="240">
        <f t="shared" si="0"/>
        <v>77871991.18085492</v>
      </c>
      <c r="N55" s="220"/>
    </row>
    <row r="56" spans="1:14" s="57" customFormat="1" ht="15">
      <c r="A56" s="55">
        <v>40330</v>
      </c>
      <c r="B56" s="236">
        <v>79225717.64615385</v>
      </c>
      <c r="C56" s="117">
        <v>21.7</v>
      </c>
      <c r="D56" s="117">
        <v>58.7</v>
      </c>
      <c r="E56" s="124">
        <v>136.5684020947372</v>
      </c>
      <c r="F56" s="56">
        <v>30</v>
      </c>
      <c r="G56" s="56">
        <v>0</v>
      </c>
      <c r="H56" s="56">
        <v>0</v>
      </c>
      <c r="I56" s="273">
        <v>1019898.7106627796</v>
      </c>
      <c r="J56" s="95">
        <f>'Negative Impact Var'!B70</f>
        <v>1019898.7106627796</v>
      </c>
      <c r="K56" s="216">
        <v>107.3</v>
      </c>
      <c r="L56" s="216">
        <v>8.9</v>
      </c>
      <c r="M56" s="240">
        <f t="shared" si="0"/>
        <v>78981118.67382766</v>
      </c>
      <c r="N56" s="220"/>
    </row>
    <row r="57" spans="1:14" s="57" customFormat="1" ht="15">
      <c r="A57" s="55">
        <v>40360</v>
      </c>
      <c r="B57" s="236">
        <v>89977040.17230769</v>
      </c>
      <c r="C57" s="117">
        <v>1.8</v>
      </c>
      <c r="D57" s="117">
        <v>164.9</v>
      </c>
      <c r="E57" s="124">
        <v>136.93840176089088</v>
      </c>
      <c r="F57" s="56">
        <v>31</v>
      </c>
      <c r="G57" s="56">
        <v>0</v>
      </c>
      <c r="H57" s="56">
        <v>0</v>
      </c>
      <c r="I57" s="273">
        <v>1019784.1784149045</v>
      </c>
      <c r="J57" s="95">
        <f>'Negative Impact Var'!B71</f>
        <v>1019784.1784149045</v>
      </c>
      <c r="K57" s="216">
        <v>107.4</v>
      </c>
      <c r="L57" s="216">
        <v>8.4</v>
      </c>
      <c r="M57" s="240">
        <f t="shared" si="0"/>
        <v>93933739.1440742</v>
      </c>
      <c r="N57" s="220"/>
    </row>
    <row r="58" spans="1:14" s="57" customFormat="1" ht="15">
      <c r="A58" s="55">
        <v>40391</v>
      </c>
      <c r="B58" s="236">
        <v>88856918.29238462</v>
      </c>
      <c r="C58" s="117">
        <v>2.1</v>
      </c>
      <c r="D58" s="117">
        <v>138.8</v>
      </c>
      <c r="E58" s="124">
        <v>137.30940385330757</v>
      </c>
      <c r="F58" s="56">
        <v>31</v>
      </c>
      <c r="G58" s="56">
        <v>0</v>
      </c>
      <c r="H58" s="56">
        <v>0</v>
      </c>
      <c r="I58" s="273">
        <v>1019669.6461670294</v>
      </c>
      <c r="J58" s="95">
        <f>'Negative Impact Var'!B72</f>
        <v>1019669.6461670294</v>
      </c>
      <c r="K58" s="216">
        <v>107.5</v>
      </c>
      <c r="L58" s="216">
        <v>8</v>
      </c>
      <c r="M58" s="240">
        <f t="shared" si="0"/>
        <v>90822400.56321599</v>
      </c>
      <c r="N58" s="220"/>
    </row>
    <row r="59" spans="1:14" s="57" customFormat="1" ht="15">
      <c r="A59" s="55">
        <v>40422</v>
      </c>
      <c r="B59" s="236">
        <v>74349622.30461536</v>
      </c>
      <c r="C59" s="117">
        <v>78.1</v>
      </c>
      <c r="D59" s="117">
        <v>31.5</v>
      </c>
      <c r="E59" s="124">
        <v>137.68141108782325</v>
      </c>
      <c r="F59" s="56">
        <v>30</v>
      </c>
      <c r="G59" s="56">
        <v>0</v>
      </c>
      <c r="H59" s="56">
        <v>0</v>
      </c>
      <c r="I59" s="273">
        <v>1019555.1139191543</v>
      </c>
      <c r="J59" s="95">
        <f>'Negative Impact Var'!B73</f>
        <v>1019555.1139191543</v>
      </c>
      <c r="K59" s="216">
        <v>107.6</v>
      </c>
      <c r="L59" s="216">
        <v>7.9</v>
      </c>
      <c r="M59" s="240">
        <f t="shared" si="0"/>
        <v>76990996.05114834</v>
      </c>
      <c r="N59" s="220"/>
    </row>
    <row r="60" spans="1:14" s="57" customFormat="1" ht="15">
      <c r="A60" s="55">
        <v>40452</v>
      </c>
      <c r="B60" s="236">
        <v>73264038.25846153</v>
      </c>
      <c r="C60" s="117">
        <v>241.6</v>
      </c>
      <c r="D60" s="117">
        <v>0</v>
      </c>
      <c r="E60" s="124">
        <v>138.0544261876318</v>
      </c>
      <c r="F60" s="56">
        <v>31</v>
      </c>
      <c r="G60" s="56">
        <v>0</v>
      </c>
      <c r="H60" s="56">
        <v>0</v>
      </c>
      <c r="I60" s="273">
        <v>1019440.5816712792</v>
      </c>
      <c r="J60" s="95">
        <f>'Negative Impact Var'!B74</f>
        <v>1019440.5816712792</v>
      </c>
      <c r="K60" s="216">
        <v>107.7</v>
      </c>
      <c r="L60" s="216">
        <v>7.9</v>
      </c>
      <c r="M60" s="240">
        <f t="shared" si="0"/>
        <v>77629039.89820385</v>
      </c>
      <c r="N60" s="220"/>
    </row>
    <row r="61" spans="1:14" s="57" customFormat="1" ht="15">
      <c r="A61" s="55">
        <v>40483</v>
      </c>
      <c r="B61" s="236">
        <v>76397905.17076923</v>
      </c>
      <c r="C61" s="117">
        <v>405.3</v>
      </c>
      <c r="D61" s="117">
        <v>0</v>
      </c>
      <c r="E61" s="124">
        <v>138.42845188330503</v>
      </c>
      <c r="F61" s="56">
        <v>30</v>
      </c>
      <c r="G61" s="56">
        <v>0</v>
      </c>
      <c r="H61" s="56">
        <v>0</v>
      </c>
      <c r="I61" s="273">
        <v>1019326.049423404</v>
      </c>
      <c r="J61" s="95">
        <f>'Negative Impact Var'!B75</f>
        <v>1019326.049423404</v>
      </c>
      <c r="K61" s="216">
        <v>107.8</v>
      </c>
      <c r="L61" s="216">
        <v>8.5</v>
      </c>
      <c r="M61" s="240">
        <f t="shared" si="0"/>
        <v>78745176.06958574</v>
      </c>
      <c r="N61" s="220"/>
    </row>
    <row r="62" spans="1:14" s="61" customFormat="1" ht="15">
      <c r="A62" s="59">
        <v>40513</v>
      </c>
      <c r="B62" s="236">
        <v>82865126.8923077</v>
      </c>
      <c r="C62" s="117">
        <v>676.2</v>
      </c>
      <c r="D62" s="117">
        <v>0</v>
      </c>
      <c r="E62" s="125">
        <v>138.80349091281266</v>
      </c>
      <c r="F62" s="60">
        <v>31</v>
      </c>
      <c r="G62" s="60">
        <v>0</v>
      </c>
      <c r="H62" s="60">
        <v>0</v>
      </c>
      <c r="I62" s="274">
        <v>1019211.5171755289</v>
      </c>
      <c r="J62" s="96">
        <f>'Negative Impact Var'!B76</f>
        <v>1019211.5171755289</v>
      </c>
      <c r="K62" s="216">
        <v>107.8</v>
      </c>
      <c r="L62" s="216">
        <v>8.9</v>
      </c>
      <c r="M62" s="240">
        <f t="shared" si="0"/>
        <v>85114389.55204365</v>
      </c>
      <c r="N62" s="220"/>
    </row>
    <row r="63" spans="1:14" s="53" customFormat="1" ht="15">
      <c r="A63" s="51">
        <v>40544</v>
      </c>
      <c r="B63" s="236">
        <v>86054286.13153845</v>
      </c>
      <c r="C63" s="117">
        <v>775.3</v>
      </c>
      <c r="D63" s="117">
        <v>0</v>
      </c>
      <c r="E63" s="124">
        <v>139.10070640604135</v>
      </c>
      <c r="F63" s="63">
        <v>31</v>
      </c>
      <c r="G63" s="52">
        <v>0</v>
      </c>
      <c r="H63" s="52">
        <v>0</v>
      </c>
      <c r="I63" s="272">
        <v>1059910.8120025578</v>
      </c>
      <c r="J63" s="94">
        <f>'Negative Impact Var'!B77</f>
        <v>1059910.8120025578</v>
      </c>
      <c r="K63" s="216">
        <v>107.9</v>
      </c>
      <c r="L63" s="216">
        <v>9.5</v>
      </c>
      <c r="M63" s="240">
        <f t="shared" si="0"/>
        <v>86765068.22155705</v>
      </c>
      <c r="N63" s="218"/>
    </row>
    <row r="64" spans="1:14" s="57" customFormat="1" ht="15">
      <c r="A64" s="55">
        <v>40575</v>
      </c>
      <c r="B64" s="236">
        <v>76331649.84384616</v>
      </c>
      <c r="C64" s="117">
        <v>654.2</v>
      </c>
      <c r="D64" s="117">
        <v>0</v>
      </c>
      <c r="E64" s="124">
        <v>139.39855831733732</v>
      </c>
      <c r="F64" s="64">
        <v>28</v>
      </c>
      <c r="G64" s="56">
        <v>0</v>
      </c>
      <c r="H64" s="56">
        <v>0</v>
      </c>
      <c r="I64" s="273">
        <v>1100610.1068295867</v>
      </c>
      <c r="J64" s="95">
        <f>'Negative Impact Var'!B78</f>
        <v>1100610.1068295867</v>
      </c>
      <c r="K64" s="216">
        <v>107.9</v>
      </c>
      <c r="L64" s="216">
        <v>9.3</v>
      </c>
      <c r="M64" s="240">
        <f t="shared" si="0"/>
        <v>79560582.39139724</v>
      </c>
      <c r="N64" s="220"/>
    </row>
    <row r="65" spans="1:14" s="57" customFormat="1" ht="15">
      <c r="A65" s="55">
        <v>40603</v>
      </c>
      <c r="B65" s="236">
        <v>80293454.30307692</v>
      </c>
      <c r="C65" s="117">
        <v>572.8</v>
      </c>
      <c r="D65" s="117">
        <v>0</v>
      </c>
      <c r="E65" s="124">
        <v>139.69704800944226</v>
      </c>
      <c r="F65" s="64">
        <v>31</v>
      </c>
      <c r="G65" s="56">
        <v>0</v>
      </c>
      <c r="H65" s="56">
        <v>0</v>
      </c>
      <c r="I65" s="273">
        <v>1141309.4016566155</v>
      </c>
      <c r="J65" s="95">
        <f>'Negative Impact Var'!B79</f>
        <v>1141309.4016566155</v>
      </c>
      <c r="K65" s="216">
        <v>107.9</v>
      </c>
      <c r="L65" s="216">
        <v>9.4</v>
      </c>
      <c r="M65" s="240">
        <f t="shared" si="0"/>
        <v>83479844.08500779</v>
      </c>
      <c r="N65" s="220"/>
    </row>
    <row r="66" spans="1:14" s="57" customFormat="1" ht="15">
      <c r="A66" s="55">
        <v>40634</v>
      </c>
      <c r="B66" s="236">
        <v>71266777.97615385</v>
      </c>
      <c r="C66" s="117">
        <v>332.3</v>
      </c>
      <c r="D66" s="117">
        <v>0</v>
      </c>
      <c r="E66" s="124">
        <v>139.99617684801592</v>
      </c>
      <c r="F66" s="64">
        <v>30</v>
      </c>
      <c r="G66" s="56">
        <v>1</v>
      </c>
      <c r="H66" s="56">
        <v>0</v>
      </c>
      <c r="I66" s="273">
        <v>1182008.6964836444</v>
      </c>
      <c r="J66" s="95">
        <f>'Negative Impact Var'!B80</f>
        <v>1182008.6964836444</v>
      </c>
      <c r="K66" s="216">
        <v>108</v>
      </c>
      <c r="L66" s="216">
        <v>8.8</v>
      </c>
      <c r="M66" s="240">
        <f t="shared" si="0"/>
        <v>74226333.75944358</v>
      </c>
      <c r="N66" s="220"/>
    </row>
    <row r="67" spans="1:22" s="57" customFormat="1" ht="15">
      <c r="A67" s="55">
        <v>40664</v>
      </c>
      <c r="B67" s="236">
        <v>72652305.78999999</v>
      </c>
      <c r="C67" s="117">
        <v>134.1</v>
      </c>
      <c r="D67" s="117">
        <v>13</v>
      </c>
      <c r="E67" s="124">
        <v>140.29594620164227</v>
      </c>
      <c r="F67" s="64">
        <v>31</v>
      </c>
      <c r="G67" s="56">
        <v>0</v>
      </c>
      <c r="H67" s="56">
        <v>1</v>
      </c>
      <c r="I67" s="273">
        <v>1222707.9913106733</v>
      </c>
      <c r="J67" s="95">
        <f>'Negative Impact Var'!B81</f>
        <v>1222707.9913106733</v>
      </c>
      <c r="K67" s="216">
        <v>108</v>
      </c>
      <c r="L67" s="216">
        <v>8.4</v>
      </c>
      <c r="M67" s="240">
        <f t="shared" si="0"/>
        <v>75481473.47842628</v>
      </c>
      <c r="N67" s="220"/>
      <c r="V67" s="61"/>
    </row>
    <row r="68" spans="1:22" s="57" customFormat="1" ht="15">
      <c r="A68" s="55">
        <v>40695</v>
      </c>
      <c r="B68" s="236">
        <v>76886231.90230769</v>
      </c>
      <c r="C68" s="117">
        <v>19</v>
      </c>
      <c r="D68" s="117">
        <v>52.2</v>
      </c>
      <c r="E68" s="124">
        <v>140.59635744183578</v>
      </c>
      <c r="F68" s="64">
        <v>30</v>
      </c>
      <c r="G68" s="56">
        <v>0</v>
      </c>
      <c r="H68" s="56">
        <v>0</v>
      </c>
      <c r="I68" s="273">
        <v>1263407.2861377022</v>
      </c>
      <c r="J68" s="95">
        <f>'Negative Impact Var'!B82</f>
        <v>1263407.2861377022</v>
      </c>
      <c r="K68" s="216">
        <v>108.1</v>
      </c>
      <c r="L68" s="216">
        <v>8.1</v>
      </c>
      <c r="M68" s="240">
        <f aca="true" t="shared" si="1" ref="M68:M131">$P$18+$P$19*C68+$P$20*D68+$P$21*E68+$P$22*F68+$P$23*G68+$P$24*H68+$P$25*I68</f>
        <v>79268194.21047923</v>
      </c>
      <c r="N68" s="220"/>
      <c r="V68" s="53"/>
    </row>
    <row r="69" spans="1:14" s="57" customFormat="1" ht="15">
      <c r="A69" s="55">
        <v>40725</v>
      </c>
      <c r="B69" s="236">
        <v>93432707.71615386</v>
      </c>
      <c r="C69" s="117">
        <v>0</v>
      </c>
      <c r="D69" s="117">
        <v>198.5</v>
      </c>
      <c r="E69" s="124">
        <v>140.89741194304773</v>
      </c>
      <c r="F69" s="64">
        <v>31</v>
      </c>
      <c r="G69" s="56">
        <v>0</v>
      </c>
      <c r="H69" s="56">
        <v>0</v>
      </c>
      <c r="I69" s="273">
        <v>1304106.580964731</v>
      </c>
      <c r="J69" s="95">
        <f>'Negative Impact Var'!B83</f>
        <v>1304106.580964731</v>
      </c>
      <c r="K69" s="216">
        <v>108.2</v>
      </c>
      <c r="L69" s="216">
        <v>8.4</v>
      </c>
      <c r="M69" s="240">
        <f t="shared" si="1"/>
        <v>99137617.00867212</v>
      </c>
      <c r="N69" s="220"/>
    </row>
    <row r="70" spans="1:14" s="57" customFormat="1" ht="15">
      <c r="A70" s="55">
        <v>40756</v>
      </c>
      <c r="B70" s="236">
        <v>86792642.63076924</v>
      </c>
      <c r="C70" s="117">
        <v>0</v>
      </c>
      <c r="D70" s="117">
        <v>122.2</v>
      </c>
      <c r="E70" s="124">
        <v>141.19911108267243</v>
      </c>
      <c r="F70" s="64">
        <v>31</v>
      </c>
      <c r="G70" s="56">
        <v>0</v>
      </c>
      <c r="H70" s="56">
        <v>0</v>
      </c>
      <c r="I70" s="273">
        <v>1344805.87579176</v>
      </c>
      <c r="J70" s="95">
        <f>'Negative Impact Var'!B84</f>
        <v>1344805.87579176</v>
      </c>
      <c r="K70" s="216">
        <v>108.3</v>
      </c>
      <c r="L70" s="216">
        <v>8.9</v>
      </c>
      <c r="M70" s="240">
        <f t="shared" si="1"/>
        <v>89557972.26738624</v>
      </c>
      <c r="N70" s="220"/>
    </row>
    <row r="71" spans="1:14" s="57" customFormat="1" ht="15">
      <c r="A71" s="55">
        <v>40787</v>
      </c>
      <c r="B71" s="236">
        <v>75561450.66461538</v>
      </c>
      <c r="C71" s="117">
        <v>48.2</v>
      </c>
      <c r="D71" s="117">
        <v>39.7</v>
      </c>
      <c r="E71" s="124">
        <v>141.50145624105357</v>
      </c>
      <c r="F71" s="64">
        <v>30</v>
      </c>
      <c r="G71" s="56">
        <v>0</v>
      </c>
      <c r="H71" s="56">
        <v>0</v>
      </c>
      <c r="I71" s="273">
        <v>1385505.1706187888</v>
      </c>
      <c r="J71" s="95">
        <f>'Negative Impact Var'!B85</f>
        <v>1385505.1706187888</v>
      </c>
      <c r="K71" s="216">
        <v>108.4</v>
      </c>
      <c r="L71" s="216">
        <v>9.1</v>
      </c>
      <c r="M71" s="240">
        <f t="shared" si="1"/>
        <v>78245552.76449744</v>
      </c>
      <c r="N71" s="220"/>
    </row>
    <row r="72" spans="1:14" s="57" customFormat="1" ht="15">
      <c r="A72" s="55">
        <v>40817</v>
      </c>
      <c r="B72" s="236">
        <v>73210551.58153847</v>
      </c>
      <c r="C72" s="117">
        <v>235.5</v>
      </c>
      <c r="D72" s="117">
        <v>2.4</v>
      </c>
      <c r="E72" s="124">
        <v>141.80444880149057</v>
      </c>
      <c r="F72" s="64">
        <v>31</v>
      </c>
      <c r="G72" s="56">
        <v>0</v>
      </c>
      <c r="H72" s="56">
        <v>0</v>
      </c>
      <c r="I72" s="273">
        <v>1426204.4654458177</v>
      </c>
      <c r="J72" s="95">
        <f>'Negative Impact Var'!B86</f>
        <v>1426204.4654458177</v>
      </c>
      <c r="K72" s="216">
        <v>108.5</v>
      </c>
      <c r="L72" s="216">
        <v>8.7</v>
      </c>
      <c r="M72" s="240">
        <f t="shared" si="1"/>
        <v>78399377.9477766</v>
      </c>
      <c r="N72" s="220"/>
    </row>
    <row r="73" spans="1:14" s="57" customFormat="1" ht="15">
      <c r="A73" s="55">
        <v>40848</v>
      </c>
      <c r="B73" s="236">
        <v>74362594.60076922</v>
      </c>
      <c r="C73" s="117">
        <v>342.1</v>
      </c>
      <c r="D73" s="117">
        <v>0</v>
      </c>
      <c r="E73" s="124">
        <v>142.10809015024478</v>
      </c>
      <c r="F73" s="64">
        <v>30</v>
      </c>
      <c r="G73" s="56">
        <v>0</v>
      </c>
      <c r="H73" s="56">
        <v>0</v>
      </c>
      <c r="I73" s="273">
        <v>1466903.7602728466</v>
      </c>
      <c r="J73" s="95">
        <f>'Negative Impact Var'!B87</f>
        <v>1466903.7602728466</v>
      </c>
      <c r="K73" s="216">
        <v>108.6</v>
      </c>
      <c r="L73" s="216">
        <v>8.4</v>
      </c>
      <c r="M73" s="240">
        <f t="shared" si="1"/>
        <v>78129073.52102713</v>
      </c>
      <c r="N73" s="220"/>
    </row>
    <row r="74" spans="1:22" s="61" customFormat="1" ht="15">
      <c r="A74" s="59">
        <v>40878</v>
      </c>
      <c r="B74" s="236">
        <v>78058078.98307693</v>
      </c>
      <c r="C74" s="117">
        <v>534</v>
      </c>
      <c r="D74" s="117">
        <v>0</v>
      </c>
      <c r="E74" s="125">
        <v>142.4123816765458</v>
      </c>
      <c r="F74" s="65">
        <v>31</v>
      </c>
      <c r="G74" s="60">
        <v>0</v>
      </c>
      <c r="H74" s="60">
        <v>0</v>
      </c>
      <c r="I74" s="274">
        <v>1507603.0550998754</v>
      </c>
      <c r="J74" s="96">
        <f>'Negative Impact Var'!B88</f>
        <v>1507603.0550998754</v>
      </c>
      <c r="K74" s="216">
        <v>108.7</v>
      </c>
      <c r="L74" s="216">
        <v>7.6</v>
      </c>
      <c r="M74" s="240">
        <f t="shared" si="1"/>
        <v>83053714.44218801</v>
      </c>
      <c r="N74" s="220"/>
      <c r="O74" s="57"/>
      <c r="P74" s="57"/>
      <c r="Q74" s="57"/>
      <c r="R74" s="57"/>
      <c r="S74" s="57"/>
      <c r="T74" s="57"/>
      <c r="U74" s="57"/>
      <c r="V74" s="57"/>
    </row>
    <row r="75" spans="1:22" s="53" customFormat="1" ht="15">
      <c r="A75" s="51">
        <v>40909</v>
      </c>
      <c r="B75" s="236">
        <v>83475292.24692309</v>
      </c>
      <c r="C75" s="117">
        <v>610.8000000000001</v>
      </c>
      <c r="D75" s="117">
        <v>0</v>
      </c>
      <c r="E75" s="124">
        <v>142.61257743956915</v>
      </c>
      <c r="F75" s="52">
        <v>31</v>
      </c>
      <c r="G75" s="52">
        <v>0</v>
      </c>
      <c r="H75" s="52">
        <v>0</v>
      </c>
      <c r="I75" s="272">
        <v>1533368.7580458736</v>
      </c>
      <c r="J75" s="94">
        <f>'Negative Impact Var'!B89</f>
        <v>1533368.7580458736</v>
      </c>
      <c r="K75" s="216">
        <v>108.8</v>
      </c>
      <c r="L75" s="216">
        <v>8.6</v>
      </c>
      <c r="M75" s="240">
        <f t="shared" si="1"/>
        <v>84335361.83078901</v>
      </c>
      <c r="N75" s="218"/>
      <c r="O75" s="61"/>
      <c r="P75" s="61"/>
      <c r="Q75" s="61"/>
      <c r="R75" s="61"/>
      <c r="S75" s="61"/>
      <c r="T75" s="61"/>
      <c r="U75" s="61"/>
      <c r="V75" s="57"/>
    </row>
    <row r="76" spans="1:21" s="57" customFormat="1" ht="15">
      <c r="A76" s="55">
        <v>40940</v>
      </c>
      <c r="B76" s="236">
        <v>76561559.59923075</v>
      </c>
      <c r="C76" s="117">
        <v>532</v>
      </c>
      <c r="D76" s="117">
        <v>0</v>
      </c>
      <c r="E76" s="124">
        <v>142.8130546271643</v>
      </c>
      <c r="F76" s="67">
        <v>29</v>
      </c>
      <c r="G76" s="56">
        <v>0</v>
      </c>
      <c r="H76" s="56">
        <v>0</v>
      </c>
      <c r="I76" s="273">
        <v>1559134.4609918718</v>
      </c>
      <c r="J76" s="95">
        <f>'Negative Impact Var'!B90</f>
        <v>1559134.4609918718</v>
      </c>
      <c r="K76" s="216">
        <v>108.9</v>
      </c>
      <c r="L76" s="216">
        <v>8.7</v>
      </c>
      <c r="M76" s="240">
        <f t="shared" si="1"/>
        <v>79568830.69232556</v>
      </c>
      <c r="N76" s="220"/>
      <c r="O76" s="53"/>
      <c r="P76" s="53"/>
      <c r="Q76" s="53"/>
      <c r="R76" s="53"/>
      <c r="S76" s="53"/>
      <c r="T76" s="53"/>
      <c r="U76" s="53"/>
    </row>
    <row r="77" spans="1:14" s="57" customFormat="1" ht="15">
      <c r="A77" s="55">
        <v>40969</v>
      </c>
      <c r="B77" s="236">
        <v>76020277.87538463</v>
      </c>
      <c r="C77" s="117">
        <v>349.4000000000001</v>
      </c>
      <c r="D77" s="117">
        <v>0.2</v>
      </c>
      <c r="E77" s="124">
        <v>143.01381363494295</v>
      </c>
      <c r="F77" s="56">
        <v>31</v>
      </c>
      <c r="G77" s="56">
        <v>0</v>
      </c>
      <c r="H77" s="56">
        <v>0</v>
      </c>
      <c r="I77" s="273">
        <v>1584900.16393787</v>
      </c>
      <c r="J77" s="95">
        <f>'Negative Impact Var'!B91</f>
        <v>1584900.16393787</v>
      </c>
      <c r="K77" s="216">
        <v>109</v>
      </c>
      <c r="L77" s="216">
        <v>9.2</v>
      </c>
      <c r="M77" s="240">
        <f t="shared" si="1"/>
        <v>80101673.62202072</v>
      </c>
      <c r="N77" s="220"/>
    </row>
    <row r="78" spans="1:14" s="57" customFormat="1" ht="15">
      <c r="A78" s="55">
        <v>41000</v>
      </c>
      <c r="B78" s="236">
        <v>69885111.66</v>
      </c>
      <c r="C78" s="117">
        <v>321.70000000000005</v>
      </c>
      <c r="D78" s="117">
        <v>0</v>
      </c>
      <c r="E78" s="124">
        <v>143.21485485907297</v>
      </c>
      <c r="F78" s="56">
        <v>30</v>
      </c>
      <c r="G78" s="56">
        <v>1</v>
      </c>
      <c r="H78" s="56">
        <v>0</v>
      </c>
      <c r="I78" s="273">
        <v>1610665.8668838681</v>
      </c>
      <c r="J78" s="95">
        <f>'Negative Impact Var'!B92</f>
        <v>1610665.8668838681</v>
      </c>
      <c r="K78" s="216">
        <v>109</v>
      </c>
      <c r="L78" s="216">
        <v>8.5</v>
      </c>
      <c r="M78" s="240">
        <f t="shared" si="1"/>
        <v>74318484.37592487</v>
      </c>
      <c r="N78" s="220"/>
    </row>
    <row r="79" spans="1:22" s="57" customFormat="1" ht="15">
      <c r="A79" s="55">
        <v>41030</v>
      </c>
      <c r="B79" s="236">
        <v>77152267.27727273</v>
      </c>
      <c r="C79" s="117">
        <v>81.30000000000001</v>
      </c>
      <c r="D79" s="117">
        <v>36.7</v>
      </c>
      <c r="E79" s="124">
        <v>143.41617869627913</v>
      </c>
      <c r="F79" s="56">
        <v>31</v>
      </c>
      <c r="G79" s="56">
        <v>0</v>
      </c>
      <c r="H79" s="56">
        <v>1</v>
      </c>
      <c r="I79" s="273">
        <v>1636431.5698298663</v>
      </c>
      <c r="J79" s="95">
        <f>'Negative Impact Var'!B93</f>
        <v>1636431.5698298663</v>
      </c>
      <c r="K79" s="216">
        <v>109.1</v>
      </c>
      <c r="L79" s="216">
        <v>8.5</v>
      </c>
      <c r="M79" s="240">
        <f t="shared" si="1"/>
        <v>77859690.51662023</v>
      </c>
      <c r="N79" s="220"/>
      <c r="V79" s="61"/>
    </row>
    <row r="80" spans="1:22" s="57" customFormat="1" ht="15">
      <c r="A80" s="55">
        <v>41061</v>
      </c>
      <c r="B80" s="236">
        <v>83683996.89909092</v>
      </c>
      <c r="C80" s="117">
        <v>23.2</v>
      </c>
      <c r="D80" s="117">
        <v>101.60000000000001</v>
      </c>
      <c r="E80" s="124">
        <v>143.61778554384387</v>
      </c>
      <c r="F80" s="56">
        <v>30</v>
      </c>
      <c r="G80" s="56">
        <v>0</v>
      </c>
      <c r="H80" s="56">
        <v>0</v>
      </c>
      <c r="I80" s="273">
        <v>1662197.2727758645</v>
      </c>
      <c r="J80" s="95">
        <f>'Negative Impact Var'!B94</f>
        <v>1662197.2727758645</v>
      </c>
      <c r="K80" s="216">
        <v>109.2</v>
      </c>
      <c r="L80" s="216">
        <v>8.5</v>
      </c>
      <c r="M80" s="240">
        <f t="shared" si="1"/>
        <v>85814869.4248196</v>
      </c>
      <c r="N80" s="220"/>
      <c r="V80" s="53"/>
    </row>
    <row r="81" spans="1:14" s="57" customFormat="1" ht="15">
      <c r="A81" s="55">
        <v>41091</v>
      </c>
      <c r="B81" s="236">
        <v>97430291.17818181</v>
      </c>
      <c r="C81" s="117">
        <v>0</v>
      </c>
      <c r="D81" s="117">
        <v>190.09999999999997</v>
      </c>
      <c r="E81" s="124">
        <v>143.8196757996081</v>
      </c>
      <c r="F81" s="56">
        <v>31</v>
      </c>
      <c r="G81" s="56">
        <v>0</v>
      </c>
      <c r="H81" s="56">
        <v>0</v>
      </c>
      <c r="I81" s="273">
        <v>1687962.9757218626</v>
      </c>
      <c r="J81" s="95">
        <f>'Negative Impact Var'!B95</f>
        <v>1687962.9757218626</v>
      </c>
      <c r="K81" s="216">
        <v>109.3</v>
      </c>
      <c r="L81" s="216">
        <v>8.1</v>
      </c>
      <c r="M81" s="240">
        <f t="shared" si="1"/>
        <v>98337102.41104718</v>
      </c>
      <c r="N81" s="220"/>
    </row>
    <row r="82" spans="1:14" s="57" customFormat="1" ht="15">
      <c r="A82" s="55">
        <v>41122</v>
      </c>
      <c r="B82" s="236">
        <v>90717698.74545453</v>
      </c>
      <c r="C82" s="117">
        <v>2</v>
      </c>
      <c r="D82" s="117">
        <v>112.10000000000001</v>
      </c>
      <c r="E82" s="124">
        <v>144.02184986197204</v>
      </c>
      <c r="F82" s="56">
        <v>31</v>
      </c>
      <c r="G82" s="56">
        <v>0</v>
      </c>
      <c r="H82" s="56">
        <v>0</v>
      </c>
      <c r="I82" s="273">
        <v>1713728.6786678608</v>
      </c>
      <c r="J82" s="95">
        <f>'Negative Impact Var'!B96</f>
        <v>1713728.6786678608</v>
      </c>
      <c r="K82" s="216">
        <v>109.4</v>
      </c>
      <c r="L82" s="216">
        <v>8.8</v>
      </c>
      <c r="M82" s="240">
        <f t="shared" si="1"/>
        <v>88572814.63594235</v>
      </c>
      <c r="N82" s="220"/>
    </row>
    <row r="83" spans="1:14" s="57" customFormat="1" ht="15">
      <c r="A83" s="55">
        <v>41153</v>
      </c>
      <c r="B83" s="236">
        <v>77862574.99090907</v>
      </c>
      <c r="C83" s="117">
        <v>85</v>
      </c>
      <c r="D83" s="117">
        <v>35.6</v>
      </c>
      <c r="E83" s="124">
        <v>144.22430812989595</v>
      </c>
      <c r="F83" s="56">
        <v>30</v>
      </c>
      <c r="G83" s="56">
        <v>0</v>
      </c>
      <c r="H83" s="56">
        <v>0</v>
      </c>
      <c r="I83" s="273">
        <v>1739494.381613859</v>
      </c>
      <c r="J83" s="95">
        <f>'Negative Impact Var'!B97</f>
        <v>1739494.381613859</v>
      </c>
      <c r="K83" s="216">
        <v>109.5</v>
      </c>
      <c r="L83" s="216">
        <v>8.3</v>
      </c>
      <c r="M83" s="240">
        <f t="shared" si="1"/>
        <v>78583942.17280151</v>
      </c>
      <c r="N83" s="220"/>
    </row>
    <row r="84" spans="1:14" s="57" customFormat="1" ht="15">
      <c r="A84" s="55">
        <v>41183</v>
      </c>
      <c r="B84" s="236">
        <v>75966062.29727276</v>
      </c>
      <c r="C84" s="117">
        <v>242.50000000000003</v>
      </c>
      <c r="D84" s="117">
        <v>1.1</v>
      </c>
      <c r="E84" s="124">
        <v>144.42705100290087</v>
      </c>
      <c r="F84" s="56">
        <v>31</v>
      </c>
      <c r="G84" s="56">
        <v>0</v>
      </c>
      <c r="H84" s="56">
        <v>0</v>
      </c>
      <c r="I84" s="273">
        <v>1765260.0845598571</v>
      </c>
      <c r="J84" s="95">
        <f>'Negative Impact Var'!B98</f>
        <v>1765260.0845598571</v>
      </c>
      <c r="K84" s="216">
        <v>109.6</v>
      </c>
      <c r="L84" s="216">
        <v>8.8</v>
      </c>
      <c r="M84" s="240">
        <f t="shared" si="1"/>
        <v>78596381.18877636</v>
      </c>
      <c r="N84" s="220"/>
    </row>
    <row r="85" spans="1:14" s="57" customFormat="1" ht="15">
      <c r="A85" s="55">
        <v>41214</v>
      </c>
      <c r="B85" s="236">
        <v>77579680.9418182</v>
      </c>
      <c r="C85" s="117">
        <v>433.99999999999994</v>
      </c>
      <c r="D85" s="117">
        <v>0</v>
      </c>
      <c r="E85" s="124">
        <v>144.63007888106955</v>
      </c>
      <c r="F85" s="56">
        <v>30</v>
      </c>
      <c r="G85" s="56">
        <v>0</v>
      </c>
      <c r="H85" s="56">
        <v>0</v>
      </c>
      <c r="I85" s="273">
        <v>1791025.7875058553</v>
      </c>
      <c r="J85" s="95">
        <f>'Negative Impact Var'!B99</f>
        <v>1791025.7875058553</v>
      </c>
      <c r="K85" s="216">
        <v>109.6</v>
      </c>
      <c r="L85" s="216">
        <v>7.6</v>
      </c>
      <c r="M85" s="240">
        <f t="shared" si="1"/>
        <v>79881385.48692691</v>
      </c>
      <c r="N85" s="220"/>
    </row>
    <row r="86" spans="1:22" s="61" customFormat="1" ht="15">
      <c r="A86" s="59">
        <v>41244</v>
      </c>
      <c r="B86" s="236">
        <v>78044416.99363635</v>
      </c>
      <c r="C86" s="117">
        <v>533.5000000000001</v>
      </c>
      <c r="D86" s="117">
        <v>0</v>
      </c>
      <c r="E86" s="125">
        <v>144.83339216504706</v>
      </c>
      <c r="F86" s="60">
        <v>31</v>
      </c>
      <c r="G86" s="60">
        <v>0</v>
      </c>
      <c r="H86" s="60">
        <v>0</v>
      </c>
      <c r="I86" s="274">
        <v>1816791.4904518535</v>
      </c>
      <c r="J86" s="96">
        <f>'Negative Impact Var'!B100</f>
        <v>1816791.4904518535</v>
      </c>
      <c r="K86" s="216">
        <v>109.7</v>
      </c>
      <c r="L86" s="216">
        <v>7.5</v>
      </c>
      <c r="M86" s="240">
        <f t="shared" si="1"/>
        <v>83282765.0104315</v>
      </c>
      <c r="N86" s="220"/>
      <c r="O86" s="57"/>
      <c r="P86" s="57"/>
      <c r="Q86" s="57"/>
      <c r="R86" s="57"/>
      <c r="S86" s="57"/>
      <c r="T86" s="57"/>
      <c r="U86" s="57"/>
      <c r="V86" s="57"/>
    </row>
    <row r="87" spans="1:22" s="53" customFormat="1" ht="15">
      <c r="A87" s="51">
        <v>41275</v>
      </c>
      <c r="B87" s="236">
        <v>84721792.14333338</v>
      </c>
      <c r="C87" s="117">
        <v>624.4000000000001</v>
      </c>
      <c r="D87" s="117">
        <v>0</v>
      </c>
      <c r="E87" s="124">
        <v>144.98936781896037</v>
      </c>
      <c r="F87" s="52">
        <v>31</v>
      </c>
      <c r="G87" s="52">
        <v>0</v>
      </c>
      <c r="H87" s="52">
        <v>0</v>
      </c>
      <c r="I87" s="272">
        <v>1875284.9107613657</v>
      </c>
      <c r="J87" s="94">
        <f>'Negative Impact Var'!B101</f>
        <v>1875284.9107613657</v>
      </c>
      <c r="K87" s="216">
        <v>109.8</v>
      </c>
      <c r="L87" s="216">
        <v>7.4</v>
      </c>
      <c r="M87" s="240">
        <f t="shared" si="1"/>
        <v>84684958.82977499</v>
      </c>
      <c r="N87" s="218"/>
      <c r="O87" s="61"/>
      <c r="P87" s="61"/>
      <c r="Q87" s="61"/>
      <c r="R87" s="61"/>
      <c r="S87" s="61"/>
      <c r="T87" s="61"/>
      <c r="U87" s="61"/>
      <c r="V87" s="57"/>
    </row>
    <row r="88" spans="1:21" s="57" customFormat="1" ht="15">
      <c r="A88" s="55">
        <v>41306</v>
      </c>
      <c r="B88" s="236">
        <v>76515852.36000001</v>
      </c>
      <c r="C88" s="117">
        <v>631.4999999999999</v>
      </c>
      <c r="D88" s="117">
        <v>0</v>
      </c>
      <c r="E88" s="124">
        <v>145.14551144798114</v>
      </c>
      <c r="F88" s="56">
        <v>28</v>
      </c>
      <c r="G88" s="56">
        <v>0</v>
      </c>
      <c r="H88" s="56">
        <v>0</v>
      </c>
      <c r="I88" s="273">
        <v>1933778.3310708778</v>
      </c>
      <c r="J88" s="95">
        <f>'Negative Impact Var'!B102</f>
        <v>1933778.3310708778</v>
      </c>
      <c r="K88" s="216">
        <v>109.8</v>
      </c>
      <c r="L88" s="216">
        <v>7.5</v>
      </c>
      <c r="M88" s="240">
        <f t="shared" si="1"/>
        <v>79474171.32697397</v>
      </c>
      <c r="N88" s="220"/>
      <c r="O88"/>
      <c r="P88"/>
      <c r="Q88"/>
      <c r="R88"/>
      <c r="S88"/>
      <c r="T88"/>
      <c r="U88"/>
    </row>
    <row r="89" spans="1:21" s="57" customFormat="1" ht="15">
      <c r="A89" s="55">
        <v>41334</v>
      </c>
      <c r="B89" s="236">
        <v>80320040.10333335</v>
      </c>
      <c r="C89" s="117">
        <v>554.8</v>
      </c>
      <c r="D89" s="117">
        <v>0</v>
      </c>
      <c r="E89" s="124">
        <v>145.30182323300707</v>
      </c>
      <c r="F89" s="56">
        <v>31</v>
      </c>
      <c r="G89" s="56">
        <v>0</v>
      </c>
      <c r="H89" s="56">
        <v>0</v>
      </c>
      <c r="I89" s="273">
        <v>1992271.75138039</v>
      </c>
      <c r="J89" s="95">
        <f>'Negative Impact Var'!B103</f>
        <v>1992271.75138039</v>
      </c>
      <c r="K89" s="216">
        <v>109.9</v>
      </c>
      <c r="L89" s="216">
        <v>7.6</v>
      </c>
      <c r="M89" s="240">
        <f t="shared" si="1"/>
        <v>83356596.52939765</v>
      </c>
      <c r="N89" s="220"/>
      <c r="O89"/>
      <c r="P89"/>
      <c r="Q89"/>
      <c r="R89"/>
      <c r="S89"/>
      <c r="T89"/>
      <c r="U89"/>
    </row>
    <row r="90" spans="1:21" s="57" customFormat="1" ht="15">
      <c r="A90" s="55">
        <v>41365</v>
      </c>
      <c r="B90" s="236">
        <v>73854214.82666667</v>
      </c>
      <c r="C90" s="117">
        <v>358.6</v>
      </c>
      <c r="D90" s="117">
        <v>0</v>
      </c>
      <c r="E90" s="124">
        <v>145.45830335513068</v>
      </c>
      <c r="F90" s="56">
        <v>30</v>
      </c>
      <c r="G90" s="56">
        <v>1</v>
      </c>
      <c r="H90" s="56">
        <v>0</v>
      </c>
      <c r="I90" s="273">
        <v>2050765.1716899022</v>
      </c>
      <c r="J90" s="95">
        <f>'Negative Impact Var'!B104</f>
        <v>2050765.1716899022</v>
      </c>
      <c r="K90" s="216">
        <v>110</v>
      </c>
      <c r="L90" s="216">
        <v>7.4</v>
      </c>
      <c r="M90" s="240">
        <f t="shared" si="1"/>
        <v>74717054.17058134</v>
      </c>
      <c r="N90" s="220"/>
      <c r="O90"/>
      <c r="P90"/>
      <c r="Q90"/>
      <c r="R90"/>
      <c r="S90"/>
      <c r="T90"/>
      <c r="U90"/>
    </row>
    <row r="91" spans="1:22" s="57" customFormat="1" ht="15">
      <c r="A91" s="55">
        <v>41395</v>
      </c>
      <c r="B91" s="236">
        <v>75766818.39333336</v>
      </c>
      <c r="C91" s="117">
        <v>109.10000000000001</v>
      </c>
      <c r="D91" s="117">
        <v>23.1</v>
      </c>
      <c r="E91" s="124">
        <v>145.6149519956395</v>
      </c>
      <c r="F91" s="56">
        <v>31</v>
      </c>
      <c r="G91" s="56">
        <v>0</v>
      </c>
      <c r="H91" s="56">
        <v>1</v>
      </c>
      <c r="I91" s="273">
        <v>2109258.5919994144</v>
      </c>
      <c r="J91" s="95">
        <f>'Negative Impact Var'!B105</f>
        <v>2109258.5919994144</v>
      </c>
      <c r="K91" s="216">
        <v>110</v>
      </c>
      <c r="L91" s="216">
        <v>7.1</v>
      </c>
      <c r="M91" s="240">
        <f t="shared" si="1"/>
        <v>76285490.56742916</v>
      </c>
      <c r="N91" s="220"/>
      <c r="O91"/>
      <c r="P91"/>
      <c r="Q91"/>
      <c r="R91"/>
      <c r="S91"/>
      <c r="T91"/>
      <c r="U91"/>
      <c r="V91" s="61"/>
    </row>
    <row r="92" spans="1:22" s="57" customFormat="1" ht="15">
      <c r="A92" s="55">
        <v>41426</v>
      </c>
      <c r="B92" s="236">
        <v>79605453.47333334</v>
      </c>
      <c r="C92" s="119">
        <v>33</v>
      </c>
      <c r="D92" s="119">
        <v>59.599999999999994</v>
      </c>
      <c r="E92" s="124">
        <v>145.77176933601632</v>
      </c>
      <c r="F92" s="56">
        <v>30</v>
      </c>
      <c r="G92" s="56">
        <v>0</v>
      </c>
      <c r="H92" s="56">
        <v>0</v>
      </c>
      <c r="I92" s="273">
        <v>2167752.012308927</v>
      </c>
      <c r="J92" s="95">
        <f>'Negative Impact Var'!B106</f>
        <v>2167752.012308927</v>
      </c>
      <c r="K92" s="216">
        <v>110.1</v>
      </c>
      <c r="L92" s="216">
        <v>6.6</v>
      </c>
      <c r="M92" s="240">
        <f t="shared" si="1"/>
        <v>80258795.29208075</v>
      </c>
      <c r="N92" s="220"/>
      <c r="O92"/>
      <c r="P92"/>
      <c r="Q92"/>
      <c r="R92"/>
      <c r="S92"/>
      <c r="T92"/>
      <c r="U92"/>
      <c r="V92" s="53"/>
    </row>
    <row r="93" spans="1:21" s="57" customFormat="1" ht="15">
      <c r="A93" s="55">
        <v>41456</v>
      </c>
      <c r="B93" s="236">
        <v>91347063.43000002</v>
      </c>
      <c r="C93" s="117">
        <v>1.2999999999999998</v>
      </c>
      <c r="D93" s="117">
        <v>120.80000000000003</v>
      </c>
      <c r="E93" s="124">
        <v>145.92875555793933</v>
      </c>
      <c r="F93" s="56">
        <v>31</v>
      </c>
      <c r="G93" s="56">
        <v>0</v>
      </c>
      <c r="H93" s="56">
        <v>0</v>
      </c>
      <c r="I93" s="273">
        <v>2226245.432618439</v>
      </c>
      <c r="J93" s="95">
        <f>'Negative Impact Var'!B107</f>
        <v>2226245.432618439</v>
      </c>
      <c r="K93" s="216">
        <v>110.2</v>
      </c>
      <c r="L93" s="216">
        <v>6.7</v>
      </c>
      <c r="M93" s="240">
        <f t="shared" si="1"/>
        <v>89093727.44422437</v>
      </c>
      <c r="N93" s="220"/>
      <c r="O93"/>
      <c r="P93"/>
      <c r="Q93"/>
      <c r="R93"/>
      <c r="S93"/>
      <c r="T93"/>
      <c r="U93"/>
    </row>
    <row r="94" spans="1:21" s="57" customFormat="1" ht="15">
      <c r="A94" s="55">
        <v>41487</v>
      </c>
      <c r="B94" s="236">
        <v>86194913.58000001</v>
      </c>
      <c r="C94" s="117">
        <v>4.4</v>
      </c>
      <c r="D94" s="117">
        <v>93.79999999999998</v>
      </c>
      <c r="E94" s="124">
        <v>146.08591084328242</v>
      </c>
      <c r="F94" s="56">
        <v>31</v>
      </c>
      <c r="G94" s="56">
        <v>0</v>
      </c>
      <c r="H94" s="56">
        <v>0</v>
      </c>
      <c r="I94" s="273">
        <v>2284738.8529279516</v>
      </c>
      <c r="J94" s="95">
        <f>'Negative Impact Var'!B108</f>
        <v>2284738.8529279516</v>
      </c>
      <c r="K94" s="216">
        <v>110.3</v>
      </c>
      <c r="L94" s="216">
        <v>7.1</v>
      </c>
      <c r="M94" s="240">
        <f t="shared" si="1"/>
        <v>85654799.61469805</v>
      </c>
      <c r="N94" s="220"/>
      <c r="O94"/>
      <c r="P94"/>
      <c r="Q94"/>
      <c r="R94"/>
      <c r="S94"/>
      <c r="T94"/>
      <c r="U94"/>
    </row>
    <row r="95" spans="1:21" s="57" customFormat="1" ht="15">
      <c r="A95" s="55">
        <v>41518</v>
      </c>
      <c r="B95" s="236">
        <v>77473370.18333332</v>
      </c>
      <c r="C95" s="117">
        <v>82.99999999999999</v>
      </c>
      <c r="D95" s="117">
        <v>28.099999999999998</v>
      </c>
      <c r="E95" s="124">
        <v>146.2432353741153</v>
      </c>
      <c r="F95" s="56">
        <v>30</v>
      </c>
      <c r="G95" s="56">
        <v>0</v>
      </c>
      <c r="H95" s="56">
        <v>0</v>
      </c>
      <c r="I95" s="273">
        <v>2343232.273237464</v>
      </c>
      <c r="J95" s="95">
        <f>'Negative Impact Var'!B109</f>
        <v>2343232.273237464</v>
      </c>
      <c r="K95" s="216">
        <v>110.4</v>
      </c>
      <c r="L95" s="216">
        <v>6</v>
      </c>
      <c r="M95" s="240">
        <f t="shared" si="1"/>
        <v>76841216.89990604</v>
      </c>
      <c r="N95" s="220"/>
      <c r="O95"/>
      <c r="P95"/>
      <c r="Q95"/>
      <c r="R95"/>
      <c r="S95"/>
      <c r="T95"/>
      <c r="U95"/>
    </row>
    <row r="96" spans="1:21" s="57" customFormat="1" ht="15">
      <c r="A96" s="55">
        <v>41548</v>
      </c>
      <c r="B96" s="236">
        <v>76800878.56</v>
      </c>
      <c r="C96" s="117">
        <v>208.5</v>
      </c>
      <c r="D96" s="117">
        <v>0.4</v>
      </c>
      <c r="E96" s="124">
        <v>146.4007293327038</v>
      </c>
      <c r="F96" s="56">
        <v>31</v>
      </c>
      <c r="G96" s="56">
        <v>0</v>
      </c>
      <c r="H96" s="56">
        <v>0</v>
      </c>
      <c r="I96" s="273">
        <v>2401725.6935469764</v>
      </c>
      <c r="J96" s="95">
        <f>'Negative Impact Var'!B110</f>
        <v>2401725.6935469764</v>
      </c>
      <c r="K96" s="216">
        <v>110.5</v>
      </c>
      <c r="L96" s="216">
        <v>5</v>
      </c>
      <c r="M96" s="240">
        <f t="shared" si="1"/>
        <v>77071710.8148521</v>
      </c>
      <c r="N96" s="220"/>
      <c r="O96"/>
      <c r="P96"/>
      <c r="Q96"/>
      <c r="R96"/>
      <c r="S96"/>
      <c r="T96"/>
      <c r="U96"/>
    </row>
    <row r="97" spans="1:21" s="57" customFormat="1" ht="15">
      <c r="A97" s="55">
        <v>41579</v>
      </c>
      <c r="B97" s="236">
        <v>77253769.39666666</v>
      </c>
      <c r="C97" s="117">
        <v>478.20000000000005</v>
      </c>
      <c r="D97" s="117">
        <v>0</v>
      </c>
      <c r="E97" s="124">
        <v>146.55839290151005</v>
      </c>
      <c r="F97" s="56">
        <v>30</v>
      </c>
      <c r="G97" s="56">
        <v>0</v>
      </c>
      <c r="H97" s="56">
        <v>0</v>
      </c>
      <c r="I97" s="273">
        <v>2460219.113856489</v>
      </c>
      <c r="J97" s="95">
        <f>'Negative Impact Var'!B111</f>
        <v>2460219.113856489</v>
      </c>
      <c r="K97" s="216">
        <v>110.6</v>
      </c>
      <c r="L97" s="216">
        <v>4.2</v>
      </c>
      <c r="M97" s="240">
        <f t="shared" si="1"/>
        <v>79618639.22753598</v>
      </c>
      <c r="N97" s="220"/>
      <c r="O97"/>
      <c r="P97"/>
      <c r="Q97"/>
      <c r="R97"/>
      <c r="S97"/>
      <c r="T97"/>
      <c r="U97"/>
    </row>
    <row r="98" spans="1:22" s="61" customFormat="1" ht="15">
      <c r="A98" s="59">
        <v>41609</v>
      </c>
      <c r="B98" s="236">
        <v>81481312.55</v>
      </c>
      <c r="C98" s="117">
        <v>687.9</v>
      </c>
      <c r="D98" s="117">
        <v>0</v>
      </c>
      <c r="E98" s="125">
        <v>146.71622626319265</v>
      </c>
      <c r="F98" s="60">
        <v>31</v>
      </c>
      <c r="G98" s="60">
        <v>0</v>
      </c>
      <c r="H98" s="60">
        <v>0</v>
      </c>
      <c r="I98" s="274">
        <v>2518712.5341660012</v>
      </c>
      <c r="J98" s="96">
        <f>'Negative Impact Var'!B112</f>
        <v>2518712.5341660012</v>
      </c>
      <c r="K98" s="216">
        <v>110.6</v>
      </c>
      <c r="L98" s="216">
        <v>5.1</v>
      </c>
      <c r="M98" s="240">
        <f t="shared" si="1"/>
        <v>84719863.18375897</v>
      </c>
      <c r="N98" s="220"/>
      <c r="O98"/>
      <c r="P98"/>
      <c r="Q98"/>
      <c r="R98"/>
      <c r="S98"/>
      <c r="T98"/>
      <c r="U98"/>
      <c r="V98" s="57"/>
    </row>
    <row r="99" spans="1:22" s="53" customFormat="1" ht="15">
      <c r="A99" s="51">
        <v>41640</v>
      </c>
      <c r="B99" s="236">
        <v>87110628.41999999</v>
      </c>
      <c r="C99" s="117">
        <v>825.9000000000001</v>
      </c>
      <c r="D99" s="117">
        <v>0</v>
      </c>
      <c r="E99" s="124">
        <v>146.98253131935166</v>
      </c>
      <c r="F99" s="52">
        <v>31</v>
      </c>
      <c r="G99" s="52">
        <v>0</v>
      </c>
      <c r="H99" s="52">
        <v>0</v>
      </c>
      <c r="I99" s="272">
        <v>2720610.5265006116</v>
      </c>
      <c r="J99" s="94">
        <f>'Negative Impact Var'!B113</f>
        <v>2720610.5265006116</v>
      </c>
      <c r="K99" s="216">
        <v>110.7</v>
      </c>
      <c r="L99" s="216">
        <v>5.8</v>
      </c>
      <c r="M99" s="240">
        <f t="shared" si="1"/>
        <v>86546887.72714184</v>
      </c>
      <c r="N99" s="218"/>
      <c r="O99"/>
      <c r="P99"/>
      <c r="Q99"/>
      <c r="R99"/>
      <c r="S99"/>
      <c r="T99"/>
      <c r="U99"/>
      <c r="V99" s="57"/>
    </row>
    <row r="100" spans="1:21" s="57" customFormat="1" ht="15">
      <c r="A100" s="55">
        <v>41671</v>
      </c>
      <c r="B100" s="236">
        <v>75310896.29666668</v>
      </c>
      <c r="C100" s="117">
        <v>737.0999999999999</v>
      </c>
      <c r="D100" s="117">
        <v>0</v>
      </c>
      <c r="E100" s="124">
        <v>147.24931974660564</v>
      </c>
      <c r="F100" s="56">
        <v>28</v>
      </c>
      <c r="G100" s="56">
        <v>0</v>
      </c>
      <c r="H100" s="56">
        <v>0</v>
      </c>
      <c r="I100" s="273">
        <v>2922508.5188352214</v>
      </c>
      <c r="J100" s="95">
        <f>'Negative Impact Var'!B114</f>
        <v>2922508.5188352214</v>
      </c>
      <c r="K100" s="216">
        <v>110.8</v>
      </c>
      <c r="L100" s="216">
        <v>7.1</v>
      </c>
      <c r="M100" s="240">
        <f t="shared" si="1"/>
        <v>79410175.2914682</v>
      </c>
      <c r="N100" s="220"/>
      <c r="O100"/>
      <c r="P100"/>
      <c r="Q100"/>
      <c r="R100"/>
      <c r="S100"/>
      <c r="T100"/>
      <c r="U100"/>
    </row>
    <row r="101" spans="1:21" s="57" customFormat="1" ht="15">
      <c r="A101" s="55">
        <v>41699</v>
      </c>
      <c r="B101" s="236">
        <v>79598361.85999998</v>
      </c>
      <c r="C101" s="117">
        <v>690.6</v>
      </c>
      <c r="D101" s="117">
        <v>0</v>
      </c>
      <c r="E101" s="124">
        <v>147.51659242232287</v>
      </c>
      <c r="F101" s="56">
        <v>31</v>
      </c>
      <c r="G101" s="56">
        <v>0</v>
      </c>
      <c r="H101" s="56">
        <v>0</v>
      </c>
      <c r="I101" s="273">
        <v>3124406.5111698313</v>
      </c>
      <c r="J101" s="95">
        <f>'Negative Impact Var'!B115</f>
        <v>3124406.5111698313</v>
      </c>
      <c r="K101" s="216">
        <v>110.8</v>
      </c>
      <c r="L101" s="216">
        <v>7.5</v>
      </c>
      <c r="M101" s="240">
        <f t="shared" si="1"/>
        <v>83439884.31564425</v>
      </c>
      <c r="N101" s="220"/>
      <c r="O101"/>
      <c r="P101"/>
      <c r="Q101"/>
      <c r="R101"/>
      <c r="S101"/>
      <c r="T101"/>
      <c r="U101"/>
    </row>
    <row r="102" spans="1:21" s="57" customFormat="1" ht="15">
      <c r="A102" s="55">
        <v>41730</v>
      </c>
      <c r="B102" s="236">
        <v>69107663.24000002</v>
      </c>
      <c r="C102" s="117">
        <v>356.90000000000003</v>
      </c>
      <c r="D102" s="117">
        <v>0</v>
      </c>
      <c r="E102" s="124">
        <v>147.78435022546418</v>
      </c>
      <c r="F102" s="56">
        <v>30</v>
      </c>
      <c r="G102" s="56">
        <v>1</v>
      </c>
      <c r="H102" s="56">
        <v>0</v>
      </c>
      <c r="I102" s="273">
        <v>3326304.503504441</v>
      </c>
      <c r="J102" s="95">
        <f>'Negative Impact Var'!B116</f>
        <v>3326304.503504441</v>
      </c>
      <c r="K102" s="216">
        <v>110.8</v>
      </c>
      <c r="L102" s="216">
        <v>7.3</v>
      </c>
      <c r="M102" s="240">
        <f t="shared" si="1"/>
        <v>72190806.41720435</v>
      </c>
      <c r="N102" s="220"/>
      <c r="O102"/>
      <c r="P102"/>
      <c r="Q102"/>
      <c r="R102"/>
      <c r="S102"/>
      <c r="T102"/>
      <c r="U102"/>
    </row>
    <row r="103" spans="1:22" s="57" customFormat="1" ht="15">
      <c r="A103" s="55">
        <v>41760</v>
      </c>
      <c r="B103" s="236">
        <v>69871028.14076923</v>
      </c>
      <c r="C103" s="117">
        <v>132.10000000000005</v>
      </c>
      <c r="D103" s="117">
        <v>11.9</v>
      </c>
      <c r="E103" s="124">
        <v>148.0525940365858</v>
      </c>
      <c r="F103" s="56">
        <v>31</v>
      </c>
      <c r="G103" s="56">
        <v>0</v>
      </c>
      <c r="H103" s="56">
        <v>1</v>
      </c>
      <c r="I103" s="273">
        <v>3528202.495839051</v>
      </c>
      <c r="J103" s="95">
        <f>'Negative Impact Var'!B117</f>
        <v>3528202.495839051</v>
      </c>
      <c r="K103" s="216">
        <v>110.9</v>
      </c>
      <c r="L103" s="216">
        <v>7.1</v>
      </c>
      <c r="M103" s="240">
        <f t="shared" si="1"/>
        <v>72406755.83211</v>
      </c>
      <c r="N103" s="220"/>
      <c r="O103"/>
      <c r="P103"/>
      <c r="Q103"/>
      <c r="R103"/>
      <c r="S103"/>
      <c r="T103"/>
      <c r="U103"/>
      <c r="V103" s="61"/>
    </row>
    <row r="104" spans="1:22" s="57" customFormat="1" ht="15">
      <c r="A104" s="55">
        <v>41791</v>
      </c>
      <c r="B104" s="236">
        <v>77517701.5846154</v>
      </c>
      <c r="C104" s="117">
        <v>14.1</v>
      </c>
      <c r="D104" s="117">
        <v>68.1</v>
      </c>
      <c r="E104" s="124">
        <v>148.3213247378422</v>
      </c>
      <c r="F104" s="56">
        <v>30</v>
      </c>
      <c r="G104" s="56">
        <v>0</v>
      </c>
      <c r="H104" s="56">
        <v>0</v>
      </c>
      <c r="I104" s="273">
        <v>3730100.488173661</v>
      </c>
      <c r="J104" s="95">
        <f>'Negative Impact Var'!B118</f>
        <v>3730100.488173661</v>
      </c>
      <c r="K104" s="216">
        <v>111</v>
      </c>
      <c r="L104" s="216">
        <v>6.5</v>
      </c>
      <c r="M104" s="240">
        <f t="shared" si="1"/>
        <v>77821918.48744781</v>
      </c>
      <c r="N104" s="220"/>
      <c r="O104"/>
      <c r="P104"/>
      <c r="Q104"/>
      <c r="R104"/>
      <c r="S104"/>
      <c r="T104"/>
      <c r="U104"/>
      <c r="V104" s="53"/>
    </row>
    <row r="105" spans="1:21" s="57" customFormat="1" ht="15">
      <c r="A105" s="55">
        <v>41821</v>
      </c>
      <c r="B105" s="236">
        <v>79980081.60538462</v>
      </c>
      <c r="C105" s="117">
        <v>4</v>
      </c>
      <c r="D105" s="117">
        <v>71</v>
      </c>
      <c r="E105" s="124">
        <v>148.59054321298913</v>
      </c>
      <c r="F105" s="56">
        <v>31</v>
      </c>
      <c r="G105" s="56">
        <v>0</v>
      </c>
      <c r="H105" s="56">
        <v>0</v>
      </c>
      <c r="I105" s="273">
        <v>3931998.4805082707</v>
      </c>
      <c r="J105" s="95">
        <f>'Negative Impact Var'!B119</f>
        <v>3931998.4805082707</v>
      </c>
      <c r="K105" s="216">
        <v>111.1</v>
      </c>
      <c r="L105" s="216">
        <v>6.2</v>
      </c>
      <c r="M105" s="240">
        <f t="shared" si="1"/>
        <v>79325651.801053</v>
      </c>
      <c r="N105" s="220"/>
      <c r="O105"/>
      <c r="P105"/>
      <c r="Q105"/>
      <c r="R105"/>
      <c r="S105"/>
      <c r="T105"/>
      <c r="U105"/>
    </row>
    <row r="106" spans="1:21" s="57" customFormat="1" ht="15">
      <c r="A106" s="55">
        <v>41852</v>
      </c>
      <c r="B106" s="236">
        <v>78148911.66846155</v>
      </c>
      <c r="C106" s="117">
        <v>8.799999999999999</v>
      </c>
      <c r="D106" s="117">
        <v>81.79999999999998</v>
      </c>
      <c r="E106" s="124">
        <v>148.86025034738645</v>
      </c>
      <c r="F106" s="56">
        <v>31</v>
      </c>
      <c r="G106" s="56">
        <v>0</v>
      </c>
      <c r="H106" s="56">
        <v>0</v>
      </c>
      <c r="I106" s="273">
        <v>4133896.4728428805</v>
      </c>
      <c r="J106" s="95">
        <f>'Negative Impact Var'!B120</f>
        <v>4133896.4728428805</v>
      </c>
      <c r="K106" s="216">
        <v>111.1</v>
      </c>
      <c r="L106" s="216">
        <v>6.2</v>
      </c>
      <c r="M106" s="240">
        <f t="shared" si="1"/>
        <v>80323727.28980222</v>
      </c>
      <c r="N106" s="220"/>
      <c r="O106"/>
      <c r="P106"/>
      <c r="Q106"/>
      <c r="R106"/>
      <c r="S106"/>
      <c r="T106"/>
      <c r="U106"/>
    </row>
    <row r="107" spans="1:21" s="57" customFormat="1" ht="15">
      <c r="A107" s="55">
        <v>41883</v>
      </c>
      <c r="B107" s="236">
        <v>73189575.23076923</v>
      </c>
      <c r="C107" s="117">
        <v>69.70000000000002</v>
      </c>
      <c r="D107" s="117">
        <v>30.099999999999998</v>
      </c>
      <c r="E107" s="124">
        <v>149.130447028001</v>
      </c>
      <c r="F107" s="56">
        <v>30</v>
      </c>
      <c r="G107" s="56">
        <v>0</v>
      </c>
      <c r="H107" s="56">
        <v>0</v>
      </c>
      <c r="I107" s="273">
        <v>4335794.46517749</v>
      </c>
      <c r="J107" s="95">
        <f>'Negative Impact Var'!B121</f>
        <v>4335794.46517749</v>
      </c>
      <c r="K107" s="216">
        <v>111.2</v>
      </c>
      <c r="L107" s="216">
        <v>6.9</v>
      </c>
      <c r="M107" s="240">
        <f t="shared" si="1"/>
        <v>72632876.24351723</v>
      </c>
      <c r="N107" s="220"/>
      <c r="O107"/>
      <c r="P107"/>
      <c r="Q107"/>
      <c r="R107"/>
      <c r="S107"/>
      <c r="T107"/>
      <c r="U107"/>
    </row>
    <row r="108" spans="1:21" s="57" customFormat="1" ht="15">
      <c r="A108" s="55">
        <v>41913</v>
      </c>
      <c r="B108" s="236">
        <v>72005492.01153846</v>
      </c>
      <c r="C108" s="117">
        <v>224.30000000000004</v>
      </c>
      <c r="D108" s="117">
        <v>1.3</v>
      </c>
      <c r="E108" s="124">
        <v>149.40113414340954</v>
      </c>
      <c r="F108" s="56">
        <v>31</v>
      </c>
      <c r="G108" s="56">
        <v>0</v>
      </c>
      <c r="H108" s="56">
        <v>0</v>
      </c>
      <c r="I108" s="273">
        <v>4537692.4575121</v>
      </c>
      <c r="J108" s="95">
        <f>'Negative Impact Var'!B122</f>
        <v>4537692.4575121</v>
      </c>
      <c r="K108" s="216">
        <v>111.3</v>
      </c>
      <c r="L108" s="216">
        <v>6.8</v>
      </c>
      <c r="M108" s="240">
        <f t="shared" si="1"/>
        <v>72855136.4896602</v>
      </c>
      <c r="N108" s="220"/>
      <c r="O108"/>
      <c r="P108"/>
      <c r="Q108"/>
      <c r="R108"/>
      <c r="S108"/>
      <c r="T108"/>
      <c r="U108"/>
    </row>
    <row r="109" spans="1:21" s="57" customFormat="1" ht="15">
      <c r="A109" s="55">
        <v>41944</v>
      </c>
      <c r="B109" s="236">
        <v>74401960.57230768</v>
      </c>
      <c r="C109" s="117">
        <v>482.1</v>
      </c>
      <c r="D109" s="117">
        <v>0</v>
      </c>
      <c r="E109" s="124">
        <v>149.67231258380176</v>
      </c>
      <c r="F109" s="56">
        <v>30</v>
      </c>
      <c r="G109" s="56">
        <v>0</v>
      </c>
      <c r="H109" s="56">
        <v>0</v>
      </c>
      <c r="I109" s="273">
        <v>4739590.44984671</v>
      </c>
      <c r="J109" s="95">
        <f>'Negative Impact Var'!B123</f>
        <v>4739590.44984671</v>
      </c>
      <c r="K109" s="216">
        <v>111.3</v>
      </c>
      <c r="L109" s="216">
        <v>6.5</v>
      </c>
      <c r="M109" s="240">
        <f t="shared" si="1"/>
        <v>74745115.45237552</v>
      </c>
      <c r="N109" s="220"/>
      <c r="O109"/>
      <c r="P109"/>
      <c r="Q109"/>
      <c r="R109"/>
      <c r="S109"/>
      <c r="T109"/>
      <c r="U109"/>
    </row>
    <row r="110" spans="1:22" s="61" customFormat="1" ht="15">
      <c r="A110" s="59">
        <v>41974</v>
      </c>
      <c r="B110" s="236">
        <v>77304484.72615385</v>
      </c>
      <c r="C110" s="117">
        <v>557.3</v>
      </c>
      <c r="D110" s="117">
        <v>0</v>
      </c>
      <c r="E110" s="125">
        <v>149.9439832409829</v>
      </c>
      <c r="F110" s="60">
        <v>31</v>
      </c>
      <c r="G110" s="60">
        <v>0</v>
      </c>
      <c r="H110" s="60">
        <v>0</v>
      </c>
      <c r="I110" s="274">
        <v>4941488.44218132</v>
      </c>
      <c r="J110" s="96">
        <f>'Negative Impact Var'!B124</f>
        <v>4941488.44218132</v>
      </c>
      <c r="K110" s="216">
        <v>111.3</v>
      </c>
      <c r="L110" s="216">
        <v>6.2</v>
      </c>
      <c r="M110" s="240">
        <f t="shared" si="1"/>
        <v>77287285.06703664</v>
      </c>
      <c r="N110" s="220"/>
      <c r="O110"/>
      <c r="P110"/>
      <c r="Q110"/>
      <c r="R110"/>
      <c r="S110"/>
      <c r="T110"/>
      <c r="U110"/>
      <c r="V110" s="57"/>
    </row>
    <row r="111" spans="1:22" s="53" customFormat="1" ht="15">
      <c r="A111" s="51">
        <v>42005</v>
      </c>
      <c r="B111" s="237">
        <v>84626740.91999999</v>
      </c>
      <c r="C111" s="117">
        <v>792.3999999999997</v>
      </c>
      <c r="D111" s="117">
        <v>0</v>
      </c>
      <c r="E111" s="124">
        <v>150.27725283075893</v>
      </c>
      <c r="F111" s="52">
        <v>31</v>
      </c>
      <c r="G111" s="52">
        <v>0</v>
      </c>
      <c r="H111" s="52">
        <v>0</v>
      </c>
      <c r="I111" s="272">
        <v>5005592.892288157</v>
      </c>
      <c r="J111" s="94">
        <f>'Negative Impact Var'!B125</f>
        <v>5005592.892288157</v>
      </c>
      <c r="K111" s="216">
        <v>111.4</v>
      </c>
      <c r="L111" s="216">
        <v>6</v>
      </c>
      <c r="M111" s="240">
        <f t="shared" si="1"/>
        <v>81124934.1155578</v>
      </c>
      <c r="N111" s="218"/>
      <c r="O111"/>
      <c r="P111"/>
      <c r="Q111"/>
      <c r="R111"/>
      <c r="S111"/>
      <c r="T111"/>
      <c r="U111"/>
      <c r="V111" s="57"/>
    </row>
    <row r="112" spans="1:21" s="57" customFormat="1" ht="15">
      <c r="A112" s="55">
        <v>42036</v>
      </c>
      <c r="B112" s="238">
        <v>77436620.47538461</v>
      </c>
      <c r="C112" s="117">
        <v>856.8</v>
      </c>
      <c r="D112" s="117">
        <v>0</v>
      </c>
      <c r="E112" s="124">
        <v>150.61126315462158</v>
      </c>
      <c r="F112" s="56">
        <v>28</v>
      </c>
      <c r="G112" s="56">
        <v>0</v>
      </c>
      <c r="H112" s="56">
        <v>0</v>
      </c>
      <c r="I112" s="273">
        <v>5069697.342394994</v>
      </c>
      <c r="J112" s="95">
        <f>'Negative Impact Var'!B126</f>
        <v>5069697.342394994</v>
      </c>
      <c r="K112" s="216">
        <v>111.4</v>
      </c>
      <c r="L112" s="216">
        <v>5.5</v>
      </c>
      <c r="M112" s="240">
        <f t="shared" si="1"/>
        <v>76921238.66637717</v>
      </c>
      <c r="N112" s="220"/>
      <c r="O112"/>
      <c r="P112"/>
      <c r="Q112"/>
      <c r="R112"/>
      <c r="S112"/>
      <c r="T112"/>
      <c r="U112"/>
    </row>
    <row r="113" spans="1:21" s="57" customFormat="1" ht="15">
      <c r="A113" s="55">
        <v>42064</v>
      </c>
      <c r="B113" s="238">
        <v>78097659.1069231</v>
      </c>
      <c r="C113" s="117">
        <v>615.4999999999999</v>
      </c>
      <c r="D113" s="117">
        <v>0</v>
      </c>
      <c r="E113" s="124">
        <v>150.94601585894665</v>
      </c>
      <c r="F113" s="56">
        <v>31</v>
      </c>
      <c r="G113" s="56">
        <v>0</v>
      </c>
      <c r="H113" s="56">
        <v>0</v>
      </c>
      <c r="I113" s="273">
        <v>5133801.7925018305</v>
      </c>
      <c r="J113" s="95">
        <f>'Negative Impact Var'!B127</f>
        <v>5133801.7925018305</v>
      </c>
      <c r="K113" s="216">
        <v>111.5</v>
      </c>
      <c r="L113" s="216">
        <v>5.4</v>
      </c>
      <c r="M113" s="240">
        <f t="shared" si="1"/>
        <v>78163013.43095219</v>
      </c>
      <c r="N113" s="220"/>
      <c r="O113"/>
      <c r="P113"/>
      <c r="Q113"/>
      <c r="R113"/>
      <c r="S113"/>
      <c r="T113"/>
      <c r="U113"/>
    </row>
    <row r="114" spans="1:21" s="57" customFormat="1" ht="15">
      <c r="A114" s="55">
        <v>42095</v>
      </c>
      <c r="B114" s="238">
        <v>68989289.84307691</v>
      </c>
      <c r="C114" s="117">
        <v>313.7</v>
      </c>
      <c r="D114" s="117">
        <v>0</v>
      </c>
      <c r="E114" s="124">
        <v>151.2815125937692</v>
      </c>
      <c r="F114" s="56">
        <v>30</v>
      </c>
      <c r="G114" s="56">
        <v>1</v>
      </c>
      <c r="H114" s="56">
        <v>0</v>
      </c>
      <c r="I114" s="273">
        <v>5197906.242608667</v>
      </c>
      <c r="J114" s="95">
        <f>'Negative Impact Var'!B128</f>
        <v>5197906.242608667</v>
      </c>
      <c r="K114" s="216">
        <v>111.5</v>
      </c>
      <c r="L114" s="216">
        <v>5.2</v>
      </c>
      <c r="M114" s="240">
        <f t="shared" si="1"/>
        <v>67853033.15512094</v>
      </c>
      <c r="N114" s="220"/>
      <c r="O114"/>
      <c r="P114"/>
      <c r="Q114"/>
      <c r="R114"/>
      <c r="S114"/>
      <c r="T114"/>
      <c r="U114"/>
    </row>
    <row r="115" spans="1:22" s="57" customFormat="1" ht="15">
      <c r="A115" s="55">
        <v>42125</v>
      </c>
      <c r="B115" s="238">
        <v>73375077.2146154</v>
      </c>
      <c r="C115" s="117">
        <v>89.3</v>
      </c>
      <c r="D115" s="117">
        <v>34.1</v>
      </c>
      <c r="E115" s="124">
        <v>151.61775501279175</v>
      </c>
      <c r="F115" s="56">
        <v>31</v>
      </c>
      <c r="G115" s="56">
        <v>0</v>
      </c>
      <c r="H115" s="56">
        <v>1</v>
      </c>
      <c r="I115" s="273">
        <v>5262010.692715504</v>
      </c>
      <c r="J115" s="95">
        <f>'Negative Impact Var'!B129</f>
        <v>5262010.692715504</v>
      </c>
      <c r="K115" s="216">
        <v>111.6</v>
      </c>
      <c r="L115" s="216">
        <v>5.8</v>
      </c>
      <c r="M115" s="240">
        <f t="shared" si="1"/>
        <v>71284449.53595814</v>
      </c>
      <c r="N115" s="220"/>
      <c r="O115"/>
      <c r="P115"/>
      <c r="Q115"/>
      <c r="R115"/>
      <c r="S115"/>
      <c r="T115"/>
      <c r="U115"/>
      <c r="V115" s="61"/>
    </row>
    <row r="116" spans="1:22" s="57" customFormat="1" ht="15">
      <c r="A116" s="55">
        <v>42156</v>
      </c>
      <c r="B116" s="238">
        <v>75340519.32307693</v>
      </c>
      <c r="C116" s="117">
        <v>33.800000000000004</v>
      </c>
      <c r="D116" s="117">
        <v>32.3</v>
      </c>
      <c r="E116" s="124">
        <v>151.95474477339232</v>
      </c>
      <c r="F116" s="56">
        <v>30</v>
      </c>
      <c r="G116" s="56">
        <v>0</v>
      </c>
      <c r="H116" s="56">
        <v>0</v>
      </c>
      <c r="I116" s="273">
        <v>5326115.142822341</v>
      </c>
      <c r="J116" s="95">
        <f>'Negative Impact Var'!B130</f>
        <v>5326115.142822341</v>
      </c>
      <c r="K116" s="216">
        <v>111.7</v>
      </c>
      <c r="L116" s="216">
        <v>6.1</v>
      </c>
      <c r="M116" s="240">
        <f t="shared" si="1"/>
        <v>70842086.60422392</v>
      </c>
      <c r="N116" s="220"/>
      <c r="O116"/>
      <c r="P116"/>
      <c r="Q116"/>
      <c r="R116"/>
      <c r="S116"/>
      <c r="T116"/>
      <c r="U116"/>
      <c r="V116" s="53"/>
    </row>
    <row r="117" spans="1:21" s="57" customFormat="1" ht="15">
      <c r="A117" s="55">
        <v>42186</v>
      </c>
      <c r="B117" s="238">
        <v>85365000.16153845</v>
      </c>
      <c r="C117" s="117">
        <v>4</v>
      </c>
      <c r="D117" s="117">
        <v>114.29999999999998</v>
      </c>
      <c r="E117" s="124">
        <v>152.29248353663272</v>
      </c>
      <c r="F117" s="56">
        <v>31</v>
      </c>
      <c r="G117" s="56">
        <v>0</v>
      </c>
      <c r="H117" s="56">
        <v>0</v>
      </c>
      <c r="I117" s="273">
        <v>5390219.592929178</v>
      </c>
      <c r="J117" s="95">
        <f>'Negative Impact Var'!B131</f>
        <v>5390219.592929178</v>
      </c>
      <c r="K117" s="216">
        <v>111.8</v>
      </c>
      <c r="L117" s="216">
        <v>7</v>
      </c>
      <c r="M117" s="240">
        <f t="shared" si="1"/>
        <v>82392554.61096893</v>
      </c>
      <c r="N117" s="220"/>
      <c r="O117"/>
      <c r="P117"/>
      <c r="Q117"/>
      <c r="R117"/>
      <c r="S117"/>
      <c r="T117"/>
      <c r="U117"/>
    </row>
    <row r="118" spans="1:21" s="57" customFormat="1" ht="15">
      <c r="A118" s="55">
        <v>42217</v>
      </c>
      <c r="B118" s="238">
        <v>81751305.83923078</v>
      </c>
      <c r="C118" s="117">
        <v>4.4</v>
      </c>
      <c r="D118" s="117">
        <v>88.6</v>
      </c>
      <c r="E118" s="124">
        <v>152.63097296726667</v>
      </c>
      <c r="F118" s="56">
        <v>31</v>
      </c>
      <c r="G118" s="56">
        <v>0</v>
      </c>
      <c r="H118" s="56">
        <v>0</v>
      </c>
      <c r="I118" s="273">
        <v>5454324.043036015</v>
      </c>
      <c r="J118" s="95">
        <f>'Negative Impact Var'!B132</f>
        <v>5454324.043036015</v>
      </c>
      <c r="K118" s="216">
        <v>111.9</v>
      </c>
      <c r="L118" s="216">
        <v>7</v>
      </c>
      <c r="M118" s="240">
        <f t="shared" si="1"/>
        <v>79139520.25112277</v>
      </c>
      <c r="N118" s="220"/>
      <c r="O118"/>
      <c r="P118"/>
      <c r="Q118"/>
      <c r="R118"/>
      <c r="S118"/>
      <c r="T118"/>
      <c r="U118"/>
    </row>
    <row r="119" spans="1:21" s="57" customFormat="1" ht="15">
      <c r="A119" s="55">
        <v>42248</v>
      </c>
      <c r="B119" s="238">
        <v>79343691.1876923</v>
      </c>
      <c r="C119" s="117">
        <v>31.099999999999994</v>
      </c>
      <c r="D119" s="117">
        <v>81.9</v>
      </c>
      <c r="E119" s="124">
        <v>152.970214733748</v>
      </c>
      <c r="F119" s="56">
        <v>30</v>
      </c>
      <c r="G119" s="56">
        <v>0</v>
      </c>
      <c r="H119" s="56">
        <v>0</v>
      </c>
      <c r="I119" s="273">
        <v>5518428.493142852</v>
      </c>
      <c r="J119" s="95">
        <f>'Negative Impact Var'!B133</f>
        <v>5518428.493142852</v>
      </c>
      <c r="K119" s="216">
        <v>112</v>
      </c>
      <c r="L119" s="216">
        <v>6.4</v>
      </c>
      <c r="M119" s="240">
        <f t="shared" si="1"/>
        <v>76965415.45264313</v>
      </c>
      <c r="N119" s="220"/>
      <c r="O119"/>
      <c r="P119"/>
      <c r="Q119"/>
      <c r="R119"/>
      <c r="S119"/>
      <c r="T119"/>
      <c r="U119"/>
    </row>
    <row r="120" spans="1:21" s="57" customFormat="1" ht="15">
      <c r="A120" s="55">
        <v>42278</v>
      </c>
      <c r="B120" s="238">
        <v>71236445.92307693</v>
      </c>
      <c r="C120" s="117">
        <v>249.8</v>
      </c>
      <c r="D120" s="117">
        <v>0</v>
      </c>
      <c r="E120" s="124">
        <v>153.3102105082389</v>
      </c>
      <c r="F120" s="56">
        <v>31</v>
      </c>
      <c r="G120" s="56">
        <v>0</v>
      </c>
      <c r="H120" s="56">
        <v>0</v>
      </c>
      <c r="I120" s="273">
        <v>5582532.9432496885</v>
      </c>
      <c r="J120" s="95">
        <f>'Negative Impact Var'!B134</f>
        <v>5582532.9432496885</v>
      </c>
      <c r="K120" s="216">
        <v>112.1</v>
      </c>
      <c r="L120" s="216">
        <v>5.3</v>
      </c>
      <c r="M120" s="240">
        <f t="shared" si="1"/>
        <v>71973647.49119851</v>
      </c>
      <c r="N120" s="220"/>
      <c r="O120"/>
      <c r="P120"/>
      <c r="Q120"/>
      <c r="R120"/>
      <c r="S120"/>
      <c r="T120"/>
      <c r="U120"/>
    </row>
    <row r="121" spans="1:21" s="57" customFormat="1" ht="15">
      <c r="A121" s="55">
        <v>42309</v>
      </c>
      <c r="B121" s="238">
        <v>71636023.82076922</v>
      </c>
      <c r="C121" s="117">
        <v>345</v>
      </c>
      <c r="D121" s="117">
        <v>0</v>
      </c>
      <c r="E121" s="124">
        <v>153.65096196661813</v>
      </c>
      <c r="F121" s="56">
        <v>30</v>
      </c>
      <c r="G121" s="56">
        <v>0</v>
      </c>
      <c r="H121" s="56">
        <v>0</v>
      </c>
      <c r="I121" s="273">
        <v>5646637.393356525</v>
      </c>
      <c r="J121" s="95">
        <f>'Negative Impact Var'!B135</f>
        <v>5646637.393356525</v>
      </c>
      <c r="K121" s="216">
        <v>112.2</v>
      </c>
      <c r="L121" s="216">
        <v>5.3</v>
      </c>
      <c r="M121" s="240">
        <f t="shared" si="1"/>
        <v>71769624.15943941</v>
      </c>
      <c r="N121" s="220"/>
      <c r="O121"/>
      <c r="P121"/>
      <c r="Q121"/>
      <c r="R121"/>
      <c r="S121"/>
      <c r="T121"/>
      <c r="U121"/>
    </row>
    <row r="122" spans="1:22" s="61" customFormat="1" ht="15">
      <c r="A122" s="59">
        <v>42339</v>
      </c>
      <c r="B122" s="239">
        <v>73291493.16769232</v>
      </c>
      <c r="C122" s="117">
        <v>429.70000000000005</v>
      </c>
      <c r="D122" s="117">
        <v>0</v>
      </c>
      <c r="E122" s="125">
        <v>153.99247078848944</v>
      </c>
      <c r="F122" s="60">
        <v>31</v>
      </c>
      <c r="G122" s="60">
        <v>0</v>
      </c>
      <c r="H122" s="60">
        <v>0</v>
      </c>
      <c r="I122" s="274">
        <v>5710741.843463362</v>
      </c>
      <c r="J122" s="96">
        <f>'Negative Impact Var'!B136</f>
        <v>5710741.843463362</v>
      </c>
      <c r="K122" s="216">
        <v>112.2</v>
      </c>
      <c r="L122" s="216">
        <v>4.9</v>
      </c>
      <c r="M122" s="240">
        <f t="shared" si="1"/>
        <v>74883591.4240317</v>
      </c>
      <c r="N122" s="220"/>
      <c r="O122"/>
      <c r="P122"/>
      <c r="Q122"/>
      <c r="R122"/>
      <c r="S122"/>
      <c r="T122"/>
      <c r="U122"/>
      <c r="V122" s="57"/>
    </row>
    <row r="123" spans="1:22" s="53" customFormat="1" ht="15">
      <c r="A123" s="51">
        <v>42370</v>
      </c>
      <c r="B123" s="291">
        <v>82828830.16538464</v>
      </c>
      <c r="C123" s="185">
        <f>'HDD&amp;CDD'!$AA8</f>
        <v>700.14</v>
      </c>
      <c r="D123" s="185">
        <f>'HDD&amp;CDD'!$AA28</f>
        <v>0</v>
      </c>
      <c r="E123" s="124">
        <v>154.29711895019472</v>
      </c>
      <c r="F123" s="52">
        <v>31</v>
      </c>
      <c r="G123" s="52">
        <v>0</v>
      </c>
      <c r="H123" s="52">
        <v>0</v>
      </c>
      <c r="I123" s="272">
        <v>5688589.497930408</v>
      </c>
      <c r="J123" s="94">
        <f>'Negative Impact Var'!B137</f>
        <v>5688589.497930408</v>
      </c>
      <c r="K123" s="94"/>
      <c r="L123" s="54"/>
      <c r="M123" s="240">
        <f t="shared" si="1"/>
        <v>79529566.41055481</v>
      </c>
      <c r="N123" s="218"/>
      <c r="O123"/>
      <c r="P123"/>
      <c r="Q123"/>
      <c r="R123"/>
      <c r="S123"/>
      <c r="T123"/>
      <c r="U123"/>
      <c r="V123" s="57"/>
    </row>
    <row r="124" spans="1:21" s="57" customFormat="1" ht="15">
      <c r="A124" s="55">
        <v>42401</v>
      </c>
      <c r="B124" s="291">
        <v>76452047.10153845</v>
      </c>
      <c r="C124" s="185">
        <f>'HDD&amp;CDD'!$AA9</f>
        <v>663.5400000000001</v>
      </c>
      <c r="D124" s="185">
        <f>'HDD&amp;CDD'!$AA29</f>
        <v>0</v>
      </c>
      <c r="E124" s="124">
        <v>154.60236980696655</v>
      </c>
      <c r="F124" s="67">
        <v>29</v>
      </c>
      <c r="G124" s="56">
        <v>0</v>
      </c>
      <c r="H124" s="56">
        <v>0</v>
      </c>
      <c r="I124" s="273">
        <v>5666437.152397455</v>
      </c>
      <c r="J124" s="95">
        <f>'Negative Impact Var'!B138</f>
        <v>5666437.152397455</v>
      </c>
      <c r="K124" s="95"/>
      <c r="L124" s="58"/>
      <c r="M124" s="240">
        <f t="shared" si="1"/>
        <v>75637857.53071755</v>
      </c>
      <c r="N124" s="220"/>
      <c r="O124"/>
      <c r="P124"/>
      <c r="Q124"/>
      <c r="R124"/>
      <c r="S124"/>
      <c r="T124"/>
      <c r="U124"/>
    </row>
    <row r="125" spans="1:21" s="57" customFormat="1" ht="15">
      <c r="A125" s="55">
        <v>42430</v>
      </c>
      <c r="B125" s="291">
        <v>76234208.55615385</v>
      </c>
      <c r="C125" s="185">
        <f>'HDD&amp;CDD'!$AA10</f>
        <v>541.32</v>
      </c>
      <c r="D125" s="185">
        <f>'HDD&amp;CDD'!$AA30</f>
        <v>0.02</v>
      </c>
      <c r="E125" s="124">
        <v>154.9082245511356</v>
      </c>
      <c r="F125" s="56">
        <v>31</v>
      </c>
      <c r="G125" s="56">
        <v>0</v>
      </c>
      <c r="H125" s="56">
        <v>0</v>
      </c>
      <c r="I125" s="273">
        <v>5644284.806864501</v>
      </c>
      <c r="J125" s="95">
        <f>'Negative Impact Var'!B139</f>
        <v>5644284.806864501</v>
      </c>
      <c r="K125" s="95"/>
      <c r="L125" s="58"/>
      <c r="M125" s="240">
        <f t="shared" si="1"/>
        <v>77321890.46837829</v>
      </c>
      <c r="N125" s="220"/>
      <c r="O125"/>
      <c r="P125"/>
      <c r="Q125"/>
      <c r="R125"/>
      <c r="S125"/>
      <c r="T125"/>
      <c r="U125"/>
    </row>
    <row r="126" spans="1:21" s="57" customFormat="1" ht="15">
      <c r="A126" s="55">
        <v>42461</v>
      </c>
      <c r="B126" s="291">
        <v>71666298.26538463</v>
      </c>
      <c r="C126" s="185">
        <f>'HDD&amp;CDD'!$AA11</f>
        <v>311.77</v>
      </c>
      <c r="D126" s="185">
        <f>'HDD&amp;CDD'!$AA31</f>
        <v>0.12</v>
      </c>
      <c r="E126" s="124">
        <v>155.2146843773913</v>
      </c>
      <c r="F126" s="56">
        <v>30</v>
      </c>
      <c r="G126" s="56">
        <v>1</v>
      </c>
      <c r="H126" s="56">
        <v>0</v>
      </c>
      <c r="I126" s="273">
        <v>5622132.461331547</v>
      </c>
      <c r="J126" s="95">
        <f>'Negative Impact Var'!B140</f>
        <v>5622132.461331547</v>
      </c>
      <c r="K126" s="95"/>
      <c r="L126" s="58"/>
      <c r="M126" s="240">
        <f t="shared" si="1"/>
        <v>68439428.56433314</v>
      </c>
      <c r="N126" s="220"/>
      <c r="O126"/>
      <c r="P126"/>
      <c r="Q126"/>
      <c r="R126"/>
      <c r="S126"/>
      <c r="T126"/>
      <c r="U126"/>
    </row>
    <row r="127" spans="1:22" s="57" customFormat="1" ht="15">
      <c r="A127" s="55">
        <v>42491</v>
      </c>
      <c r="B127" s="291">
        <v>74922175.12538463</v>
      </c>
      <c r="C127" s="185">
        <f>'HDD&amp;CDD'!$AA12</f>
        <v>127.94000000000001</v>
      </c>
      <c r="D127" s="185">
        <f>'HDD&amp;CDD'!$AA32</f>
        <v>22.229999999999997</v>
      </c>
      <c r="E127" s="124">
        <v>155.5217504827867</v>
      </c>
      <c r="F127" s="56">
        <v>31</v>
      </c>
      <c r="G127" s="56">
        <v>0</v>
      </c>
      <c r="H127" s="56">
        <v>1</v>
      </c>
      <c r="I127" s="273">
        <v>5599980.1157985935</v>
      </c>
      <c r="J127" s="95">
        <f>'Negative Impact Var'!B141</f>
        <v>5599980.1157985935</v>
      </c>
      <c r="K127" s="95"/>
      <c r="L127" s="58"/>
      <c r="M127" s="240">
        <f t="shared" si="1"/>
        <v>71255830.07583727</v>
      </c>
      <c r="N127" s="220"/>
      <c r="O127"/>
      <c r="P127"/>
      <c r="Q127"/>
      <c r="R127"/>
      <c r="S127"/>
      <c r="T127"/>
      <c r="U127"/>
      <c r="V127" s="61"/>
    </row>
    <row r="128" spans="1:22" s="57" customFormat="1" ht="15">
      <c r="A128" s="55">
        <v>42522</v>
      </c>
      <c r="B128" s="291">
        <v>81714805.82000004</v>
      </c>
      <c r="C128" s="185">
        <f>'HDD&amp;CDD'!$AA13</f>
        <v>25.279999999999998</v>
      </c>
      <c r="D128" s="185">
        <f>'HDD&amp;CDD'!$AA33</f>
        <v>65.1</v>
      </c>
      <c r="E128" s="124">
        <v>155.82942406674292</v>
      </c>
      <c r="F128" s="56">
        <v>30</v>
      </c>
      <c r="G128" s="56">
        <v>0</v>
      </c>
      <c r="H128" s="56">
        <v>0</v>
      </c>
      <c r="I128" s="273">
        <v>5577827.77026564</v>
      </c>
      <c r="J128" s="95">
        <f>'Negative Impact Var'!B142</f>
        <v>5577827.77026564</v>
      </c>
      <c r="K128" s="95"/>
      <c r="L128" s="58"/>
      <c r="M128" s="240">
        <f t="shared" si="1"/>
        <v>75887386.03898141</v>
      </c>
      <c r="N128" s="220"/>
      <c r="O128"/>
      <c r="P128"/>
      <c r="Q128"/>
      <c r="R128"/>
      <c r="S128"/>
      <c r="T128"/>
      <c r="U128"/>
      <c r="V128" s="53"/>
    </row>
    <row r="129" spans="1:21" s="57" customFormat="1" ht="15">
      <c r="A129" s="55">
        <v>42552</v>
      </c>
      <c r="B129" s="98"/>
      <c r="C129" s="185">
        <f>'HDD&amp;CDD'!$AA14</f>
        <v>2.15</v>
      </c>
      <c r="D129" s="185">
        <f>'HDD&amp;CDD'!$AA34</f>
        <v>128.76999999999998</v>
      </c>
      <c r="E129" s="124">
        <v>156.13770633105395</v>
      </c>
      <c r="F129" s="56">
        <v>31</v>
      </c>
      <c r="G129" s="56">
        <v>0</v>
      </c>
      <c r="H129" s="56">
        <v>0</v>
      </c>
      <c r="I129" s="273">
        <v>5555675.424732686</v>
      </c>
      <c r="J129" s="95">
        <f>'Negative Impact Var'!B143</f>
        <v>5555675.424732686</v>
      </c>
      <c r="K129" s="95"/>
      <c r="L129" s="58"/>
      <c r="M129" s="240">
        <f t="shared" si="1"/>
        <v>85467444.41249932</v>
      </c>
      <c r="N129" s="220"/>
      <c r="O129"/>
      <c r="P129"/>
      <c r="Q129"/>
      <c r="R129"/>
      <c r="S129"/>
      <c r="T129"/>
      <c r="U129"/>
    </row>
    <row r="130" spans="1:21" s="57" customFormat="1" ht="15">
      <c r="A130" s="55">
        <v>42583</v>
      </c>
      <c r="B130" s="98"/>
      <c r="C130" s="185">
        <f>'HDD&amp;CDD'!$AA15</f>
        <v>5.359999999999999</v>
      </c>
      <c r="D130" s="185">
        <f>'HDD&amp;CDD'!$AA35</f>
        <v>103.49000000000001</v>
      </c>
      <c r="E130" s="124">
        <v>156.44659847989132</v>
      </c>
      <c r="F130" s="56">
        <v>31</v>
      </c>
      <c r="G130" s="56">
        <v>0</v>
      </c>
      <c r="H130" s="56">
        <v>0</v>
      </c>
      <c r="I130" s="273">
        <v>5533523.079199732</v>
      </c>
      <c r="J130" s="95">
        <f>'Negative Impact Var'!B144</f>
        <v>5533523.079199732</v>
      </c>
      <c r="K130" s="95"/>
      <c r="L130" s="58"/>
      <c r="M130" s="240">
        <f t="shared" si="1"/>
        <v>82540366.2182238</v>
      </c>
      <c r="N130" s="220"/>
      <c r="O130"/>
      <c r="P130"/>
      <c r="Q130"/>
      <c r="R130"/>
      <c r="S130"/>
      <c r="T130"/>
      <c r="U130"/>
    </row>
    <row r="131" spans="1:21" s="57" customFormat="1" ht="15">
      <c r="A131" s="55">
        <v>42614</v>
      </c>
      <c r="B131" s="98"/>
      <c r="C131" s="185">
        <f>'HDD&amp;CDD'!$AA16</f>
        <v>62.71</v>
      </c>
      <c r="D131" s="185">
        <f>'HDD&amp;CDD'!$AA36</f>
        <v>35.489999999999995</v>
      </c>
      <c r="E131" s="124">
        <v>156.75610171980884</v>
      </c>
      <c r="F131" s="56">
        <v>30</v>
      </c>
      <c r="G131" s="56">
        <v>0</v>
      </c>
      <c r="H131" s="56">
        <v>0</v>
      </c>
      <c r="I131" s="273">
        <v>5511370.733666779</v>
      </c>
      <c r="J131" s="95">
        <f>'Negative Impact Var'!B145</f>
        <v>5511370.733666779</v>
      </c>
      <c r="K131" s="95"/>
      <c r="L131" s="58"/>
      <c r="M131" s="240">
        <f t="shared" si="1"/>
        <v>73381718.54718715</v>
      </c>
      <c r="N131" s="220"/>
      <c r="O131"/>
      <c r="P131"/>
      <c r="Q131"/>
      <c r="R131"/>
      <c r="S131"/>
      <c r="T131"/>
      <c r="U131"/>
    </row>
    <row r="132" spans="1:21" s="57" customFormat="1" ht="15">
      <c r="A132" s="55">
        <v>42644</v>
      </c>
      <c r="B132" s="98"/>
      <c r="C132" s="185">
        <f>'HDD&amp;CDD'!$AA17</f>
        <v>239.46000000000004</v>
      </c>
      <c r="D132" s="185">
        <f>'HDD&amp;CDD'!$AA37</f>
        <v>2.6100000000000003</v>
      </c>
      <c r="E132" s="124">
        <v>157.06621725974728</v>
      </c>
      <c r="F132" s="56">
        <v>31</v>
      </c>
      <c r="G132" s="56">
        <v>0</v>
      </c>
      <c r="H132" s="56">
        <v>0</v>
      </c>
      <c r="I132" s="273">
        <v>5489218.388133825</v>
      </c>
      <c r="J132" s="95">
        <f>'Negative Impact Var'!B146</f>
        <v>5489218.388133825</v>
      </c>
      <c r="K132" s="95"/>
      <c r="L132" s="58"/>
      <c r="M132" s="240">
        <f aca="true" t="shared" si="2" ref="M132:M146">$P$18+$P$19*C132+$P$20*D132+$P$21*E132+$P$22*F132+$P$23*G132+$P$24*H132+$P$25*I132</f>
        <v>74096759.02306868</v>
      </c>
      <c r="N132" s="220"/>
      <c r="O132"/>
      <c r="P132"/>
      <c r="Q132"/>
      <c r="R132"/>
      <c r="S132"/>
      <c r="T132"/>
      <c r="U132"/>
    </row>
    <row r="133" spans="1:21" s="57" customFormat="1" ht="15">
      <c r="A133" s="55">
        <v>42675</v>
      </c>
      <c r="B133" s="98"/>
      <c r="C133" s="185">
        <f>'HDD&amp;CDD'!$AA18</f>
        <v>414.4200000000001</v>
      </c>
      <c r="D133" s="185">
        <f>'HDD&amp;CDD'!$AA38</f>
        <v>0</v>
      </c>
      <c r="E133" s="124">
        <v>157.37694631103903</v>
      </c>
      <c r="F133" s="56">
        <v>30</v>
      </c>
      <c r="G133" s="56">
        <v>0</v>
      </c>
      <c r="H133" s="56">
        <v>0</v>
      </c>
      <c r="I133" s="273">
        <v>5467066.042600871</v>
      </c>
      <c r="J133" s="95">
        <f>'Negative Impact Var'!B147</f>
        <v>5467066.042600871</v>
      </c>
      <c r="K133" s="95"/>
      <c r="L133" s="58"/>
      <c r="M133" s="240">
        <f t="shared" si="2"/>
        <v>75102187.68625636</v>
      </c>
      <c r="N133" s="220"/>
      <c r="O133"/>
      <c r="P133"/>
      <c r="Q133"/>
      <c r="R133"/>
      <c r="S133"/>
      <c r="T133"/>
      <c r="U133"/>
    </row>
    <row r="134" spans="1:22" s="61" customFormat="1" ht="15">
      <c r="A134" s="59">
        <v>42705</v>
      </c>
      <c r="B134" s="99"/>
      <c r="C134" s="185">
        <f>'HDD&amp;CDD'!$AA19</f>
        <v>583.5699999999999</v>
      </c>
      <c r="D134" s="185">
        <f>'HDD&amp;CDD'!$AA39</f>
        <v>0</v>
      </c>
      <c r="E134" s="125">
        <v>157.68829008741318</v>
      </c>
      <c r="F134" s="60">
        <v>31</v>
      </c>
      <c r="G134" s="60">
        <v>0</v>
      </c>
      <c r="H134" s="60">
        <v>0</v>
      </c>
      <c r="I134" s="274">
        <v>5444913.697067917</v>
      </c>
      <c r="J134" s="96">
        <f>'Negative Impact Var'!B148</f>
        <v>5444913.697067917</v>
      </c>
      <c r="K134" s="95"/>
      <c r="L134" s="62"/>
      <c r="M134" s="240">
        <f t="shared" si="2"/>
        <v>79831141.45859225</v>
      </c>
      <c r="N134" s="220"/>
      <c r="O134"/>
      <c r="P134"/>
      <c r="Q134"/>
      <c r="R134"/>
      <c r="S134"/>
      <c r="T134"/>
      <c r="U134"/>
      <c r="V134" s="57"/>
    </row>
    <row r="135" spans="1:22" s="53" customFormat="1" ht="15">
      <c r="A135" s="51">
        <v>42736</v>
      </c>
      <c r="B135" s="97"/>
      <c r="C135" s="185">
        <f>'HDD&amp;CDD'!$AA8</f>
        <v>700.14</v>
      </c>
      <c r="D135" s="185">
        <f>'HDD&amp;CDD'!$AA28</f>
        <v>0</v>
      </c>
      <c r="E135" s="124">
        <v>157.9745105690661</v>
      </c>
      <c r="F135" s="52">
        <v>31</v>
      </c>
      <c r="G135" s="52">
        <v>0</v>
      </c>
      <c r="H135" s="52">
        <v>0</v>
      </c>
      <c r="I135" s="272">
        <v>5421572.091343258</v>
      </c>
      <c r="J135" s="94">
        <f>'Negative Impact Var'!B149</f>
        <v>5421572.091343258</v>
      </c>
      <c r="K135" s="94"/>
      <c r="L135" s="54"/>
      <c r="M135" s="240">
        <f t="shared" si="2"/>
        <v>81942466.88256815</v>
      </c>
      <c r="N135" s="218"/>
      <c r="O135"/>
      <c r="P135"/>
      <c r="Q135"/>
      <c r="R135"/>
      <c r="S135"/>
      <c r="T135"/>
      <c r="U135"/>
      <c r="V135" s="57"/>
    </row>
    <row r="136" spans="1:21" s="57" customFormat="1" ht="15">
      <c r="A136" s="55">
        <v>42767</v>
      </c>
      <c r="B136" s="98"/>
      <c r="C136" s="185">
        <f>'HDD&amp;CDD'!$AA9</f>
        <v>663.5400000000001</v>
      </c>
      <c r="D136" s="185">
        <f>'HDD&amp;CDD'!$AA29</f>
        <v>0</v>
      </c>
      <c r="E136" s="124">
        <v>158.26125057036168</v>
      </c>
      <c r="F136" s="56">
        <v>28</v>
      </c>
      <c r="G136" s="56">
        <v>0</v>
      </c>
      <c r="H136" s="56">
        <v>0</v>
      </c>
      <c r="I136" s="273">
        <v>5398230.485618598</v>
      </c>
      <c r="J136" s="95">
        <f>'Negative Impact Var'!B150</f>
        <v>5398230.485618598</v>
      </c>
      <c r="K136" s="95"/>
      <c r="L136" s="58"/>
      <c r="M136" s="240">
        <f t="shared" si="2"/>
        <v>76300538.01445538</v>
      </c>
      <c r="N136" s="220"/>
      <c r="O136"/>
      <c r="P136"/>
      <c r="Q136"/>
      <c r="R136"/>
      <c r="S136"/>
      <c r="T136"/>
      <c r="U136"/>
    </row>
    <row r="137" spans="1:21" s="57" customFormat="1" ht="15">
      <c r="A137" s="55">
        <v>42795</v>
      </c>
      <c r="B137" s="98"/>
      <c r="C137" s="185">
        <f>'HDD&amp;CDD'!$AA10</f>
        <v>541.32</v>
      </c>
      <c r="D137" s="185">
        <f>'HDD&amp;CDD'!$AA30</f>
        <v>0.02</v>
      </c>
      <c r="E137" s="124">
        <v>158.54851103428155</v>
      </c>
      <c r="F137" s="56">
        <v>31</v>
      </c>
      <c r="G137" s="56">
        <v>0</v>
      </c>
      <c r="H137" s="56">
        <v>0</v>
      </c>
      <c r="I137" s="273">
        <v>5374888.879893938</v>
      </c>
      <c r="J137" s="95">
        <f>'Negative Impact Var'!B151</f>
        <v>5374888.879893938</v>
      </c>
      <c r="K137" s="95"/>
      <c r="L137" s="58"/>
      <c r="M137" s="240">
        <f t="shared" si="2"/>
        <v>79724578.4239207</v>
      </c>
      <c r="N137" s="220"/>
      <c r="O137"/>
      <c r="P137"/>
      <c r="Q137"/>
      <c r="R137"/>
      <c r="S137"/>
      <c r="T137"/>
      <c r="U137"/>
    </row>
    <row r="138" spans="1:21" s="57" customFormat="1" ht="15">
      <c r="A138" s="55">
        <v>42826</v>
      </c>
      <c r="B138" s="98"/>
      <c r="C138" s="185">
        <f>'HDD&amp;CDD'!$AA11</f>
        <v>311.77</v>
      </c>
      <c r="D138" s="185">
        <f>'HDD&amp;CDD'!$AA31</f>
        <v>0.12</v>
      </c>
      <c r="E138" s="124">
        <v>158.83629290551897</v>
      </c>
      <c r="F138" s="56">
        <v>30</v>
      </c>
      <c r="G138" s="56">
        <v>1</v>
      </c>
      <c r="H138" s="56">
        <v>0</v>
      </c>
      <c r="I138" s="273">
        <v>5351547.274169278</v>
      </c>
      <c r="J138" s="95">
        <f>'Negative Impact Var'!B152</f>
        <v>5351547.274169278</v>
      </c>
      <c r="K138" s="95"/>
      <c r="L138" s="58"/>
      <c r="M138" s="240">
        <f t="shared" si="2"/>
        <v>70836953.3565461</v>
      </c>
      <c r="N138" s="220"/>
      <c r="O138"/>
      <c r="P138"/>
      <c r="Q138"/>
      <c r="R138"/>
      <c r="S138"/>
      <c r="T138"/>
      <c r="U138"/>
    </row>
    <row r="139" spans="1:22" s="57" customFormat="1" ht="15">
      <c r="A139" s="55">
        <v>42856</v>
      </c>
      <c r="B139" s="98"/>
      <c r="C139" s="185">
        <f>'HDD&amp;CDD'!$AA12</f>
        <v>127.94000000000001</v>
      </c>
      <c r="D139" s="185">
        <f>'HDD&amp;CDD'!$AA32</f>
        <v>22.229999999999997</v>
      </c>
      <c r="E139" s="124">
        <v>159.1245971304819</v>
      </c>
      <c r="F139" s="56">
        <v>31</v>
      </c>
      <c r="G139" s="56">
        <v>0</v>
      </c>
      <c r="H139" s="56">
        <v>1</v>
      </c>
      <c r="I139" s="273">
        <v>5328205.668444619</v>
      </c>
      <c r="J139" s="95">
        <f>'Negative Impact Var'!B153</f>
        <v>5328205.668444619</v>
      </c>
      <c r="K139" s="95"/>
      <c r="L139" s="58"/>
      <c r="M139" s="240">
        <f t="shared" si="2"/>
        <v>73648153.61642094</v>
      </c>
      <c r="N139" s="220"/>
      <c r="O139"/>
      <c r="P139"/>
      <c r="Q139"/>
      <c r="R139"/>
      <c r="S139"/>
      <c r="T139"/>
      <c r="U139"/>
      <c r="V139" s="61"/>
    </row>
    <row r="140" spans="1:22" s="57" customFormat="1" ht="15">
      <c r="A140" s="55">
        <v>42887</v>
      </c>
      <c r="B140" s="98"/>
      <c r="C140" s="185">
        <f>'HDD&amp;CDD'!$AA13</f>
        <v>25.279999999999998</v>
      </c>
      <c r="D140" s="185">
        <f>'HDD&amp;CDD'!$AA33</f>
        <v>65.1</v>
      </c>
      <c r="E140" s="124">
        <v>159.41342465729613</v>
      </c>
      <c r="F140" s="56">
        <v>30</v>
      </c>
      <c r="G140" s="56">
        <v>0</v>
      </c>
      <c r="H140" s="56">
        <v>0</v>
      </c>
      <c r="I140" s="273">
        <v>5304864.062719959</v>
      </c>
      <c r="J140" s="95">
        <f>'Negative Impact Var'!B154</f>
        <v>5304864.062719959</v>
      </c>
      <c r="K140" s="95"/>
      <c r="L140" s="58"/>
      <c r="M140" s="240">
        <f t="shared" si="2"/>
        <v>78274470.12558925</v>
      </c>
      <c r="N140" s="220"/>
      <c r="O140"/>
      <c r="P140"/>
      <c r="Q140"/>
      <c r="R140"/>
      <c r="S140"/>
      <c r="T140"/>
      <c r="U140"/>
      <c r="V140"/>
    </row>
    <row r="141" spans="1:22" s="57" customFormat="1" ht="15">
      <c r="A141" s="55">
        <v>42917</v>
      </c>
      <c r="B141" s="98"/>
      <c r="C141" s="185">
        <f>'HDD&amp;CDD'!$AA14</f>
        <v>2.15</v>
      </c>
      <c r="D141" s="185">
        <f>'HDD&amp;CDD'!$AA34</f>
        <v>128.76999999999998</v>
      </c>
      <c r="E141" s="124">
        <v>159.7027764358084</v>
      </c>
      <c r="F141" s="56">
        <v>31</v>
      </c>
      <c r="G141" s="56">
        <v>0</v>
      </c>
      <c r="H141" s="56">
        <v>0</v>
      </c>
      <c r="I141" s="273">
        <v>5281522.456995299</v>
      </c>
      <c r="J141" s="95">
        <f>'Negative Impact Var'!B155</f>
        <v>5281522.456995299</v>
      </c>
      <c r="K141" s="95"/>
      <c r="L141" s="58"/>
      <c r="M141" s="240">
        <f t="shared" si="2"/>
        <v>87849250.7284423</v>
      </c>
      <c r="N141" s="220"/>
      <c r="O141"/>
      <c r="P141"/>
      <c r="Q141"/>
      <c r="R141"/>
      <c r="S141"/>
      <c r="T141"/>
      <c r="U141"/>
      <c r="V141"/>
    </row>
    <row r="142" spans="1:22" s="57" customFormat="1" ht="15">
      <c r="A142" s="55">
        <v>42948</v>
      </c>
      <c r="B142" s="98"/>
      <c r="C142" s="185">
        <f>'HDD&amp;CDD'!$AA15</f>
        <v>5.359999999999999</v>
      </c>
      <c r="D142" s="185">
        <f>'HDD&amp;CDD'!$AA35</f>
        <v>103.49000000000001</v>
      </c>
      <c r="E142" s="124">
        <v>159.9926534175895</v>
      </c>
      <c r="F142" s="56">
        <v>31</v>
      </c>
      <c r="G142" s="56">
        <v>0</v>
      </c>
      <c r="H142" s="56">
        <v>0</v>
      </c>
      <c r="I142" s="273">
        <v>5258180.851270639</v>
      </c>
      <c r="J142" s="95">
        <f>'Negative Impact Var'!B156</f>
        <v>5258180.851270639</v>
      </c>
      <c r="K142" s="95"/>
      <c r="L142" s="58"/>
      <c r="M142" s="240">
        <f t="shared" si="2"/>
        <v>84916856.33217381</v>
      </c>
      <c r="N142" s="220"/>
      <c r="O142"/>
      <c r="P142"/>
      <c r="Q142"/>
      <c r="R142"/>
      <c r="S142"/>
      <c r="T142"/>
      <c r="U142"/>
      <c r="V142"/>
    </row>
    <row r="143" spans="1:22" s="57" customFormat="1" ht="15">
      <c r="A143" s="55">
        <v>42979</v>
      </c>
      <c r="B143" s="98"/>
      <c r="C143" s="185">
        <f>'HDD&amp;CDD'!$AA16</f>
        <v>62.71</v>
      </c>
      <c r="D143" s="185">
        <f>'HDD&amp;CDD'!$AA36</f>
        <v>35.489999999999995</v>
      </c>
      <c r="E143" s="124">
        <v>160.2830565559375</v>
      </c>
      <c r="F143" s="56">
        <v>30</v>
      </c>
      <c r="G143" s="56">
        <v>0</v>
      </c>
      <c r="H143" s="56">
        <v>0</v>
      </c>
      <c r="I143" s="273">
        <v>5234839.24554598</v>
      </c>
      <c r="J143" s="95">
        <f>'Negative Impact Var'!B157</f>
        <v>5234839.24554598</v>
      </c>
      <c r="K143" s="95"/>
      <c r="L143" s="58"/>
      <c r="M143" s="240">
        <f t="shared" si="2"/>
        <v>75752853.9128797</v>
      </c>
      <c r="N143" s="220"/>
      <c r="O143"/>
      <c r="P143"/>
      <c r="Q143"/>
      <c r="R143"/>
      <c r="S143"/>
      <c r="T143"/>
      <c r="U143"/>
      <c r="V143"/>
    </row>
    <row r="144" spans="1:22" s="57" customFormat="1" ht="15">
      <c r="A144" s="55">
        <v>43009</v>
      </c>
      <c r="B144" s="98"/>
      <c r="C144" s="185">
        <f>'HDD&amp;CDD'!$AA17</f>
        <v>239.46000000000004</v>
      </c>
      <c r="D144" s="185">
        <f>'HDD&amp;CDD'!$AA37</f>
        <v>2.6100000000000003</v>
      </c>
      <c r="E144" s="124">
        <v>160.57398680588065</v>
      </c>
      <c r="F144" s="56">
        <v>31</v>
      </c>
      <c r="G144" s="56">
        <v>0</v>
      </c>
      <c r="H144" s="56">
        <v>0</v>
      </c>
      <c r="I144" s="273">
        <v>5211497.63982132</v>
      </c>
      <c r="J144" s="95">
        <f>'Negative Impact Var'!B158</f>
        <v>5211497.63982132</v>
      </c>
      <c r="K144" s="95"/>
      <c r="L144" s="58"/>
      <c r="M144" s="240">
        <f t="shared" si="2"/>
        <v>76462500.97900492</v>
      </c>
      <c r="N144" s="220"/>
      <c r="O144"/>
      <c r="P144"/>
      <c r="Q144"/>
      <c r="R144"/>
      <c r="S144"/>
      <c r="T144"/>
      <c r="U144"/>
      <c r="V144"/>
    </row>
    <row r="145" spans="1:22" s="57" customFormat="1" ht="15">
      <c r="A145" s="55">
        <v>43040</v>
      </c>
      <c r="B145" s="98"/>
      <c r="C145" s="185">
        <f>'HDD&amp;CDD'!$AA18</f>
        <v>414.4200000000001</v>
      </c>
      <c r="D145" s="185">
        <f>'HDD&amp;CDD'!$AA38</f>
        <v>0</v>
      </c>
      <c r="E145" s="124">
        <v>160.86544512418084</v>
      </c>
      <c r="F145" s="56">
        <v>30</v>
      </c>
      <c r="G145" s="56">
        <v>0</v>
      </c>
      <c r="H145" s="56">
        <v>0</v>
      </c>
      <c r="I145" s="273">
        <v>5188156.03409666</v>
      </c>
      <c r="J145" s="95">
        <f>'Negative Impact Var'!B159</f>
        <v>5188156.03409666</v>
      </c>
      <c r="K145" s="95"/>
      <c r="L145" s="58"/>
      <c r="M145" s="240">
        <f t="shared" si="2"/>
        <v>77462497.45540436</v>
      </c>
      <c r="N145" s="220"/>
      <c r="O145"/>
      <c r="P145"/>
      <c r="Q145"/>
      <c r="R145"/>
      <c r="S145"/>
      <c r="T145"/>
      <c r="U145"/>
      <c r="V145"/>
    </row>
    <row r="146" spans="1:22" s="61" customFormat="1" ht="15">
      <c r="A146" s="59">
        <v>43070</v>
      </c>
      <c r="B146" s="99"/>
      <c r="C146" s="185">
        <f>'HDD&amp;CDD'!$AA19</f>
        <v>583.5699999999999</v>
      </c>
      <c r="D146" s="185">
        <f>'HDD&amp;CDD'!$AA39</f>
        <v>0</v>
      </c>
      <c r="E146" s="125">
        <v>161.15743246933627</v>
      </c>
      <c r="F146" s="60">
        <v>31</v>
      </c>
      <c r="G146" s="60">
        <v>0</v>
      </c>
      <c r="H146" s="60">
        <v>0</v>
      </c>
      <c r="I146" s="274">
        <v>5164814.428372</v>
      </c>
      <c r="J146" s="96">
        <f>'Negative Impact Var'!B160</f>
        <v>5164814.428372</v>
      </c>
      <c r="K146" s="95"/>
      <c r="L146" s="62"/>
      <c r="M146" s="240">
        <f t="shared" si="2"/>
        <v>82185980.14808738</v>
      </c>
      <c r="N146" s="220"/>
      <c r="O146"/>
      <c r="P146"/>
      <c r="Q146"/>
      <c r="R146"/>
      <c r="S146"/>
      <c r="T146"/>
      <c r="U146"/>
      <c r="V146"/>
    </row>
    <row r="147" spans="1:4" ht="12.75">
      <c r="A147" s="3"/>
      <c r="C147" s="16"/>
      <c r="D147" s="1" t="s">
        <v>62</v>
      </c>
    </row>
    <row r="148" ht="12.75">
      <c r="A148" s="3"/>
    </row>
    <row r="149" spans="1:14" ht="12.75">
      <c r="A149">
        <v>2006</v>
      </c>
      <c r="B149" s="100">
        <f>SUM(B3:B14)</f>
        <v>1022795092.0059999</v>
      </c>
      <c r="M149" s="196">
        <f>SUM(M3:M14)</f>
        <v>987312085.8367729</v>
      </c>
      <c r="N149" s="196"/>
    </row>
    <row r="150" spans="1:14" ht="12.75">
      <c r="A150" s="15">
        <v>2007</v>
      </c>
      <c r="B150" s="100">
        <f>SUM(B15:B26)</f>
        <v>1043014996.6977228</v>
      </c>
      <c r="M150" s="196">
        <f>SUM(M15:M26)</f>
        <v>1010478553.6991246</v>
      </c>
      <c r="N150" s="196"/>
    </row>
    <row r="151" spans="1:14" ht="12.75">
      <c r="A151">
        <v>2008</v>
      </c>
      <c r="B151" s="100">
        <f>SUM(B27:B38)</f>
        <v>1013423329.7209052</v>
      </c>
      <c r="M151" s="196">
        <f>SUM(M27:M38)</f>
        <v>991464070.4996934</v>
      </c>
      <c r="N151" s="196"/>
    </row>
    <row r="152" spans="1:14" ht="12.75">
      <c r="A152" s="15">
        <v>2009</v>
      </c>
      <c r="B152" s="100">
        <f>SUM(B39:B50)</f>
        <v>940830205.04</v>
      </c>
      <c r="M152" s="196">
        <f>SUM(M39:M50)</f>
        <v>951892668.3263597</v>
      </c>
      <c r="N152" s="196"/>
    </row>
    <row r="153" spans="1:14" ht="12.75">
      <c r="A153">
        <v>2010</v>
      </c>
      <c r="B153" s="100">
        <f>SUM(B51:B62)</f>
        <v>950759112.6500769</v>
      </c>
      <c r="M153" s="196">
        <f>SUM(M51:M62)</f>
        <v>971441399.1870096</v>
      </c>
      <c r="N153" s="196"/>
    </row>
    <row r="154" spans="1:14" ht="12.75">
      <c r="A154">
        <v>2011</v>
      </c>
      <c r="B154" s="100">
        <f>SUM(B63:B74)</f>
        <v>944902732.1238462</v>
      </c>
      <c r="M154" s="196">
        <f>SUM(M63:M74)</f>
        <v>985304804.0978585</v>
      </c>
      <c r="N154" s="196"/>
    </row>
    <row r="155" spans="1:14" ht="12.75">
      <c r="A155">
        <v>2012</v>
      </c>
      <c r="B155" s="100">
        <f>SUM(B75:B86)</f>
        <v>964379230.7051749</v>
      </c>
      <c r="M155" s="196">
        <f>SUM(M75:M86)</f>
        <v>989253301.3684258</v>
      </c>
      <c r="N155" s="196"/>
    </row>
    <row r="156" spans="1:14" ht="12.75">
      <c r="A156">
        <v>2013</v>
      </c>
      <c r="B156" s="100">
        <f>SUM(B87:B98)</f>
        <v>961335479.0000001</v>
      </c>
      <c r="M156" s="196">
        <f>SUM(M87:M98)</f>
        <v>971777023.9012134</v>
      </c>
      <c r="N156" s="196"/>
    </row>
    <row r="157" spans="1:14" ht="12.75">
      <c r="A157">
        <v>2014</v>
      </c>
      <c r="B157" s="100">
        <f>SUM(B99:B110)</f>
        <v>913546785.3566668</v>
      </c>
      <c r="M157" s="196">
        <f>SUM(M99:M110)</f>
        <v>928986220.4144613</v>
      </c>
      <c r="N157" s="196"/>
    </row>
    <row r="158" spans="1:14" ht="12.75">
      <c r="A158">
        <v>2015</v>
      </c>
      <c r="B158" s="100">
        <f>SUM(B111:B122)</f>
        <v>920489866.9830768</v>
      </c>
      <c r="M158" s="196">
        <f>SUM(M111:M122)</f>
        <v>903313108.8975948</v>
      </c>
      <c r="N158" s="196"/>
    </row>
    <row r="159" spans="1:14" ht="12.75">
      <c r="A159">
        <v>2016</v>
      </c>
      <c r="M159" s="196">
        <f>SUM(M123:M134)</f>
        <v>918491576.43463</v>
      </c>
      <c r="N159" s="219">
        <f>M159/M158-1</f>
        <v>0.01680310779012051</v>
      </c>
    </row>
    <row r="160" spans="1:14" ht="12.75">
      <c r="A160">
        <v>2017</v>
      </c>
      <c r="M160" s="196">
        <f>SUM(M135:M146)</f>
        <v>945357099.975493</v>
      </c>
      <c r="N160" s="219">
        <f>M160/M159-1</f>
        <v>0.029249613420679</v>
      </c>
    </row>
    <row r="165" spans="1:2" ht="12.75">
      <c r="A165" t="s">
        <v>77</v>
      </c>
      <c r="B165" s="100">
        <f>SUM(B149:B158)</f>
        <v>9675476830.283468</v>
      </c>
    </row>
    <row r="170" spans="3:11" ht="12.75">
      <c r="C170" s="6"/>
      <c r="D170" s="6"/>
      <c r="F170" s="6"/>
      <c r="G170" s="6"/>
      <c r="H170" s="6"/>
      <c r="J170" s="6"/>
      <c r="K170" s="6"/>
    </row>
  </sheetData>
  <sheetProtection/>
  <hyperlinks>
    <hyperlink ref="K2" location="F6" tooltip="Go to footnote" display="F6"/>
    <hyperlink ref="L2" location="F10" tooltip="Go to footnote" display="F10"/>
  </hyperlinks>
  <printOptions/>
  <pageMargins left="0.38" right="0.75" top="0.73" bottom="0.74"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T160"/>
  <sheetViews>
    <sheetView zoomScalePageLayoutView="0" workbookViewId="0" topLeftCell="A1">
      <selection activeCell="A1" sqref="A1"/>
    </sheetView>
  </sheetViews>
  <sheetFormatPr defaultColWidth="9.140625" defaultRowHeight="12.75"/>
  <cols>
    <col min="2" max="2" width="21.7109375" style="0" customWidth="1"/>
    <col min="3" max="3" width="12.57421875" style="0" customWidth="1"/>
    <col min="5" max="6" width="17.140625" style="0" customWidth="1"/>
  </cols>
  <sheetData>
    <row r="1" spans="2:8" ht="51">
      <c r="B1" s="78" t="s">
        <v>128</v>
      </c>
      <c r="C1" s="78" t="s">
        <v>132</v>
      </c>
      <c r="D1" s="78" t="s">
        <v>130</v>
      </c>
      <c r="E1" s="78" t="s">
        <v>131</v>
      </c>
      <c r="F1" s="78" t="s">
        <v>135</v>
      </c>
      <c r="G1" s="78" t="s">
        <v>133</v>
      </c>
      <c r="H1" s="78" t="s">
        <v>134</v>
      </c>
    </row>
    <row r="2" spans="2:20" ht="12.75">
      <c r="B2" t="s">
        <v>129</v>
      </c>
      <c r="C2" t="s">
        <v>129</v>
      </c>
      <c r="D2" t="s">
        <v>129</v>
      </c>
      <c r="E2" t="s">
        <v>129</v>
      </c>
      <c r="S2" s="79" t="s">
        <v>103</v>
      </c>
      <c r="T2" s="79">
        <v>1</v>
      </c>
    </row>
    <row r="3" spans="1:20" ht="12.75">
      <c r="A3">
        <v>2006</v>
      </c>
      <c r="B3" s="72">
        <v>0</v>
      </c>
      <c r="C3" s="72">
        <v>10</v>
      </c>
      <c r="D3">
        <f>C3/2</f>
        <v>5</v>
      </c>
      <c r="E3">
        <f>B3+D3</f>
        <v>5</v>
      </c>
      <c r="F3">
        <f>D28</f>
        <v>9.23076923076923</v>
      </c>
      <c r="G3">
        <f>E3</f>
        <v>5</v>
      </c>
      <c r="H3">
        <f>G3/$T$14</f>
        <v>0.0641025641025641</v>
      </c>
      <c r="S3" s="79" t="s">
        <v>104</v>
      </c>
      <c r="T3" s="79">
        <v>2</v>
      </c>
    </row>
    <row r="4" spans="1:20" ht="12.75">
      <c r="A4">
        <v>2007</v>
      </c>
      <c r="B4" s="72">
        <v>10</v>
      </c>
      <c r="C4" s="72">
        <v>10</v>
      </c>
      <c r="D4">
        <f aca="true" t="shared" si="0" ref="D4:D14">C4/2</f>
        <v>5</v>
      </c>
      <c r="E4">
        <f aca="true" t="shared" si="1" ref="E4:E14">B4+D4</f>
        <v>15</v>
      </c>
      <c r="F4">
        <f>D40</f>
        <v>19.881656804733733</v>
      </c>
      <c r="G4">
        <f>E4-F3</f>
        <v>5.76923076923077</v>
      </c>
      <c r="H4">
        <f aca="true" t="shared" si="2" ref="H4:H13">G4/$T$14</f>
        <v>0.07396449704142014</v>
      </c>
      <c r="S4" s="79" t="s">
        <v>105</v>
      </c>
      <c r="T4" s="79">
        <v>3</v>
      </c>
    </row>
    <row r="5" spans="1:20" ht="12.75">
      <c r="A5">
        <v>2008</v>
      </c>
      <c r="B5" s="72">
        <v>20</v>
      </c>
      <c r="C5" s="72">
        <v>10</v>
      </c>
      <c r="D5">
        <f t="shared" si="0"/>
        <v>5</v>
      </c>
      <c r="E5">
        <f t="shared" si="1"/>
        <v>25</v>
      </c>
      <c r="F5">
        <f>D52</f>
        <v>29.33090578060992</v>
      </c>
      <c r="G5">
        <f aca="true" t="shared" si="3" ref="G5:G14">E5-F4</f>
        <v>5.118343195266267</v>
      </c>
      <c r="H5">
        <f t="shared" si="2"/>
        <v>0.06561978455469572</v>
      </c>
      <c r="S5" s="79" t="s">
        <v>106</v>
      </c>
      <c r="T5" s="79">
        <v>4</v>
      </c>
    </row>
    <row r="6" spans="1:20" ht="12.75">
      <c r="A6">
        <v>2009</v>
      </c>
      <c r="B6" s="72">
        <v>30</v>
      </c>
      <c r="C6" s="72">
        <v>10</v>
      </c>
      <c r="D6">
        <f t="shared" si="0"/>
        <v>5</v>
      </c>
      <c r="E6">
        <f t="shared" si="1"/>
        <v>35</v>
      </c>
      <c r="F6">
        <f>D64</f>
        <v>39.79692587794547</v>
      </c>
      <c r="G6">
        <f t="shared" si="3"/>
        <v>5.669094219390079</v>
      </c>
      <c r="H6">
        <f t="shared" si="2"/>
        <v>0.07268069512038562</v>
      </c>
      <c r="S6" s="79" t="s">
        <v>92</v>
      </c>
      <c r="T6" s="79">
        <v>5</v>
      </c>
    </row>
    <row r="7" spans="1:20" ht="12.75">
      <c r="A7">
        <v>2010</v>
      </c>
      <c r="B7" s="72">
        <v>40</v>
      </c>
      <c r="C7" s="72">
        <v>10</v>
      </c>
      <c r="D7">
        <f t="shared" si="0"/>
        <v>5</v>
      </c>
      <c r="E7">
        <f t="shared" si="1"/>
        <v>45</v>
      </c>
      <c r="F7">
        <f>D76</f>
        <v>49.40260118020001</v>
      </c>
      <c r="G7">
        <f t="shared" si="3"/>
        <v>5.203074122054531</v>
      </c>
      <c r="H7">
        <f t="shared" si="2"/>
        <v>0.0667060784878786</v>
      </c>
      <c r="S7" s="79" t="s">
        <v>107</v>
      </c>
      <c r="T7" s="79">
        <v>6</v>
      </c>
    </row>
    <row r="8" spans="1:20" ht="12.75">
      <c r="A8">
        <v>2011</v>
      </c>
      <c r="B8" s="72">
        <v>50</v>
      </c>
      <c r="C8" s="72">
        <v>10</v>
      </c>
      <c r="D8">
        <f t="shared" si="0"/>
        <v>5</v>
      </c>
      <c r="E8">
        <f t="shared" si="1"/>
        <v>55</v>
      </c>
      <c r="F8">
        <f>D88</f>
        <v>59.736260539830795</v>
      </c>
      <c r="G8">
        <f t="shared" si="3"/>
        <v>5.5973988197999915</v>
      </c>
      <c r="H8">
        <f t="shared" si="2"/>
        <v>0.07176152333076913</v>
      </c>
      <c r="S8" s="79" t="s">
        <v>108</v>
      </c>
      <c r="T8" s="79">
        <v>7</v>
      </c>
    </row>
    <row r="9" spans="1:20" ht="12.75">
      <c r="A9">
        <v>2012</v>
      </c>
      <c r="B9" s="72">
        <v>60</v>
      </c>
      <c r="C9" s="72">
        <v>10</v>
      </c>
      <c r="D9">
        <f t="shared" si="0"/>
        <v>5</v>
      </c>
      <c r="E9">
        <f t="shared" si="1"/>
        <v>65</v>
      </c>
      <c r="F9">
        <f>D100</f>
        <v>69.45393338937393</v>
      </c>
      <c r="G9">
        <f t="shared" si="3"/>
        <v>5.263739460169205</v>
      </c>
      <c r="H9">
        <f t="shared" si="2"/>
        <v>0.06748383923293853</v>
      </c>
      <c r="S9" s="79" t="s">
        <v>109</v>
      </c>
      <c r="T9" s="79">
        <v>8</v>
      </c>
    </row>
    <row r="10" spans="1:20" ht="12.75">
      <c r="A10">
        <v>2013</v>
      </c>
      <c r="B10" s="72">
        <v>70</v>
      </c>
      <c r="C10" s="72">
        <v>10</v>
      </c>
      <c r="D10">
        <f t="shared" si="0"/>
        <v>5</v>
      </c>
      <c r="E10">
        <f t="shared" si="1"/>
        <v>75</v>
      </c>
      <c r="F10">
        <f>D112</f>
        <v>79.69282559360668</v>
      </c>
      <c r="G10">
        <f t="shared" si="3"/>
        <v>5.54606661062607</v>
      </c>
      <c r="H10">
        <f t="shared" si="2"/>
        <v>0.07110341808494962</v>
      </c>
      <c r="S10" s="79" t="s">
        <v>110</v>
      </c>
      <c r="T10" s="79">
        <v>9</v>
      </c>
    </row>
    <row r="11" spans="1:20" ht="12.75">
      <c r="A11">
        <v>2014</v>
      </c>
      <c r="B11" s="72">
        <v>80</v>
      </c>
      <c r="C11" s="72">
        <v>10</v>
      </c>
      <c r="D11">
        <f t="shared" si="0"/>
        <v>5</v>
      </c>
      <c r="E11">
        <f t="shared" si="1"/>
        <v>85</v>
      </c>
      <c r="F11">
        <f>D124</f>
        <v>89.49068603617894</v>
      </c>
      <c r="G11">
        <f t="shared" si="3"/>
        <v>5.307174406393315</v>
      </c>
      <c r="H11">
        <f t="shared" si="2"/>
        <v>0.06804069751786301</v>
      </c>
      <c r="S11" s="79" t="s">
        <v>111</v>
      </c>
      <c r="T11" s="79">
        <v>10</v>
      </c>
    </row>
    <row r="12" spans="1:20" ht="12.75">
      <c r="A12">
        <v>2015</v>
      </c>
      <c r="B12" s="72">
        <v>90</v>
      </c>
      <c r="C12" s="77">
        <v>10</v>
      </c>
      <c r="D12">
        <f t="shared" si="0"/>
        <v>5</v>
      </c>
      <c r="E12">
        <f t="shared" si="1"/>
        <v>95</v>
      </c>
      <c r="F12">
        <f>D136</f>
        <v>99.66172720015629</v>
      </c>
      <c r="G12">
        <f t="shared" si="3"/>
        <v>5.509313963821057</v>
      </c>
      <c r="H12">
        <f t="shared" si="2"/>
        <v>0.07063223030539817</v>
      </c>
      <c r="S12" s="79" t="s">
        <v>112</v>
      </c>
      <c r="T12" s="79">
        <v>11</v>
      </c>
    </row>
    <row r="13" spans="1:20" ht="12.75">
      <c r="A13">
        <v>2016</v>
      </c>
      <c r="B13" s="72">
        <v>100</v>
      </c>
      <c r="C13" s="77">
        <v>10</v>
      </c>
      <c r="D13">
        <f t="shared" si="0"/>
        <v>5</v>
      </c>
      <c r="E13">
        <f t="shared" si="1"/>
        <v>105</v>
      </c>
      <c r="F13">
        <f>D148</f>
        <v>109.51700006140629</v>
      </c>
      <c r="G13">
        <f t="shared" si="3"/>
        <v>5.338272799843708</v>
      </c>
      <c r="H13">
        <f t="shared" si="2"/>
        <v>0.06843939486979113</v>
      </c>
      <c r="S13" s="79" t="s">
        <v>113</v>
      </c>
      <c r="T13" s="79">
        <v>12</v>
      </c>
    </row>
    <row r="14" spans="1:20" ht="12.75">
      <c r="A14">
        <v>2017</v>
      </c>
      <c r="B14" s="72">
        <v>110</v>
      </c>
      <c r="C14" s="77">
        <v>10</v>
      </c>
      <c r="D14">
        <f t="shared" si="0"/>
        <v>5</v>
      </c>
      <c r="E14">
        <f t="shared" si="1"/>
        <v>115</v>
      </c>
      <c r="F14">
        <f>D160</f>
        <v>119.63946148650234</v>
      </c>
      <c r="G14">
        <f t="shared" si="3"/>
        <v>5.482999938593707</v>
      </c>
      <c r="H14">
        <f>G14/$T$14</f>
        <v>0.07029487100761163</v>
      </c>
      <c r="S14" s="79" t="s">
        <v>10</v>
      </c>
      <c r="T14" s="79">
        <v>78</v>
      </c>
    </row>
    <row r="17" spans="1:3" s="53" customFormat="1" ht="12.75">
      <c r="A17" s="51">
        <v>38718</v>
      </c>
      <c r="B17" s="53">
        <f>B16+$H$3</f>
        <v>0.0641025641025641</v>
      </c>
      <c r="C17" s="53">
        <f>H3</f>
        <v>0.0641025641025641</v>
      </c>
    </row>
    <row r="18" spans="1:2" s="57" customFormat="1" ht="12.75">
      <c r="A18" s="55">
        <v>38749</v>
      </c>
      <c r="B18" s="57">
        <f aca="true" t="shared" si="4" ref="B18:B28">B17+$H$3</f>
        <v>0.1282051282051282</v>
      </c>
    </row>
    <row r="19" spans="1:2" s="57" customFormat="1" ht="12.75">
      <c r="A19" s="55">
        <v>38777</v>
      </c>
      <c r="B19" s="57">
        <f t="shared" si="4"/>
        <v>0.1923076923076923</v>
      </c>
    </row>
    <row r="20" spans="1:2" s="57" customFormat="1" ht="12.75">
      <c r="A20" s="55">
        <v>38808</v>
      </c>
      <c r="B20" s="57">
        <f t="shared" si="4"/>
        <v>0.2564102564102564</v>
      </c>
    </row>
    <row r="21" spans="1:2" s="57" customFormat="1" ht="12.75">
      <c r="A21" s="55">
        <v>38838</v>
      </c>
      <c r="B21" s="57">
        <f t="shared" si="4"/>
        <v>0.3205128205128205</v>
      </c>
    </row>
    <row r="22" spans="1:2" s="57" customFormat="1" ht="12.75">
      <c r="A22" s="55">
        <v>38869</v>
      </c>
      <c r="B22" s="57">
        <f t="shared" si="4"/>
        <v>0.3846153846153846</v>
      </c>
    </row>
    <row r="23" spans="1:2" s="57" customFormat="1" ht="12.75">
      <c r="A23" s="55">
        <v>38899</v>
      </c>
      <c r="B23" s="57">
        <f t="shared" si="4"/>
        <v>0.4487179487179487</v>
      </c>
    </row>
    <row r="24" spans="1:2" s="57" customFormat="1" ht="12.75">
      <c r="A24" s="55">
        <v>38930</v>
      </c>
      <c r="B24" s="57">
        <f t="shared" si="4"/>
        <v>0.5128205128205128</v>
      </c>
    </row>
    <row r="25" spans="1:2" s="57" customFormat="1" ht="12.75">
      <c r="A25" s="55">
        <v>38961</v>
      </c>
      <c r="B25" s="57">
        <f t="shared" si="4"/>
        <v>0.5769230769230769</v>
      </c>
    </row>
    <row r="26" spans="1:2" s="57" customFormat="1" ht="12.75">
      <c r="A26" s="55">
        <v>38991</v>
      </c>
      <c r="B26" s="57">
        <f t="shared" si="4"/>
        <v>0.641025641025641</v>
      </c>
    </row>
    <row r="27" spans="1:3" s="57" customFormat="1" ht="12.75">
      <c r="A27" s="55">
        <v>39022</v>
      </c>
      <c r="B27" s="57">
        <f t="shared" si="4"/>
        <v>0.7051282051282051</v>
      </c>
      <c r="C27" s="57" t="s">
        <v>102</v>
      </c>
    </row>
    <row r="28" spans="1:4" s="61" customFormat="1" ht="12.75">
      <c r="A28" s="59">
        <v>39052</v>
      </c>
      <c r="B28" s="61">
        <f t="shared" si="4"/>
        <v>0.7692307692307692</v>
      </c>
      <c r="C28" s="61">
        <f>SUM(B17:B28)</f>
        <v>4.999999999999999</v>
      </c>
      <c r="D28" s="61">
        <f>B28*12</f>
        <v>9.23076923076923</v>
      </c>
    </row>
    <row r="29" spans="1:3" s="53" customFormat="1" ht="12.75">
      <c r="A29" s="51">
        <v>39083</v>
      </c>
      <c r="B29" s="53">
        <f>B28+$C$29</f>
        <v>0.8431952662721893</v>
      </c>
      <c r="C29" s="53">
        <f>H4</f>
        <v>0.07396449704142014</v>
      </c>
    </row>
    <row r="30" spans="1:2" s="57" customFormat="1" ht="12.75">
      <c r="A30" s="55">
        <v>39114</v>
      </c>
      <c r="B30" s="57">
        <f>B29+$C$29</f>
        <v>0.9171597633136095</v>
      </c>
    </row>
    <row r="31" spans="1:2" s="57" customFormat="1" ht="12.75">
      <c r="A31" s="55">
        <v>39142</v>
      </c>
      <c r="B31" s="57">
        <f aca="true" t="shared" si="5" ref="B31:B40">B30+$C$29</f>
        <v>0.9911242603550297</v>
      </c>
    </row>
    <row r="32" spans="1:2" s="57" customFormat="1" ht="12.75">
      <c r="A32" s="55">
        <v>39173</v>
      </c>
      <c r="B32" s="57">
        <f t="shared" si="5"/>
        <v>1.0650887573964498</v>
      </c>
    </row>
    <row r="33" spans="1:2" s="57" customFormat="1" ht="12.75">
      <c r="A33" s="55">
        <v>39203</v>
      </c>
      <c r="B33" s="57">
        <f t="shared" si="5"/>
        <v>1.13905325443787</v>
      </c>
    </row>
    <row r="34" spans="1:2" s="57" customFormat="1" ht="12.75">
      <c r="A34" s="55">
        <v>39234</v>
      </c>
      <c r="B34" s="57">
        <f t="shared" si="5"/>
        <v>1.2130177514792901</v>
      </c>
    </row>
    <row r="35" spans="1:2" s="57" customFormat="1" ht="12.75">
      <c r="A35" s="55">
        <v>39264</v>
      </c>
      <c r="B35" s="57">
        <f t="shared" si="5"/>
        <v>1.2869822485207103</v>
      </c>
    </row>
    <row r="36" spans="1:2" s="57" customFormat="1" ht="12.75">
      <c r="A36" s="55">
        <v>39295</v>
      </c>
      <c r="B36" s="57">
        <f t="shared" si="5"/>
        <v>1.3609467455621305</v>
      </c>
    </row>
    <row r="37" spans="1:2" s="57" customFormat="1" ht="12.75">
      <c r="A37" s="55">
        <v>39326</v>
      </c>
      <c r="B37" s="57">
        <f t="shared" si="5"/>
        <v>1.4349112426035506</v>
      </c>
    </row>
    <row r="38" spans="1:2" s="57" customFormat="1" ht="12.75">
      <c r="A38" s="55">
        <v>39356</v>
      </c>
      <c r="B38" s="57">
        <f t="shared" si="5"/>
        <v>1.5088757396449708</v>
      </c>
    </row>
    <row r="39" spans="1:3" s="57" customFormat="1" ht="12.75">
      <c r="A39" s="55">
        <v>39387</v>
      </c>
      <c r="B39" s="57">
        <f t="shared" si="5"/>
        <v>1.582840236686391</v>
      </c>
      <c r="C39" s="57" t="s">
        <v>102</v>
      </c>
    </row>
    <row r="40" spans="1:4" s="61" customFormat="1" ht="12.75">
      <c r="A40" s="59">
        <v>39417</v>
      </c>
      <c r="B40" s="61">
        <f t="shared" si="5"/>
        <v>1.6568047337278111</v>
      </c>
      <c r="C40" s="61">
        <f>SUM(B29:B40)</f>
        <v>15</v>
      </c>
      <c r="D40" s="61">
        <f>B40*12</f>
        <v>19.881656804733733</v>
      </c>
    </row>
    <row r="41" spans="1:3" s="57" customFormat="1" ht="12.75">
      <c r="A41" s="55">
        <v>39448</v>
      </c>
      <c r="B41" s="57">
        <f>B40+$C$41</f>
        <v>1.7224245182825069</v>
      </c>
      <c r="C41" s="57">
        <f>H5</f>
        <v>0.06561978455469572</v>
      </c>
    </row>
    <row r="42" spans="1:2" s="57" customFormat="1" ht="12.75">
      <c r="A42" s="55">
        <v>39479</v>
      </c>
      <c r="B42" s="57">
        <f aca="true" t="shared" si="6" ref="B42:B52">B41+$C$41</f>
        <v>1.7880443028372026</v>
      </c>
    </row>
    <row r="43" spans="1:2" s="57" customFormat="1" ht="12.75">
      <c r="A43" s="55">
        <v>39508</v>
      </c>
      <c r="B43" s="57">
        <f t="shared" si="6"/>
        <v>1.8536640873918984</v>
      </c>
    </row>
    <row r="44" spans="1:2" s="57" customFormat="1" ht="12.75">
      <c r="A44" s="55">
        <v>39539</v>
      </c>
      <c r="B44" s="57">
        <f t="shared" si="6"/>
        <v>1.9192838719465941</v>
      </c>
    </row>
    <row r="45" spans="1:2" s="57" customFormat="1" ht="12.75">
      <c r="A45" s="55">
        <v>39569</v>
      </c>
      <c r="B45" s="57">
        <f t="shared" si="6"/>
        <v>1.9849036565012899</v>
      </c>
    </row>
    <row r="46" spans="1:2" s="57" customFormat="1" ht="12.75">
      <c r="A46" s="55">
        <v>39600</v>
      </c>
      <c r="B46" s="57">
        <f t="shared" si="6"/>
        <v>2.0505234410559856</v>
      </c>
    </row>
    <row r="47" spans="1:2" s="57" customFormat="1" ht="12.75">
      <c r="A47" s="55">
        <v>39630</v>
      </c>
      <c r="B47" s="57">
        <f t="shared" si="6"/>
        <v>2.1161432256106814</v>
      </c>
    </row>
    <row r="48" spans="1:2" s="57" customFormat="1" ht="12.75">
      <c r="A48" s="55">
        <v>39661</v>
      </c>
      <c r="B48" s="57">
        <f t="shared" si="6"/>
        <v>2.181763010165377</v>
      </c>
    </row>
    <row r="49" spans="1:2" s="57" customFormat="1" ht="12.75">
      <c r="A49" s="55">
        <v>39692</v>
      </c>
      <c r="B49" s="57">
        <f t="shared" si="6"/>
        <v>2.247382794720073</v>
      </c>
    </row>
    <row r="50" spans="1:2" s="57" customFormat="1" ht="12.75">
      <c r="A50" s="55">
        <v>39722</v>
      </c>
      <c r="B50" s="57">
        <f t="shared" si="6"/>
        <v>2.3130025792747686</v>
      </c>
    </row>
    <row r="51" spans="1:3" s="57" customFormat="1" ht="12.75">
      <c r="A51" s="55">
        <v>39753</v>
      </c>
      <c r="B51" s="57">
        <f t="shared" si="6"/>
        <v>2.3786223638294643</v>
      </c>
      <c r="C51" s="57" t="s">
        <v>102</v>
      </c>
    </row>
    <row r="52" spans="1:4" s="61" customFormat="1" ht="12.75">
      <c r="A52" s="59">
        <v>39783</v>
      </c>
      <c r="B52" s="61">
        <f t="shared" si="6"/>
        <v>2.44424214838416</v>
      </c>
      <c r="C52" s="61">
        <f>SUM(B41:B52)</f>
        <v>25</v>
      </c>
      <c r="D52" s="61">
        <f>B52*12</f>
        <v>29.33090578060992</v>
      </c>
    </row>
    <row r="53" spans="1:3" s="53" customFormat="1" ht="12.75">
      <c r="A53" s="51">
        <v>39814</v>
      </c>
      <c r="B53" s="53">
        <f>B52+$C$53</f>
        <v>2.516922843504546</v>
      </c>
      <c r="C53" s="53">
        <f>H6</f>
        <v>0.07268069512038562</v>
      </c>
    </row>
    <row r="54" spans="1:2" s="57" customFormat="1" ht="12.75">
      <c r="A54" s="55">
        <v>39845</v>
      </c>
      <c r="B54" s="57">
        <f aca="true" t="shared" si="7" ref="B54:B64">B53+$C$53</f>
        <v>2.5896035386249316</v>
      </c>
    </row>
    <row r="55" spans="1:2" s="57" customFormat="1" ht="12.75">
      <c r="A55" s="55">
        <v>39873</v>
      </c>
      <c r="B55" s="57">
        <f t="shared" si="7"/>
        <v>2.6622842337453174</v>
      </c>
    </row>
    <row r="56" spans="1:2" s="57" customFormat="1" ht="12.75">
      <c r="A56" s="55">
        <v>39904</v>
      </c>
      <c r="B56" s="57">
        <f t="shared" si="7"/>
        <v>2.734964928865703</v>
      </c>
    </row>
    <row r="57" spans="1:2" s="57" customFormat="1" ht="12.75">
      <c r="A57" s="55">
        <v>39934</v>
      </c>
      <c r="B57" s="57">
        <f t="shared" si="7"/>
        <v>2.807645623986089</v>
      </c>
    </row>
    <row r="58" spans="1:2" s="57" customFormat="1" ht="12.75">
      <c r="A58" s="55">
        <v>39965</v>
      </c>
      <c r="B58" s="57">
        <f t="shared" si="7"/>
        <v>2.8803263191064747</v>
      </c>
    </row>
    <row r="59" spans="1:2" s="57" customFormat="1" ht="12.75">
      <c r="A59" s="55">
        <v>39995</v>
      </c>
      <c r="B59" s="57">
        <f t="shared" si="7"/>
        <v>2.9530070142268605</v>
      </c>
    </row>
    <row r="60" spans="1:2" s="57" customFormat="1" ht="12.75">
      <c r="A60" s="55">
        <v>40026</v>
      </c>
      <c r="B60" s="57">
        <f t="shared" si="7"/>
        <v>3.0256877093472463</v>
      </c>
    </row>
    <row r="61" spans="1:2" s="57" customFormat="1" ht="12.75">
      <c r="A61" s="55">
        <v>40057</v>
      </c>
      <c r="B61" s="57">
        <f t="shared" si="7"/>
        <v>3.098368404467632</v>
      </c>
    </row>
    <row r="62" spans="1:2" s="57" customFormat="1" ht="12.75">
      <c r="A62" s="55">
        <v>40087</v>
      </c>
      <c r="B62" s="57">
        <f t="shared" si="7"/>
        <v>3.171049099588018</v>
      </c>
    </row>
    <row r="63" spans="1:3" s="57" customFormat="1" ht="12.75">
      <c r="A63" s="55">
        <v>40118</v>
      </c>
      <c r="B63" s="57">
        <f t="shared" si="7"/>
        <v>3.2437297947084036</v>
      </c>
      <c r="C63" s="57" t="s">
        <v>102</v>
      </c>
    </row>
    <row r="64" spans="1:4" s="61" customFormat="1" ht="12.75">
      <c r="A64" s="59">
        <v>40148</v>
      </c>
      <c r="B64" s="61">
        <f t="shared" si="7"/>
        <v>3.3164104898287894</v>
      </c>
      <c r="C64" s="61">
        <f>SUM(B53:B64)</f>
        <v>35.00000000000001</v>
      </c>
      <c r="D64" s="61">
        <f>B64*12</f>
        <v>39.79692587794547</v>
      </c>
    </row>
    <row r="65" spans="1:3" s="53" customFormat="1" ht="12.75">
      <c r="A65" s="51">
        <v>40179</v>
      </c>
      <c r="B65" s="53">
        <f>B64+$C$65</f>
        <v>3.383116568316668</v>
      </c>
      <c r="C65" s="53">
        <f>H7</f>
        <v>0.0667060784878786</v>
      </c>
    </row>
    <row r="66" spans="1:2" s="57" customFormat="1" ht="12.75">
      <c r="A66" s="55">
        <v>40210</v>
      </c>
      <c r="B66" s="57">
        <f aca="true" t="shared" si="8" ref="B66:B76">B65+$C$65</f>
        <v>3.449822646804547</v>
      </c>
    </row>
    <row r="67" spans="1:2" s="57" customFormat="1" ht="12.75">
      <c r="A67" s="55">
        <v>40238</v>
      </c>
      <c r="B67" s="57">
        <f t="shared" si="8"/>
        <v>3.5165287252924258</v>
      </c>
    </row>
    <row r="68" spans="1:2" s="57" customFormat="1" ht="12.75">
      <c r="A68" s="55">
        <v>40269</v>
      </c>
      <c r="B68" s="57">
        <f t="shared" si="8"/>
        <v>3.5832348037803046</v>
      </c>
    </row>
    <row r="69" spans="1:2" s="57" customFormat="1" ht="12.75">
      <c r="A69" s="55">
        <v>40299</v>
      </c>
      <c r="B69" s="57">
        <f t="shared" si="8"/>
        <v>3.6499408822681834</v>
      </c>
    </row>
    <row r="70" spans="1:2" s="57" customFormat="1" ht="12.75">
      <c r="A70" s="55">
        <v>40330</v>
      </c>
      <c r="B70" s="57">
        <f t="shared" si="8"/>
        <v>3.716646960756062</v>
      </c>
    </row>
    <row r="71" spans="1:2" s="57" customFormat="1" ht="12.75">
      <c r="A71" s="55">
        <v>40360</v>
      </c>
      <c r="B71" s="57">
        <f t="shared" si="8"/>
        <v>3.783353039243941</v>
      </c>
    </row>
    <row r="72" spans="1:2" s="57" customFormat="1" ht="12.75">
      <c r="A72" s="55">
        <v>40391</v>
      </c>
      <c r="B72" s="57">
        <f t="shared" si="8"/>
        <v>3.8500591177318197</v>
      </c>
    </row>
    <row r="73" spans="1:2" s="57" customFormat="1" ht="12.75">
      <c r="A73" s="55">
        <v>40422</v>
      </c>
      <c r="B73" s="57">
        <f t="shared" si="8"/>
        <v>3.9167651962196985</v>
      </c>
    </row>
    <row r="74" spans="1:2" s="57" customFormat="1" ht="12.75">
      <c r="A74" s="55">
        <v>40452</v>
      </c>
      <c r="B74" s="57">
        <f t="shared" si="8"/>
        <v>3.9834712747075773</v>
      </c>
    </row>
    <row r="75" spans="1:3" s="57" customFormat="1" ht="12.75">
      <c r="A75" s="55">
        <v>40483</v>
      </c>
      <c r="B75" s="57">
        <f t="shared" si="8"/>
        <v>4.050177353195456</v>
      </c>
      <c r="C75" s="57" t="s">
        <v>102</v>
      </c>
    </row>
    <row r="76" spans="1:4" s="61" customFormat="1" ht="12.75">
      <c r="A76" s="59">
        <v>40513</v>
      </c>
      <c r="B76" s="61">
        <f t="shared" si="8"/>
        <v>4.116883431683334</v>
      </c>
      <c r="C76" s="61">
        <f>SUM(B65:B76)</f>
        <v>45.00000000000002</v>
      </c>
      <c r="D76" s="61">
        <f>B76*12</f>
        <v>49.40260118020001</v>
      </c>
    </row>
    <row r="77" spans="1:3" s="53" customFormat="1" ht="12.75">
      <c r="A77" s="51">
        <v>40544</v>
      </c>
      <c r="B77" s="53">
        <f>B76+$C$77</f>
        <v>4.188644955014103</v>
      </c>
      <c r="C77" s="53">
        <f>H8</f>
        <v>0.07176152333076913</v>
      </c>
    </row>
    <row r="78" spans="1:2" s="57" customFormat="1" ht="12.75">
      <c r="A78" s="55">
        <v>40575</v>
      </c>
      <c r="B78" s="57">
        <f aca="true" t="shared" si="9" ref="B78:B88">B77+$C$77</f>
        <v>4.260406478344873</v>
      </c>
    </row>
    <row r="79" spans="1:2" s="57" customFormat="1" ht="12.75">
      <c r="A79" s="55">
        <v>40603</v>
      </c>
      <c r="B79" s="57">
        <f t="shared" si="9"/>
        <v>4.332168001675642</v>
      </c>
    </row>
    <row r="80" spans="1:2" s="57" customFormat="1" ht="12.75">
      <c r="A80" s="55">
        <v>40634</v>
      </c>
      <c r="B80" s="57">
        <f t="shared" si="9"/>
        <v>4.403929525006411</v>
      </c>
    </row>
    <row r="81" spans="1:2" s="57" customFormat="1" ht="12.75">
      <c r="A81" s="55">
        <v>40664</v>
      </c>
      <c r="B81" s="57">
        <f t="shared" si="9"/>
        <v>4.475691048337181</v>
      </c>
    </row>
    <row r="82" spans="1:2" s="57" customFormat="1" ht="12.75">
      <c r="A82" s="55">
        <v>40695</v>
      </c>
      <c r="B82" s="57">
        <f t="shared" si="9"/>
        <v>4.54745257166795</v>
      </c>
    </row>
    <row r="83" spans="1:2" s="57" customFormat="1" ht="12.75">
      <c r="A83" s="55">
        <v>40725</v>
      </c>
      <c r="B83" s="57">
        <f t="shared" si="9"/>
        <v>4.6192140949987195</v>
      </c>
    </row>
    <row r="84" spans="1:2" s="57" customFormat="1" ht="12.75">
      <c r="A84" s="55">
        <v>40756</v>
      </c>
      <c r="B84" s="57">
        <f t="shared" si="9"/>
        <v>4.690975618329489</v>
      </c>
    </row>
    <row r="85" spans="1:2" s="57" customFormat="1" ht="12.75">
      <c r="A85" s="55">
        <v>40787</v>
      </c>
      <c r="B85" s="57">
        <f t="shared" si="9"/>
        <v>4.762737141660258</v>
      </c>
    </row>
    <row r="86" spans="1:2" s="57" customFormat="1" ht="12.75">
      <c r="A86" s="55">
        <v>40817</v>
      </c>
      <c r="B86" s="57">
        <f t="shared" si="9"/>
        <v>4.8344986649910275</v>
      </c>
    </row>
    <row r="87" spans="1:3" s="57" customFormat="1" ht="12.75">
      <c r="A87" s="55">
        <v>40848</v>
      </c>
      <c r="B87" s="57">
        <f t="shared" si="9"/>
        <v>4.906260188321797</v>
      </c>
      <c r="C87" s="57" t="s">
        <v>102</v>
      </c>
    </row>
    <row r="88" spans="1:4" s="61" customFormat="1" ht="12.75">
      <c r="A88" s="59">
        <v>40878</v>
      </c>
      <c r="B88" s="61">
        <f t="shared" si="9"/>
        <v>4.978021711652566</v>
      </c>
      <c r="C88" s="61">
        <f>SUM(B77:B88)</f>
        <v>55.00000000000002</v>
      </c>
      <c r="D88" s="61">
        <f>B88*12</f>
        <v>59.736260539830795</v>
      </c>
    </row>
    <row r="89" spans="1:3" s="53" customFormat="1" ht="12.75">
      <c r="A89" s="51">
        <v>40909</v>
      </c>
      <c r="B89" s="53">
        <f>B88+$C$89</f>
        <v>5.045505550885505</v>
      </c>
      <c r="C89" s="53">
        <f>H9</f>
        <v>0.06748383923293853</v>
      </c>
    </row>
    <row r="90" spans="1:2" s="57" customFormat="1" ht="12.75">
      <c r="A90" s="55">
        <v>40940</v>
      </c>
      <c r="B90" s="57">
        <f aca="true" t="shared" si="10" ref="B90:B100">B89+$C$89</f>
        <v>5.112989390118443</v>
      </c>
    </row>
    <row r="91" spans="1:2" s="57" customFormat="1" ht="12.75">
      <c r="A91" s="55">
        <v>40969</v>
      </c>
      <c r="B91" s="57">
        <f t="shared" si="10"/>
        <v>5.1804732293513815</v>
      </c>
    </row>
    <row r="92" spans="1:2" s="57" customFormat="1" ht="12.75">
      <c r="A92" s="55">
        <v>41000</v>
      </c>
      <c r="B92" s="57">
        <f t="shared" si="10"/>
        <v>5.24795706858432</v>
      </c>
    </row>
    <row r="93" spans="1:2" s="57" customFormat="1" ht="12.75">
      <c r="A93" s="55">
        <v>41030</v>
      </c>
      <c r="B93" s="57">
        <f t="shared" si="10"/>
        <v>5.315440907817258</v>
      </c>
    </row>
    <row r="94" spans="1:2" s="57" customFormat="1" ht="12.75">
      <c r="A94" s="55">
        <v>41061</v>
      </c>
      <c r="B94" s="57">
        <f t="shared" si="10"/>
        <v>5.382924747050197</v>
      </c>
    </row>
    <row r="95" spans="1:2" s="57" customFormat="1" ht="12.75">
      <c r="A95" s="55">
        <v>41091</v>
      </c>
      <c r="B95" s="57">
        <f t="shared" si="10"/>
        <v>5.450408586283135</v>
      </c>
    </row>
    <row r="96" spans="1:2" s="57" customFormat="1" ht="12.75">
      <c r="A96" s="55">
        <v>41122</v>
      </c>
      <c r="B96" s="57">
        <f t="shared" si="10"/>
        <v>5.517892425516074</v>
      </c>
    </row>
    <row r="97" spans="1:2" s="57" customFormat="1" ht="12.75">
      <c r="A97" s="55">
        <v>41153</v>
      </c>
      <c r="B97" s="57">
        <f t="shared" si="10"/>
        <v>5.585376264749012</v>
      </c>
    </row>
    <row r="98" spans="1:2" s="57" customFormat="1" ht="12.75">
      <c r="A98" s="55">
        <v>41183</v>
      </c>
      <c r="B98" s="57">
        <f t="shared" si="10"/>
        <v>5.652860103981951</v>
      </c>
    </row>
    <row r="99" spans="1:3" s="57" customFormat="1" ht="12.75">
      <c r="A99" s="55">
        <v>41214</v>
      </c>
      <c r="B99" s="57">
        <f t="shared" si="10"/>
        <v>5.720343943214889</v>
      </c>
      <c r="C99" s="57" t="s">
        <v>102</v>
      </c>
    </row>
    <row r="100" spans="1:4" s="61" customFormat="1" ht="12.75">
      <c r="A100" s="59">
        <v>41244</v>
      </c>
      <c r="B100" s="61">
        <f t="shared" si="10"/>
        <v>5.7878277824478275</v>
      </c>
      <c r="C100" s="61">
        <f>SUM(B89:B100)</f>
        <v>65</v>
      </c>
      <c r="D100" s="61">
        <f>B100*12</f>
        <v>69.45393338937393</v>
      </c>
    </row>
    <row r="101" spans="1:3" s="53" customFormat="1" ht="12.75">
      <c r="A101" s="51">
        <v>41275</v>
      </c>
      <c r="B101" s="53">
        <f>B100+$C$101</f>
        <v>5.858931200532777</v>
      </c>
      <c r="C101" s="53">
        <f>H10</f>
        <v>0.07110341808494962</v>
      </c>
    </row>
    <row r="102" spans="1:2" s="57" customFormat="1" ht="12.75">
      <c r="A102" s="55">
        <v>41306</v>
      </c>
      <c r="B102" s="57">
        <f aca="true" t="shared" si="11" ref="B102:B112">B101+$C$101</f>
        <v>5.930034618617727</v>
      </c>
    </row>
    <row r="103" spans="1:2" s="57" customFormat="1" ht="12.75">
      <c r="A103" s="55">
        <v>41334</v>
      </c>
      <c r="B103" s="57">
        <f t="shared" si="11"/>
        <v>6.0011380367026765</v>
      </c>
    </row>
    <row r="104" spans="1:2" s="57" customFormat="1" ht="12.75">
      <c r="A104" s="55">
        <v>41365</v>
      </c>
      <c r="B104" s="57">
        <f t="shared" si="11"/>
        <v>6.072241454787626</v>
      </c>
    </row>
    <row r="105" spans="1:2" s="57" customFormat="1" ht="12.75">
      <c r="A105" s="55">
        <v>41395</v>
      </c>
      <c r="B105" s="57">
        <f t="shared" si="11"/>
        <v>6.143344872872576</v>
      </c>
    </row>
    <row r="106" spans="1:2" s="57" customFormat="1" ht="12.75">
      <c r="A106" s="55">
        <v>41426</v>
      </c>
      <c r="B106" s="57">
        <f t="shared" si="11"/>
        <v>6.214448290957526</v>
      </c>
    </row>
    <row r="107" spans="1:2" s="57" customFormat="1" ht="12.75">
      <c r="A107" s="55">
        <v>41456</v>
      </c>
      <c r="B107" s="57">
        <f t="shared" si="11"/>
        <v>6.285551709042475</v>
      </c>
    </row>
    <row r="108" spans="1:2" s="57" customFormat="1" ht="12.75">
      <c r="A108" s="55">
        <v>41487</v>
      </c>
      <c r="B108" s="57">
        <f t="shared" si="11"/>
        <v>6.356655127127425</v>
      </c>
    </row>
    <row r="109" spans="1:2" s="57" customFormat="1" ht="12.75">
      <c r="A109" s="55">
        <v>41518</v>
      </c>
      <c r="B109" s="57">
        <f t="shared" si="11"/>
        <v>6.427758545212375</v>
      </c>
    </row>
    <row r="110" spans="1:2" s="57" customFormat="1" ht="12.75">
      <c r="A110" s="55">
        <v>41548</v>
      </c>
      <c r="B110" s="57">
        <f t="shared" si="11"/>
        <v>6.498861963297324</v>
      </c>
    </row>
    <row r="111" spans="1:3" s="57" customFormat="1" ht="12.75">
      <c r="A111" s="55">
        <v>41579</v>
      </c>
      <c r="B111" s="57">
        <f t="shared" si="11"/>
        <v>6.569965381382274</v>
      </c>
      <c r="C111" s="57" t="s">
        <v>102</v>
      </c>
    </row>
    <row r="112" spans="1:4" s="61" customFormat="1" ht="12.75">
      <c r="A112" s="59">
        <v>41609</v>
      </c>
      <c r="B112" s="61">
        <f t="shared" si="11"/>
        <v>6.641068799467224</v>
      </c>
      <c r="C112" s="61">
        <f>SUM(B101:B112)</f>
        <v>75</v>
      </c>
      <c r="D112" s="61">
        <f>B112*12</f>
        <v>79.69282559360668</v>
      </c>
    </row>
    <row r="113" spans="1:3" s="53" customFormat="1" ht="12.75">
      <c r="A113" s="51">
        <v>41640</v>
      </c>
      <c r="B113" s="53">
        <f>B112+$C$113</f>
        <v>6.709109496985087</v>
      </c>
      <c r="C113" s="53">
        <f>H11</f>
        <v>0.06804069751786301</v>
      </c>
    </row>
    <row r="114" spans="1:2" s="57" customFormat="1" ht="12.75">
      <c r="A114" s="55">
        <v>41671</v>
      </c>
      <c r="B114" s="57">
        <f aca="true" t="shared" si="12" ref="B114:B124">B113+$C$113</f>
        <v>6.7771501945029495</v>
      </c>
    </row>
    <row r="115" spans="1:2" s="57" customFormat="1" ht="12.75">
      <c r="A115" s="55">
        <v>41699</v>
      </c>
      <c r="B115" s="57">
        <f t="shared" si="12"/>
        <v>6.845190892020812</v>
      </c>
    </row>
    <row r="116" spans="1:2" s="57" customFormat="1" ht="12.75">
      <c r="A116" s="55">
        <v>41730</v>
      </c>
      <c r="B116" s="57">
        <f t="shared" si="12"/>
        <v>6.913231589538675</v>
      </c>
    </row>
    <row r="117" spans="1:2" s="57" customFormat="1" ht="12.75">
      <c r="A117" s="55">
        <v>41760</v>
      </c>
      <c r="B117" s="57">
        <f t="shared" si="12"/>
        <v>6.981272287056538</v>
      </c>
    </row>
    <row r="118" spans="1:2" s="57" customFormat="1" ht="12.75">
      <c r="A118" s="55">
        <v>41791</v>
      </c>
      <c r="B118" s="57">
        <f t="shared" si="12"/>
        <v>7.049312984574401</v>
      </c>
    </row>
    <row r="119" spans="1:2" s="57" customFormat="1" ht="12.75">
      <c r="A119" s="55">
        <v>41821</v>
      </c>
      <c r="B119" s="57">
        <f t="shared" si="12"/>
        <v>7.117353682092264</v>
      </c>
    </row>
    <row r="120" spans="1:2" s="57" customFormat="1" ht="12.75">
      <c r="A120" s="55">
        <v>41852</v>
      </c>
      <c r="B120" s="57">
        <f t="shared" si="12"/>
        <v>7.185394379610127</v>
      </c>
    </row>
    <row r="121" spans="1:2" s="57" customFormat="1" ht="12.75">
      <c r="A121" s="55">
        <v>41883</v>
      </c>
      <c r="B121" s="57">
        <f t="shared" si="12"/>
        <v>7.25343507712799</v>
      </c>
    </row>
    <row r="122" spans="1:2" s="57" customFormat="1" ht="12.75">
      <c r="A122" s="55">
        <v>41913</v>
      </c>
      <c r="B122" s="57">
        <f t="shared" si="12"/>
        <v>7.321475774645853</v>
      </c>
    </row>
    <row r="123" spans="1:3" s="57" customFormat="1" ht="12.75">
      <c r="A123" s="55">
        <v>41944</v>
      </c>
      <c r="B123" s="57">
        <f t="shared" si="12"/>
        <v>7.389516472163716</v>
      </c>
      <c r="C123" s="57" t="s">
        <v>102</v>
      </c>
    </row>
    <row r="124" spans="1:4" s="61" customFormat="1" ht="12.75">
      <c r="A124" s="59">
        <v>41974</v>
      </c>
      <c r="B124" s="61">
        <f t="shared" si="12"/>
        <v>7.457557169681579</v>
      </c>
      <c r="C124" s="61">
        <f>SUM(B113:B124)</f>
        <v>84.99999999999999</v>
      </c>
      <c r="D124" s="61">
        <f>B124*12</f>
        <v>89.49068603617894</v>
      </c>
    </row>
    <row r="125" spans="1:3" s="53" customFormat="1" ht="12.75">
      <c r="A125" s="51">
        <v>42005</v>
      </c>
      <c r="B125" s="53">
        <f>B124+$C$125</f>
        <v>7.528189399986977</v>
      </c>
      <c r="C125" s="53">
        <f>H12</f>
        <v>0.07063223030539817</v>
      </c>
    </row>
    <row r="126" spans="1:2" s="57" customFormat="1" ht="12.75">
      <c r="A126" s="55">
        <v>42036</v>
      </c>
      <c r="B126" s="57">
        <f aca="true" t="shared" si="13" ref="B126:B136">B125+$C$125</f>
        <v>7.598821630292376</v>
      </c>
    </row>
    <row r="127" spans="1:2" s="57" customFormat="1" ht="12.75">
      <c r="A127" s="55">
        <v>42064</v>
      </c>
      <c r="B127" s="57">
        <f t="shared" si="13"/>
        <v>7.669453860597774</v>
      </c>
    </row>
    <row r="128" spans="1:2" s="57" customFormat="1" ht="12.75">
      <c r="A128" s="55">
        <v>42095</v>
      </c>
      <c r="B128" s="57">
        <f t="shared" si="13"/>
        <v>7.740086090903173</v>
      </c>
    </row>
    <row r="129" spans="1:2" s="57" customFormat="1" ht="12.75">
      <c r="A129" s="55">
        <v>42125</v>
      </c>
      <c r="B129" s="57">
        <f t="shared" si="13"/>
        <v>7.810718321208571</v>
      </c>
    </row>
    <row r="130" spans="1:2" s="57" customFormat="1" ht="12.75">
      <c r="A130" s="55">
        <v>42156</v>
      </c>
      <c r="B130" s="57">
        <f t="shared" si="13"/>
        <v>7.88135055151397</v>
      </c>
    </row>
    <row r="131" spans="1:2" s="57" customFormat="1" ht="12.75">
      <c r="A131" s="55">
        <v>42186</v>
      </c>
      <c r="B131" s="57">
        <f t="shared" si="13"/>
        <v>7.9519827818193685</v>
      </c>
    </row>
    <row r="132" spans="1:2" s="57" customFormat="1" ht="12.75">
      <c r="A132" s="55">
        <v>42217</v>
      </c>
      <c r="B132" s="57">
        <f t="shared" si="13"/>
        <v>8.022615012124767</v>
      </c>
    </row>
    <row r="133" spans="1:2" s="57" customFormat="1" ht="12.75">
      <c r="A133" s="55">
        <v>42248</v>
      </c>
      <c r="B133" s="57">
        <f t="shared" si="13"/>
        <v>8.093247242430165</v>
      </c>
    </row>
    <row r="134" spans="1:2" s="57" customFormat="1" ht="12.75">
      <c r="A134" s="55">
        <v>42278</v>
      </c>
      <c r="B134" s="57">
        <f t="shared" si="13"/>
        <v>8.163879472735562</v>
      </c>
    </row>
    <row r="135" spans="1:3" s="57" customFormat="1" ht="12.75">
      <c r="A135" s="55">
        <v>42309</v>
      </c>
      <c r="B135" s="57">
        <f t="shared" si="13"/>
        <v>8.23451170304096</v>
      </c>
      <c r="C135" s="57" t="s">
        <v>102</v>
      </c>
    </row>
    <row r="136" spans="1:4" s="61" customFormat="1" ht="12.75">
      <c r="A136" s="59">
        <v>42339</v>
      </c>
      <c r="B136" s="61">
        <f t="shared" si="13"/>
        <v>8.305143933346358</v>
      </c>
      <c r="C136" s="61">
        <f>SUM(B125:B136)</f>
        <v>95.00000000000001</v>
      </c>
      <c r="D136" s="61">
        <f>B136*12</f>
        <v>99.66172720015629</v>
      </c>
    </row>
    <row r="137" spans="1:3" s="53" customFormat="1" ht="12.75">
      <c r="A137" s="51">
        <v>42370</v>
      </c>
      <c r="B137" s="53">
        <f>B136+$C$137</f>
        <v>8.37358332821615</v>
      </c>
      <c r="C137" s="53">
        <f>H13</f>
        <v>0.06843939486979113</v>
      </c>
    </row>
    <row r="138" spans="1:2" s="57" customFormat="1" ht="12.75">
      <c r="A138" s="55">
        <v>42401</v>
      </c>
      <c r="B138" s="57">
        <f aca="true" t="shared" si="14" ref="B138:B148">B137+$C$137</f>
        <v>8.442022723085941</v>
      </c>
    </row>
    <row r="139" spans="1:2" s="57" customFormat="1" ht="12.75">
      <c r="A139" s="55">
        <v>42430</v>
      </c>
      <c r="B139" s="57">
        <f t="shared" si="14"/>
        <v>8.510462117955733</v>
      </c>
    </row>
    <row r="140" spans="1:2" s="57" customFormat="1" ht="12.75">
      <c r="A140" s="55">
        <v>42461</v>
      </c>
      <c r="B140" s="57">
        <f t="shared" si="14"/>
        <v>8.578901512825524</v>
      </c>
    </row>
    <row r="141" spans="1:2" s="57" customFormat="1" ht="12.75">
      <c r="A141" s="55">
        <v>42491</v>
      </c>
      <c r="B141" s="57">
        <f t="shared" si="14"/>
        <v>8.647340907695316</v>
      </c>
    </row>
    <row r="142" spans="1:2" s="57" customFormat="1" ht="12.75">
      <c r="A142" s="55">
        <v>42522</v>
      </c>
      <c r="B142" s="57">
        <f t="shared" si="14"/>
        <v>8.715780302565108</v>
      </c>
    </row>
    <row r="143" spans="1:2" s="57" customFormat="1" ht="12.75">
      <c r="A143" s="55">
        <v>42552</v>
      </c>
      <c r="B143" s="57">
        <f t="shared" si="14"/>
        <v>8.7842196974349</v>
      </c>
    </row>
    <row r="144" spans="1:2" s="57" customFormat="1" ht="12.75">
      <c r="A144" s="55">
        <v>42583</v>
      </c>
      <c r="B144" s="57">
        <f t="shared" si="14"/>
        <v>8.852659092304691</v>
      </c>
    </row>
    <row r="145" spans="1:2" s="57" customFormat="1" ht="12.75">
      <c r="A145" s="55">
        <v>42614</v>
      </c>
      <c r="B145" s="57">
        <f t="shared" si="14"/>
        <v>8.921098487174483</v>
      </c>
    </row>
    <row r="146" spans="1:2" s="57" customFormat="1" ht="12.75">
      <c r="A146" s="55">
        <v>42644</v>
      </c>
      <c r="B146" s="57">
        <f t="shared" si="14"/>
        <v>8.989537882044274</v>
      </c>
    </row>
    <row r="147" spans="1:3" s="57" customFormat="1" ht="12.75">
      <c r="A147" s="55">
        <v>42675</v>
      </c>
      <c r="B147" s="57">
        <f t="shared" si="14"/>
        <v>9.057977276914066</v>
      </c>
      <c r="C147" s="57" t="s">
        <v>102</v>
      </c>
    </row>
    <row r="148" spans="1:4" s="61" customFormat="1" ht="12.75">
      <c r="A148" s="59">
        <v>42705</v>
      </c>
      <c r="B148" s="61">
        <f t="shared" si="14"/>
        <v>9.126416671783858</v>
      </c>
      <c r="C148" s="61">
        <f>SUM(B137:B148)</f>
        <v>105.00000000000003</v>
      </c>
      <c r="D148" s="61">
        <f>B148*12</f>
        <v>109.51700006140629</v>
      </c>
    </row>
    <row r="149" spans="1:3" s="53" customFormat="1" ht="12.75">
      <c r="A149" s="51">
        <v>42736</v>
      </c>
      <c r="B149" s="53">
        <f>B148+$C$149</f>
        <v>9.19671154279147</v>
      </c>
      <c r="C149" s="53">
        <f>H14</f>
        <v>0.07029487100761163</v>
      </c>
    </row>
    <row r="150" spans="1:2" s="57" customFormat="1" ht="12.75">
      <c r="A150" s="55">
        <v>42767</v>
      </c>
      <c r="B150" s="57">
        <f aca="true" t="shared" si="15" ref="B150:B160">B149+$C$149</f>
        <v>9.26700641379908</v>
      </c>
    </row>
    <row r="151" spans="1:2" s="57" customFormat="1" ht="12.75">
      <c r="A151" s="55">
        <v>42795</v>
      </c>
      <c r="B151" s="57">
        <f t="shared" si="15"/>
        <v>9.337301284806692</v>
      </c>
    </row>
    <row r="152" spans="1:2" s="57" customFormat="1" ht="12.75">
      <c r="A152" s="55">
        <v>42826</v>
      </c>
      <c r="B152" s="57">
        <f t="shared" si="15"/>
        <v>9.407596155814304</v>
      </c>
    </row>
    <row r="153" spans="1:2" s="57" customFormat="1" ht="12.75">
      <c r="A153" s="55">
        <v>42856</v>
      </c>
      <c r="B153" s="57">
        <f t="shared" si="15"/>
        <v>9.477891026821915</v>
      </c>
    </row>
    <row r="154" spans="1:2" s="57" customFormat="1" ht="12.75">
      <c r="A154" s="55">
        <v>42887</v>
      </c>
      <c r="B154" s="57">
        <f t="shared" si="15"/>
        <v>9.548185897829526</v>
      </c>
    </row>
    <row r="155" spans="1:2" s="57" customFormat="1" ht="12.75">
      <c r="A155" s="55">
        <v>42917</v>
      </c>
      <c r="B155" s="57">
        <f t="shared" si="15"/>
        <v>9.618480768837138</v>
      </c>
    </row>
    <row r="156" spans="1:2" s="57" customFormat="1" ht="12.75">
      <c r="A156" s="55">
        <v>42948</v>
      </c>
      <c r="B156" s="57">
        <f t="shared" si="15"/>
        <v>9.68877563984475</v>
      </c>
    </row>
    <row r="157" spans="1:2" s="57" customFormat="1" ht="12.75">
      <c r="A157" s="55">
        <v>42979</v>
      </c>
      <c r="B157" s="57">
        <f t="shared" si="15"/>
        <v>9.75907051085236</v>
      </c>
    </row>
    <row r="158" spans="1:2" s="57" customFormat="1" ht="12.75">
      <c r="A158" s="55">
        <v>43009</v>
      </c>
      <c r="B158" s="57">
        <f t="shared" si="15"/>
        <v>9.829365381859972</v>
      </c>
    </row>
    <row r="159" spans="1:3" s="57" customFormat="1" ht="12.75">
      <c r="A159" s="55">
        <v>43040</v>
      </c>
      <c r="B159" s="57">
        <f t="shared" si="15"/>
        <v>9.899660252867584</v>
      </c>
      <c r="C159" s="57" t="s">
        <v>102</v>
      </c>
    </row>
    <row r="160" spans="1:4" s="61" customFormat="1" ht="12.75">
      <c r="A160" s="59">
        <v>43070</v>
      </c>
      <c r="B160" s="61">
        <f t="shared" si="15"/>
        <v>9.969955123875195</v>
      </c>
      <c r="C160" s="61">
        <f>SUM(B149:B160)</f>
        <v>114.99999999999997</v>
      </c>
      <c r="D160" s="61">
        <f>B160*12</f>
        <v>119.63946148650234</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theme="6"/>
  </sheetPr>
  <dimension ref="A1:T160"/>
  <sheetViews>
    <sheetView zoomScalePageLayoutView="0" workbookViewId="0" topLeftCell="A1">
      <selection activeCell="B17" sqref="B17:B160"/>
    </sheetView>
  </sheetViews>
  <sheetFormatPr defaultColWidth="9.140625" defaultRowHeight="12.75"/>
  <cols>
    <col min="2" max="2" width="21.7109375" style="211" customWidth="1"/>
    <col min="3" max="3" width="12.57421875" style="211" customWidth="1"/>
    <col min="4" max="4" width="16.140625" style="211" bestFit="1" customWidth="1"/>
    <col min="5" max="6" width="17.140625" style="0" customWidth="1"/>
    <col min="7" max="7" width="14.00390625" style="0" bestFit="1" customWidth="1"/>
    <col min="8" max="8" width="11.28125" style="0" bestFit="1" customWidth="1"/>
  </cols>
  <sheetData>
    <row r="1" spans="2:8" ht="38.25">
      <c r="B1" s="194" t="s">
        <v>128</v>
      </c>
      <c r="C1" s="194" t="s">
        <v>132</v>
      </c>
      <c r="D1" s="194" t="s">
        <v>130</v>
      </c>
      <c r="E1" s="78" t="s">
        <v>131</v>
      </c>
      <c r="F1" s="78" t="s">
        <v>135</v>
      </c>
      <c r="G1" s="78" t="s">
        <v>133</v>
      </c>
      <c r="H1" s="78" t="s">
        <v>134</v>
      </c>
    </row>
    <row r="2" spans="2:20" ht="12.75">
      <c r="B2" s="211" t="s">
        <v>129</v>
      </c>
      <c r="C2" s="211" t="s">
        <v>129</v>
      </c>
      <c r="D2" s="211" t="s">
        <v>129</v>
      </c>
      <c r="E2" t="s">
        <v>129</v>
      </c>
      <c r="S2" s="79" t="s">
        <v>103</v>
      </c>
      <c r="T2" s="79">
        <v>1</v>
      </c>
    </row>
    <row r="3" spans="1:20" ht="12.75">
      <c r="A3">
        <v>2006</v>
      </c>
      <c r="B3" s="212">
        <f>'CDM Results'!T$18</f>
        <v>0</v>
      </c>
      <c r="C3" s="212">
        <f>'CDM Results'!T$19</f>
        <v>2666105.132534525</v>
      </c>
      <c r="D3" s="211">
        <f>C3/2</f>
        <v>1333052.5662672624</v>
      </c>
      <c r="E3" s="276">
        <f>B3+D3</f>
        <v>1333052.5662672624</v>
      </c>
      <c r="F3" s="211">
        <f>D28</f>
        <v>2461020.122339562</v>
      </c>
      <c r="G3" s="211">
        <f>E3</f>
        <v>1333052.5662672624</v>
      </c>
      <c r="H3" s="211">
        <f>G3/$T$14</f>
        <v>17090.417516246955</v>
      </c>
      <c r="S3" s="79" t="s">
        <v>104</v>
      </c>
      <c r="T3" s="79">
        <v>2</v>
      </c>
    </row>
    <row r="4" spans="1:20" ht="12.75">
      <c r="A4">
        <v>2007</v>
      </c>
      <c r="B4" s="212">
        <f>'CDM Results'!U$18</f>
        <v>2666105.132534525</v>
      </c>
      <c r="C4" s="212">
        <f>'CDM Results'!U$19</f>
        <v>1387119.5914160432</v>
      </c>
      <c r="D4" s="211">
        <f aca="true" t="shared" si="0" ref="D4:D14">C4/2</f>
        <v>693559.7957080216</v>
      </c>
      <c r="E4" s="276">
        <f aca="true" t="shared" si="1" ref="E4:E14">B4+D4</f>
        <v>3359664.9282425465</v>
      </c>
      <c r="F4" s="211">
        <f>D40</f>
        <v>4120056.687083536</v>
      </c>
      <c r="G4" s="211">
        <f>E4-F3</f>
        <v>898644.8059029845</v>
      </c>
      <c r="H4" s="211">
        <f aca="true" t="shared" si="2" ref="H4:H13">G4/$T$14</f>
        <v>11521.087255166467</v>
      </c>
      <c r="S4" s="79" t="s">
        <v>105</v>
      </c>
      <c r="T4" s="79">
        <v>3</v>
      </c>
    </row>
    <row r="5" spans="1:20" ht="12.75">
      <c r="A5">
        <v>2008</v>
      </c>
      <c r="B5" s="212">
        <f>'CDM Results'!V$18</f>
        <v>4041601.964286357</v>
      </c>
      <c r="C5" s="212">
        <f>'CDM Results'!V$19</f>
        <v>2696910.9193012784</v>
      </c>
      <c r="D5" s="211">
        <f t="shared" si="0"/>
        <v>1348455.4596506392</v>
      </c>
      <c r="E5" s="276">
        <f t="shared" si="1"/>
        <v>5390057.423936997</v>
      </c>
      <c r="F5" s="211">
        <f>D52</f>
        <v>6464673.432043771</v>
      </c>
      <c r="G5" s="211">
        <f aca="true" t="shared" si="3" ref="G5:G14">E5-F4</f>
        <v>1270000.7368534608</v>
      </c>
      <c r="H5" s="211">
        <f t="shared" si="2"/>
        <v>16282.060728890523</v>
      </c>
      <c r="S5" s="79" t="s">
        <v>106</v>
      </c>
      <c r="T5" s="79">
        <v>4</v>
      </c>
    </row>
    <row r="6" spans="1:20" ht="12.75">
      <c r="A6">
        <v>2009</v>
      </c>
      <c r="B6" s="212">
        <f>'CDM Results'!W$18</f>
        <v>6125120.360280858</v>
      </c>
      <c r="C6" s="212">
        <f>'CDM Results'!W$19</f>
        <v>6943326.6794287935</v>
      </c>
      <c r="D6" s="211">
        <f t="shared" si="0"/>
        <v>3471663.3397143967</v>
      </c>
      <c r="E6" s="276">
        <f t="shared" si="1"/>
        <v>9596783.699995255</v>
      </c>
      <c r="F6" s="211">
        <f>D64</f>
        <v>12247030.849800363</v>
      </c>
      <c r="G6" s="211">
        <f t="shared" si="3"/>
        <v>3132110.267951484</v>
      </c>
      <c r="H6" s="211">
        <f t="shared" si="2"/>
        <v>40155.259845531844</v>
      </c>
      <c r="S6" s="79" t="s">
        <v>92</v>
      </c>
      <c r="T6" s="79">
        <v>5</v>
      </c>
    </row>
    <row r="7" spans="1:20" ht="12.75">
      <c r="A7">
        <v>2010</v>
      </c>
      <c r="B7" s="212">
        <f>'CDM Results'!X$18</f>
        <v>10152687.532831231</v>
      </c>
      <c r="C7" s="212">
        <f>'CDM Results'!X$19</f>
        <v>4170819.6032697526</v>
      </c>
      <c r="D7" s="211">
        <f t="shared" si="0"/>
        <v>2085409.8016348763</v>
      </c>
      <c r="E7" s="276">
        <f t="shared" si="1"/>
        <v>12238097.334466107</v>
      </c>
      <c r="F7" s="211">
        <f>D76</f>
        <v>12230538.206106346</v>
      </c>
      <c r="G7" s="211">
        <f t="shared" si="3"/>
        <v>-8933.515334255993</v>
      </c>
      <c r="H7" s="211">
        <f t="shared" si="2"/>
        <v>-114.53224787507683</v>
      </c>
      <c r="S7" s="79" t="s">
        <v>107</v>
      </c>
      <c r="T7" s="79">
        <v>6</v>
      </c>
    </row>
    <row r="8" spans="1:20" ht="12.75">
      <c r="A8">
        <v>2011</v>
      </c>
      <c r="B8" s="212">
        <f>'CDM Results'!Y$18</f>
        <v>13147196.202614598</v>
      </c>
      <c r="C8" s="212">
        <f>'CDM Results'!Y$19</f>
        <v>4515774</v>
      </c>
      <c r="D8" s="211">
        <f t="shared" si="0"/>
        <v>2257887</v>
      </c>
      <c r="E8" s="276">
        <f t="shared" si="1"/>
        <v>15405083.202614598</v>
      </c>
      <c r="F8" s="211">
        <f>D88</f>
        <v>18091236.661198504</v>
      </c>
      <c r="G8" s="211">
        <f t="shared" si="3"/>
        <v>3174544.996508252</v>
      </c>
      <c r="H8" s="211">
        <f t="shared" si="2"/>
        <v>40699.29482702887</v>
      </c>
      <c r="S8" s="79" t="s">
        <v>108</v>
      </c>
      <c r="T8" s="79">
        <v>7</v>
      </c>
    </row>
    <row r="9" spans="1:20" ht="12.75">
      <c r="A9">
        <v>2012</v>
      </c>
      <c r="B9" s="212">
        <f>'CDM Results'!Z$18</f>
        <v>17419213.49098636</v>
      </c>
      <c r="C9" s="212">
        <f>'CDM Results'!Z$19</f>
        <v>5363496</v>
      </c>
      <c r="D9" s="211">
        <f t="shared" si="0"/>
        <v>2681748</v>
      </c>
      <c r="E9" s="276">
        <f t="shared" si="1"/>
        <v>20100961.49098636</v>
      </c>
      <c r="F9" s="211">
        <f>D100</f>
        <v>21801497.88542224</v>
      </c>
      <c r="G9" s="211">
        <f t="shared" si="3"/>
        <v>2009724.829787854</v>
      </c>
      <c r="H9" s="211">
        <f t="shared" si="2"/>
        <v>25765.70294599813</v>
      </c>
      <c r="S9" s="79" t="s">
        <v>109</v>
      </c>
      <c r="T9" s="79">
        <v>8</v>
      </c>
    </row>
    <row r="10" spans="1:20" ht="12.75">
      <c r="A10">
        <v>2013</v>
      </c>
      <c r="B10" s="212">
        <f>'CDM Results'!AA$18</f>
        <v>22866695.66956419</v>
      </c>
      <c r="C10" s="212">
        <f>'CDM Results'!AA$19</f>
        <v>6994578</v>
      </c>
      <c r="D10" s="211">
        <f t="shared" si="0"/>
        <v>3497289</v>
      </c>
      <c r="E10" s="276">
        <f t="shared" si="1"/>
        <v>26363984.66956419</v>
      </c>
      <c r="F10" s="211">
        <f>D112</f>
        <v>30224550.409992017</v>
      </c>
      <c r="G10" s="211">
        <f t="shared" si="3"/>
        <v>4562486.78414195</v>
      </c>
      <c r="H10" s="211">
        <f t="shared" si="2"/>
        <v>58493.420309512185</v>
      </c>
      <c r="S10" s="79" t="s">
        <v>110</v>
      </c>
      <c r="T10" s="79">
        <v>9</v>
      </c>
    </row>
    <row r="11" spans="1:20" ht="12.75">
      <c r="A11">
        <v>2014</v>
      </c>
      <c r="B11" s="212">
        <f>'CDM Results'!AB$18</f>
        <v>29061813.812091604</v>
      </c>
      <c r="C11" s="212">
        <f>'CDM Results'!AB$19</f>
        <v>33821560</v>
      </c>
      <c r="D11" s="211">
        <f t="shared" si="0"/>
        <v>16910780</v>
      </c>
      <c r="E11" s="276">
        <f t="shared" si="1"/>
        <v>45972593.812091604</v>
      </c>
      <c r="F11" s="211">
        <f>D124</f>
        <v>59297861.30617584</v>
      </c>
      <c r="G11" s="211">
        <f t="shared" si="3"/>
        <v>15748043.402099587</v>
      </c>
      <c r="H11" s="211">
        <f t="shared" si="2"/>
        <v>201897.99233461008</v>
      </c>
      <c r="S11" s="79" t="s">
        <v>111</v>
      </c>
      <c r="T11" s="79">
        <v>10</v>
      </c>
    </row>
    <row r="12" spans="1:20" ht="12.75">
      <c r="A12">
        <v>2015</v>
      </c>
      <c r="B12" s="212">
        <f>'CDM Results'!AC$18</f>
        <v>60528147.41450913</v>
      </c>
      <c r="C12" s="212">
        <f>'CDM Results'!AC$19</f>
        <v>7539722</v>
      </c>
      <c r="D12" s="211">
        <f t="shared" si="0"/>
        <v>3769861</v>
      </c>
      <c r="E12" s="276">
        <f t="shared" si="1"/>
        <v>64298008.41450913</v>
      </c>
      <c r="F12" s="211">
        <f>D136</f>
        <v>68528902.12156035</v>
      </c>
      <c r="G12" s="211">
        <f t="shared" si="3"/>
        <v>5000147.10833329</v>
      </c>
      <c r="H12" s="211">
        <f t="shared" si="2"/>
        <v>64104.450106837045</v>
      </c>
      <c r="S12" s="79" t="s">
        <v>112</v>
      </c>
      <c r="T12" s="79">
        <v>11</v>
      </c>
    </row>
    <row r="13" spans="1:20" ht="12.75">
      <c r="A13">
        <v>2016</v>
      </c>
      <c r="B13" s="212">
        <f>'CDM Results'!AD18</f>
        <v>66801019.16998999</v>
      </c>
      <c r="C13" s="212">
        <v>0</v>
      </c>
      <c r="D13" s="211">
        <f t="shared" si="0"/>
        <v>0</v>
      </c>
      <c r="E13" s="276">
        <f t="shared" si="1"/>
        <v>66801019.16998999</v>
      </c>
      <c r="F13" s="211">
        <f>D148</f>
        <v>65338964.36481501</v>
      </c>
      <c r="G13" s="211">
        <f t="shared" si="3"/>
        <v>-1727882.9515703619</v>
      </c>
      <c r="H13" s="211">
        <f t="shared" si="2"/>
        <v>-22152.345532953357</v>
      </c>
      <c r="S13" s="79" t="s">
        <v>113</v>
      </c>
      <c r="T13" s="79">
        <v>12</v>
      </c>
    </row>
    <row r="14" spans="1:20" ht="12.75">
      <c r="A14">
        <v>2017</v>
      </c>
      <c r="B14" s="212">
        <f>'CDM Results'!AE18</f>
        <v>63518319.11829153</v>
      </c>
      <c r="C14" s="212">
        <f>'CDM Results'!AE$19</f>
        <v>0</v>
      </c>
      <c r="D14" s="211">
        <f t="shared" si="0"/>
        <v>0</v>
      </c>
      <c r="E14" s="276">
        <f t="shared" si="1"/>
        <v>63518319.11829153</v>
      </c>
      <c r="F14" s="211">
        <f>D160</f>
        <v>61977773.14046401</v>
      </c>
      <c r="G14" s="211">
        <f t="shared" si="3"/>
        <v>-1820645.2465234846</v>
      </c>
      <c r="H14" s="211">
        <f>G14/$T$14</f>
        <v>-23341.605724660058</v>
      </c>
      <c r="S14" s="79" t="s">
        <v>10</v>
      </c>
      <c r="T14" s="79">
        <v>78</v>
      </c>
    </row>
    <row r="17" spans="1:4" s="53" customFormat="1" ht="12.75">
      <c r="A17" s="51">
        <v>38718</v>
      </c>
      <c r="B17" s="272">
        <f>B16+$H$3</f>
        <v>17090.417516246955</v>
      </c>
      <c r="C17" s="213">
        <f>H3</f>
        <v>17090.417516246955</v>
      </c>
      <c r="D17" s="213"/>
    </row>
    <row r="18" spans="1:4" s="57" customFormat="1" ht="12.75">
      <c r="A18" s="55">
        <v>38749</v>
      </c>
      <c r="B18" s="273">
        <f aca="true" t="shared" si="4" ref="B18:B28">B17+$H$3</f>
        <v>34180.83503249391</v>
      </c>
      <c r="C18" s="214"/>
      <c r="D18" s="214"/>
    </row>
    <row r="19" spans="1:4" s="57" customFormat="1" ht="12.75">
      <c r="A19" s="55">
        <v>38777</v>
      </c>
      <c r="B19" s="273">
        <f t="shared" si="4"/>
        <v>51271.252548740864</v>
      </c>
      <c r="C19" s="214"/>
      <c r="D19" s="214"/>
    </row>
    <row r="20" spans="1:4" s="57" customFormat="1" ht="12.75">
      <c r="A20" s="55">
        <v>38808</v>
      </c>
      <c r="B20" s="273">
        <f t="shared" si="4"/>
        <v>68361.67006498782</v>
      </c>
      <c r="C20" s="214"/>
      <c r="D20" s="214"/>
    </row>
    <row r="21" spans="1:4" s="57" customFormat="1" ht="12.75">
      <c r="A21" s="55">
        <v>38838</v>
      </c>
      <c r="B21" s="273">
        <f t="shared" si="4"/>
        <v>85452.08758123478</v>
      </c>
      <c r="C21" s="214"/>
      <c r="D21" s="214"/>
    </row>
    <row r="22" spans="1:4" s="57" customFormat="1" ht="12.75">
      <c r="A22" s="55">
        <v>38869</v>
      </c>
      <c r="B22" s="273">
        <f t="shared" si="4"/>
        <v>102542.50509748174</v>
      </c>
      <c r="C22" s="214"/>
      <c r="D22" s="214"/>
    </row>
    <row r="23" spans="1:4" s="57" customFormat="1" ht="12.75">
      <c r="A23" s="55">
        <v>38899</v>
      </c>
      <c r="B23" s="273">
        <f t="shared" si="4"/>
        <v>119632.9226137287</v>
      </c>
      <c r="C23" s="214"/>
      <c r="D23" s="214"/>
    </row>
    <row r="24" spans="1:4" s="57" customFormat="1" ht="12.75">
      <c r="A24" s="55">
        <v>38930</v>
      </c>
      <c r="B24" s="273">
        <f t="shared" si="4"/>
        <v>136723.34012997567</v>
      </c>
      <c r="C24" s="214"/>
      <c r="D24" s="214"/>
    </row>
    <row r="25" spans="1:4" s="57" customFormat="1" ht="12.75">
      <c r="A25" s="55">
        <v>38961</v>
      </c>
      <c r="B25" s="273">
        <f t="shared" si="4"/>
        <v>153813.75764622263</v>
      </c>
      <c r="C25" s="214"/>
      <c r="D25" s="214"/>
    </row>
    <row r="26" spans="1:4" s="57" customFormat="1" ht="12.75">
      <c r="A26" s="55">
        <v>38991</v>
      </c>
      <c r="B26" s="273">
        <f t="shared" si="4"/>
        <v>170904.1751624696</v>
      </c>
      <c r="C26" s="214"/>
      <c r="D26" s="214"/>
    </row>
    <row r="27" spans="1:4" s="57" customFormat="1" ht="12.75">
      <c r="A27" s="55">
        <v>39022</v>
      </c>
      <c r="B27" s="273">
        <f t="shared" si="4"/>
        <v>187994.59267871655</v>
      </c>
      <c r="C27" s="214" t="s">
        <v>102</v>
      </c>
      <c r="D27" s="214"/>
    </row>
    <row r="28" spans="1:4" s="61" customFormat="1" ht="12.75">
      <c r="A28" s="59">
        <v>39052</v>
      </c>
      <c r="B28" s="274">
        <f t="shared" si="4"/>
        <v>205085.0101949635</v>
      </c>
      <c r="C28" s="215">
        <f>SUM(B17:B28)</f>
        <v>1333052.566267263</v>
      </c>
      <c r="D28" s="215">
        <f>B28*12</f>
        <v>2461020.122339562</v>
      </c>
    </row>
    <row r="29" spans="1:4" s="53" customFormat="1" ht="12.75">
      <c r="A29" s="51">
        <v>39083</v>
      </c>
      <c r="B29" s="272">
        <f>B28+$C$29</f>
        <v>216606.09745012998</v>
      </c>
      <c r="C29" s="213">
        <f>H4</f>
        <v>11521.087255166467</v>
      </c>
      <c r="D29" s="213"/>
    </row>
    <row r="30" spans="1:4" s="57" customFormat="1" ht="12.75">
      <c r="A30" s="55">
        <v>39114</v>
      </c>
      <c r="B30" s="273">
        <f>B29+$C$29</f>
        <v>228127.18470529644</v>
      </c>
      <c r="C30" s="214"/>
      <c r="D30" s="214"/>
    </row>
    <row r="31" spans="1:4" s="57" customFormat="1" ht="12.75">
      <c r="A31" s="55">
        <v>39142</v>
      </c>
      <c r="B31" s="273">
        <f aca="true" t="shared" si="5" ref="B31:B40">B30+$C$29</f>
        <v>239648.2719604629</v>
      </c>
      <c r="C31" s="214"/>
      <c r="D31" s="214"/>
    </row>
    <row r="32" spans="1:4" s="57" customFormat="1" ht="12.75">
      <c r="A32" s="55">
        <v>39173</v>
      </c>
      <c r="B32" s="273">
        <f t="shared" si="5"/>
        <v>251169.35921562937</v>
      </c>
      <c r="C32" s="214"/>
      <c r="D32" s="214"/>
    </row>
    <row r="33" spans="1:4" s="57" customFormat="1" ht="12.75">
      <c r="A33" s="55">
        <v>39203</v>
      </c>
      <c r="B33" s="273">
        <f t="shared" si="5"/>
        <v>262690.44647079584</v>
      </c>
      <c r="C33" s="214"/>
      <c r="D33" s="214"/>
    </row>
    <row r="34" spans="1:4" s="57" customFormat="1" ht="12.75">
      <c r="A34" s="55">
        <v>39234</v>
      </c>
      <c r="B34" s="273">
        <f t="shared" si="5"/>
        <v>274211.53372596233</v>
      </c>
      <c r="C34" s="214"/>
      <c r="D34" s="214"/>
    </row>
    <row r="35" spans="1:4" s="57" customFormat="1" ht="12.75">
      <c r="A35" s="55">
        <v>39264</v>
      </c>
      <c r="B35" s="273">
        <f t="shared" si="5"/>
        <v>285732.6209811288</v>
      </c>
      <c r="C35" s="214"/>
      <c r="D35" s="214"/>
    </row>
    <row r="36" spans="1:4" s="57" customFormat="1" ht="12.75">
      <c r="A36" s="55">
        <v>39295</v>
      </c>
      <c r="B36" s="273">
        <f t="shared" si="5"/>
        <v>297253.7082362953</v>
      </c>
      <c r="C36" s="214"/>
      <c r="D36" s="214"/>
    </row>
    <row r="37" spans="1:4" s="57" customFormat="1" ht="12.75">
      <c r="A37" s="55">
        <v>39326</v>
      </c>
      <c r="B37" s="273">
        <f t="shared" si="5"/>
        <v>308774.7954914618</v>
      </c>
      <c r="C37" s="214"/>
      <c r="D37" s="214"/>
    </row>
    <row r="38" spans="1:4" s="57" customFormat="1" ht="12.75">
      <c r="A38" s="55">
        <v>39356</v>
      </c>
      <c r="B38" s="273">
        <f t="shared" si="5"/>
        <v>320295.8827466283</v>
      </c>
      <c r="C38" s="214"/>
      <c r="D38" s="214"/>
    </row>
    <row r="39" spans="1:4" s="57" customFormat="1" ht="12.75">
      <c r="A39" s="55">
        <v>39387</v>
      </c>
      <c r="B39" s="273">
        <f t="shared" si="5"/>
        <v>331816.9700017948</v>
      </c>
      <c r="C39" s="214" t="s">
        <v>102</v>
      </c>
      <c r="D39" s="214"/>
    </row>
    <row r="40" spans="1:4" s="61" customFormat="1" ht="12.75">
      <c r="A40" s="59">
        <v>39417</v>
      </c>
      <c r="B40" s="274">
        <f t="shared" si="5"/>
        <v>343338.0572569613</v>
      </c>
      <c r="C40" s="215">
        <f>SUM(B29:B40)</f>
        <v>3359664.9282425474</v>
      </c>
      <c r="D40" s="215">
        <f>B40*12</f>
        <v>4120056.687083536</v>
      </c>
    </row>
    <row r="41" spans="1:4" s="57" customFormat="1" ht="12.75">
      <c r="A41" s="55">
        <v>39448</v>
      </c>
      <c r="B41" s="273">
        <f>B40+$C$41</f>
        <v>359620.11798585183</v>
      </c>
      <c r="C41" s="214">
        <f>H5</f>
        <v>16282.060728890523</v>
      </c>
      <c r="D41" s="214"/>
    </row>
    <row r="42" spans="1:4" s="57" customFormat="1" ht="12.75">
      <c r="A42" s="55">
        <v>39479</v>
      </c>
      <c r="B42" s="273">
        <f aca="true" t="shared" si="6" ref="B42:B52">B41+$C$41</f>
        <v>375902.17871474236</v>
      </c>
      <c r="C42" s="214"/>
      <c r="D42" s="214"/>
    </row>
    <row r="43" spans="1:4" s="57" customFormat="1" ht="12.75">
      <c r="A43" s="55">
        <v>39508</v>
      </c>
      <c r="B43" s="273">
        <f t="shared" si="6"/>
        <v>392184.2394436329</v>
      </c>
      <c r="C43" s="214"/>
      <c r="D43" s="214"/>
    </row>
    <row r="44" spans="1:4" s="57" customFormat="1" ht="12.75">
      <c r="A44" s="55">
        <v>39539</v>
      </c>
      <c r="B44" s="273">
        <f t="shared" si="6"/>
        <v>408466.3001725234</v>
      </c>
      <c r="C44" s="214"/>
      <c r="D44" s="214"/>
    </row>
    <row r="45" spans="1:4" s="57" customFormat="1" ht="12.75">
      <c r="A45" s="55">
        <v>39569</v>
      </c>
      <c r="B45" s="273">
        <f t="shared" si="6"/>
        <v>424748.36090141395</v>
      </c>
      <c r="C45" s="214"/>
      <c r="D45" s="214"/>
    </row>
    <row r="46" spans="1:4" s="57" customFormat="1" ht="12.75">
      <c r="A46" s="55">
        <v>39600</v>
      </c>
      <c r="B46" s="273">
        <f t="shared" si="6"/>
        <v>441030.4216303045</v>
      </c>
      <c r="C46" s="214"/>
      <c r="D46" s="214"/>
    </row>
    <row r="47" spans="1:4" s="57" customFormat="1" ht="12.75">
      <c r="A47" s="55">
        <v>39630</v>
      </c>
      <c r="B47" s="273">
        <f t="shared" si="6"/>
        <v>457312.482359195</v>
      </c>
      <c r="C47" s="214"/>
      <c r="D47" s="214"/>
    </row>
    <row r="48" spans="1:4" s="57" customFormat="1" ht="12.75">
      <c r="A48" s="55">
        <v>39661</v>
      </c>
      <c r="B48" s="273">
        <f t="shared" si="6"/>
        <v>473594.54308808554</v>
      </c>
      <c r="C48" s="214"/>
      <c r="D48" s="214"/>
    </row>
    <row r="49" spans="1:4" s="57" customFormat="1" ht="12.75">
      <c r="A49" s="55">
        <v>39692</v>
      </c>
      <c r="B49" s="273">
        <f t="shared" si="6"/>
        <v>489876.6038169761</v>
      </c>
      <c r="C49" s="214"/>
      <c r="D49" s="214"/>
    </row>
    <row r="50" spans="1:4" s="57" customFormat="1" ht="12.75">
      <c r="A50" s="55">
        <v>39722</v>
      </c>
      <c r="B50" s="273">
        <f t="shared" si="6"/>
        <v>506158.6645458666</v>
      </c>
      <c r="C50" s="214"/>
      <c r="D50" s="214"/>
    </row>
    <row r="51" spans="1:4" s="57" customFormat="1" ht="12.75">
      <c r="A51" s="55">
        <v>39753</v>
      </c>
      <c r="B51" s="273">
        <f t="shared" si="6"/>
        <v>522440.72527475713</v>
      </c>
      <c r="C51" s="214" t="s">
        <v>102</v>
      </c>
      <c r="D51" s="214"/>
    </row>
    <row r="52" spans="1:4" s="61" customFormat="1" ht="12.75">
      <c r="A52" s="59">
        <v>39783</v>
      </c>
      <c r="B52" s="274">
        <f t="shared" si="6"/>
        <v>538722.7860036476</v>
      </c>
      <c r="C52" s="215">
        <f>SUM(B41:B52)</f>
        <v>5390057.423936998</v>
      </c>
      <c r="D52" s="215">
        <f>B52*12</f>
        <v>6464673.432043771</v>
      </c>
    </row>
    <row r="53" spans="1:4" s="53" customFormat="1" ht="12.75">
      <c r="A53" s="51">
        <v>39814</v>
      </c>
      <c r="B53" s="272">
        <f>B52+$C$53</f>
        <v>578878.0458491795</v>
      </c>
      <c r="C53" s="213">
        <f>H6</f>
        <v>40155.259845531844</v>
      </c>
      <c r="D53" s="213"/>
    </row>
    <row r="54" spans="1:4" s="57" customFormat="1" ht="12.75">
      <c r="A54" s="55">
        <v>39845</v>
      </c>
      <c r="B54" s="273">
        <f aca="true" t="shared" si="7" ref="B54:B64">B53+$C$53</f>
        <v>619033.3056947114</v>
      </c>
      <c r="C54" s="214"/>
      <c r="D54" s="214"/>
    </row>
    <row r="55" spans="1:4" s="57" customFormat="1" ht="12.75">
      <c r="A55" s="55">
        <v>39873</v>
      </c>
      <c r="B55" s="273">
        <f t="shared" si="7"/>
        <v>659188.5655402433</v>
      </c>
      <c r="C55" s="214"/>
      <c r="D55" s="214"/>
    </row>
    <row r="56" spans="1:4" s="57" customFormat="1" ht="12.75">
      <c r="A56" s="55">
        <v>39904</v>
      </c>
      <c r="B56" s="273">
        <f t="shared" si="7"/>
        <v>699343.8253857752</v>
      </c>
      <c r="C56" s="214"/>
      <c r="D56" s="214"/>
    </row>
    <row r="57" spans="1:4" s="57" customFormat="1" ht="12.75">
      <c r="A57" s="55">
        <v>39934</v>
      </c>
      <c r="B57" s="273">
        <f t="shared" si="7"/>
        <v>739499.0852313071</v>
      </c>
      <c r="C57" s="214"/>
      <c r="D57" s="214"/>
    </row>
    <row r="58" spans="1:4" s="57" customFormat="1" ht="12.75">
      <c r="A58" s="55">
        <v>39965</v>
      </c>
      <c r="B58" s="273">
        <f t="shared" si="7"/>
        <v>779654.345076839</v>
      </c>
      <c r="C58" s="214"/>
      <c r="D58" s="214"/>
    </row>
    <row r="59" spans="1:4" s="57" customFormat="1" ht="12.75">
      <c r="A59" s="55">
        <v>39995</v>
      </c>
      <c r="B59" s="273">
        <f t="shared" si="7"/>
        <v>819809.6049223709</v>
      </c>
      <c r="C59" s="214"/>
      <c r="D59" s="214"/>
    </row>
    <row r="60" spans="1:4" s="57" customFormat="1" ht="12.75">
      <c r="A60" s="55">
        <v>40026</v>
      </c>
      <c r="B60" s="273">
        <f t="shared" si="7"/>
        <v>859964.8647679028</v>
      </c>
      <c r="C60" s="214"/>
      <c r="D60" s="214"/>
    </row>
    <row r="61" spans="1:4" s="57" customFormat="1" ht="12.75">
      <c r="A61" s="55">
        <v>40057</v>
      </c>
      <c r="B61" s="273">
        <f t="shared" si="7"/>
        <v>900120.1246134347</v>
      </c>
      <c r="C61" s="214"/>
      <c r="D61" s="214"/>
    </row>
    <row r="62" spans="1:4" s="57" customFormat="1" ht="12.75">
      <c r="A62" s="55">
        <v>40087</v>
      </c>
      <c r="B62" s="273">
        <f t="shared" si="7"/>
        <v>940275.3844589666</v>
      </c>
      <c r="C62" s="214"/>
      <c r="D62" s="214"/>
    </row>
    <row r="63" spans="1:4" s="57" customFormat="1" ht="12.75">
      <c r="A63" s="55">
        <v>40118</v>
      </c>
      <c r="B63" s="273">
        <f t="shared" si="7"/>
        <v>980430.6443044984</v>
      </c>
      <c r="C63" s="214" t="s">
        <v>102</v>
      </c>
      <c r="D63" s="214"/>
    </row>
    <row r="64" spans="1:4" s="61" customFormat="1" ht="12.75">
      <c r="A64" s="59">
        <v>40148</v>
      </c>
      <c r="B64" s="274">
        <f t="shared" si="7"/>
        <v>1020585.9041500303</v>
      </c>
      <c r="C64" s="215">
        <f>SUM(B53:B64)</f>
        <v>9596783.699995259</v>
      </c>
      <c r="D64" s="215">
        <f>B64*12</f>
        <v>12247030.849800363</v>
      </c>
    </row>
    <row r="65" spans="1:4" s="53" customFormat="1" ht="12.75">
      <c r="A65" s="51">
        <v>40179</v>
      </c>
      <c r="B65" s="272">
        <f>B64+$C$65</f>
        <v>1020471.3719021552</v>
      </c>
      <c r="C65" s="213">
        <f>H7</f>
        <v>-114.53224787507683</v>
      </c>
      <c r="D65" s="213"/>
    </row>
    <row r="66" spans="1:4" s="57" customFormat="1" ht="12.75">
      <c r="A66" s="55">
        <v>40210</v>
      </c>
      <c r="B66" s="273">
        <f aca="true" t="shared" si="8" ref="B66:B76">B65+$C$65</f>
        <v>1020356.8396542801</v>
      </c>
      <c r="C66" s="214"/>
      <c r="D66" s="214"/>
    </row>
    <row r="67" spans="1:4" s="57" customFormat="1" ht="12.75">
      <c r="A67" s="55">
        <v>40238</v>
      </c>
      <c r="B67" s="273">
        <f t="shared" si="8"/>
        <v>1020242.307406405</v>
      </c>
      <c r="C67" s="214"/>
      <c r="D67" s="214"/>
    </row>
    <row r="68" spans="1:4" s="57" customFormat="1" ht="12.75">
      <c r="A68" s="55">
        <v>40269</v>
      </c>
      <c r="B68" s="273">
        <f t="shared" si="8"/>
        <v>1020127.7751585299</v>
      </c>
      <c r="C68" s="214"/>
      <c r="D68" s="214"/>
    </row>
    <row r="69" spans="1:4" s="57" customFormat="1" ht="12.75">
      <c r="A69" s="55">
        <v>40299</v>
      </c>
      <c r="B69" s="273">
        <f t="shared" si="8"/>
        <v>1020013.2429106547</v>
      </c>
      <c r="C69" s="214"/>
      <c r="D69" s="214"/>
    </row>
    <row r="70" spans="1:4" s="57" customFormat="1" ht="12.75">
      <c r="A70" s="55">
        <v>40330</v>
      </c>
      <c r="B70" s="273">
        <f t="shared" si="8"/>
        <v>1019898.7106627796</v>
      </c>
      <c r="C70" s="214"/>
      <c r="D70" s="214"/>
    </row>
    <row r="71" spans="1:4" s="57" customFormat="1" ht="12.75">
      <c r="A71" s="55">
        <v>40360</v>
      </c>
      <c r="B71" s="273">
        <f t="shared" si="8"/>
        <v>1019784.1784149045</v>
      </c>
      <c r="C71" s="214"/>
      <c r="D71" s="214"/>
    </row>
    <row r="72" spans="1:4" s="57" customFormat="1" ht="12.75">
      <c r="A72" s="55">
        <v>40391</v>
      </c>
      <c r="B72" s="273">
        <f t="shared" si="8"/>
        <v>1019669.6461670294</v>
      </c>
      <c r="C72" s="214"/>
      <c r="D72" s="214"/>
    </row>
    <row r="73" spans="1:4" s="57" customFormat="1" ht="12.75">
      <c r="A73" s="55">
        <v>40422</v>
      </c>
      <c r="B73" s="273">
        <f t="shared" si="8"/>
        <v>1019555.1139191543</v>
      </c>
      <c r="C73" s="214"/>
      <c r="D73" s="214"/>
    </row>
    <row r="74" spans="1:4" s="57" customFormat="1" ht="12.75">
      <c r="A74" s="55">
        <v>40452</v>
      </c>
      <c r="B74" s="273">
        <f t="shared" si="8"/>
        <v>1019440.5816712792</v>
      </c>
      <c r="C74" s="214"/>
      <c r="D74" s="214"/>
    </row>
    <row r="75" spans="1:4" s="57" customFormat="1" ht="12.75">
      <c r="A75" s="55">
        <v>40483</v>
      </c>
      <c r="B75" s="273">
        <f t="shared" si="8"/>
        <v>1019326.049423404</v>
      </c>
      <c r="C75" s="214" t="s">
        <v>102</v>
      </c>
      <c r="D75" s="214"/>
    </row>
    <row r="76" spans="1:4" s="61" customFormat="1" ht="12.75">
      <c r="A76" s="59">
        <v>40513</v>
      </c>
      <c r="B76" s="274">
        <f t="shared" si="8"/>
        <v>1019211.5171755289</v>
      </c>
      <c r="C76" s="215">
        <f>SUM(B65:B76)</f>
        <v>12238097.334466105</v>
      </c>
      <c r="D76" s="215">
        <f>B76*12</f>
        <v>12230538.206106346</v>
      </c>
    </row>
    <row r="77" spans="1:4" s="53" customFormat="1" ht="12.75">
      <c r="A77" s="51">
        <v>40544</v>
      </c>
      <c r="B77" s="272">
        <f>B76+$C$77</f>
        <v>1059910.8120025578</v>
      </c>
      <c r="C77" s="213">
        <f>H8</f>
        <v>40699.29482702887</v>
      </c>
      <c r="D77" s="213"/>
    </row>
    <row r="78" spans="1:4" s="57" customFormat="1" ht="12.75">
      <c r="A78" s="55">
        <v>40575</v>
      </c>
      <c r="B78" s="273">
        <f aca="true" t="shared" si="9" ref="B78:B88">B77+$C$77</f>
        <v>1100610.1068295867</v>
      </c>
      <c r="C78" s="214"/>
      <c r="D78" s="214"/>
    </row>
    <row r="79" spans="1:4" s="57" customFormat="1" ht="12.75">
      <c r="A79" s="55">
        <v>40603</v>
      </c>
      <c r="B79" s="273">
        <f t="shared" si="9"/>
        <v>1141309.4016566155</v>
      </c>
      <c r="C79" s="214"/>
      <c r="D79" s="214"/>
    </row>
    <row r="80" spans="1:4" s="57" customFormat="1" ht="12.75">
      <c r="A80" s="55">
        <v>40634</v>
      </c>
      <c r="B80" s="273">
        <f t="shared" si="9"/>
        <v>1182008.6964836444</v>
      </c>
      <c r="C80" s="214"/>
      <c r="D80" s="214"/>
    </row>
    <row r="81" spans="1:4" s="57" customFormat="1" ht="12.75">
      <c r="A81" s="55">
        <v>40664</v>
      </c>
      <c r="B81" s="273">
        <f t="shared" si="9"/>
        <v>1222707.9913106733</v>
      </c>
      <c r="C81" s="214"/>
      <c r="D81" s="214"/>
    </row>
    <row r="82" spans="1:4" s="57" customFormat="1" ht="12.75">
      <c r="A82" s="55">
        <v>40695</v>
      </c>
      <c r="B82" s="273">
        <f t="shared" si="9"/>
        <v>1263407.2861377022</v>
      </c>
      <c r="C82" s="214"/>
      <c r="D82" s="214"/>
    </row>
    <row r="83" spans="1:4" s="57" customFormat="1" ht="12.75">
      <c r="A83" s="55">
        <v>40725</v>
      </c>
      <c r="B83" s="273">
        <f t="shared" si="9"/>
        <v>1304106.580964731</v>
      </c>
      <c r="C83" s="214"/>
      <c r="D83" s="214"/>
    </row>
    <row r="84" spans="1:4" s="57" customFormat="1" ht="12.75">
      <c r="A84" s="55">
        <v>40756</v>
      </c>
      <c r="B84" s="273">
        <f t="shared" si="9"/>
        <v>1344805.87579176</v>
      </c>
      <c r="C84" s="214"/>
      <c r="D84" s="214"/>
    </row>
    <row r="85" spans="1:4" s="57" customFormat="1" ht="12.75">
      <c r="A85" s="55">
        <v>40787</v>
      </c>
      <c r="B85" s="273">
        <f t="shared" si="9"/>
        <v>1385505.1706187888</v>
      </c>
      <c r="C85" s="214"/>
      <c r="D85" s="214"/>
    </row>
    <row r="86" spans="1:4" s="57" customFormat="1" ht="12.75">
      <c r="A86" s="55">
        <v>40817</v>
      </c>
      <c r="B86" s="273">
        <f t="shared" si="9"/>
        <v>1426204.4654458177</v>
      </c>
      <c r="C86" s="214"/>
      <c r="D86" s="214"/>
    </row>
    <row r="87" spans="1:4" s="57" customFormat="1" ht="12.75">
      <c r="A87" s="55">
        <v>40848</v>
      </c>
      <c r="B87" s="273">
        <f t="shared" si="9"/>
        <v>1466903.7602728466</v>
      </c>
      <c r="C87" s="214" t="s">
        <v>102</v>
      </c>
      <c r="D87" s="214"/>
    </row>
    <row r="88" spans="1:4" s="61" customFormat="1" ht="12.75">
      <c r="A88" s="59">
        <v>40878</v>
      </c>
      <c r="B88" s="274">
        <f t="shared" si="9"/>
        <v>1507603.0550998754</v>
      </c>
      <c r="C88" s="215">
        <f>SUM(B77:B88)</f>
        <v>15405083.202614602</v>
      </c>
      <c r="D88" s="215">
        <f>B88*12</f>
        <v>18091236.661198504</v>
      </c>
    </row>
    <row r="89" spans="1:4" s="53" customFormat="1" ht="12.75">
      <c r="A89" s="51">
        <v>40909</v>
      </c>
      <c r="B89" s="272">
        <f>B88+$C$89</f>
        <v>1533368.7580458736</v>
      </c>
      <c r="C89" s="213">
        <f>H9</f>
        <v>25765.70294599813</v>
      </c>
      <c r="D89" s="213"/>
    </row>
    <row r="90" spans="1:4" s="57" customFormat="1" ht="12.75">
      <c r="A90" s="55">
        <v>40940</v>
      </c>
      <c r="B90" s="273">
        <f aca="true" t="shared" si="10" ref="B90:B100">B89+$C$89</f>
        <v>1559134.4609918718</v>
      </c>
      <c r="C90" s="214"/>
      <c r="D90" s="214"/>
    </row>
    <row r="91" spans="1:4" s="57" customFormat="1" ht="12.75">
      <c r="A91" s="55">
        <v>40969</v>
      </c>
      <c r="B91" s="273">
        <f t="shared" si="10"/>
        <v>1584900.16393787</v>
      </c>
      <c r="C91" s="214"/>
      <c r="D91" s="214"/>
    </row>
    <row r="92" spans="1:4" s="57" customFormat="1" ht="12.75">
      <c r="A92" s="55">
        <v>41000</v>
      </c>
      <c r="B92" s="273">
        <f t="shared" si="10"/>
        <v>1610665.8668838681</v>
      </c>
      <c r="C92" s="214"/>
      <c r="D92" s="214"/>
    </row>
    <row r="93" spans="1:4" s="57" customFormat="1" ht="12.75">
      <c r="A93" s="55">
        <v>41030</v>
      </c>
      <c r="B93" s="273">
        <f t="shared" si="10"/>
        <v>1636431.5698298663</v>
      </c>
      <c r="C93" s="214"/>
      <c r="D93" s="214"/>
    </row>
    <row r="94" spans="1:4" s="57" customFormat="1" ht="12.75">
      <c r="A94" s="55">
        <v>41061</v>
      </c>
      <c r="B94" s="273">
        <f t="shared" si="10"/>
        <v>1662197.2727758645</v>
      </c>
      <c r="C94" s="214"/>
      <c r="D94" s="214"/>
    </row>
    <row r="95" spans="1:4" s="57" customFormat="1" ht="12.75">
      <c r="A95" s="55">
        <v>41091</v>
      </c>
      <c r="B95" s="273">
        <f t="shared" si="10"/>
        <v>1687962.9757218626</v>
      </c>
      <c r="C95" s="214"/>
      <c r="D95" s="214"/>
    </row>
    <row r="96" spans="1:4" s="57" customFormat="1" ht="12.75">
      <c r="A96" s="55">
        <v>41122</v>
      </c>
      <c r="B96" s="273">
        <f t="shared" si="10"/>
        <v>1713728.6786678608</v>
      </c>
      <c r="C96" s="214"/>
      <c r="D96" s="214"/>
    </row>
    <row r="97" spans="1:4" s="57" customFormat="1" ht="12.75">
      <c r="A97" s="55">
        <v>41153</v>
      </c>
      <c r="B97" s="273">
        <f t="shared" si="10"/>
        <v>1739494.381613859</v>
      </c>
      <c r="C97" s="214"/>
      <c r="D97" s="214"/>
    </row>
    <row r="98" spans="1:4" s="57" customFormat="1" ht="12.75">
      <c r="A98" s="55">
        <v>41183</v>
      </c>
      <c r="B98" s="273">
        <f t="shared" si="10"/>
        <v>1765260.0845598571</v>
      </c>
      <c r="C98" s="214"/>
      <c r="D98" s="214"/>
    </row>
    <row r="99" spans="1:4" s="57" customFormat="1" ht="12.75">
      <c r="A99" s="55">
        <v>41214</v>
      </c>
      <c r="B99" s="273">
        <f t="shared" si="10"/>
        <v>1791025.7875058553</v>
      </c>
      <c r="C99" s="214" t="s">
        <v>102</v>
      </c>
      <c r="D99" s="214"/>
    </row>
    <row r="100" spans="1:4" s="61" customFormat="1" ht="12.75">
      <c r="A100" s="59">
        <v>41244</v>
      </c>
      <c r="B100" s="274">
        <f t="shared" si="10"/>
        <v>1816791.4904518535</v>
      </c>
      <c r="C100" s="215">
        <f>SUM(B89:B100)</f>
        <v>20100961.490986362</v>
      </c>
      <c r="D100" s="215">
        <f>B100*12</f>
        <v>21801497.88542224</v>
      </c>
    </row>
    <row r="101" spans="1:4" s="53" customFormat="1" ht="12.75">
      <c r="A101" s="51">
        <v>41275</v>
      </c>
      <c r="B101" s="272">
        <f>B100+$C$101</f>
        <v>1875284.9107613657</v>
      </c>
      <c r="C101" s="213">
        <f>H10</f>
        <v>58493.420309512185</v>
      </c>
      <c r="D101" s="213"/>
    </row>
    <row r="102" spans="1:4" s="57" customFormat="1" ht="12.75">
      <c r="A102" s="55">
        <v>41306</v>
      </c>
      <c r="B102" s="273">
        <f aca="true" t="shared" si="11" ref="B102:B112">B101+$C$101</f>
        <v>1933778.3310708778</v>
      </c>
      <c r="C102" s="214"/>
      <c r="D102" s="214"/>
    </row>
    <row r="103" spans="1:4" s="57" customFormat="1" ht="12.75">
      <c r="A103" s="55">
        <v>41334</v>
      </c>
      <c r="B103" s="273">
        <f t="shared" si="11"/>
        <v>1992271.75138039</v>
      </c>
      <c r="C103" s="214"/>
      <c r="D103" s="214"/>
    </row>
    <row r="104" spans="1:4" s="57" customFormat="1" ht="12.75">
      <c r="A104" s="55">
        <v>41365</v>
      </c>
      <c r="B104" s="273">
        <f t="shared" si="11"/>
        <v>2050765.1716899022</v>
      </c>
      <c r="C104" s="214"/>
      <c r="D104" s="214"/>
    </row>
    <row r="105" spans="1:4" s="57" customFormat="1" ht="12.75">
      <c r="A105" s="55">
        <v>41395</v>
      </c>
      <c r="B105" s="273">
        <f t="shared" si="11"/>
        <v>2109258.5919994144</v>
      </c>
      <c r="C105" s="214"/>
      <c r="D105" s="214"/>
    </row>
    <row r="106" spans="1:4" s="57" customFormat="1" ht="12.75">
      <c r="A106" s="55">
        <v>41426</v>
      </c>
      <c r="B106" s="273">
        <f t="shared" si="11"/>
        <v>2167752.012308927</v>
      </c>
      <c r="C106" s="214"/>
      <c r="D106" s="214"/>
    </row>
    <row r="107" spans="1:4" s="57" customFormat="1" ht="12.75">
      <c r="A107" s="55">
        <v>41456</v>
      </c>
      <c r="B107" s="273">
        <f t="shared" si="11"/>
        <v>2226245.432618439</v>
      </c>
      <c r="C107" s="214"/>
      <c r="D107" s="214"/>
    </row>
    <row r="108" spans="1:4" s="57" customFormat="1" ht="12.75">
      <c r="A108" s="55">
        <v>41487</v>
      </c>
      <c r="B108" s="273">
        <f t="shared" si="11"/>
        <v>2284738.8529279516</v>
      </c>
      <c r="C108" s="214"/>
      <c r="D108" s="214"/>
    </row>
    <row r="109" spans="1:4" s="57" customFormat="1" ht="12.75">
      <c r="A109" s="55">
        <v>41518</v>
      </c>
      <c r="B109" s="273">
        <f t="shared" si="11"/>
        <v>2343232.273237464</v>
      </c>
      <c r="C109" s="214"/>
      <c r="D109" s="214"/>
    </row>
    <row r="110" spans="1:4" s="57" customFormat="1" ht="12.75">
      <c r="A110" s="55">
        <v>41548</v>
      </c>
      <c r="B110" s="273">
        <f t="shared" si="11"/>
        <v>2401725.6935469764</v>
      </c>
      <c r="C110" s="214"/>
      <c r="D110" s="214"/>
    </row>
    <row r="111" spans="1:4" s="57" customFormat="1" ht="12.75">
      <c r="A111" s="55">
        <v>41579</v>
      </c>
      <c r="B111" s="273">
        <f t="shared" si="11"/>
        <v>2460219.113856489</v>
      </c>
      <c r="C111" s="214" t="s">
        <v>102</v>
      </c>
      <c r="D111" s="214"/>
    </row>
    <row r="112" spans="1:4" s="61" customFormat="1" ht="12.75">
      <c r="A112" s="59">
        <v>41609</v>
      </c>
      <c r="B112" s="274">
        <f t="shared" si="11"/>
        <v>2518712.5341660012</v>
      </c>
      <c r="C112" s="215">
        <f>SUM(B101:B112)</f>
        <v>26363984.669564195</v>
      </c>
      <c r="D112" s="215">
        <f>B112*12</f>
        <v>30224550.409992017</v>
      </c>
    </row>
    <row r="113" spans="1:4" s="53" customFormat="1" ht="12.75">
      <c r="A113" s="51">
        <v>41640</v>
      </c>
      <c r="B113" s="272">
        <f>B112+$C$113</f>
        <v>2720610.5265006116</v>
      </c>
      <c r="C113" s="213">
        <f>H11</f>
        <v>201897.99233461008</v>
      </c>
      <c r="D113" s="213"/>
    </row>
    <row r="114" spans="1:4" s="57" customFormat="1" ht="12.75">
      <c r="A114" s="55">
        <v>41671</v>
      </c>
      <c r="B114" s="273">
        <f aca="true" t="shared" si="12" ref="B114:B124">B113+$C$113</f>
        <v>2922508.5188352214</v>
      </c>
      <c r="C114" s="214"/>
      <c r="D114" s="214"/>
    </row>
    <row r="115" spans="1:4" s="57" customFormat="1" ht="12.75">
      <c r="A115" s="55">
        <v>41699</v>
      </c>
      <c r="B115" s="273">
        <f t="shared" si="12"/>
        <v>3124406.5111698313</v>
      </c>
      <c r="C115" s="214"/>
      <c r="D115" s="214"/>
    </row>
    <row r="116" spans="1:4" s="57" customFormat="1" ht="12.75">
      <c r="A116" s="55">
        <v>41730</v>
      </c>
      <c r="B116" s="273">
        <f t="shared" si="12"/>
        <v>3326304.503504441</v>
      </c>
      <c r="C116" s="214"/>
      <c r="D116" s="214"/>
    </row>
    <row r="117" spans="1:4" s="57" customFormat="1" ht="12.75">
      <c r="A117" s="55">
        <v>41760</v>
      </c>
      <c r="B117" s="273">
        <f t="shared" si="12"/>
        <v>3528202.495839051</v>
      </c>
      <c r="C117" s="214"/>
      <c r="D117" s="214"/>
    </row>
    <row r="118" spans="1:4" s="57" customFormat="1" ht="12.75">
      <c r="A118" s="55">
        <v>41791</v>
      </c>
      <c r="B118" s="273">
        <f t="shared" si="12"/>
        <v>3730100.488173661</v>
      </c>
      <c r="C118" s="214"/>
      <c r="D118" s="214"/>
    </row>
    <row r="119" spans="1:4" s="57" customFormat="1" ht="12.75">
      <c r="A119" s="55">
        <v>41821</v>
      </c>
      <c r="B119" s="273">
        <f t="shared" si="12"/>
        <v>3931998.4805082707</v>
      </c>
      <c r="C119" s="214"/>
      <c r="D119" s="214"/>
    </row>
    <row r="120" spans="1:4" s="57" customFormat="1" ht="12.75">
      <c r="A120" s="55">
        <v>41852</v>
      </c>
      <c r="B120" s="273">
        <f t="shared" si="12"/>
        <v>4133896.4728428805</v>
      </c>
      <c r="C120" s="214"/>
      <c r="D120" s="214"/>
    </row>
    <row r="121" spans="1:4" s="57" customFormat="1" ht="12.75">
      <c r="A121" s="55">
        <v>41883</v>
      </c>
      <c r="B121" s="273">
        <f t="shared" si="12"/>
        <v>4335794.46517749</v>
      </c>
      <c r="C121" s="214"/>
      <c r="D121" s="214"/>
    </row>
    <row r="122" spans="1:4" s="57" customFormat="1" ht="12.75">
      <c r="A122" s="55">
        <v>41913</v>
      </c>
      <c r="B122" s="273">
        <f t="shared" si="12"/>
        <v>4537692.4575121</v>
      </c>
      <c r="C122" s="214"/>
      <c r="D122" s="214"/>
    </row>
    <row r="123" spans="1:4" s="57" customFormat="1" ht="12.75">
      <c r="A123" s="55">
        <v>41944</v>
      </c>
      <c r="B123" s="273">
        <f t="shared" si="12"/>
        <v>4739590.44984671</v>
      </c>
      <c r="C123" s="214" t="s">
        <v>102</v>
      </c>
      <c r="D123" s="214"/>
    </row>
    <row r="124" spans="1:4" s="61" customFormat="1" ht="12.75">
      <c r="A124" s="59">
        <v>41974</v>
      </c>
      <c r="B124" s="274">
        <f t="shared" si="12"/>
        <v>4941488.44218132</v>
      </c>
      <c r="C124" s="215">
        <f>SUM(B113:B124)</f>
        <v>45972593.81209159</v>
      </c>
      <c r="D124" s="215">
        <f>B124*12</f>
        <v>59297861.30617584</v>
      </c>
    </row>
    <row r="125" spans="1:4" s="53" customFormat="1" ht="12.75">
      <c r="A125" s="51">
        <v>42005</v>
      </c>
      <c r="B125" s="272">
        <f>B124+$C$125</f>
        <v>5005592.892288157</v>
      </c>
      <c r="C125" s="213">
        <f>H12</f>
        <v>64104.450106837045</v>
      </c>
      <c r="D125" s="213"/>
    </row>
    <row r="126" spans="1:4" s="57" customFormat="1" ht="12.75">
      <c r="A126" s="55">
        <v>42036</v>
      </c>
      <c r="B126" s="273">
        <f aca="true" t="shared" si="13" ref="B126:B136">B125+$C$125</f>
        <v>5069697.342394994</v>
      </c>
      <c r="C126" s="214"/>
      <c r="D126" s="214"/>
    </row>
    <row r="127" spans="1:4" s="57" customFormat="1" ht="12.75">
      <c r="A127" s="55">
        <v>42064</v>
      </c>
      <c r="B127" s="273">
        <f t="shared" si="13"/>
        <v>5133801.7925018305</v>
      </c>
      <c r="C127" s="214"/>
      <c r="D127" s="214"/>
    </row>
    <row r="128" spans="1:4" s="57" customFormat="1" ht="12.75">
      <c r="A128" s="55">
        <v>42095</v>
      </c>
      <c r="B128" s="273">
        <f t="shared" si="13"/>
        <v>5197906.242608667</v>
      </c>
      <c r="C128" s="214"/>
      <c r="D128" s="214"/>
    </row>
    <row r="129" spans="1:4" s="57" customFormat="1" ht="12.75">
      <c r="A129" s="55">
        <v>42125</v>
      </c>
      <c r="B129" s="273">
        <f t="shared" si="13"/>
        <v>5262010.692715504</v>
      </c>
      <c r="C129" s="214"/>
      <c r="D129" s="214"/>
    </row>
    <row r="130" spans="1:4" s="57" customFormat="1" ht="12.75">
      <c r="A130" s="55">
        <v>42156</v>
      </c>
      <c r="B130" s="273">
        <f t="shared" si="13"/>
        <v>5326115.142822341</v>
      </c>
      <c r="C130" s="214"/>
      <c r="D130" s="214"/>
    </row>
    <row r="131" spans="1:4" s="57" customFormat="1" ht="12.75">
      <c r="A131" s="55">
        <v>42186</v>
      </c>
      <c r="B131" s="273">
        <f t="shared" si="13"/>
        <v>5390219.592929178</v>
      </c>
      <c r="C131" s="214"/>
      <c r="D131" s="214"/>
    </row>
    <row r="132" spans="1:4" s="57" customFormat="1" ht="12.75">
      <c r="A132" s="55">
        <v>42217</v>
      </c>
      <c r="B132" s="273">
        <f t="shared" si="13"/>
        <v>5454324.043036015</v>
      </c>
      <c r="C132" s="214"/>
      <c r="D132" s="214"/>
    </row>
    <row r="133" spans="1:4" s="57" customFormat="1" ht="12.75">
      <c r="A133" s="55">
        <v>42248</v>
      </c>
      <c r="B133" s="273">
        <f t="shared" si="13"/>
        <v>5518428.493142852</v>
      </c>
      <c r="C133" s="214"/>
      <c r="D133" s="214"/>
    </row>
    <row r="134" spans="1:4" s="57" customFormat="1" ht="12.75">
      <c r="A134" s="55">
        <v>42278</v>
      </c>
      <c r="B134" s="273">
        <f t="shared" si="13"/>
        <v>5582532.9432496885</v>
      </c>
      <c r="C134" s="214"/>
      <c r="D134" s="214"/>
    </row>
    <row r="135" spans="1:4" s="57" customFormat="1" ht="12.75">
      <c r="A135" s="55">
        <v>42309</v>
      </c>
      <c r="B135" s="273">
        <f t="shared" si="13"/>
        <v>5646637.393356525</v>
      </c>
      <c r="C135" s="214" t="s">
        <v>102</v>
      </c>
      <c r="D135" s="214"/>
    </row>
    <row r="136" spans="1:4" s="61" customFormat="1" ht="12.75">
      <c r="A136" s="59">
        <v>42339</v>
      </c>
      <c r="B136" s="274">
        <f t="shared" si="13"/>
        <v>5710741.843463362</v>
      </c>
      <c r="C136" s="215">
        <f>SUM(B125:B136)</f>
        <v>64298008.41450911</v>
      </c>
      <c r="D136" s="215">
        <f>B136*12</f>
        <v>68528902.12156035</v>
      </c>
    </row>
    <row r="137" spans="1:4" s="53" customFormat="1" ht="12.75">
      <c r="A137" s="51">
        <v>42370</v>
      </c>
      <c r="B137" s="272">
        <f>B136+$C$137</f>
        <v>5688589.497930408</v>
      </c>
      <c r="C137" s="213">
        <f>H13</f>
        <v>-22152.345532953357</v>
      </c>
      <c r="D137" s="213"/>
    </row>
    <row r="138" spans="1:4" s="57" customFormat="1" ht="12.75">
      <c r="A138" s="55">
        <v>42401</v>
      </c>
      <c r="B138" s="273">
        <f aca="true" t="shared" si="14" ref="B138:B148">B137+$C$137</f>
        <v>5666437.152397455</v>
      </c>
      <c r="C138" s="214"/>
      <c r="D138" s="214"/>
    </row>
    <row r="139" spans="1:4" s="57" customFormat="1" ht="12.75">
      <c r="A139" s="55">
        <v>42430</v>
      </c>
      <c r="B139" s="273">
        <f t="shared" si="14"/>
        <v>5644284.806864501</v>
      </c>
      <c r="C139" s="214"/>
      <c r="D139" s="214"/>
    </row>
    <row r="140" spans="1:4" s="57" customFormat="1" ht="12.75">
      <c r="A140" s="55">
        <v>42461</v>
      </c>
      <c r="B140" s="273">
        <f t="shared" si="14"/>
        <v>5622132.461331547</v>
      </c>
      <c r="C140" s="214"/>
      <c r="D140" s="214"/>
    </row>
    <row r="141" spans="1:4" s="57" customFormat="1" ht="12.75">
      <c r="A141" s="55">
        <v>42491</v>
      </c>
      <c r="B141" s="273">
        <f t="shared" si="14"/>
        <v>5599980.1157985935</v>
      </c>
      <c r="C141" s="214"/>
      <c r="D141" s="214"/>
    </row>
    <row r="142" spans="1:4" s="57" customFormat="1" ht="12.75">
      <c r="A142" s="55">
        <v>42522</v>
      </c>
      <c r="B142" s="273">
        <f t="shared" si="14"/>
        <v>5577827.77026564</v>
      </c>
      <c r="C142" s="214"/>
      <c r="D142" s="214"/>
    </row>
    <row r="143" spans="1:4" s="57" customFormat="1" ht="12.75">
      <c r="A143" s="55">
        <v>42552</v>
      </c>
      <c r="B143" s="273">
        <f t="shared" si="14"/>
        <v>5555675.424732686</v>
      </c>
      <c r="C143" s="214"/>
      <c r="D143" s="214"/>
    </row>
    <row r="144" spans="1:4" s="57" customFormat="1" ht="12.75">
      <c r="A144" s="55">
        <v>42583</v>
      </c>
      <c r="B144" s="273">
        <f t="shared" si="14"/>
        <v>5533523.079199732</v>
      </c>
      <c r="C144" s="214"/>
      <c r="D144" s="214"/>
    </row>
    <row r="145" spans="1:4" s="57" customFormat="1" ht="12.75">
      <c r="A145" s="55">
        <v>42614</v>
      </c>
      <c r="B145" s="273">
        <f t="shared" si="14"/>
        <v>5511370.733666779</v>
      </c>
      <c r="C145" s="214"/>
      <c r="D145" s="214"/>
    </row>
    <row r="146" spans="1:4" s="57" customFormat="1" ht="12.75">
      <c r="A146" s="55">
        <v>42644</v>
      </c>
      <c r="B146" s="273">
        <f t="shared" si="14"/>
        <v>5489218.388133825</v>
      </c>
      <c r="C146" s="214"/>
      <c r="D146" s="214"/>
    </row>
    <row r="147" spans="1:4" s="57" customFormat="1" ht="12.75">
      <c r="A147" s="55">
        <v>42675</v>
      </c>
      <c r="B147" s="273">
        <f t="shared" si="14"/>
        <v>5467066.042600871</v>
      </c>
      <c r="C147" s="214" t="s">
        <v>102</v>
      </c>
      <c r="D147" s="214"/>
    </row>
    <row r="148" spans="1:4" s="61" customFormat="1" ht="12.75">
      <c r="A148" s="59">
        <v>42705</v>
      </c>
      <c r="B148" s="274">
        <f t="shared" si="14"/>
        <v>5444913.697067917</v>
      </c>
      <c r="C148" s="215">
        <f>SUM(B137:B148)</f>
        <v>66801019.16998995</v>
      </c>
      <c r="D148" s="215">
        <f>B148*12</f>
        <v>65338964.36481501</v>
      </c>
    </row>
    <row r="149" spans="1:4" s="53" customFormat="1" ht="12.75">
      <c r="A149" s="51">
        <v>42736</v>
      </c>
      <c r="B149" s="272">
        <f>B148+$C$149</f>
        <v>5421572.091343258</v>
      </c>
      <c r="C149" s="213">
        <f>H14</f>
        <v>-23341.605724660058</v>
      </c>
      <c r="D149" s="213"/>
    </row>
    <row r="150" spans="1:4" s="57" customFormat="1" ht="12.75">
      <c r="A150" s="55">
        <v>42767</v>
      </c>
      <c r="B150" s="273">
        <f aca="true" t="shared" si="15" ref="B150:B159">B149+$C$149</f>
        <v>5398230.485618598</v>
      </c>
      <c r="C150" s="214"/>
      <c r="D150" s="214"/>
    </row>
    <row r="151" spans="1:4" s="57" customFormat="1" ht="12.75">
      <c r="A151" s="55">
        <v>42795</v>
      </c>
      <c r="B151" s="273">
        <f t="shared" si="15"/>
        <v>5374888.879893938</v>
      </c>
      <c r="C151" s="214"/>
      <c r="D151" s="214"/>
    </row>
    <row r="152" spans="1:4" s="57" customFormat="1" ht="12.75">
      <c r="A152" s="55">
        <v>42826</v>
      </c>
      <c r="B152" s="273">
        <f t="shared" si="15"/>
        <v>5351547.274169278</v>
      </c>
      <c r="C152" s="214"/>
      <c r="D152" s="214"/>
    </row>
    <row r="153" spans="1:4" s="57" customFormat="1" ht="12.75">
      <c r="A153" s="55">
        <v>42856</v>
      </c>
      <c r="B153" s="273">
        <f t="shared" si="15"/>
        <v>5328205.668444619</v>
      </c>
      <c r="C153" s="214"/>
      <c r="D153" s="214"/>
    </row>
    <row r="154" spans="1:4" s="57" customFormat="1" ht="12.75">
      <c r="A154" s="55">
        <v>42887</v>
      </c>
      <c r="B154" s="273">
        <f t="shared" si="15"/>
        <v>5304864.062719959</v>
      </c>
      <c r="C154" s="214"/>
      <c r="D154" s="214"/>
    </row>
    <row r="155" spans="1:4" s="57" customFormat="1" ht="12.75">
      <c r="A155" s="55">
        <v>42917</v>
      </c>
      <c r="B155" s="273">
        <f t="shared" si="15"/>
        <v>5281522.456995299</v>
      </c>
      <c r="C155" s="214"/>
      <c r="D155" s="214"/>
    </row>
    <row r="156" spans="1:4" s="57" customFormat="1" ht="12.75">
      <c r="A156" s="55">
        <v>42948</v>
      </c>
      <c r="B156" s="273">
        <f t="shared" si="15"/>
        <v>5258180.851270639</v>
      </c>
      <c r="C156" s="214"/>
      <c r="D156" s="214"/>
    </row>
    <row r="157" spans="1:4" s="57" customFormat="1" ht="12.75">
      <c r="A157" s="55">
        <v>42979</v>
      </c>
      <c r="B157" s="273">
        <f t="shared" si="15"/>
        <v>5234839.24554598</v>
      </c>
      <c r="C157" s="214"/>
      <c r="D157" s="214"/>
    </row>
    <row r="158" spans="1:4" s="57" customFormat="1" ht="12.75">
      <c r="A158" s="55">
        <v>43009</v>
      </c>
      <c r="B158" s="273">
        <f t="shared" si="15"/>
        <v>5211497.63982132</v>
      </c>
      <c r="C158" s="214"/>
      <c r="D158" s="214"/>
    </row>
    <row r="159" spans="1:4" s="57" customFormat="1" ht="12.75">
      <c r="A159" s="55">
        <v>43040</v>
      </c>
      <c r="B159" s="273">
        <f t="shared" si="15"/>
        <v>5188156.03409666</v>
      </c>
      <c r="C159" s="214" t="s">
        <v>102</v>
      </c>
      <c r="D159" s="214"/>
    </row>
    <row r="160" spans="1:4" s="61" customFormat="1" ht="12.75">
      <c r="A160" s="59">
        <v>43070</v>
      </c>
      <c r="B160" s="274">
        <f>B159+$C$149</f>
        <v>5164814.428372</v>
      </c>
      <c r="C160" s="215">
        <f>SUM(B149:B160)</f>
        <v>63518319.11829155</v>
      </c>
      <c r="D160" s="275">
        <f>B160*12</f>
        <v>61977773.14046401</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F53"/>
  <sheetViews>
    <sheetView zoomScalePageLayoutView="0" workbookViewId="0" topLeftCell="A49">
      <selection activeCell="R1" sqref="R1:AE15"/>
    </sheetView>
  </sheetViews>
  <sheetFormatPr defaultColWidth="9.140625" defaultRowHeight="12.75"/>
  <cols>
    <col min="1" max="1" width="16.8515625" style="0" customWidth="1"/>
    <col min="2" max="2" width="32.8515625" style="0" bestFit="1" customWidth="1"/>
    <col min="3" max="3" width="14.00390625" style="0" bestFit="1" customWidth="1"/>
    <col min="7" max="7" width="13.8515625" style="0" bestFit="1" customWidth="1"/>
    <col min="8" max="8" width="13.421875" style="0" bestFit="1" customWidth="1"/>
    <col min="9" max="9" width="10.140625" style="0" bestFit="1" customWidth="1"/>
    <col min="10" max="11" width="14.00390625" style="0" bestFit="1" customWidth="1"/>
    <col min="12" max="12" width="12.8515625" style="0" bestFit="1" customWidth="1"/>
    <col min="13" max="13" width="10.7109375" style="0" bestFit="1" customWidth="1"/>
    <col min="14" max="14" width="11.7109375" style="0" bestFit="1" customWidth="1"/>
    <col min="15" max="15" width="11.28125" style="0" bestFit="1" customWidth="1"/>
    <col min="19" max="19" width="9.140625" style="78" customWidth="1"/>
    <col min="20" max="20" width="10.28125" style="0" bestFit="1" customWidth="1"/>
    <col min="23" max="28" width="10.140625" style="0" bestFit="1" customWidth="1"/>
    <col min="29" max="30" width="10.28125" style="0" bestFit="1" customWidth="1"/>
    <col min="31" max="31" width="11.28125" style="0" bestFit="1" customWidth="1"/>
  </cols>
  <sheetData>
    <row r="1" spans="1:31" s="57" customFormat="1" ht="15">
      <c r="A1" s="126" t="s">
        <v>140</v>
      </c>
      <c r="C1" s="127"/>
      <c r="D1" s="128"/>
      <c r="E1" s="129"/>
      <c r="F1" s="128"/>
      <c r="G1" s="128"/>
      <c r="H1" s="128"/>
      <c r="I1" s="128"/>
      <c r="J1" s="128"/>
      <c r="K1" s="128"/>
      <c r="S1" s="130"/>
      <c r="T1" s="296" t="s">
        <v>141</v>
      </c>
      <c r="U1" s="296"/>
      <c r="V1" s="296"/>
      <c r="W1" s="296"/>
      <c r="X1" s="296"/>
      <c r="Y1" s="296"/>
      <c r="Z1" s="296"/>
      <c r="AA1" s="296"/>
      <c r="AB1" s="296"/>
      <c r="AC1" s="296"/>
      <c r="AD1" s="296"/>
      <c r="AE1" s="296"/>
    </row>
    <row r="2" spans="1:31" s="57" customFormat="1" ht="15.75">
      <c r="A2" s="131" t="s">
        <v>142</v>
      </c>
      <c r="C2" s="127"/>
      <c r="D2" s="128"/>
      <c r="E2" s="129"/>
      <c r="F2" s="128"/>
      <c r="G2" s="128"/>
      <c r="H2" s="128"/>
      <c r="I2" s="128"/>
      <c r="J2" s="128"/>
      <c r="K2" s="128"/>
      <c r="S2" s="130"/>
      <c r="T2" s="132">
        <v>2006</v>
      </c>
      <c r="U2" s="132">
        <v>2007</v>
      </c>
      <c r="V2" s="132">
        <v>2008</v>
      </c>
      <c r="W2" s="132">
        <v>2009</v>
      </c>
      <c r="X2" s="132">
        <v>2010</v>
      </c>
      <c r="Y2" s="132">
        <v>2011</v>
      </c>
      <c r="Z2" s="132">
        <v>2012</v>
      </c>
      <c r="AA2" s="132">
        <v>2013</v>
      </c>
      <c r="AB2" s="132">
        <v>2014</v>
      </c>
      <c r="AC2" s="132">
        <v>2015</v>
      </c>
      <c r="AD2" s="132">
        <v>2016</v>
      </c>
      <c r="AE2" s="132">
        <v>2017</v>
      </c>
    </row>
    <row r="3" spans="1:31" s="135" customFormat="1" ht="25.5">
      <c r="A3" s="133" t="s">
        <v>114</v>
      </c>
      <c r="B3" s="133" t="s">
        <v>115</v>
      </c>
      <c r="C3" s="133" t="s">
        <v>116</v>
      </c>
      <c r="D3" s="134">
        <v>2006</v>
      </c>
      <c r="E3" s="134">
        <v>2007</v>
      </c>
      <c r="F3" s="134">
        <v>2008</v>
      </c>
      <c r="G3" s="134">
        <v>2009</v>
      </c>
      <c r="H3" s="134">
        <v>2010</v>
      </c>
      <c r="I3" s="134">
        <v>2011</v>
      </c>
      <c r="J3" s="134">
        <v>2012</v>
      </c>
      <c r="K3" s="134">
        <v>2013</v>
      </c>
      <c r="L3" s="134">
        <v>2014</v>
      </c>
      <c r="M3" s="134">
        <v>2015</v>
      </c>
      <c r="N3" s="134">
        <v>2016</v>
      </c>
      <c r="O3" s="134">
        <v>2017</v>
      </c>
      <c r="R3" s="297" t="s">
        <v>143</v>
      </c>
      <c r="S3" s="136">
        <v>2006</v>
      </c>
      <c r="T3" s="293">
        <f>D16</f>
        <v>2666105.132534525</v>
      </c>
      <c r="U3" s="204">
        <f aca="true" t="shared" si="0" ref="U3:AE3">E16</f>
        <v>2666105.132534525</v>
      </c>
      <c r="V3" s="204">
        <f t="shared" si="0"/>
        <v>2666105.132534525</v>
      </c>
      <c r="W3" s="204">
        <f t="shared" si="0"/>
        <v>2666105.132534525</v>
      </c>
      <c r="X3" s="204">
        <f t="shared" si="0"/>
        <v>463043.4271537002</v>
      </c>
      <c r="Y3" s="204">
        <f t="shared" si="0"/>
        <v>463043.4271537002</v>
      </c>
      <c r="Z3" s="204">
        <f t="shared" si="0"/>
        <v>423558.6695641921</v>
      </c>
      <c r="AA3" s="204">
        <f t="shared" si="0"/>
        <v>423558.6695641921</v>
      </c>
      <c r="AB3" s="204">
        <f t="shared" si="0"/>
        <v>397998.6294603894</v>
      </c>
      <c r="AC3" s="204">
        <f t="shared" si="0"/>
        <v>397998.6294603894</v>
      </c>
      <c r="AD3" s="204">
        <f t="shared" si="0"/>
        <v>376020.9150711405</v>
      </c>
      <c r="AE3" s="204">
        <f t="shared" si="0"/>
        <v>376020.9150711405</v>
      </c>
    </row>
    <row r="4" spans="1:31" s="135" customFormat="1" ht="12.75">
      <c r="A4" s="138"/>
      <c r="B4" s="138"/>
      <c r="C4" s="138"/>
      <c r="R4" s="297"/>
      <c r="S4" s="136">
        <v>2007</v>
      </c>
      <c r="T4" s="203">
        <v>0</v>
      </c>
      <c r="U4" s="204">
        <f>E17</f>
        <v>1387119.5914160432</v>
      </c>
      <c r="V4" s="204">
        <f aca="true" t="shared" si="1" ref="V4:AE4">F17</f>
        <v>1375496.831751832</v>
      </c>
      <c r="W4" s="204">
        <f t="shared" si="1"/>
        <v>1375496.831751832</v>
      </c>
      <c r="X4" s="204">
        <f t="shared" si="1"/>
        <v>1375496.831751832</v>
      </c>
      <c r="Y4" s="204">
        <f t="shared" si="1"/>
        <v>1374565.2039057056</v>
      </c>
      <c r="Z4" s="204">
        <f t="shared" si="1"/>
        <v>1319405.8582323904</v>
      </c>
      <c r="AA4" s="204">
        <f t="shared" si="1"/>
        <v>1319449</v>
      </c>
      <c r="AB4" s="204">
        <f t="shared" si="1"/>
        <v>1319405.8582323904</v>
      </c>
      <c r="AC4" s="204">
        <f t="shared" si="1"/>
        <v>451386.6254961782</v>
      </c>
      <c r="AD4" s="204">
        <f t="shared" si="1"/>
        <v>311034.56669119035</v>
      </c>
      <c r="AE4" s="204">
        <f t="shared" si="1"/>
        <v>164898.26570015398</v>
      </c>
    </row>
    <row r="5" spans="1:31" s="135" customFormat="1" ht="12.75">
      <c r="A5" s="139">
        <v>1</v>
      </c>
      <c r="B5" s="140" t="s">
        <v>117</v>
      </c>
      <c r="C5" s="141" t="s">
        <v>118</v>
      </c>
      <c r="D5" s="142">
        <v>2666.1051325345247</v>
      </c>
      <c r="E5" s="142">
        <v>2666.1051325345247</v>
      </c>
      <c r="F5" s="142">
        <v>2666.1051325345247</v>
      </c>
      <c r="G5" s="142">
        <v>2666.1051325345247</v>
      </c>
      <c r="H5" s="142">
        <v>463.0434271537002</v>
      </c>
      <c r="I5" s="142">
        <v>463.0434271537002</v>
      </c>
      <c r="J5" s="142">
        <v>423.55866956419214</v>
      </c>
      <c r="K5" s="142">
        <v>423.55866956419214</v>
      </c>
      <c r="L5" s="142">
        <v>397.9986294603894</v>
      </c>
      <c r="M5" s="142">
        <v>397.9986294603894</v>
      </c>
      <c r="N5" s="142">
        <v>376.0209150711405</v>
      </c>
      <c r="O5" s="142">
        <v>376.0209150711405</v>
      </c>
      <c r="R5" s="297"/>
      <c r="S5" s="136">
        <v>2008</v>
      </c>
      <c r="T5" s="203">
        <v>0</v>
      </c>
      <c r="U5" s="203">
        <v>0</v>
      </c>
      <c r="V5" s="204">
        <f>F18</f>
        <v>2696910.9193012784</v>
      </c>
      <c r="W5" s="204">
        <f aca="true" t="shared" si="2" ref="W5:AE5">G18</f>
        <v>2083518.3959945007</v>
      </c>
      <c r="X5" s="204">
        <f t="shared" si="2"/>
        <v>2083518.3959945007</v>
      </c>
      <c r="Y5" s="204">
        <f t="shared" si="2"/>
        <v>2083518.3959945007</v>
      </c>
      <c r="Z5" s="204">
        <f t="shared" si="2"/>
        <v>1953835.1479984417</v>
      </c>
      <c r="AA5" s="204">
        <f t="shared" si="2"/>
        <v>1952703</v>
      </c>
      <c r="AB5" s="204">
        <f t="shared" si="2"/>
        <v>1818843.9088554673</v>
      </c>
      <c r="AC5" s="204">
        <f t="shared" si="2"/>
        <v>1718921.2289633893</v>
      </c>
      <c r="AD5" s="204">
        <f t="shared" si="2"/>
        <v>1280426.2461421427</v>
      </c>
      <c r="AE5" s="204">
        <f t="shared" si="2"/>
        <v>950424.3816059598</v>
      </c>
    </row>
    <row r="6" spans="1:31" s="135" customFormat="1" ht="12.75">
      <c r="A6" s="143">
        <v>2</v>
      </c>
      <c r="B6" s="144" t="s">
        <v>119</v>
      </c>
      <c r="C6" s="145" t="s">
        <v>118</v>
      </c>
      <c r="D6" s="146">
        <v>0</v>
      </c>
      <c r="E6" s="146">
        <v>1387.1195914160432</v>
      </c>
      <c r="F6" s="146">
        <v>1375.4968317518321</v>
      </c>
      <c r="G6" s="146">
        <v>1375.4968317518321</v>
      </c>
      <c r="H6" s="146">
        <v>1375.4968317518321</v>
      </c>
      <c r="I6" s="146">
        <v>1374.5652039057056</v>
      </c>
      <c r="J6" s="146">
        <v>1319.4058582323903</v>
      </c>
      <c r="K6" s="294">
        <v>1319.449</v>
      </c>
      <c r="L6" s="146">
        <v>1319.4058582323903</v>
      </c>
      <c r="M6" s="146">
        <v>451.3866254961782</v>
      </c>
      <c r="N6" s="146">
        <v>311.0345666911904</v>
      </c>
      <c r="O6" s="146">
        <v>164.89826570015398</v>
      </c>
      <c r="R6" s="297"/>
      <c r="S6" s="136">
        <v>2009</v>
      </c>
      <c r="T6" s="203">
        <v>0</v>
      </c>
      <c r="U6" s="203">
        <v>0</v>
      </c>
      <c r="V6" s="203">
        <v>0</v>
      </c>
      <c r="W6" s="204">
        <f>G19</f>
        <v>6943326.6794287935</v>
      </c>
      <c r="X6" s="204">
        <f aca="true" t="shared" si="3" ref="X6:AE6">H19</f>
        <v>6230628.877931198</v>
      </c>
      <c r="Y6" s="204">
        <f t="shared" si="3"/>
        <v>6230628.877931198</v>
      </c>
      <c r="Z6" s="204">
        <f t="shared" si="3"/>
        <v>6227931.456543212</v>
      </c>
      <c r="AA6" s="204">
        <f t="shared" si="3"/>
        <v>6110636</v>
      </c>
      <c r="AB6" s="204">
        <f t="shared" si="3"/>
        <v>5806438.008901972</v>
      </c>
      <c r="AC6" s="204">
        <f t="shared" si="3"/>
        <v>5738137.91162228</v>
      </c>
      <c r="AD6" s="204">
        <f t="shared" si="3"/>
        <v>5736647.652515388</v>
      </c>
      <c r="AE6" s="204">
        <f t="shared" si="3"/>
        <v>4440683.228193517</v>
      </c>
    </row>
    <row r="7" spans="1:31" s="135" customFormat="1" ht="12.75">
      <c r="A7" s="147">
        <v>3</v>
      </c>
      <c r="B7" s="148" t="s">
        <v>120</v>
      </c>
      <c r="C7" s="149" t="s">
        <v>118</v>
      </c>
      <c r="D7" s="150">
        <v>0</v>
      </c>
      <c r="E7" s="150">
        <v>0</v>
      </c>
      <c r="F7" s="150">
        <v>2696.910919301278</v>
      </c>
      <c r="G7" s="150">
        <v>2083.5183959945007</v>
      </c>
      <c r="H7" s="150">
        <v>2083.5183959945007</v>
      </c>
      <c r="I7" s="150">
        <v>2083.5183959945007</v>
      </c>
      <c r="J7" s="150">
        <v>1953.8351479984417</v>
      </c>
      <c r="K7" s="294">
        <v>1952.703</v>
      </c>
      <c r="L7" s="150">
        <v>1818.8439088554674</v>
      </c>
      <c r="M7" s="150">
        <v>1718.9212289633892</v>
      </c>
      <c r="N7" s="150">
        <v>1280.4262461421426</v>
      </c>
      <c r="O7" s="150">
        <v>950.4243816059599</v>
      </c>
      <c r="R7" s="297"/>
      <c r="S7" s="136">
        <v>2010</v>
      </c>
      <c r="T7" s="203">
        <v>0</v>
      </c>
      <c r="U7" s="203">
        <v>0</v>
      </c>
      <c r="V7" s="203">
        <v>0</v>
      </c>
      <c r="W7" s="204">
        <v>0</v>
      </c>
      <c r="X7" s="204">
        <f>H20</f>
        <v>4170819.6032697526</v>
      </c>
      <c r="Y7" s="204">
        <f aca="true" t="shared" si="4" ref="Y7:AE7">I20</f>
        <v>2995440.2976294947</v>
      </c>
      <c r="Z7" s="204">
        <f t="shared" si="4"/>
        <v>2991631.4397138916</v>
      </c>
      <c r="AA7" s="204">
        <f t="shared" si="4"/>
        <v>2989542</v>
      </c>
      <c r="AB7" s="204">
        <f t="shared" si="4"/>
        <v>2866698.4066413864</v>
      </c>
      <c r="AC7" s="204">
        <f t="shared" si="4"/>
        <v>2447090.1489668926</v>
      </c>
      <c r="AD7" s="204">
        <f t="shared" si="4"/>
        <v>2432987.3295701304</v>
      </c>
      <c r="AE7" s="204">
        <f t="shared" si="4"/>
        <v>2367567.927720757</v>
      </c>
    </row>
    <row r="8" spans="1:31" s="135" customFormat="1" ht="12.75">
      <c r="A8" s="143">
        <v>4</v>
      </c>
      <c r="B8" s="144" t="s">
        <v>121</v>
      </c>
      <c r="C8" s="145" t="s">
        <v>118</v>
      </c>
      <c r="D8" s="146">
        <v>0</v>
      </c>
      <c r="E8" s="146">
        <v>0</v>
      </c>
      <c r="F8" s="146">
        <v>0</v>
      </c>
      <c r="G8" s="146">
        <v>6943.326679428794</v>
      </c>
      <c r="H8" s="146">
        <v>6230.628877931198</v>
      </c>
      <c r="I8" s="146">
        <v>6230.628877931198</v>
      </c>
      <c r="J8" s="146">
        <v>6227.931456543211</v>
      </c>
      <c r="K8" s="294">
        <v>6110.636</v>
      </c>
      <c r="L8" s="146">
        <v>5806.438008901972</v>
      </c>
      <c r="M8" s="146">
        <v>5738.137911622281</v>
      </c>
      <c r="N8" s="146">
        <v>5736.6476525153885</v>
      </c>
      <c r="O8" s="146">
        <v>4440.683228193517</v>
      </c>
      <c r="R8" s="297"/>
      <c r="S8" s="136">
        <v>2011</v>
      </c>
      <c r="T8" s="205">
        <v>0</v>
      </c>
      <c r="U8" s="205">
        <v>0</v>
      </c>
      <c r="V8" s="205">
        <v>0</v>
      </c>
      <c r="W8" s="205">
        <v>0</v>
      </c>
      <c r="X8" s="205">
        <v>0</v>
      </c>
      <c r="Y8" s="206">
        <f>I35</f>
        <v>4515774</v>
      </c>
      <c r="Z8" s="206">
        <f aca="true" t="shared" si="5" ref="Y8:AE10">J35</f>
        <v>4502850.91893423</v>
      </c>
      <c r="AA8" s="206">
        <f t="shared" si="5"/>
        <v>4269480</v>
      </c>
      <c r="AB8" s="206">
        <f t="shared" si="5"/>
        <v>4164655</v>
      </c>
      <c r="AC8" s="206">
        <f t="shared" si="5"/>
        <v>4044924.87</v>
      </c>
      <c r="AD8" s="206">
        <f t="shared" si="5"/>
        <v>3842745.46</v>
      </c>
      <c r="AE8" s="206">
        <f>O35</f>
        <v>3585982.4</v>
      </c>
    </row>
    <row r="9" spans="1:31" s="135" customFormat="1" ht="12.75">
      <c r="A9" s="147">
        <v>5</v>
      </c>
      <c r="B9" s="148" t="s">
        <v>122</v>
      </c>
      <c r="C9" s="149" t="s">
        <v>118</v>
      </c>
      <c r="D9" s="150">
        <v>0</v>
      </c>
      <c r="E9" s="150">
        <v>0</v>
      </c>
      <c r="F9" s="150">
        <v>0</v>
      </c>
      <c r="G9" s="150">
        <v>0</v>
      </c>
      <c r="H9" s="150">
        <v>4170.819603269752</v>
      </c>
      <c r="I9" s="150">
        <v>2995.4402976294946</v>
      </c>
      <c r="J9" s="150">
        <v>2991.6314397138917</v>
      </c>
      <c r="K9" s="294">
        <v>2989.542</v>
      </c>
      <c r="L9" s="150">
        <v>2866.6984066413866</v>
      </c>
      <c r="M9" s="150">
        <v>2447.0901489668927</v>
      </c>
      <c r="N9" s="150">
        <v>2432.9873295701304</v>
      </c>
      <c r="O9" s="150">
        <v>2367.5679277207573</v>
      </c>
      <c r="R9" s="297"/>
      <c r="S9" s="136">
        <v>2012</v>
      </c>
      <c r="T9" s="205">
        <v>0</v>
      </c>
      <c r="U9" s="205">
        <v>0</v>
      </c>
      <c r="V9" s="205">
        <v>0</v>
      </c>
      <c r="W9" s="205">
        <v>0</v>
      </c>
      <c r="X9" s="205">
        <v>0</v>
      </c>
      <c r="Y9" s="206">
        <f t="shared" si="5"/>
        <v>0</v>
      </c>
      <c r="Z9" s="206">
        <f t="shared" si="5"/>
        <v>5363496</v>
      </c>
      <c r="AA9" s="206">
        <f t="shared" si="5"/>
        <v>5801327</v>
      </c>
      <c r="AB9" s="206">
        <f t="shared" si="5"/>
        <v>5778849</v>
      </c>
      <c r="AC9" s="206">
        <f t="shared" si="5"/>
        <v>5681217</v>
      </c>
      <c r="AD9" s="206">
        <f t="shared" si="5"/>
        <v>5580103</v>
      </c>
      <c r="AE9" s="206">
        <f t="shared" si="5"/>
        <v>5264741</v>
      </c>
    </row>
    <row r="10" spans="1:32" s="135" customFormat="1" ht="12.75">
      <c r="A10" s="151" t="s">
        <v>10</v>
      </c>
      <c r="B10" s="152"/>
      <c r="C10" s="153"/>
      <c r="D10" s="154">
        <f>SUM(D5:D9)</f>
        <v>2666.1051325345247</v>
      </c>
      <c r="E10" s="154">
        <f aca="true" t="shared" si="6" ref="E10:O10">SUM(E5:E9)</f>
        <v>4053.2247239505677</v>
      </c>
      <c r="F10" s="154">
        <f t="shared" si="6"/>
        <v>6738.512883587635</v>
      </c>
      <c r="G10" s="154">
        <f t="shared" si="6"/>
        <v>13068.447039709652</v>
      </c>
      <c r="H10" s="154">
        <f t="shared" si="6"/>
        <v>14323.507136100983</v>
      </c>
      <c r="I10" s="154">
        <f t="shared" si="6"/>
        <v>13147.1962026146</v>
      </c>
      <c r="J10" s="154">
        <f t="shared" si="6"/>
        <v>12916.362572052127</v>
      </c>
      <c r="K10" s="154">
        <f t="shared" si="6"/>
        <v>12795.888669564192</v>
      </c>
      <c r="L10" s="154">
        <f t="shared" si="6"/>
        <v>12209.384812091605</v>
      </c>
      <c r="M10" s="154">
        <f t="shared" si="6"/>
        <v>10753.53454450913</v>
      </c>
      <c r="N10" s="154">
        <f t="shared" si="6"/>
        <v>10137.116709989992</v>
      </c>
      <c r="O10" s="154">
        <f t="shared" si="6"/>
        <v>8299.59471829153</v>
      </c>
      <c r="R10" s="297"/>
      <c r="S10" s="136">
        <v>2013</v>
      </c>
      <c r="T10" s="205">
        <v>0</v>
      </c>
      <c r="U10" s="205">
        <v>0</v>
      </c>
      <c r="V10" s="205">
        <v>0</v>
      </c>
      <c r="W10" s="205">
        <v>0</v>
      </c>
      <c r="X10" s="205">
        <v>0</v>
      </c>
      <c r="Y10" s="205">
        <v>0</v>
      </c>
      <c r="Z10" s="206">
        <f t="shared" si="5"/>
        <v>0</v>
      </c>
      <c r="AA10" s="206">
        <f t="shared" si="5"/>
        <v>6994578</v>
      </c>
      <c r="AB10" s="206">
        <f t="shared" si="5"/>
        <v>6908925</v>
      </c>
      <c r="AC10" s="206">
        <f t="shared" si="5"/>
        <v>6895581</v>
      </c>
      <c r="AD10" s="206">
        <f t="shared" si="5"/>
        <v>6806732</v>
      </c>
      <c r="AE10" s="206">
        <f t="shared" si="5"/>
        <v>6111099</v>
      </c>
      <c r="AF10" s="137"/>
    </row>
    <row r="11" spans="1:31" s="57" customFormat="1" ht="15">
      <c r="A11" s="155"/>
      <c r="B11" s="127"/>
      <c r="D11" s="154">
        <v>2666.10513253452</v>
      </c>
      <c r="E11" s="154">
        <v>4053.2247239505677</v>
      </c>
      <c r="F11" s="154">
        <v>6738.512883587635</v>
      </c>
      <c r="G11" s="154">
        <v>13068.447039709652</v>
      </c>
      <c r="H11" s="154">
        <v>14323.507136100983</v>
      </c>
      <c r="I11" s="154">
        <v>13147.1962026146</v>
      </c>
      <c r="J11" s="154">
        <v>12916.362572052127</v>
      </c>
      <c r="K11" s="154">
        <v>12795.202244889333</v>
      </c>
      <c r="L11" s="154">
        <v>12209.384812091605</v>
      </c>
      <c r="M11" s="154">
        <v>10753.53454450913</v>
      </c>
      <c r="N11" s="154">
        <v>10137.11670999</v>
      </c>
      <c r="O11" s="154">
        <v>8299.59471829153</v>
      </c>
      <c r="R11" s="297"/>
      <c r="S11" s="136">
        <v>2014</v>
      </c>
      <c r="T11" s="205">
        <v>0</v>
      </c>
      <c r="U11" s="205">
        <v>0</v>
      </c>
      <c r="V11" s="205">
        <v>0</v>
      </c>
      <c r="W11" s="205">
        <v>0</v>
      </c>
      <c r="X11" s="205">
        <v>0</v>
      </c>
      <c r="Y11" s="205">
        <v>0</v>
      </c>
      <c r="Z11" s="205">
        <v>0</v>
      </c>
      <c r="AA11" s="205">
        <v>0</v>
      </c>
      <c r="AB11" s="207">
        <f>L38</f>
        <v>33821560</v>
      </c>
      <c r="AC11" s="207">
        <f>M38</f>
        <v>33152890</v>
      </c>
      <c r="AD11" s="207">
        <f>N38</f>
        <v>33032221</v>
      </c>
      <c r="AE11" s="207">
        <f>O38</f>
        <v>32854801</v>
      </c>
    </row>
    <row r="12" spans="1:31" s="57" customFormat="1" ht="15">
      <c r="A12" s="126" t="s">
        <v>144</v>
      </c>
      <c r="B12" s="127"/>
      <c r="R12" s="297"/>
      <c r="S12" s="136">
        <v>2015</v>
      </c>
      <c r="T12" s="208">
        <v>0</v>
      </c>
      <c r="U12" s="208">
        <v>0</v>
      </c>
      <c r="V12" s="208">
        <v>0</v>
      </c>
      <c r="W12" s="208">
        <v>0</v>
      </c>
      <c r="X12" s="208">
        <v>0</v>
      </c>
      <c r="Y12" s="208">
        <v>0</v>
      </c>
      <c r="Z12" s="208">
        <v>0</v>
      </c>
      <c r="AA12" s="208">
        <v>0</v>
      </c>
      <c r="AB12" s="208">
        <v>0</v>
      </c>
      <c r="AC12" s="209">
        <f>M42</f>
        <v>7539722</v>
      </c>
      <c r="AD12" s="209">
        <f>N42</f>
        <v>7402101</v>
      </c>
      <c r="AE12" s="209">
        <f>O42</f>
        <v>7402101</v>
      </c>
    </row>
    <row r="13" spans="1:31" s="57" customFormat="1" ht="15.75">
      <c r="A13" s="131" t="s">
        <v>145</v>
      </c>
      <c r="B13" s="127"/>
      <c r="C13" s="156"/>
      <c r="D13" s="157"/>
      <c r="E13" s="158"/>
      <c r="F13" s="158"/>
      <c r="G13" s="158"/>
      <c r="H13" s="158"/>
      <c r="I13" s="128"/>
      <c r="J13" s="128"/>
      <c r="R13" s="297"/>
      <c r="S13" s="136">
        <v>2016</v>
      </c>
      <c r="T13" s="208">
        <v>0</v>
      </c>
      <c r="U13" s="208">
        <v>0</v>
      </c>
      <c r="V13" s="208">
        <v>0</v>
      </c>
      <c r="W13" s="208">
        <v>0</v>
      </c>
      <c r="X13" s="208">
        <v>0</v>
      </c>
      <c r="Y13" s="208">
        <v>0</v>
      </c>
      <c r="Z13" s="208">
        <v>0</v>
      </c>
      <c r="AA13" s="208">
        <v>0</v>
      </c>
      <c r="AB13" s="208">
        <v>0</v>
      </c>
      <c r="AC13" s="208">
        <v>0</v>
      </c>
      <c r="AD13" s="209">
        <f>N43</f>
        <v>7730071.71243232</v>
      </c>
      <c r="AE13" s="209">
        <f>O43</f>
        <v>7730071.71243232</v>
      </c>
    </row>
    <row r="14" spans="1:31" s="135" customFormat="1" ht="25.5">
      <c r="A14" s="133" t="s">
        <v>114</v>
      </c>
      <c r="B14" s="133" t="s">
        <v>115</v>
      </c>
      <c r="C14" s="133" t="s">
        <v>116</v>
      </c>
      <c r="D14" s="134">
        <v>2006</v>
      </c>
      <c r="E14" s="134">
        <v>2007</v>
      </c>
      <c r="F14" s="134">
        <v>2008</v>
      </c>
      <c r="G14" s="134">
        <v>2009</v>
      </c>
      <c r="H14" s="134">
        <v>2010</v>
      </c>
      <c r="I14" s="134">
        <v>2011</v>
      </c>
      <c r="J14" s="134">
        <v>2012</v>
      </c>
      <c r="K14" s="134">
        <v>2013</v>
      </c>
      <c r="L14" s="134">
        <v>2014</v>
      </c>
      <c r="M14" s="134">
        <v>2015</v>
      </c>
      <c r="N14" s="134">
        <v>2016</v>
      </c>
      <c r="O14" s="134">
        <v>2017</v>
      </c>
      <c r="R14" s="297"/>
      <c r="S14" s="136">
        <v>2017</v>
      </c>
      <c r="T14" s="208">
        <v>0</v>
      </c>
      <c r="U14" s="208">
        <v>0</v>
      </c>
      <c r="V14" s="208">
        <v>0</v>
      </c>
      <c r="W14" s="208">
        <v>0</v>
      </c>
      <c r="X14" s="208">
        <v>0</v>
      </c>
      <c r="Y14" s="208">
        <v>0</v>
      </c>
      <c r="Z14" s="208">
        <v>0</v>
      </c>
      <c r="AA14" s="208">
        <v>0</v>
      </c>
      <c r="AB14" s="208">
        <v>0</v>
      </c>
      <c r="AC14" s="208">
        <v>0</v>
      </c>
      <c r="AD14" s="208">
        <v>0</v>
      </c>
      <c r="AE14" s="210">
        <f>O44</f>
        <v>15611676.1812141</v>
      </c>
    </row>
    <row r="15" spans="1:31" s="135" customFormat="1" ht="12.75">
      <c r="A15" s="138"/>
      <c r="B15" s="138"/>
      <c r="C15" s="138"/>
      <c r="S15" s="159" t="s">
        <v>14</v>
      </c>
      <c r="T15" s="137">
        <f>SUM(T3:T14)</f>
        <v>2666105.132534525</v>
      </c>
      <c r="U15" s="137">
        <f aca="true" t="shared" si="7" ref="U15:AE15">SUM(U3:U14)</f>
        <v>4053224.723950568</v>
      </c>
      <c r="V15" s="137">
        <f t="shared" si="7"/>
        <v>6738512.883587636</v>
      </c>
      <c r="W15" s="137">
        <f t="shared" si="7"/>
        <v>13068447.039709652</v>
      </c>
      <c r="X15" s="137">
        <f t="shared" si="7"/>
        <v>14323507.136100983</v>
      </c>
      <c r="Y15" s="137">
        <f t="shared" si="7"/>
        <v>17662970.202614598</v>
      </c>
      <c r="Z15" s="137">
        <f t="shared" si="7"/>
        <v>22782709.49098636</v>
      </c>
      <c r="AA15" s="137">
        <f t="shared" si="7"/>
        <v>29861273.66956419</v>
      </c>
      <c r="AB15" s="137">
        <f t="shared" si="7"/>
        <v>62883373.812091604</v>
      </c>
      <c r="AC15" s="137">
        <f t="shared" si="7"/>
        <v>68067869.41450913</v>
      </c>
      <c r="AD15" s="137">
        <f t="shared" si="7"/>
        <v>74531090.88242231</v>
      </c>
      <c r="AE15" s="137">
        <f t="shared" si="7"/>
        <v>86860067.01193795</v>
      </c>
    </row>
    <row r="16" spans="1:15" s="135" customFormat="1" ht="12.75">
      <c r="A16" s="139">
        <v>1</v>
      </c>
      <c r="B16" s="140" t="s">
        <v>117</v>
      </c>
      <c r="C16" s="141" t="s">
        <v>118</v>
      </c>
      <c r="D16" s="142">
        <f>D5*1000</f>
        <v>2666105.132534525</v>
      </c>
      <c r="E16" s="142">
        <f aca="true" t="shared" si="8" ref="E16:O16">E5*1000</f>
        <v>2666105.132534525</v>
      </c>
      <c r="F16" s="142">
        <f t="shared" si="8"/>
        <v>2666105.132534525</v>
      </c>
      <c r="G16" s="142">
        <f t="shared" si="8"/>
        <v>2666105.132534525</v>
      </c>
      <c r="H16" s="142">
        <f t="shared" si="8"/>
        <v>463043.4271537002</v>
      </c>
      <c r="I16" s="142">
        <f t="shared" si="8"/>
        <v>463043.4271537002</v>
      </c>
      <c r="J16" s="142">
        <f t="shared" si="8"/>
        <v>423558.6695641921</v>
      </c>
      <c r="K16" s="142">
        <f t="shared" si="8"/>
        <v>423558.6695641921</v>
      </c>
      <c r="L16" s="142">
        <f t="shared" si="8"/>
        <v>397998.6294603894</v>
      </c>
      <c r="M16" s="142">
        <f t="shared" si="8"/>
        <v>397998.6294603894</v>
      </c>
      <c r="N16" s="142">
        <f t="shared" si="8"/>
        <v>376020.9150711405</v>
      </c>
      <c r="O16" s="142">
        <f t="shared" si="8"/>
        <v>376020.9150711405</v>
      </c>
    </row>
    <row r="17" spans="1:15" s="135" customFormat="1" ht="12.75">
      <c r="A17" s="143">
        <v>2</v>
      </c>
      <c r="B17" s="144" t="s">
        <v>119</v>
      </c>
      <c r="C17" s="145" t="s">
        <v>118</v>
      </c>
      <c r="D17" s="142">
        <f aca="true" t="shared" si="9" ref="D17:O20">D6*1000</f>
        <v>0</v>
      </c>
      <c r="E17" s="142">
        <f t="shared" si="9"/>
        <v>1387119.5914160432</v>
      </c>
      <c r="F17" s="142">
        <f t="shared" si="9"/>
        <v>1375496.831751832</v>
      </c>
      <c r="G17" s="142">
        <f t="shared" si="9"/>
        <v>1375496.831751832</v>
      </c>
      <c r="H17" s="142">
        <f t="shared" si="9"/>
        <v>1375496.831751832</v>
      </c>
      <c r="I17" s="142">
        <f t="shared" si="9"/>
        <v>1374565.2039057056</v>
      </c>
      <c r="J17" s="142">
        <f t="shared" si="9"/>
        <v>1319405.8582323904</v>
      </c>
      <c r="K17" s="142">
        <f t="shared" si="9"/>
        <v>1319449</v>
      </c>
      <c r="L17" s="142">
        <f t="shared" si="9"/>
        <v>1319405.8582323904</v>
      </c>
      <c r="M17" s="142">
        <f t="shared" si="9"/>
        <v>451386.6254961782</v>
      </c>
      <c r="N17" s="142">
        <f t="shared" si="9"/>
        <v>311034.56669119035</v>
      </c>
      <c r="O17" s="142">
        <f t="shared" si="9"/>
        <v>164898.26570015398</v>
      </c>
    </row>
    <row r="18" spans="1:31" s="135" customFormat="1" ht="38.25">
      <c r="A18" s="147">
        <v>3</v>
      </c>
      <c r="B18" s="148" t="s">
        <v>120</v>
      </c>
      <c r="C18" s="149" t="s">
        <v>118</v>
      </c>
      <c r="D18" s="142">
        <f t="shared" si="9"/>
        <v>0</v>
      </c>
      <c r="E18" s="142">
        <f t="shared" si="9"/>
        <v>0</v>
      </c>
      <c r="F18" s="142">
        <f t="shared" si="9"/>
        <v>2696910.9193012784</v>
      </c>
      <c r="G18" s="142">
        <f t="shared" si="9"/>
        <v>2083518.3959945007</v>
      </c>
      <c r="H18" s="142">
        <f t="shared" si="9"/>
        <v>2083518.3959945007</v>
      </c>
      <c r="I18" s="142">
        <f t="shared" si="9"/>
        <v>2083518.3959945007</v>
      </c>
      <c r="J18" s="142">
        <f t="shared" si="9"/>
        <v>1953835.1479984417</v>
      </c>
      <c r="K18" s="142">
        <f t="shared" si="9"/>
        <v>1952703</v>
      </c>
      <c r="L18" s="142">
        <f t="shared" si="9"/>
        <v>1818843.9088554673</v>
      </c>
      <c r="M18" s="142">
        <f t="shared" si="9"/>
        <v>1718921.2289633893</v>
      </c>
      <c r="N18" s="142">
        <f t="shared" si="9"/>
        <v>1280426.2461421427</v>
      </c>
      <c r="O18" s="142">
        <f t="shared" si="9"/>
        <v>950424.3816059598</v>
      </c>
      <c r="S18" s="159" t="s">
        <v>146</v>
      </c>
      <c r="T18" s="137">
        <v>0</v>
      </c>
      <c r="U18" s="137">
        <f>SUM(U3)</f>
        <v>2666105.132534525</v>
      </c>
      <c r="V18" s="137">
        <f>SUM(V3:V4)</f>
        <v>4041601.964286357</v>
      </c>
      <c r="W18" s="137">
        <f>SUM(W3:W5)</f>
        <v>6125120.360280858</v>
      </c>
      <c r="X18" s="137">
        <f>SUM(X3:X6)</f>
        <v>10152687.532831231</v>
      </c>
      <c r="Y18" s="137">
        <f>SUM(Y3:Y7)</f>
        <v>13147196.202614598</v>
      </c>
      <c r="Z18" s="137">
        <f>SUM(Z3:Z8)</f>
        <v>17419213.49098636</v>
      </c>
      <c r="AA18" s="137">
        <f>SUM(AA3:AA9)</f>
        <v>22866695.66956419</v>
      </c>
      <c r="AB18" s="137">
        <f>SUM(AB3:AB10)</f>
        <v>29061813.812091604</v>
      </c>
      <c r="AC18" s="137">
        <f>SUM(AC3:AC11)</f>
        <v>60528147.41450913</v>
      </c>
      <c r="AD18" s="137">
        <f>SUM(AD3:AD12)</f>
        <v>66801019.16998999</v>
      </c>
      <c r="AE18" s="137">
        <f>SUM(AE3:AE12)</f>
        <v>63518319.11829153</v>
      </c>
    </row>
    <row r="19" spans="1:31" s="135" customFormat="1" ht="76.5">
      <c r="A19" s="143">
        <v>4</v>
      </c>
      <c r="B19" s="144" t="s">
        <v>121</v>
      </c>
      <c r="C19" s="145" t="s">
        <v>118</v>
      </c>
      <c r="D19" s="142">
        <f t="shared" si="9"/>
        <v>0</v>
      </c>
      <c r="E19" s="142">
        <f t="shared" si="9"/>
        <v>0</v>
      </c>
      <c r="F19" s="142">
        <f t="shared" si="9"/>
        <v>0</v>
      </c>
      <c r="G19" s="142">
        <f t="shared" si="9"/>
        <v>6943326.6794287935</v>
      </c>
      <c r="H19" s="142">
        <f t="shared" si="9"/>
        <v>6230628.877931198</v>
      </c>
      <c r="I19" s="142">
        <f t="shared" si="9"/>
        <v>6230628.877931198</v>
      </c>
      <c r="J19" s="142">
        <f t="shared" si="9"/>
        <v>6227931.456543212</v>
      </c>
      <c r="K19" s="142">
        <f t="shared" si="9"/>
        <v>6110636</v>
      </c>
      <c r="L19" s="142">
        <f t="shared" si="9"/>
        <v>5806438.008901972</v>
      </c>
      <c r="M19" s="142">
        <f t="shared" si="9"/>
        <v>5738137.91162228</v>
      </c>
      <c r="N19" s="142">
        <f t="shared" si="9"/>
        <v>5736647.652515388</v>
      </c>
      <c r="O19" s="142">
        <f t="shared" si="9"/>
        <v>4440683.228193517</v>
      </c>
      <c r="S19" s="278" t="s">
        <v>192</v>
      </c>
      <c r="T19" s="137">
        <f>T3</f>
        <v>2666105.132534525</v>
      </c>
      <c r="U19" s="137">
        <f>U4</f>
        <v>1387119.5914160432</v>
      </c>
      <c r="V19" s="137">
        <f>V5</f>
        <v>2696910.9193012784</v>
      </c>
      <c r="W19" s="137">
        <f>W6</f>
        <v>6943326.6794287935</v>
      </c>
      <c r="X19" s="137">
        <f>X7</f>
        <v>4170819.6032697526</v>
      </c>
      <c r="Y19" s="137">
        <f>Y8+Y9</f>
        <v>4515774</v>
      </c>
      <c r="Z19" s="137">
        <f>Z9+Z10</f>
        <v>5363496</v>
      </c>
      <c r="AA19" s="137">
        <f>AA10</f>
        <v>6994578</v>
      </c>
      <c r="AB19" s="137">
        <f>AB11</f>
        <v>33821560</v>
      </c>
      <c r="AC19" s="137">
        <f>AC12</f>
        <v>7539722</v>
      </c>
      <c r="AD19" s="137">
        <v>0</v>
      </c>
      <c r="AE19" s="137">
        <v>0</v>
      </c>
    </row>
    <row r="20" spans="1:31" s="135" customFormat="1" ht="12.75">
      <c r="A20" s="147">
        <v>5</v>
      </c>
      <c r="B20" s="148" t="s">
        <v>122</v>
      </c>
      <c r="C20" s="149" t="s">
        <v>118</v>
      </c>
      <c r="D20" s="142">
        <f t="shared" si="9"/>
        <v>0</v>
      </c>
      <c r="E20" s="142">
        <f t="shared" si="9"/>
        <v>0</v>
      </c>
      <c r="F20" s="142">
        <f t="shared" si="9"/>
        <v>0</v>
      </c>
      <c r="G20" s="142">
        <f t="shared" si="9"/>
        <v>0</v>
      </c>
      <c r="H20" s="142">
        <f t="shared" si="9"/>
        <v>4170819.6032697526</v>
      </c>
      <c r="I20" s="142">
        <f t="shared" si="9"/>
        <v>2995440.2976294947</v>
      </c>
      <c r="J20" s="142">
        <f t="shared" si="9"/>
        <v>2991631.4397138916</v>
      </c>
      <c r="K20" s="142">
        <f t="shared" si="9"/>
        <v>2989542</v>
      </c>
      <c r="L20" s="142">
        <f t="shared" si="9"/>
        <v>2866698.4066413864</v>
      </c>
      <c r="M20" s="142">
        <f t="shared" si="9"/>
        <v>2447090.1489668926</v>
      </c>
      <c r="N20" s="142">
        <f t="shared" si="9"/>
        <v>2432987.3295701304</v>
      </c>
      <c r="O20" s="142">
        <f t="shared" si="9"/>
        <v>2367567.927720757</v>
      </c>
      <c r="S20" s="160"/>
      <c r="T20" s="161">
        <f>SUM(T18:T19)</f>
        <v>2666105.132534525</v>
      </c>
      <c r="U20" s="137">
        <f aca="true" t="shared" si="10" ref="U20:AB20">SUM(U18:U19)</f>
        <v>4053224.723950568</v>
      </c>
      <c r="V20" s="137">
        <f t="shared" si="10"/>
        <v>6738512.883587636</v>
      </c>
      <c r="W20" s="137">
        <f t="shared" si="10"/>
        <v>13068447.039709652</v>
      </c>
      <c r="X20" s="137">
        <f t="shared" si="10"/>
        <v>14323507.136100983</v>
      </c>
      <c r="Y20" s="137">
        <f t="shared" si="10"/>
        <v>17662970.202614598</v>
      </c>
      <c r="Z20" s="137">
        <f t="shared" si="10"/>
        <v>22782709.49098636</v>
      </c>
      <c r="AA20" s="137">
        <f t="shared" si="10"/>
        <v>29861273.66956419</v>
      </c>
      <c r="AB20" s="137">
        <f t="shared" si="10"/>
        <v>62883373.812091604</v>
      </c>
      <c r="AC20" s="137">
        <f>SUM(AC18:AC19)</f>
        <v>68067869.41450913</v>
      </c>
      <c r="AD20" s="137">
        <f>SUM(AD18:AD19)</f>
        <v>66801019.16998999</v>
      </c>
      <c r="AE20" s="137">
        <f>SUM(AE18:AE19)</f>
        <v>63518319.11829153</v>
      </c>
    </row>
    <row r="21" spans="1:31" s="135" customFormat="1" ht="12.75">
      <c r="A21" s="151" t="s">
        <v>10</v>
      </c>
      <c r="B21" s="152"/>
      <c r="C21" s="153"/>
      <c r="D21" s="154">
        <f aca="true" t="shared" si="11" ref="D21:N21">SUM(D16:D20)</f>
        <v>2666105.132534525</v>
      </c>
      <c r="E21" s="154">
        <f t="shared" si="11"/>
        <v>4053224.723950568</v>
      </c>
      <c r="F21" s="154">
        <f>SUM(F16:F20)</f>
        <v>6738512.883587636</v>
      </c>
      <c r="G21" s="154">
        <f t="shared" si="11"/>
        <v>13068447.039709652</v>
      </c>
      <c r="H21" s="154">
        <f t="shared" si="11"/>
        <v>14323507.136100983</v>
      </c>
      <c r="I21" s="154">
        <f t="shared" si="11"/>
        <v>13147196.202614598</v>
      </c>
      <c r="J21" s="154">
        <f t="shared" si="11"/>
        <v>12916362.572052129</v>
      </c>
      <c r="K21" s="154">
        <f t="shared" si="11"/>
        <v>12795888.669564191</v>
      </c>
      <c r="L21" s="154">
        <f t="shared" si="11"/>
        <v>12209384.812091606</v>
      </c>
      <c r="M21" s="154">
        <f>SUM(M16:M20)</f>
        <v>10753534.54450913</v>
      </c>
      <c r="N21" s="154">
        <f t="shared" si="11"/>
        <v>10137116.709989991</v>
      </c>
      <c r="O21" s="154">
        <f>SUM(O16:O20)</f>
        <v>8299594.7182915285</v>
      </c>
      <c r="S21" s="162" t="s">
        <v>147</v>
      </c>
      <c r="T21" s="137">
        <f>T20-T15</f>
        <v>0</v>
      </c>
      <c r="U21" s="137">
        <f aca="true" t="shared" si="12" ref="U21:AD21">U20-U15</f>
        <v>0</v>
      </c>
      <c r="V21" s="137">
        <f t="shared" si="12"/>
        <v>0</v>
      </c>
      <c r="W21" s="137">
        <f t="shared" si="12"/>
        <v>0</v>
      </c>
      <c r="X21" s="137">
        <f t="shared" si="12"/>
        <v>0</v>
      </c>
      <c r="Y21" s="137">
        <f t="shared" si="12"/>
        <v>0</v>
      </c>
      <c r="Z21" s="137">
        <f t="shared" si="12"/>
        <v>0</v>
      </c>
      <c r="AA21" s="137">
        <f t="shared" si="12"/>
        <v>0</v>
      </c>
      <c r="AB21" s="137">
        <f t="shared" si="12"/>
        <v>0</v>
      </c>
      <c r="AC21" s="137">
        <f t="shared" si="12"/>
        <v>0</v>
      </c>
      <c r="AD21" s="137">
        <f t="shared" si="12"/>
        <v>-7730071.712432325</v>
      </c>
      <c r="AE21" s="137">
        <f>AE20-AE15</f>
        <v>-23341747.89364642</v>
      </c>
    </row>
    <row r="22" spans="1:31" s="57" customFormat="1" ht="38.25">
      <c r="A22" s="155"/>
      <c r="B22" s="127"/>
      <c r="S22" s="163" t="s">
        <v>148</v>
      </c>
      <c r="T22" s="161">
        <f>T19/2</f>
        <v>1333052.5662672624</v>
      </c>
      <c r="U22" s="161">
        <f aca="true" t="shared" si="13" ref="U22:AE22">U19/2</f>
        <v>693559.7957080216</v>
      </c>
      <c r="V22" s="161">
        <f t="shared" si="13"/>
        <v>1348455.4596506392</v>
      </c>
      <c r="W22" s="161">
        <f t="shared" si="13"/>
        <v>3471663.3397143967</v>
      </c>
      <c r="X22" s="161">
        <f t="shared" si="13"/>
        <v>2085409.8016348763</v>
      </c>
      <c r="Y22" s="161">
        <f t="shared" si="13"/>
        <v>2257887</v>
      </c>
      <c r="Z22" s="161">
        <f t="shared" si="13"/>
        <v>2681748</v>
      </c>
      <c r="AA22" s="161">
        <f t="shared" si="13"/>
        <v>3497289</v>
      </c>
      <c r="AB22" s="161">
        <f t="shared" si="13"/>
        <v>16910780</v>
      </c>
      <c r="AC22" s="161">
        <f t="shared" si="13"/>
        <v>3769861</v>
      </c>
      <c r="AD22" s="161">
        <f t="shared" si="13"/>
        <v>0</v>
      </c>
      <c r="AE22" s="161">
        <f t="shared" si="13"/>
        <v>0</v>
      </c>
    </row>
    <row r="23" spans="1:31" s="57" customFormat="1" ht="25.5">
      <c r="A23" s="126" t="s">
        <v>149</v>
      </c>
      <c r="B23" s="127"/>
      <c r="S23" s="163" t="s">
        <v>150</v>
      </c>
      <c r="T23" s="277">
        <f>T22+T18</f>
        <v>1333052.5662672624</v>
      </c>
      <c r="U23" s="277">
        <f aca="true" t="shared" si="14" ref="U23:AC23">U22+U18</f>
        <v>3359664.9282425465</v>
      </c>
      <c r="V23" s="277">
        <f t="shared" si="14"/>
        <v>5390057.423936997</v>
      </c>
      <c r="W23" s="277">
        <f t="shared" si="14"/>
        <v>9596783.699995255</v>
      </c>
      <c r="X23" s="277">
        <f t="shared" si="14"/>
        <v>12238097.334466107</v>
      </c>
      <c r="Y23" s="277">
        <f t="shared" si="14"/>
        <v>15405083.202614598</v>
      </c>
      <c r="Z23" s="277">
        <f t="shared" si="14"/>
        <v>20100961.49098636</v>
      </c>
      <c r="AA23" s="277">
        <f t="shared" si="14"/>
        <v>26363984.66956419</v>
      </c>
      <c r="AB23" s="277">
        <f t="shared" si="14"/>
        <v>45972593.812091604</v>
      </c>
      <c r="AC23" s="277">
        <f t="shared" si="14"/>
        <v>64298008.41450913</v>
      </c>
      <c r="AD23" s="277">
        <f>AD22+AD18</f>
        <v>66801019.16998999</v>
      </c>
      <c r="AE23" s="277">
        <f>AE22+AE18</f>
        <v>63518319.11829153</v>
      </c>
    </row>
    <row r="24" spans="1:19" s="57" customFormat="1" ht="15.75" thickBot="1">
      <c r="A24" s="155"/>
      <c r="I24" s="164" t="s">
        <v>151</v>
      </c>
      <c r="K24" s="165">
        <v>48920000</v>
      </c>
      <c r="S24" s="130"/>
    </row>
    <row r="25" spans="1:13" ht="15.75" thickBot="1">
      <c r="A25" s="80"/>
      <c r="G25" s="80"/>
      <c r="H25" s="80"/>
      <c r="I25" s="298"/>
      <c r="J25" s="299"/>
      <c r="K25" s="299"/>
      <c r="L25" s="299"/>
      <c r="M25" s="300"/>
    </row>
    <row r="26" spans="1:13" ht="15.75" thickBot="1">
      <c r="A26" s="80"/>
      <c r="G26" s="166" t="s">
        <v>115</v>
      </c>
      <c r="H26" s="167" t="s">
        <v>116</v>
      </c>
      <c r="I26" s="86">
        <v>2011</v>
      </c>
      <c r="J26" s="87">
        <v>2012</v>
      </c>
      <c r="K26" s="87">
        <v>2013</v>
      </c>
      <c r="L26" s="87">
        <v>2014</v>
      </c>
      <c r="M26" s="88" t="s">
        <v>10</v>
      </c>
    </row>
    <row r="27" spans="7:13" ht="15">
      <c r="G27" s="168" t="s">
        <v>123</v>
      </c>
      <c r="H27" s="169" t="s">
        <v>118</v>
      </c>
      <c r="I27" s="170">
        <v>4515774</v>
      </c>
      <c r="J27" s="171">
        <v>4502850.91893423</v>
      </c>
      <c r="K27" s="171">
        <v>4498762.09161489</v>
      </c>
      <c r="L27" s="171">
        <v>4394084.261384869</v>
      </c>
      <c r="M27" s="172">
        <f>SUM(I27:L27)</f>
        <v>17911471.271933988</v>
      </c>
    </row>
    <row r="28" spans="1:13" ht="15">
      <c r="A28" s="17"/>
      <c r="G28" s="89" t="s">
        <v>124</v>
      </c>
      <c r="H28" s="173" t="s">
        <v>152</v>
      </c>
      <c r="I28" s="84"/>
      <c r="J28" s="82">
        <v>5363496</v>
      </c>
      <c r="K28" s="174">
        <f>J28</f>
        <v>5363496</v>
      </c>
      <c r="L28" s="174">
        <f>K28</f>
        <v>5363496</v>
      </c>
      <c r="M28" s="83">
        <f>SUM(I28:L28)</f>
        <v>16090488</v>
      </c>
    </row>
    <row r="29" spans="1:13" ht="15">
      <c r="A29" s="81"/>
      <c r="G29" s="89" t="s">
        <v>126</v>
      </c>
      <c r="H29" s="173" t="s">
        <v>152</v>
      </c>
      <c r="I29" s="84"/>
      <c r="J29" s="175"/>
      <c r="K29" s="82">
        <v>5079363</v>
      </c>
      <c r="L29" s="174">
        <f>K29</f>
        <v>5079363</v>
      </c>
      <c r="M29" s="83">
        <f>SUM(J29:L29)</f>
        <v>10158726</v>
      </c>
    </row>
    <row r="30" spans="1:13" ht="15">
      <c r="A30" s="81"/>
      <c r="G30" s="89" t="s">
        <v>127</v>
      </c>
      <c r="H30" s="91" t="s">
        <v>125</v>
      </c>
      <c r="I30" s="84"/>
      <c r="J30" s="175"/>
      <c r="K30" s="175"/>
      <c r="L30" s="82">
        <v>35997464</v>
      </c>
      <c r="M30" s="83">
        <f>SUM(I30:L30)</f>
        <v>35997464</v>
      </c>
    </row>
    <row r="31" spans="1:13" ht="15.75" thickBot="1">
      <c r="A31" s="81"/>
      <c r="G31" s="90"/>
      <c r="H31" s="92" t="s">
        <v>153</v>
      </c>
      <c r="I31" s="85">
        <f>SUM(I27:I30)</f>
        <v>4515774</v>
      </c>
      <c r="J31" s="85">
        <f>SUM(J27:J30)</f>
        <v>9866346.91893423</v>
      </c>
      <c r="K31" s="85">
        <f>SUM(K27:K30)</f>
        <v>14941621.09161489</v>
      </c>
      <c r="L31" s="85">
        <f>SUM(L27:L30)</f>
        <v>50834407.26138487</v>
      </c>
      <c r="M31" s="176">
        <f>SUM(M27:M30)</f>
        <v>80158149.27193399</v>
      </c>
    </row>
    <row r="32" ht="15">
      <c r="A32" s="81"/>
    </row>
    <row r="33" ht="15.75" thickBot="1">
      <c r="A33" s="177" t="s">
        <v>154</v>
      </c>
    </row>
    <row r="34" spans="1:15" ht="15.75" thickBot="1">
      <c r="A34" s="81"/>
      <c r="G34" s="166" t="s">
        <v>115</v>
      </c>
      <c r="H34" s="167" t="s">
        <v>116</v>
      </c>
      <c r="I34" s="86">
        <v>2011</v>
      </c>
      <c r="J34" s="87">
        <v>2012</v>
      </c>
      <c r="K34" s="87">
        <v>2013</v>
      </c>
      <c r="L34" s="87">
        <v>2014</v>
      </c>
      <c r="M34" s="87">
        <v>2015</v>
      </c>
      <c r="N34" s="87">
        <v>2016</v>
      </c>
      <c r="O34" s="87">
        <v>2017</v>
      </c>
    </row>
    <row r="35" spans="1:15" ht="15">
      <c r="A35" s="81"/>
      <c r="G35" s="168" t="s">
        <v>123</v>
      </c>
      <c r="H35" s="169" t="s">
        <v>118</v>
      </c>
      <c r="I35" s="170">
        <v>4515774</v>
      </c>
      <c r="J35" s="171">
        <v>4502850.91893423</v>
      </c>
      <c r="K35" s="171">
        <v>4269480</v>
      </c>
      <c r="L35" s="171">
        <v>4164655</v>
      </c>
      <c r="M35" s="178">
        <v>4044924.87</v>
      </c>
      <c r="N35" s="178">
        <v>3842745.46</v>
      </c>
      <c r="O35" s="178">
        <v>3585982.4</v>
      </c>
    </row>
    <row r="36" spans="1:15" ht="15">
      <c r="A36" s="81"/>
      <c r="G36" s="89" t="s">
        <v>124</v>
      </c>
      <c r="H36" s="173" t="s">
        <v>152</v>
      </c>
      <c r="I36" s="84"/>
      <c r="J36" s="82">
        <v>5363496</v>
      </c>
      <c r="K36" s="174">
        <v>5801327</v>
      </c>
      <c r="L36" s="174">
        <v>5778849</v>
      </c>
      <c r="M36" s="174">
        <v>5681217</v>
      </c>
      <c r="N36" s="174">
        <v>5580103</v>
      </c>
      <c r="O36" s="174">
        <v>5264741</v>
      </c>
    </row>
    <row r="37" spans="7:15" ht="15">
      <c r="G37" s="89" t="s">
        <v>126</v>
      </c>
      <c r="H37" s="173" t="s">
        <v>152</v>
      </c>
      <c r="I37" s="84"/>
      <c r="J37" s="175"/>
      <c r="K37" s="82">
        <v>6994578</v>
      </c>
      <c r="L37" s="174">
        <v>6908925</v>
      </c>
      <c r="M37" s="174">
        <v>6895581</v>
      </c>
      <c r="N37" s="174">
        <v>6806732</v>
      </c>
      <c r="O37" s="174">
        <v>6111099</v>
      </c>
    </row>
    <row r="38" spans="7:15" ht="15">
      <c r="G38" s="89" t="s">
        <v>127</v>
      </c>
      <c r="H38" s="91" t="s">
        <v>125</v>
      </c>
      <c r="I38" s="84"/>
      <c r="J38" s="175"/>
      <c r="K38" s="175"/>
      <c r="L38" s="202">
        <v>33821560</v>
      </c>
      <c r="M38" s="174">
        <v>33152890</v>
      </c>
      <c r="N38" s="174">
        <v>33032221</v>
      </c>
      <c r="O38" s="174">
        <v>32854801</v>
      </c>
    </row>
    <row r="39" spans="7:15" ht="15.75" thickBot="1">
      <c r="G39" s="90"/>
      <c r="H39" s="92" t="s">
        <v>153</v>
      </c>
      <c r="I39" s="85">
        <f aca="true" t="shared" si="15" ref="I39:O39">SUM(I35:I38)</f>
        <v>4515774</v>
      </c>
      <c r="J39" s="85">
        <f t="shared" si="15"/>
        <v>9866346.91893423</v>
      </c>
      <c r="K39" s="85">
        <f t="shared" si="15"/>
        <v>17065385</v>
      </c>
      <c r="L39" s="85">
        <f t="shared" si="15"/>
        <v>50673989</v>
      </c>
      <c r="M39" s="85">
        <f t="shared" si="15"/>
        <v>49774612.870000005</v>
      </c>
      <c r="N39" s="85">
        <f t="shared" si="15"/>
        <v>49261801.46</v>
      </c>
      <c r="O39" s="85">
        <f t="shared" si="15"/>
        <v>47816623.4</v>
      </c>
    </row>
    <row r="40" ht="12.75">
      <c r="A40" s="179" t="s">
        <v>155</v>
      </c>
    </row>
    <row r="41" spans="12:15" ht="25.5">
      <c r="L41" s="180" t="s">
        <v>143</v>
      </c>
      <c r="M41" s="181">
        <v>2015</v>
      </c>
      <c r="N41" s="181">
        <v>2016</v>
      </c>
      <c r="O41" s="181">
        <v>2017</v>
      </c>
    </row>
    <row r="42" spans="12:15" ht="12.75">
      <c r="L42" s="181">
        <v>2015</v>
      </c>
      <c r="M42" s="182">
        <v>7539722</v>
      </c>
      <c r="N42" s="183">
        <v>7402101</v>
      </c>
      <c r="O42" s="183">
        <f>N42</f>
        <v>7402101</v>
      </c>
    </row>
    <row r="43" spans="12:15" ht="12.75">
      <c r="L43" s="181">
        <v>2016</v>
      </c>
      <c r="M43" s="181"/>
      <c r="N43" s="182">
        <f>7730.07171243232*1000</f>
        <v>7730071.71243232</v>
      </c>
      <c r="O43" s="183">
        <f>N43</f>
        <v>7730071.71243232</v>
      </c>
    </row>
    <row r="44" spans="12:15" ht="12.75">
      <c r="L44" s="181">
        <v>2017</v>
      </c>
      <c r="M44" s="181"/>
      <c r="N44" s="181"/>
      <c r="O44" s="182">
        <f>15611.6761812141*1000</f>
        <v>15611676.1812141</v>
      </c>
    </row>
    <row r="45" ht="12.75"/>
    <row r="46" ht="12.75"/>
    <row r="47" ht="12.75">
      <c r="A47" t="s">
        <v>178</v>
      </c>
    </row>
    <row r="48" ht="12.75">
      <c r="A48" t="s">
        <v>179</v>
      </c>
    </row>
    <row r="49" ht="12.75">
      <c r="D49" s="233"/>
    </row>
    <row r="50" spans="2:4" ht="12.75">
      <c r="B50" t="s">
        <v>180</v>
      </c>
      <c r="C50" s="184">
        <v>1829936</v>
      </c>
      <c r="D50" s="234">
        <f>C50/$C$53</f>
        <v>0.05410560600989428</v>
      </c>
    </row>
    <row r="51" spans="2:4" ht="12.75">
      <c r="B51" t="s">
        <v>181</v>
      </c>
      <c r="C51" s="184">
        <v>1753572</v>
      </c>
      <c r="D51" s="234">
        <f>C51/$C$53</f>
        <v>0.0518477562832702</v>
      </c>
    </row>
    <row r="52" spans="2:4" ht="12.75">
      <c r="B52" t="s">
        <v>182</v>
      </c>
      <c r="C52" s="184">
        <v>30238052</v>
      </c>
      <c r="D52" s="234">
        <f>C52/$C$53</f>
        <v>0.8940466377068356</v>
      </c>
    </row>
    <row r="53" ht="12.75">
      <c r="C53" s="196">
        <f>SUM(C50:C52)</f>
        <v>33821560</v>
      </c>
    </row>
  </sheetData>
  <sheetProtection/>
  <mergeCells count="3">
    <mergeCell ref="T1:AE1"/>
    <mergeCell ref="R3:R14"/>
    <mergeCell ref="I25:M2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80"/>
  <sheetViews>
    <sheetView zoomScalePageLayoutView="0" workbookViewId="0" topLeftCell="F1">
      <selection activeCell="AA26" sqref="AA26"/>
    </sheetView>
  </sheetViews>
  <sheetFormatPr defaultColWidth="9.140625" defaultRowHeight="12.75"/>
  <cols>
    <col min="2" max="2" width="3.8515625" style="0" bestFit="1" customWidth="1"/>
    <col min="26" max="26" width="4.140625" style="29" customWidth="1"/>
  </cols>
  <sheetData>
    <row r="1" spans="1:30" ht="12.75">
      <c r="A1" s="101" t="s">
        <v>82</v>
      </c>
      <c r="B1" s="101"/>
      <c r="C1" s="102"/>
      <c r="D1" s="102"/>
      <c r="E1" s="301" t="s">
        <v>83</v>
      </c>
      <c r="F1" s="301"/>
      <c r="G1" s="101" t="s">
        <v>84</v>
      </c>
      <c r="H1" s="101"/>
      <c r="I1" s="101"/>
      <c r="J1" s="101"/>
      <c r="K1" s="201" t="s">
        <v>136</v>
      </c>
      <c r="L1" s="102"/>
      <c r="M1" s="102"/>
      <c r="N1" s="102"/>
      <c r="O1" s="102"/>
      <c r="P1" s="102"/>
      <c r="Q1" s="102"/>
      <c r="R1" s="102"/>
      <c r="S1" s="102"/>
      <c r="T1" s="102"/>
      <c r="U1" s="102"/>
      <c r="V1" s="102"/>
      <c r="W1" s="102"/>
      <c r="X1" s="102"/>
      <c r="Y1" s="102"/>
      <c r="Z1" s="103"/>
      <c r="AA1" s="102"/>
      <c r="AB1" s="102"/>
      <c r="AC1" s="102"/>
      <c r="AD1" s="102"/>
    </row>
    <row r="2" spans="1:30" ht="12.75">
      <c r="A2" s="104"/>
      <c r="B2" s="104"/>
      <c r="C2" s="102"/>
      <c r="D2" s="102"/>
      <c r="E2" s="301" t="s">
        <v>83</v>
      </c>
      <c r="F2" s="301"/>
      <c r="G2" s="101" t="s">
        <v>137</v>
      </c>
      <c r="H2" s="102"/>
      <c r="I2" s="102"/>
      <c r="J2" s="102"/>
      <c r="K2" s="201" t="s">
        <v>138</v>
      </c>
      <c r="L2" s="102"/>
      <c r="M2" s="102"/>
      <c r="N2" s="102"/>
      <c r="O2" s="102"/>
      <c r="P2" s="102"/>
      <c r="Q2" s="102"/>
      <c r="R2" s="102"/>
      <c r="S2" s="102"/>
      <c r="T2" s="102"/>
      <c r="U2" s="102"/>
      <c r="V2" s="102"/>
      <c r="W2" s="102"/>
      <c r="X2" s="102"/>
      <c r="Y2" s="102"/>
      <c r="Z2" s="103"/>
      <c r="AA2" s="102"/>
      <c r="AB2" s="102"/>
      <c r="AC2" s="102"/>
      <c r="AD2" s="102"/>
    </row>
    <row r="3" spans="1:30" ht="12.75">
      <c r="A3" s="105" t="s">
        <v>85</v>
      </c>
      <c r="B3" s="105"/>
      <c r="C3" s="105"/>
      <c r="D3" s="105"/>
      <c r="E3" s="105"/>
      <c r="F3" s="74"/>
      <c r="G3" s="74"/>
      <c r="H3" s="102"/>
      <c r="I3" s="102"/>
      <c r="J3" s="102"/>
      <c r="K3" s="102"/>
      <c r="L3" s="102"/>
      <c r="M3" s="102"/>
      <c r="N3" s="102"/>
      <c r="O3" s="102"/>
      <c r="P3" s="102"/>
      <c r="Q3" s="102"/>
      <c r="R3" s="102"/>
      <c r="S3" s="102"/>
      <c r="T3" s="102"/>
      <c r="U3" s="102"/>
      <c r="V3" s="102"/>
      <c r="W3" s="102"/>
      <c r="X3" s="102"/>
      <c r="Y3" s="102"/>
      <c r="Z3" s="103"/>
      <c r="AA3" s="102"/>
      <c r="AB3" s="102"/>
      <c r="AC3" s="102"/>
      <c r="AD3" s="102"/>
    </row>
    <row r="4" spans="1:30" ht="12.75">
      <c r="A4" s="106"/>
      <c r="B4" s="106"/>
      <c r="C4" s="106"/>
      <c r="D4" s="106"/>
      <c r="E4" s="106"/>
      <c r="F4" s="75"/>
      <c r="G4" s="75"/>
      <c r="H4" s="102"/>
      <c r="I4" s="102"/>
      <c r="J4" s="102"/>
      <c r="K4" s="102"/>
      <c r="L4" s="102"/>
      <c r="M4" s="102"/>
      <c r="N4" s="102"/>
      <c r="O4" s="102"/>
      <c r="P4" s="102"/>
      <c r="Q4" s="102"/>
      <c r="R4" s="102"/>
      <c r="S4" s="102"/>
      <c r="T4" s="102"/>
      <c r="U4" s="102"/>
      <c r="V4" s="102"/>
      <c r="W4" s="102"/>
      <c r="X4" s="102"/>
      <c r="Y4" s="102"/>
      <c r="Z4" s="103"/>
      <c r="AA4" s="102"/>
      <c r="AB4" s="102"/>
      <c r="AC4" s="102"/>
      <c r="AD4" s="102"/>
    </row>
    <row r="5" spans="1:30" ht="12.75">
      <c r="A5" s="107" t="s">
        <v>86</v>
      </c>
      <c r="B5" s="107" t="s">
        <v>139</v>
      </c>
      <c r="C5" s="107">
        <v>1993</v>
      </c>
      <c r="D5" s="107">
        <v>1994</v>
      </c>
      <c r="E5" s="107">
        <v>1995</v>
      </c>
      <c r="F5" s="107">
        <v>1996</v>
      </c>
      <c r="G5" s="107">
        <v>1997</v>
      </c>
      <c r="H5" s="107">
        <v>1998</v>
      </c>
      <c r="I5" s="107">
        <v>1999</v>
      </c>
      <c r="J5" s="107">
        <v>2000</v>
      </c>
      <c r="K5" s="107">
        <v>2001</v>
      </c>
      <c r="L5" s="107">
        <v>2002</v>
      </c>
      <c r="M5" s="108">
        <v>2003</v>
      </c>
      <c r="N5" s="108">
        <v>2004</v>
      </c>
      <c r="O5" s="108">
        <v>2005</v>
      </c>
      <c r="P5" s="109">
        <v>2006</v>
      </c>
      <c r="Q5" s="109">
        <v>2007</v>
      </c>
      <c r="R5" s="109">
        <v>2008</v>
      </c>
      <c r="S5" s="109">
        <v>2009</v>
      </c>
      <c r="T5" s="109">
        <v>2010</v>
      </c>
      <c r="U5" s="109">
        <v>2011</v>
      </c>
      <c r="V5" s="110">
        <v>2012</v>
      </c>
      <c r="W5" s="110">
        <v>2013</v>
      </c>
      <c r="X5" s="110">
        <v>2014</v>
      </c>
      <c r="Y5" s="110">
        <v>2015</v>
      </c>
      <c r="Z5" s="111"/>
      <c r="AA5" s="112" t="s">
        <v>198</v>
      </c>
      <c r="AB5" s="112" t="s">
        <v>87</v>
      </c>
      <c r="AC5" s="107"/>
      <c r="AD5" s="107"/>
    </row>
    <row r="6" spans="1:30" ht="12.75">
      <c r="A6" s="106"/>
      <c r="B6" s="106"/>
      <c r="C6" s="106"/>
      <c r="D6" s="106"/>
      <c r="E6" s="106"/>
      <c r="F6" s="74"/>
      <c r="G6" s="74"/>
      <c r="H6" s="102"/>
      <c r="I6" s="102"/>
      <c r="J6" s="102"/>
      <c r="K6" s="102"/>
      <c r="L6" s="102"/>
      <c r="M6" s="103"/>
      <c r="N6" s="103"/>
      <c r="O6" s="103"/>
      <c r="P6" s="113"/>
      <c r="Q6" s="113"/>
      <c r="R6" s="113"/>
      <c r="S6" s="113"/>
      <c r="T6" s="113"/>
      <c r="U6" s="113"/>
      <c r="V6" s="113"/>
      <c r="W6" s="113"/>
      <c r="X6" s="113"/>
      <c r="Y6" s="113"/>
      <c r="Z6" s="103"/>
      <c r="AA6" s="102"/>
      <c r="AB6" s="102"/>
      <c r="AC6" s="102"/>
      <c r="AD6" s="102"/>
    </row>
    <row r="7" spans="1:30" ht="12.75">
      <c r="A7" s="114"/>
      <c r="B7" s="114"/>
      <c r="C7" s="114"/>
      <c r="D7" s="114"/>
      <c r="E7" s="114"/>
      <c r="F7" s="74"/>
      <c r="G7" s="74"/>
      <c r="H7" s="74"/>
      <c r="I7" s="74"/>
      <c r="J7" s="102"/>
      <c r="K7" s="102"/>
      <c r="L7" s="102"/>
      <c r="M7" s="103"/>
      <c r="N7" s="103"/>
      <c r="O7" s="103"/>
      <c r="P7" s="113"/>
      <c r="Q7" s="113"/>
      <c r="R7" s="113"/>
      <c r="S7" s="113"/>
      <c r="T7" s="113"/>
      <c r="U7" s="113"/>
      <c r="V7" s="113"/>
      <c r="W7" s="113"/>
      <c r="X7" s="113"/>
      <c r="Y7" s="113"/>
      <c r="Z7" s="103"/>
      <c r="AA7" s="102"/>
      <c r="AB7" s="102"/>
      <c r="AC7" s="102"/>
      <c r="AD7" s="102"/>
    </row>
    <row r="8" spans="1:30" ht="12.75">
      <c r="A8" s="114" t="s">
        <v>88</v>
      </c>
      <c r="B8" s="114">
        <v>1</v>
      </c>
      <c r="C8" s="115">
        <v>635.1</v>
      </c>
      <c r="D8" s="115">
        <v>941.4</v>
      </c>
      <c r="E8" s="115">
        <v>653.2</v>
      </c>
      <c r="F8" s="115">
        <v>765.2</v>
      </c>
      <c r="G8" s="115">
        <v>756.6</v>
      </c>
      <c r="H8" s="115">
        <v>624.8</v>
      </c>
      <c r="I8" s="115">
        <v>749.8</v>
      </c>
      <c r="J8" s="115">
        <v>738.9</v>
      </c>
      <c r="K8" s="115">
        <v>684.9</v>
      </c>
      <c r="L8" s="115">
        <v>572.2</v>
      </c>
      <c r="M8" s="116">
        <v>814.5</v>
      </c>
      <c r="N8" s="116">
        <v>849.1</v>
      </c>
      <c r="O8" s="116">
        <v>770</v>
      </c>
      <c r="P8" s="117">
        <v>551.8</v>
      </c>
      <c r="Q8" s="117">
        <v>647.1</v>
      </c>
      <c r="R8" s="117">
        <v>623.5</v>
      </c>
      <c r="S8" s="117">
        <v>830.2</v>
      </c>
      <c r="T8" s="117">
        <v>720</v>
      </c>
      <c r="U8" s="117">
        <v>775.3</v>
      </c>
      <c r="V8" s="117">
        <v>610.8000000000001</v>
      </c>
      <c r="W8" s="117">
        <v>624.4000000000001</v>
      </c>
      <c r="X8" s="117">
        <v>825.9000000000001</v>
      </c>
      <c r="Y8" s="117">
        <v>792.3999999999997</v>
      </c>
      <c r="Z8" s="116"/>
      <c r="AA8" s="118">
        <f>AVERAGE(P8:Y8)</f>
        <v>700.14</v>
      </c>
      <c r="AB8" s="76">
        <f>TREND(F8:Y8)</f>
        <v>711.9057142857143</v>
      </c>
      <c r="AC8" s="115"/>
      <c r="AD8" s="115"/>
    </row>
    <row r="9" spans="1:30" ht="12.75">
      <c r="A9" s="114" t="s">
        <v>89</v>
      </c>
      <c r="B9" s="114">
        <v>2</v>
      </c>
      <c r="C9" s="115">
        <v>686.8</v>
      </c>
      <c r="D9" s="115">
        <v>737.5</v>
      </c>
      <c r="E9" s="115">
        <v>707</v>
      </c>
      <c r="F9" s="115">
        <v>689.8</v>
      </c>
      <c r="G9" s="115">
        <v>593</v>
      </c>
      <c r="H9" s="115">
        <v>512.2</v>
      </c>
      <c r="I9" s="115">
        <v>548.1</v>
      </c>
      <c r="J9" s="115">
        <v>612.7</v>
      </c>
      <c r="K9" s="115">
        <v>587.6</v>
      </c>
      <c r="L9" s="115">
        <v>540.2</v>
      </c>
      <c r="M9" s="116">
        <v>699</v>
      </c>
      <c r="N9" s="116">
        <v>631.7</v>
      </c>
      <c r="O9" s="116">
        <v>616.4</v>
      </c>
      <c r="P9" s="117">
        <v>604.3</v>
      </c>
      <c r="Q9" s="117">
        <v>740.1</v>
      </c>
      <c r="R9" s="117">
        <v>674.7</v>
      </c>
      <c r="S9" s="117">
        <v>606.4</v>
      </c>
      <c r="T9" s="117">
        <v>598.3</v>
      </c>
      <c r="U9" s="117">
        <v>654.2</v>
      </c>
      <c r="V9" s="117">
        <v>532</v>
      </c>
      <c r="W9" s="117">
        <v>631.4999999999999</v>
      </c>
      <c r="X9" s="117">
        <v>737.0999999999999</v>
      </c>
      <c r="Y9" s="117">
        <v>856.8</v>
      </c>
      <c r="Z9" s="116"/>
      <c r="AA9" s="118">
        <f aca="true" t="shared" si="0" ref="AA9:AA19">AVERAGE(P9:Y9)</f>
        <v>663.5400000000001</v>
      </c>
      <c r="AB9" s="76">
        <f aca="true" t="shared" si="1" ref="AB9:AB19">TREND(F9:Y9)</f>
        <v>573.2285714285716</v>
      </c>
      <c r="AC9" s="115"/>
      <c r="AD9" s="115"/>
    </row>
    <row r="10" spans="1:30" ht="12.75">
      <c r="A10" s="114" t="s">
        <v>90</v>
      </c>
      <c r="B10" s="114">
        <v>3</v>
      </c>
      <c r="C10" s="115">
        <v>530.1</v>
      </c>
      <c r="D10" s="115">
        <v>581.5</v>
      </c>
      <c r="E10" s="115">
        <v>498.1</v>
      </c>
      <c r="F10" s="115">
        <v>645.6</v>
      </c>
      <c r="G10" s="115">
        <v>600</v>
      </c>
      <c r="H10" s="115">
        <v>492.3</v>
      </c>
      <c r="I10" s="115">
        <v>550.6</v>
      </c>
      <c r="J10" s="115">
        <v>418.6</v>
      </c>
      <c r="K10" s="115">
        <v>566.6</v>
      </c>
      <c r="L10" s="115">
        <v>545.6</v>
      </c>
      <c r="M10" s="116">
        <v>581.1</v>
      </c>
      <c r="N10" s="116">
        <v>487.3</v>
      </c>
      <c r="O10" s="116">
        <v>608.6</v>
      </c>
      <c r="P10" s="117">
        <v>516.6</v>
      </c>
      <c r="Q10" s="117">
        <v>546.7</v>
      </c>
      <c r="R10" s="117">
        <v>610.2</v>
      </c>
      <c r="S10" s="117">
        <v>533.8</v>
      </c>
      <c r="T10" s="117">
        <v>422.8</v>
      </c>
      <c r="U10" s="117">
        <v>572.8</v>
      </c>
      <c r="V10" s="117">
        <v>349.4000000000001</v>
      </c>
      <c r="W10" s="117">
        <v>554.8</v>
      </c>
      <c r="X10" s="117">
        <v>690.6</v>
      </c>
      <c r="Y10" s="117">
        <v>615.4999999999999</v>
      </c>
      <c r="Z10" s="116"/>
      <c r="AA10" s="118">
        <f t="shared" si="0"/>
        <v>541.32</v>
      </c>
      <c r="AB10" s="76">
        <f t="shared" si="1"/>
        <v>546.6085714285715</v>
      </c>
      <c r="AC10" s="115"/>
      <c r="AD10" s="115"/>
    </row>
    <row r="11" spans="1:30" ht="12.75">
      <c r="A11" s="114" t="s">
        <v>91</v>
      </c>
      <c r="B11" s="114">
        <v>4</v>
      </c>
      <c r="C11" s="115">
        <v>280.3</v>
      </c>
      <c r="D11" s="115">
        <v>320.2</v>
      </c>
      <c r="E11" s="115">
        <v>417.6</v>
      </c>
      <c r="F11" s="115">
        <v>408.2</v>
      </c>
      <c r="G11" s="115">
        <v>366.8</v>
      </c>
      <c r="H11" s="115">
        <v>282</v>
      </c>
      <c r="I11" s="115">
        <v>296.7</v>
      </c>
      <c r="J11" s="115">
        <v>339.2</v>
      </c>
      <c r="K11" s="115">
        <v>293.8</v>
      </c>
      <c r="L11" s="115">
        <v>329.5</v>
      </c>
      <c r="M11" s="116">
        <v>372.5</v>
      </c>
      <c r="N11" s="116">
        <v>331.5</v>
      </c>
      <c r="O11" s="116">
        <v>306.8</v>
      </c>
      <c r="P11" s="117">
        <v>293.3</v>
      </c>
      <c r="Q11" s="117">
        <v>356.4</v>
      </c>
      <c r="R11" s="117">
        <v>253.9</v>
      </c>
      <c r="S11" s="117">
        <v>305.8</v>
      </c>
      <c r="T11" s="117">
        <v>225.1</v>
      </c>
      <c r="U11" s="117">
        <v>332.3</v>
      </c>
      <c r="V11" s="117">
        <v>321.70000000000005</v>
      </c>
      <c r="W11" s="117">
        <v>358.6</v>
      </c>
      <c r="X11" s="117">
        <v>356.90000000000003</v>
      </c>
      <c r="Y11" s="117">
        <v>313.7</v>
      </c>
      <c r="Z11" s="116"/>
      <c r="AA11" s="118">
        <f t="shared" si="0"/>
        <v>311.77</v>
      </c>
      <c r="AB11" s="76">
        <f t="shared" si="1"/>
        <v>335.67571428571426</v>
      </c>
      <c r="AC11" s="115"/>
      <c r="AD11" s="115"/>
    </row>
    <row r="12" spans="1:30" ht="12.75">
      <c r="A12" s="114" t="s">
        <v>92</v>
      </c>
      <c r="B12" s="114">
        <v>5</v>
      </c>
      <c r="C12" s="115">
        <v>182</v>
      </c>
      <c r="D12" s="115">
        <v>199.7</v>
      </c>
      <c r="E12" s="115">
        <v>149.2</v>
      </c>
      <c r="F12" s="115">
        <v>205.9</v>
      </c>
      <c r="G12" s="115">
        <v>260.8</v>
      </c>
      <c r="H12" s="115">
        <v>59.1</v>
      </c>
      <c r="I12" s="115">
        <v>97.1</v>
      </c>
      <c r="J12" s="115">
        <v>139.6</v>
      </c>
      <c r="K12" s="115">
        <v>111.5</v>
      </c>
      <c r="L12" s="115">
        <v>227.5</v>
      </c>
      <c r="M12" s="116">
        <v>177.9</v>
      </c>
      <c r="N12" s="116">
        <v>158.9</v>
      </c>
      <c r="O12" s="116">
        <v>189.4</v>
      </c>
      <c r="P12" s="117">
        <v>136.9</v>
      </c>
      <c r="Q12" s="117">
        <v>136.4</v>
      </c>
      <c r="R12" s="117">
        <v>193.5</v>
      </c>
      <c r="S12" s="117">
        <v>158.8</v>
      </c>
      <c r="T12" s="117">
        <v>107.9</v>
      </c>
      <c r="U12" s="117">
        <v>134.1</v>
      </c>
      <c r="V12" s="117">
        <v>81.30000000000001</v>
      </c>
      <c r="W12" s="117">
        <v>109.10000000000001</v>
      </c>
      <c r="X12" s="117">
        <v>132.10000000000005</v>
      </c>
      <c r="Y12" s="117">
        <v>89.3</v>
      </c>
      <c r="Z12" s="116"/>
      <c r="AA12" s="118">
        <f t="shared" si="0"/>
        <v>127.94000000000001</v>
      </c>
      <c r="AB12" s="76">
        <f t="shared" si="1"/>
        <v>177.3157142857143</v>
      </c>
      <c r="AC12" s="115"/>
      <c r="AD12" s="115"/>
    </row>
    <row r="13" spans="1:30" ht="12.75">
      <c r="A13" s="114" t="s">
        <v>93</v>
      </c>
      <c r="B13" s="114">
        <v>6</v>
      </c>
      <c r="C13" s="115">
        <v>46.5</v>
      </c>
      <c r="D13" s="115">
        <v>35.6</v>
      </c>
      <c r="E13" s="115">
        <v>20</v>
      </c>
      <c r="F13" s="115">
        <v>20.9</v>
      </c>
      <c r="G13" s="115">
        <v>20.6</v>
      </c>
      <c r="H13" s="115">
        <v>54.7</v>
      </c>
      <c r="I13" s="115">
        <v>25</v>
      </c>
      <c r="J13" s="115">
        <v>34.5</v>
      </c>
      <c r="K13" s="115">
        <v>29.8</v>
      </c>
      <c r="L13" s="115">
        <v>36.2</v>
      </c>
      <c r="M13" s="116">
        <v>43.4</v>
      </c>
      <c r="N13" s="116">
        <v>44.2</v>
      </c>
      <c r="O13" s="116">
        <v>8.9</v>
      </c>
      <c r="P13" s="117">
        <v>19.5</v>
      </c>
      <c r="Q13" s="117">
        <v>16.5</v>
      </c>
      <c r="R13" s="117">
        <v>22.7</v>
      </c>
      <c r="S13" s="117">
        <v>49.3</v>
      </c>
      <c r="T13" s="117">
        <v>21.7</v>
      </c>
      <c r="U13" s="117">
        <v>19</v>
      </c>
      <c r="V13" s="117">
        <v>23.2</v>
      </c>
      <c r="W13" s="119">
        <v>33</v>
      </c>
      <c r="X13" s="117">
        <v>14.1</v>
      </c>
      <c r="Y13" s="117">
        <v>33.800000000000004</v>
      </c>
      <c r="Z13" s="116"/>
      <c r="AA13" s="118">
        <f t="shared" si="0"/>
        <v>25.279999999999998</v>
      </c>
      <c r="AB13" s="76">
        <f t="shared" si="1"/>
        <v>32.421428571428564</v>
      </c>
      <c r="AC13" s="115"/>
      <c r="AD13" s="115"/>
    </row>
    <row r="14" spans="1:30" ht="12.75">
      <c r="A14" s="114" t="s">
        <v>94</v>
      </c>
      <c r="B14" s="114">
        <v>7</v>
      </c>
      <c r="C14" s="115">
        <v>0.6</v>
      </c>
      <c r="D14" s="115">
        <v>2.4</v>
      </c>
      <c r="E14" s="115">
        <v>10.3</v>
      </c>
      <c r="F14" s="115">
        <v>10.3</v>
      </c>
      <c r="G14" s="115">
        <v>12.4</v>
      </c>
      <c r="H14" s="115">
        <v>1</v>
      </c>
      <c r="I14" s="115">
        <v>0</v>
      </c>
      <c r="J14" s="115">
        <v>6.6</v>
      </c>
      <c r="K14" s="115">
        <v>9.3</v>
      </c>
      <c r="L14" s="115">
        <v>0</v>
      </c>
      <c r="M14" s="116">
        <v>0.2</v>
      </c>
      <c r="N14" s="116">
        <v>3.6</v>
      </c>
      <c r="O14" s="116">
        <v>0</v>
      </c>
      <c r="P14" s="117">
        <v>0</v>
      </c>
      <c r="Q14" s="117">
        <v>3.2</v>
      </c>
      <c r="R14" s="117">
        <v>1</v>
      </c>
      <c r="S14" s="117">
        <v>6.2</v>
      </c>
      <c r="T14" s="117">
        <v>1.8</v>
      </c>
      <c r="U14" s="117">
        <v>0</v>
      </c>
      <c r="V14" s="117">
        <v>0</v>
      </c>
      <c r="W14" s="117">
        <v>1.2999999999999998</v>
      </c>
      <c r="X14" s="117">
        <v>4</v>
      </c>
      <c r="Y14" s="117">
        <v>4</v>
      </c>
      <c r="Z14" s="116"/>
      <c r="AA14" s="118">
        <f t="shared" si="0"/>
        <v>2.15</v>
      </c>
      <c r="AB14" s="76">
        <f t="shared" si="1"/>
        <v>5.758571428571429</v>
      </c>
      <c r="AC14" s="115"/>
      <c r="AD14" s="115"/>
    </row>
    <row r="15" spans="1:30" ht="12.75">
      <c r="A15" s="114" t="s">
        <v>95</v>
      </c>
      <c r="B15" s="114">
        <v>8</v>
      </c>
      <c r="C15" s="115">
        <v>9.7</v>
      </c>
      <c r="D15" s="115">
        <v>24.5</v>
      </c>
      <c r="E15" s="115">
        <v>4.6</v>
      </c>
      <c r="F15" s="115">
        <v>2.5</v>
      </c>
      <c r="G15" s="115">
        <v>17</v>
      </c>
      <c r="H15" s="115">
        <v>3.4</v>
      </c>
      <c r="I15" s="115">
        <v>8.4</v>
      </c>
      <c r="J15" s="115">
        <v>11.5</v>
      </c>
      <c r="K15" s="115">
        <v>0</v>
      </c>
      <c r="L15" s="115">
        <v>0.2</v>
      </c>
      <c r="M15" s="116">
        <v>2</v>
      </c>
      <c r="N15" s="116">
        <v>12.8</v>
      </c>
      <c r="O15" s="116">
        <v>0.2</v>
      </c>
      <c r="P15" s="117">
        <v>4.2</v>
      </c>
      <c r="Q15" s="117">
        <v>5.2</v>
      </c>
      <c r="R15" s="117">
        <v>12.7</v>
      </c>
      <c r="S15" s="117">
        <v>9.8</v>
      </c>
      <c r="T15" s="117">
        <v>2.1</v>
      </c>
      <c r="U15" s="117">
        <v>0</v>
      </c>
      <c r="V15" s="117">
        <v>2</v>
      </c>
      <c r="W15" s="117">
        <v>4.4</v>
      </c>
      <c r="X15" s="117">
        <v>8.799999999999999</v>
      </c>
      <c r="Y15" s="117">
        <v>4.4</v>
      </c>
      <c r="Z15" s="116"/>
      <c r="AA15" s="118">
        <f t="shared" si="0"/>
        <v>5.359999999999999</v>
      </c>
      <c r="AB15" s="76">
        <f t="shared" si="1"/>
        <v>6.845714285714286</v>
      </c>
      <c r="AC15" s="115"/>
      <c r="AD15" s="115"/>
    </row>
    <row r="16" spans="1:30" ht="12.75">
      <c r="A16" s="114" t="s">
        <v>96</v>
      </c>
      <c r="B16" s="114">
        <v>9</v>
      </c>
      <c r="C16" s="115">
        <v>77.2</v>
      </c>
      <c r="D16" s="115">
        <v>76.2</v>
      </c>
      <c r="E16" s="115">
        <v>133.7</v>
      </c>
      <c r="F16" s="115">
        <v>71.6</v>
      </c>
      <c r="G16" s="115">
        <v>87.1</v>
      </c>
      <c r="H16" s="115">
        <v>39.7</v>
      </c>
      <c r="I16" s="115">
        <v>49.3</v>
      </c>
      <c r="J16" s="115">
        <v>99.5</v>
      </c>
      <c r="K16" s="115">
        <v>73.6</v>
      </c>
      <c r="L16" s="115">
        <v>21.8</v>
      </c>
      <c r="M16" s="116">
        <v>54.9</v>
      </c>
      <c r="N16" s="116">
        <v>30</v>
      </c>
      <c r="O16" s="116">
        <v>22.6</v>
      </c>
      <c r="P16" s="117">
        <v>80.9</v>
      </c>
      <c r="Q16" s="117">
        <v>36.9</v>
      </c>
      <c r="R16" s="117">
        <v>59</v>
      </c>
      <c r="S16" s="117">
        <v>55.2</v>
      </c>
      <c r="T16" s="117">
        <v>78.1</v>
      </c>
      <c r="U16" s="117">
        <v>48.2</v>
      </c>
      <c r="V16" s="117">
        <v>85</v>
      </c>
      <c r="W16" s="117">
        <v>82.99999999999999</v>
      </c>
      <c r="X16" s="117">
        <v>69.70000000000002</v>
      </c>
      <c r="Y16" s="117">
        <v>31.099999999999994</v>
      </c>
      <c r="Z16" s="116"/>
      <c r="AA16" s="118">
        <f t="shared" si="0"/>
        <v>62.71</v>
      </c>
      <c r="AB16" s="76">
        <f t="shared" si="1"/>
        <v>59.87571428571429</v>
      </c>
      <c r="AC16" s="115"/>
      <c r="AD16" s="115"/>
    </row>
    <row r="17" spans="1:30" ht="12.75">
      <c r="A17" s="114" t="s">
        <v>97</v>
      </c>
      <c r="B17" s="114">
        <v>10</v>
      </c>
      <c r="C17" s="115">
        <v>200.8</v>
      </c>
      <c r="D17" s="115">
        <v>249.3</v>
      </c>
      <c r="E17" s="115">
        <v>219.4</v>
      </c>
      <c r="F17" s="115">
        <v>273.1</v>
      </c>
      <c r="G17" s="115">
        <v>266.9</v>
      </c>
      <c r="H17" s="115">
        <v>223.4</v>
      </c>
      <c r="I17" s="115">
        <v>267.6</v>
      </c>
      <c r="J17" s="115">
        <v>212.7</v>
      </c>
      <c r="K17" s="115">
        <v>232.5</v>
      </c>
      <c r="L17" s="115">
        <v>292.2</v>
      </c>
      <c r="M17" s="116">
        <v>276</v>
      </c>
      <c r="N17" s="116">
        <v>226.3</v>
      </c>
      <c r="O17" s="116">
        <v>220.2</v>
      </c>
      <c r="P17" s="117">
        <v>288.3</v>
      </c>
      <c r="Q17" s="117">
        <v>137.7</v>
      </c>
      <c r="R17" s="117">
        <v>278.6</v>
      </c>
      <c r="S17" s="117">
        <v>287.8</v>
      </c>
      <c r="T17" s="117">
        <v>241.6</v>
      </c>
      <c r="U17" s="117">
        <v>235.5</v>
      </c>
      <c r="V17" s="117">
        <v>242.50000000000003</v>
      </c>
      <c r="W17" s="117">
        <v>208.5</v>
      </c>
      <c r="X17" s="117">
        <v>224.30000000000004</v>
      </c>
      <c r="Y17" s="117">
        <v>249.8</v>
      </c>
      <c r="Z17" s="116"/>
      <c r="AA17" s="118">
        <f t="shared" si="0"/>
        <v>239.46000000000004</v>
      </c>
      <c r="AB17" s="76">
        <f t="shared" si="1"/>
        <v>255.70000000000005</v>
      </c>
      <c r="AC17" s="115"/>
      <c r="AD17" s="115"/>
    </row>
    <row r="18" spans="1:30" ht="12.75">
      <c r="A18" s="114" t="s">
        <v>98</v>
      </c>
      <c r="B18" s="114">
        <v>11</v>
      </c>
      <c r="C18" s="115">
        <v>312.5</v>
      </c>
      <c r="D18" s="115">
        <v>379</v>
      </c>
      <c r="E18" s="115">
        <v>511.4</v>
      </c>
      <c r="F18" s="115">
        <v>512.1</v>
      </c>
      <c r="G18" s="115">
        <v>466.5</v>
      </c>
      <c r="H18" s="115">
        <v>392.6</v>
      </c>
      <c r="I18" s="115">
        <v>367.5</v>
      </c>
      <c r="J18" s="115">
        <v>432</v>
      </c>
      <c r="K18" s="115">
        <v>325.8</v>
      </c>
      <c r="L18" s="115">
        <v>445</v>
      </c>
      <c r="M18" s="116">
        <v>398.5</v>
      </c>
      <c r="N18" s="116">
        <v>379.1</v>
      </c>
      <c r="O18" s="116">
        <v>388.4</v>
      </c>
      <c r="P18" s="117">
        <v>382.2</v>
      </c>
      <c r="Q18" s="117">
        <v>462.5</v>
      </c>
      <c r="R18" s="117">
        <v>451.6</v>
      </c>
      <c r="S18" s="117">
        <v>361.2</v>
      </c>
      <c r="T18" s="117">
        <v>405.3</v>
      </c>
      <c r="U18" s="117">
        <v>342.1</v>
      </c>
      <c r="V18" s="117">
        <v>433.99999999999994</v>
      </c>
      <c r="W18" s="117">
        <v>478.20000000000005</v>
      </c>
      <c r="X18" s="117">
        <v>482.1</v>
      </c>
      <c r="Y18" s="117">
        <v>345</v>
      </c>
      <c r="Z18" s="116"/>
      <c r="AA18" s="118">
        <f t="shared" si="0"/>
        <v>414.4200000000001</v>
      </c>
      <c r="AB18" s="76">
        <f t="shared" si="1"/>
        <v>420.52571428571434</v>
      </c>
      <c r="AC18" s="115"/>
      <c r="AD18" s="115"/>
    </row>
    <row r="19" spans="1:30" ht="12.75">
      <c r="A19" s="114" t="s">
        <v>99</v>
      </c>
      <c r="B19" s="114">
        <v>12</v>
      </c>
      <c r="C19" s="115">
        <v>503.5</v>
      </c>
      <c r="D19" s="115">
        <v>562.5</v>
      </c>
      <c r="E19" s="115">
        <v>717.5</v>
      </c>
      <c r="F19" s="115">
        <v>571.6</v>
      </c>
      <c r="G19" s="115">
        <v>586.2</v>
      </c>
      <c r="H19" s="115">
        <v>535.1</v>
      </c>
      <c r="I19" s="115">
        <v>579.3</v>
      </c>
      <c r="J19" s="115">
        <v>780.3</v>
      </c>
      <c r="K19" s="115">
        <v>505</v>
      </c>
      <c r="L19" s="115">
        <v>619.4</v>
      </c>
      <c r="M19" s="116">
        <v>561.5</v>
      </c>
      <c r="N19" s="116">
        <v>643.4</v>
      </c>
      <c r="O19" s="116">
        <v>665.3</v>
      </c>
      <c r="P19" s="117">
        <v>500.5</v>
      </c>
      <c r="Q19" s="117">
        <v>630.7</v>
      </c>
      <c r="R19" s="117">
        <v>654.6</v>
      </c>
      <c r="S19" s="117">
        <v>631.3</v>
      </c>
      <c r="T19" s="117">
        <v>676.2</v>
      </c>
      <c r="U19" s="117">
        <v>534</v>
      </c>
      <c r="V19" s="117">
        <v>533.5000000000001</v>
      </c>
      <c r="W19" s="117">
        <v>687.9</v>
      </c>
      <c r="X19" s="117">
        <v>557.3</v>
      </c>
      <c r="Y19" s="117">
        <v>429.70000000000005</v>
      </c>
      <c r="Z19" s="116"/>
      <c r="AA19" s="118">
        <f t="shared" si="0"/>
        <v>583.5699999999999</v>
      </c>
      <c r="AB19" s="76">
        <f t="shared" si="1"/>
        <v>610.6642857142857</v>
      </c>
      <c r="AC19" s="115"/>
      <c r="AD19" s="115"/>
    </row>
    <row r="20" spans="1:30" ht="12.75">
      <c r="A20" s="114"/>
      <c r="B20" s="114"/>
      <c r="C20" s="114"/>
      <c r="D20" s="114"/>
      <c r="E20" s="114"/>
      <c r="F20" s="114"/>
      <c r="G20" s="114"/>
      <c r="H20" s="102"/>
      <c r="I20" s="102"/>
      <c r="J20" s="102"/>
      <c r="K20" s="102"/>
      <c r="L20" s="102"/>
      <c r="M20" s="103"/>
      <c r="N20" s="103"/>
      <c r="O20" s="103"/>
      <c r="P20" s="113"/>
      <c r="Q20" s="113"/>
      <c r="R20" s="120"/>
      <c r="S20" s="120"/>
      <c r="T20" s="120"/>
      <c r="U20" s="120"/>
      <c r="V20" s="120"/>
      <c r="W20" s="120"/>
      <c r="X20" s="120"/>
      <c r="Y20" s="120"/>
      <c r="Z20" s="121"/>
      <c r="AA20" s="102"/>
      <c r="AB20" s="102"/>
      <c r="AC20" s="102"/>
      <c r="AD20" s="102"/>
    </row>
    <row r="21" spans="1:30" ht="12.75">
      <c r="A21" s="114" t="s">
        <v>10</v>
      </c>
      <c r="B21" s="114"/>
      <c r="C21" s="115">
        <v>3465.1</v>
      </c>
      <c r="D21" s="115">
        <v>4109.799999999999</v>
      </c>
      <c r="E21" s="115">
        <v>4042</v>
      </c>
      <c r="F21" s="115">
        <v>4176.8</v>
      </c>
      <c r="G21" s="115">
        <v>4033.9000000000005</v>
      </c>
      <c r="H21" s="115">
        <v>3220.2999999999997</v>
      </c>
      <c r="I21" s="115">
        <v>3539.3999999999996</v>
      </c>
      <c r="J21" s="115">
        <v>3826.0999999999995</v>
      </c>
      <c r="K21" s="115">
        <v>3420.4000000000005</v>
      </c>
      <c r="L21" s="115">
        <v>3629.7999999999997</v>
      </c>
      <c r="M21" s="116">
        <v>3981.5</v>
      </c>
      <c r="N21" s="116">
        <v>3797.9000000000005</v>
      </c>
      <c r="O21" s="116">
        <v>3796.8</v>
      </c>
      <c r="P21" s="117">
        <v>3378.4999999999995</v>
      </c>
      <c r="Q21" s="117">
        <v>3719.3999999999996</v>
      </c>
      <c r="R21" s="117">
        <v>3835.9999999999995</v>
      </c>
      <c r="S21" s="117">
        <v>3835.8</v>
      </c>
      <c r="T21" s="117">
        <v>3500.8999999999996</v>
      </c>
      <c r="U21" s="117">
        <v>3647.4999999999995</v>
      </c>
      <c r="V21" s="117">
        <f>SUM(V8:V19)</f>
        <v>3215.4000000000005</v>
      </c>
      <c r="W21" s="117">
        <f>SUM(W8:W19)</f>
        <v>3774.7000000000003</v>
      </c>
      <c r="X21" s="117">
        <f>SUM(X8:X19)</f>
        <v>4102.9</v>
      </c>
      <c r="Y21" s="117">
        <f>SUM(Y8:Y19)</f>
        <v>3765.5</v>
      </c>
      <c r="Z21" s="116"/>
      <c r="AA21" s="102"/>
      <c r="AB21" s="102"/>
      <c r="AC21" s="115"/>
      <c r="AD21" s="115"/>
    </row>
    <row r="22" spans="1:30" ht="12.75">
      <c r="A22" s="105"/>
      <c r="B22" s="105"/>
      <c r="C22" s="105"/>
      <c r="D22" s="105"/>
      <c r="E22" s="105"/>
      <c r="F22" s="74"/>
      <c r="G22" s="74"/>
      <c r="H22" s="102"/>
      <c r="I22" s="102"/>
      <c r="J22" s="102"/>
      <c r="K22" s="102"/>
      <c r="L22" s="102"/>
      <c r="M22" s="102"/>
      <c r="N22" s="102"/>
      <c r="O22" s="102"/>
      <c r="P22" s="102"/>
      <c r="Q22" s="102"/>
      <c r="R22" s="102"/>
      <c r="S22" s="102"/>
      <c r="T22" s="102"/>
      <c r="U22" s="102"/>
      <c r="V22" s="102"/>
      <c r="W22" s="102">
        <v>3774.7</v>
      </c>
      <c r="X22" s="102">
        <v>4102.9</v>
      </c>
      <c r="Y22" s="102">
        <v>3765.500000000001</v>
      </c>
      <c r="Z22" s="103"/>
      <c r="AA22" s="102"/>
      <c r="AB22" s="102"/>
      <c r="AC22" s="102"/>
      <c r="AD22" s="102"/>
    </row>
    <row r="23" spans="1:30" ht="12.75">
      <c r="A23" s="105" t="s">
        <v>100</v>
      </c>
      <c r="B23" s="105"/>
      <c r="C23" s="105"/>
      <c r="D23" s="105"/>
      <c r="E23" s="105"/>
      <c r="F23" s="74"/>
      <c r="G23" s="74"/>
      <c r="H23" s="102"/>
      <c r="I23" s="102"/>
      <c r="J23" s="102"/>
      <c r="K23" s="102"/>
      <c r="L23" s="102"/>
      <c r="M23" s="102"/>
      <c r="N23" s="102"/>
      <c r="O23" s="102"/>
      <c r="P23" s="102"/>
      <c r="Q23" s="102"/>
      <c r="R23" s="102"/>
      <c r="S23" s="102"/>
      <c r="T23" s="102"/>
      <c r="U23" s="102"/>
      <c r="V23" s="102"/>
      <c r="W23" s="102"/>
      <c r="X23" s="102"/>
      <c r="Y23" s="102"/>
      <c r="Z23" s="103"/>
      <c r="AA23" s="102"/>
      <c r="AB23" s="102"/>
      <c r="AC23" s="102"/>
      <c r="AD23" s="102"/>
    </row>
    <row r="24" spans="1:30" ht="12.75">
      <c r="A24" s="106"/>
      <c r="B24" s="106"/>
      <c r="C24" s="106"/>
      <c r="D24" s="106"/>
      <c r="E24" s="106"/>
      <c r="F24" s="75"/>
      <c r="G24" s="75"/>
      <c r="H24" s="102"/>
      <c r="I24" s="102"/>
      <c r="J24" s="102"/>
      <c r="K24" s="102"/>
      <c r="L24" s="102"/>
      <c r="M24" s="102"/>
      <c r="N24" s="102"/>
      <c r="O24" s="102"/>
      <c r="P24" s="102"/>
      <c r="Q24" s="102"/>
      <c r="R24" s="102"/>
      <c r="S24" s="102"/>
      <c r="T24" s="102"/>
      <c r="U24" s="102"/>
      <c r="V24" s="102"/>
      <c r="W24" s="102"/>
      <c r="X24" s="102"/>
      <c r="Y24" s="102"/>
      <c r="Z24" s="103"/>
      <c r="AA24" s="102"/>
      <c r="AB24" s="102"/>
      <c r="AC24" s="102"/>
      <c r="AD24" s="102"/>
    </row>
    <row r="25" spans="1:30" ht="12.75">
      <c r="A25" s="107" t="s">
        <v>86</v>
      </c>
      <c r="B25" s="107"/>
      <c r="C25" s="107">
        <v>1993</v>
      </c>
      <c r="D25" s="107">
        <v>1994</v>
      </c>
      <c r="E25" s="107">
        <v>1995</v>
      </c>
      <c r="F25" s="107">
        <v>1996</v>
      </c>
      <c r="G25" s="107">
        <v>1997</v>
      </c>
      <c r="H25" s="107">
        <v>1998</v>
      </c>
      <c r="I25" s="107">
        <v>1999</v>
      </c>
      <c r="J25" s="107">
        <v>2000</v>
      </c>
      <c r="K25" s="107">
        <v>2001</v>
      </c>
      <c r="L25" s="107">
        <v>2002</v>
      </c>
      <c r="M25" s="108">
        <v>2003</v>
      </c>
      <c r="N25" s="108">
        <v>2004</v>
      </c>
      <c r="O25" s="108">
        <v>2005</v>
      </c>
      <c r="P25" s="109">
        <v>2006</v>
      </c>
      <c r="Q25" s="109">
        <v>2007</v>
      </c>
      <c r="R25" s="109">
        <v>2008</v>
      </c>
      <c r="S25" s="109">
        <v>2009</v>
      </c>
      <c r="T25" s="109">
        <v>2010</v>
      </c>
      <c r="U25" s="109">
        <v>2011</v>
      </c>
      <c r="V25" s="110">
        <v>2012</v>
      </c>
      <c r="W25" s="110">
        <v>2013</v>
      </c>
      <c r="X25" s="110">
        <v>2014</v>
      </c>
      <c r="Y25" s="110">
        <v>2015</v>
      </c>
      <c r="Z25" s="111"/>
      <c r="AA25" s="112" t="s">
        <v>198</v>
      </c>
      <c r="AB25" s="112" t="s">
        <v>87</v>
      </c>
      <c r="AC25" s="107"/>
      <c r="AD25" s="107"/>
    </row>
    <row r="26" spans="1:30" ht="12.75">
      <c r="A26" s="106"/>
      <c r="B26" s="106"/>
      <c r="C26" s="106"/>
      <c r="D26" s="106"/>
      <c r="E26" s="106"/>
      <c r="F26" s="74"/>
      <c r="G26" s="74"/>
      <c r="H26" s="102"/>
      <c r="I26" s="102"/>
      <c r="J26" s="102"/>
      <c r="K26" s="102"/>
      <c r="L26" s="102"/>
      <c r="M26" s="103"/>
      <c r="N26" s="103"/>
      <c r="O26" s="103"/>
      <c r="P26" s="113"/>
      <c r="Q26" s="113"/>
      <c r="R26" s="113"/>
      <c r="S26" s="113"/>
      <c r="T26" s="113"/>
      <c r="U26" s="113"/>
      <c r="V26" s="113"/>
      <c r="W26" s="113"/>
      <c r="X26" s="113"/>
      <c r="Y26" s="113"/>
      <c r="Z26" s="103"/>
      <c r="AA26" s="122"/>
      <c r="AB26" s="122"/>
      <c r="AC26" s="102"/>
      <c r="AD26" s="102"/>
    </row>
    <row r="27" spans="1:30" ht="12.75">
      <c r="A27" s="102"/>
      <c r="B27" s="102"/>
      <c r="C27" s="102"/>
      <c r="D27" s="102"/>
      <c r="E27" s="102"/>
      <c r="F27" s="74"/>
      <c r="G27" s="74"/>
      <c r="H27" s="102"/>
      <c r="I27" s="102"/>
      <c r="J27" s="102"/>
      <c r="K27" s="102"/>
      <c r="L27" s="102"/>
      <c r="M27" s="103"/>
      <c r="N27" s="103"/>
      <c r="O27" s="103"/>
      <c r="P27" s="113"/>
      <c r="Q27" s="113"/>
      <c r="R27" s="113"/>
      <c r="S27" s="113"/>
      <c r="T27" s="113"/>
      <c r="U27" s="113"/>
      <c r="V27" s="113"/>
      <c r="W27" s="113"/>
      <c r="X27" s="113"/>
      <c r="Y27" s="113"/>
      <c r="Z27" s="103"/>
      <c r="AA27" s="122"/>
      <c r="AB27" s="122"/>
      <c r="AC27" s="102"/>
      <c r="AD27" s="102"/>
    </row>
    <row r="28" spans="1:30" ht="12.75">
      <c r="A28" s="114" t="s">
        <v>88</v>
      </c>
      <c r="B28" s="114">
        <v>1</v>
      </c>
      <c r="C28" s="115">
        <v>0</v>
      </c>
      <c r="D28" s="115">
        <v>0</v>
      </c>
      <c r="E28" s="115">
        <v>0</v>
      </c>
      <c r="F28" s="115">
        <v>0</v>
      </c>
      <c r="G28" s="115">
        <v>0</v>
      </c>
      <c r="H28" s="115">
        <v>0</v>
      </c>
      <c r="I28" s="115">
        <v>0</v>
      </c>
      <c r="J28" s="115">
        <v>0</v>
      </c>
      <c r="K28" s="115">
        <v>0</v>
      </c>
      <c r="L28" s="115">
        <v>0</v>
      </c>
      <c r="M28" s="116">
        <v>0</v>
      </c>
      <c r="N28" s="116">
        <v>0</v>
      </c>
      <c r="O28" s="116">
        <v>0</v>
      </c>
      <c r="P28" s="117">
        <v>0</v>
      </c>
      <c r="Q28" s="117">
        <v>0</v>
      </c>
      <c r="R28" s="117">
        <v>0</v>
      </c>
      <c r="S28" s="117">
        <v>0</v>
      </c>
      <c r="T28" s="117">
        <v>0</v>
      </c>
      <c r="U28" s="117">
        <v>0</v>
      </c>
      <c r="V28" s="117">
        <v>0</v>
      </c>
      <c r="W28" s="117">
        <v>0</v>
      </c>
      <c r="X28" s="117">
        <v>0</v>
      </c>
      <c r="Y28" s="117">
        <v>0</v>
      </c>
      <c r="Z28" s="116"/>
      <c r="AA28" s="118">
        <f aca="true" t="shared" si="2" ref="AA28:AA39">AVERAGE(P28:Y28)</f>
        <v>0</v>
      </c>
      <c r="AB28" s="76">
        <f>TREND(F28:Y28)</f>
        <v>0</v>
      </c>
      <c r="AC28" s="115"/>
      <c r="AD28" s="115"/>
    </row>
    <row r="29" spans="1:30" ht="12.75">
      <c r="A29" s="114" t="s">
        <v>89</v>
      </c>
      <c r="B29" s="114">
        <v>2</v>
      </c>
      <c r="C29" s="115">
        <v>0</v>
      </c>
      <c r="D29" s="115">
        <v>0</v>
      </c>
      <c r="E29" s="115">
        <v>0</v>
      </c>
      <c r="F29" s="115">
        <v>0</v>
      </c>
      <c r="G29" s="115">
        <v>0</v>
      </c>
      <c r="H29" s="115">
        <v>0</v>
      </c>
      <c r="I29" s="115">
        <v>0</v>
      </c>
      <c r="J29" s="115">
        <v>0</v>
      </c>
      <c r="K29" s="115">
        <v>0</v>
      </c>
      <c r="L29" s="115">
        <v>0</v>
      </c>
      <c r="M29" s="116">
        <v>0</v>
      </c>
      <c r="N29" s="116">
        <v>0</v>
      </c>
      <c r="O29" s="116">
        <v>0</v>
      </c>
      <c r="P29" s="117">
        <v>0</v>
      </c>
      <c r="Q29" s="117">
        <v>0</v>
      </c>
      <c r="R29" s="117">
        <v>0</v>
      </c>
      <c r="S29" s="117">
        <v>0</v>
      </c>
      <c r="T29" s="117">
        <v>0</v>
      </c>
      <c r="U29" s="117">
        <v>0</v>
      </c>
      <c r="V29" s="117">
        <v>0</v>
      </c>
      <c r="W29" s="117">
        <v>0</v>
      </c>
      <c r="X29" s="117">
        <v>0</v>
      </c>
      <c r="Y29" s="117">
        <v>0</v>
      </c>
      <c r="Z29" s="116"/>
      <c r="AA29" s="118">
        <f t="shared" si="2"/>
        <v>0</v>
      </c>
      <c r="AB29" s="76">
        <f aca="true" t="shared" si="3" ref="AB29:AB39">TREND(F29:Y29)</f>
        <v>0</v>
      </c>
      <c r="AC29" s="115"/>
      <c r="AD29" s="115"/>
    </row>
    <row r="30" spans="1:30" ht="12.75">
      <c r="A30" s="114" t="s">
        <v>90</v>
      </c>
      <c r="B30" s="114">
        <v>3</v>
      </c>
      <c r="C30" s="115">
        <v>0</v>
      </c>
      <c r="D30" s="115">
        <v>0</v>
      </c>
      <c r="E30" s="115">
        <v>0</v>
      </c>
      <c r="F30" s="115">
        <v>0</v>
      </c>
      <c r="G30" s="115">
        <v>0</v>
      </c>
      <c r="H30" s="115">
        <v>0</v>
      </c>
      <c r="I30" s="115">
        <v>0</v>
      </c>
      <c r="J30" s="115">
        <v>0</v>
      </c>
      <c r="K30" s="115">
        <v>0</v>
      </c>
      <c r="L30" s="115">
        <v>0</v>
      </c>
      <c r="M30" s="116">
        <v>0</v>
      </c>
      <c r="N30" s="116">
        <v>0</v>
      </c>
      <c r="O30" s="116">
        <v>0</v>
      </c>
      <c r="P30" s="117">
        <v>0</v>
      </c>
      <c r="Q30" s="117">
        <v>0</v>
      </c>
      <c r="R30" s="117">
        <v>0</v>
      </c>
      <c r="S30" s="117">
        <v>0</v>
      </c>
      <c r="T30" s="117">
        <v>0</v>
      </c>
      <c r="U30" s="117">
        <v>0</v>
      </c>
      <c r="V30" s="117">
        <v>0.2</v>
      </c>
      <c r="W30" s="117">
        <v>0</v>
      </c>
      <c r="X30" s="117">
        <v>0</v>
      </c>
      <c r="Y30" s="117">
        <v>0</v>
      </c>
      <c r="Z30" s="116"/>
      <c r="AA30" s="118">
        <f t="shared" si="2"/>
        <v>0.02</v>
      </c>
      <c r="AB30" s="76">
        <f t="shared" si="3"/>
        <v>-0.008571428571428574</v>
      </c>
      <c r="AC30" s="115"/>
      <c r="AD30" s="115"/>
    </row>
    <row r="31" spans="1:30" ht="12.75">
      <c r="A31" s="114" t="s">
        <v>91</v>
      </c>
      <c r="B31" s="114">
        <v>4</v>
      </c>
      <c r="C31" s="115">
        <v>0</v>
      </c>
      <c r="D31" s="115">
        <v>0.5</v>
      </c>
      <c r="E31" s="115">
        <v>0</v>
      </c>
      <c r="F31" s="115">
        <v>0</v>
      </c>
      <c r="G31" s="115">
        <v>0</v>
      </c>
      <c r="H31" s="115">
        <v>0</v>
      </c>
      <c r="I31" s="115">
        <v>0</v>
      </c>
      <c r="J31" s="115">
        <v>0</v>
      </c>
      <c r="K31" s="115">
        <v>1.4</v>
      </c>
      <c r="L31" s="115">
        <v>8.3</v>
      </c>
      <c r="M31" s="116">
        <v>2.4</v>
      </c>
      <c r="N31" s="116">
        <v>0</v>
      </c>
      <c r="O31" s="116">
        <v>0</v>
      </c>
      <c r="P31" s="117">
        <v>0</v>
      </c>
      <c r="Q31" s="117">
        <v>0</v>
      </c>
      <c r="R31" s="117">
        <v>0</v>
      </c>
      <c r="S31" s="117">
        <v>1.2</v>
      </c>
      <c r="T31" s="117">
        <v>0</v>
      </c>
      <c r="U31" s="117">
        <v>0</v>
      </c>
      <c r="V31" s="117">
        <v>0</v>
      </c>
      <c r="W31" s="117">
        <v>0</v>
      </c>
      <c r="X31" s="117">
        <v>0</v>
      </c>
      <c r="Y31" s="117">
        <v>0</v>
      </c>
      <c r="Z31" s="116"/>
      <c r="AA31" s="118">
        <f t="shared" si="2"/>
        <v>0.12</v>
      </c>
      <c r="AB31" s="76">
        <f t="shared" si="3"/>
        <v>1.1957142857142857</v>
      </c>
      <c r="AC31" s="115"/>
      <c r="AD31" s="115"/>
    </row>
    <row r="32" spans="1:30" ht="12.75">
      <c r="A32" s="114" t="s">
        <v>92</v>
      </c>
      <c r="B32" s="114">
        <v>5</v>
      </c>
      <c r="C32" s="115">
        <v>4.3</v>
      </c>
      <c r="D32" s="115">
        <v>8.2</v>
      </c>
      <c r="E32" s="115">
        <v>3.5</v>
      </c>
      <c r="F32" s="115">
        <v>8.6</v>
      </c>
      <c r="G32" s="115">
        <v>0</v>
      </c>
      <c r="H32" s="115">
        <v>28.6</v>
      </c>
      <c r="I32" s="115">
        <v>19.4</v>
      </c>
      <c r="J32" s="115">
        <v>23.7</v>
      </c>
      <c r="K32" s="115">
        <v>12.2</v>
      </c>
      <c r="L32" s="115">
        <v>7.8</v>
      </c>
      <c r="M32" s="116">
        <v>0</v>
      </c>
      <c r="N32" s="116">
        <v>8.6</v>
      </c>
      <c r="O32" s="116">
        <v>0.8</v>
      </c>
      <c r="P32" s="117">
        <v>26</v>
      </c>
      <c r="Q32" s="117">
        <v>22.4</v>
      </c>
      <c r="R32" s="117">
        <v>2.5</v>
      </c>
      <c r="S32" s="117">
        <v>6.9</v>
      </c>
      <c r="T32" s="117">
        <v>45.7</v>
      </c>
      <c r="U32" s="117">
        <v>13</v>
      </c>
      <c r="V32" s="117">
        <v>36.7</v>
      </c>
      <c r="W32" s="117">
        <v>23.1</v>
      </c>
      <c r="X32" s="117">
        <v>11.9</v>
      </c>
      <c r="Y32" s="117">
        <v>34.1</v>
      </c>
      <c r="Z32" s="116"/>
      <c r="AA32" s="118">
        <f t="shared" si="2"/>
        <v>22.229999999999997</v>
      </c>
      <c r="AB32" s="76">
        <f t="shared" si="3"/>
        <v>8.844285714285714</v>
      </c>
      <c r="AC32" s="115"/>
      <c r="AD32" s="115"/>
    </row>
    <row r="33" spans="1:30" ht="12.75">
      <c r="A33" s="114" t="s">
        <v>93</v>
      </c>
      <c r="B33" s="114">
        <v>6</v>
      </c>
      <c r="C33" s="115">
        <v>17.9</v>
      </c>
      <c r="D33" s="115">
        <v>67.7</v>
      </c>
      <c r="E33" s="115">
        <v>77.9</v>
      </c>
      <c r="F33" s="115">
        <v>38.3</v>
      </c>
      <c r="G33" s="115">
        <v>73.2</v>
      </c>
      <c r="H33" s="115">
        <v>82.4</v>
      </c>
      <c r="I33" s="115">
        <v>96</v>
      </c>
      <c r="J33" s="115">
        <v>41.1</v>
      </c>
      <c r="K33" s="115">
        <v>79.7</v>
      </c>
      <c r="L33" s="115">
        <v>70</v>
      </c>
      <c r="M33" s="116">
        <v>52.9</v>
      </c>
      <c r="N33" s="116">
        <v>31.6</v>
      </c>
      <c r="O33" s="116">
        <v>146.3</v>
      </c>
      <c r="P33" s="117">
        <v>73.6</v>
      </c>
      <c r="Q33" s="117">
        <v>99.2</v>
      </c>
      <c r="R33" s="117">
        <v>71.5</v>
      </c>
      <c r="S33" s="117">
        <v>34.2</v>
      </c>
      <c r="T33" s="117">
        <v>58.7</v>
      </c>
      <c r="U33" s="117">
        <v>52.2</v>
      </c>
      <c r="V33" s="117">
        <v>101.60000000000001</v>
      </c>
      <c r="W33" s="119">
        <v>59.599999999999994</v>
      </c>
      <c r="X33" s="117">
        <v>68.1</v>
      </c>
      <c r="Y33" s="117">
        <v>32.3</v>
      </c>
      <c r="Z33" s="116"/>
      <c r="AA33" s="118">
        <f t="shared" si="2"/>
        <v>65.1</v>
      </c>
      <c r="AB33" s="76">
        <f t="shared" si="3"/>
        <v>72.15571428571427</v>
      </c>
      <c r="AC33" s="102"/>
      <c r="AD33" s="102"/>
    </row>
    <row r="34" spans="1:30" ht="12.75">
      <c r="A34" s="114" t="s">
        <v>94</v>
      </c>
      <c r="B34" s="114">
        <v>7</v>
      </c>
      <c r="C34" s="115">
        <v>107.8</v>
      </c>
      <c r="D34" s="115">
        <v>111.2</v>
      </c>
      <c r="E34" s="115">
        <v>130.9</v>
      </c>
      <c r="F34" s="115">
        <v>59.6</v>
      </c>
      <c r="G34" s="115">
        <v>103</v>
      </c>
      <c r="H34" s="115">
        <v>101.3</v>
      </c>
      <c r="I34" s="115">
        <v>196.5</v>
      </c>
      <c r="J34" s="115">
        <v>71.8</v>
      </c>
      <c r="K34" s="115">
        <v>100.9</v>
      </c>
      <c r="L34" s="115">
        <v>192.4</v>
      </c>
      <c r="M34" s="116">
        <v>118.3</v>
      </c>
      <c r="N34" s="116">
        <v>86.4</v>
      </c>
      <c r="O34" s="116">
        <v>188.7</v>
      </c>
      <c r="P34" s="117">
        <v>167.3</v>
      </c>
      <c r="Q34" s="117">
        <v>106.1</v>
      </c>
      <c r="R34" s="117">
        <v>111</v>
      </c>
      <c r="S34" s="117">
        <v>43.7</v>
      </c>
      <c r="T34" s="117">
        <v>164.9</v>
      </c>
      <c r="U34" s="117">
        <v>198.5</v>
      </c>
      <c r="V34" s="117">
        <v>190.09999999999997</v>
      </c>
      <c r="W34" s="117">
        <v>120.80000000000003</v>
      </c>
      <c r="X34" s="117">
        <v>71</v>
      </c>
      <c r="Y34" s="117">
        <v>114.29999999999998</v>
      </c>
      <c r="Z34" s="116"/>
      <c r="AA34" s="118">
        <f t="shared" si="2"/>
        <v>128.76999999999998</v>
      </c>
      <c r="AB34" s="76">
        <f t="shared" si="3"/>
        <v>113.65428571428572</v>
      </c>
      <c r="AC34" s="102"/>
      <c r="AD34" s="102"/>
    </row>
    <row r="35" spans="1:30" ht="12.75">
      <c r="A35" s="114" t="s">
        <v>95</v>
      </c>
      <c r="B35" s="114">
        <v>8</v>
      </c>
      <c r="C35" s="115">
        <v>103.5</v>
      </c>
      <c r="D35" s="115">
        <v>46.4</v>
      </c>
      <c r="E35" s="115">
        <v>122.9</v>
      </c>
      <c r="F35" s="115">
        <v>87.1</v>
      </c>
      <c r="G35" s="115">
        <v>46.8</v>
      </c>
      <c r="H35" s="115">
        <v>117.7</v>
      </c>
      <c r="I35" s="115">
        <v>79.1</v>
      </c>
      <c r="J35" s="115">
        <v>92.5</v>
      </c>
      <c r="K35" s="115">
        <v>160</v>
      </c>
      <c r="L35" s="115">
        <v>142.7</v>
      </c>
      <c r="M35" s="116">
        <v>128</v>
      </c>
      <c r="N35" s="116">
        <v>59.6</v>
      </c>
      <c r="O35" s="116">
        <v>140.7</v>
      </c>
      <c r="P35" s="117">
        <v>101.6</v>
      </c>
      <c r="Q35" s="117">
        <v>141</v>
      </c>
      <c r="R35" s="117">
        <v>64</v>
      </c>
      <c r="S35" s="117">
        <v>91</v>
      </c>
      <c r="T35" s="117">
        <v>138.8</v>
      </c>
      <c r="U35" s="117">
        <v>122.2</v>
      </c>
      <c r="V35" s="117">
        <v>112.10000000000001</v>
      </c>
      <c r="W35" s="117">
        <v>93.79999999999998</v>
      </c>
      <c r="X35" s="117">
        <v>81.79999999999998</v>
      </c>
      <c r="Y35" s="117">
        <v>88.6</v>
      </c>
      <c r="Z35" s="116"/>
      <c r="AA35" s="118">
        <f t="shared" si="2"/>
        <v>103.49000000000001</v>
      </c>
      <c r="AB35" s="76">
        <f t="shared" si="3"/>
        <v>101.93285714285712</v>
      </c>
      <c r="AC35" s="102"/>
      <c r="AD35" s="102" t="s">
        <v>101</v>
      </c>
    </row>
    <row r="36" spans="1:30" ht="12.75">
      <c r="A36" s="114" t="s">
        <v>96</v>
      </c>
      <c r="B36" s="114">
        <v>9</v>
      </c>
      <c r="C36" s="115">
        <v>15.7</v>
      </c>
      <c r="D36" s="115">
        <v>13.7</v>
      </c>
      <c r="E36" s="115">
        <v>12.7</v>
      </c>
      <c r="F36" s="115">
        <v>27.1</v>
      </c>
      <c r="G36" s="115">
        <v>11.7</v>
      </c>
      <c r="H36" s="115">
        <v>45</v>
      </c>
      <c r="I36" s="115">
        <v>48.9</v>
      </c>
      <c r="J36" s="115">
        <v>35.2</v>
      </c>
      <c r="K36" s="115">
        <v>35.7</v>
      </c>
      <c r="L36" s="115">
        <v>87.6</v>
      </c>
      <c r="M36" s="116">
        <v>24</v>
      </c>
      <c r="N36" s="116">
        <v>41.2</v>
      </c>
      <c r="O36" s="116">
        <v>52.1</v>
      </c>
      <c r="P36" s="117">
        <v>12.9</v>
      </c>
      <c r="Q36" s="117">
        <v>47.5</v>
      </c>
      <c r="R36" s="117">
        <v>26.7</v>
      </c>
      <c r="S36" s="117">
        <v>20.9</v>
      </c>
      <c r="T36" s="117">
        <v>31.5</v>
      </c>
      <c r="U36" s="117">
        <v>39.7</v>
      </c>
      <c r="V36" s="117">
        <v>35.6</v>
      </c>
      <c r="W36" s="117">
        <v>28.099999999999998</v>
      </c>
      <c r="X36" s="117">
        <v>30.099999999999998</v>
      </c>
      <c r="Y36" s="117">
        <v>81.9</v>
      </c>
      <c r="Z36" s="116"/>
      <c r="AA36" s="118">
        <f t="shared" si="2"/>
        <v>35.489999999999995</v>
      </c>
      <c r="AB36" s="76">
        <f t="shared" si="3"/>
        <v>34.844285714285725</v>
      </c>
      <c r="AC36" s="102"/>
      <c r="AD36" s="102"/>
    </row>
    <row r="37" spans="1:30" ht="12.75">
      <c r="A37" s="114" t="s">
        <v>97</v>
      </c>
      <c r="B37" s="114">
        <v>10</v>
      </c>
      <c r="C37" s="115">
        <v>2.5</v>
      </c>
      <c r="D37" s="115">
        <v>0</v>
      </c>
      <c r="E37" s="115">
        <v>3.2</v>
      </c>
      <c r="F37" s="115">
        <v>0</v>
      </c>
      <c r="G37" s="115">
        <v>2.8</v>
      </c>
      <c r="H37" s="115">
        <v>0</v>
      </c>
      <c r="I37" s="115">
        <v>0</v>
      </c>
      <c r="J37" s="115">
        <v>1.2</v>
      </c>
      <c r="K37" s="115">
        <v>2</v>
      </c>
      <c r="L37" s="115">
        <v>10</v>
      </c>
      <c r="M37" s="116">
        <v>0</v>
      </c>
      <c r="N37" s="116">
        <v>1.5</v>
      </c>
      <c r="O37" s="116">
        <v>7.6</v>
      </c>
      <c r="P37" s="117">
        <v>1.1</v>
      </c>
      <c r="Q37" s="117">
        <v>19.8</v>
      </c>
      <c r="R37" s="117">
        <v>0</v>
      </c>
      <c r="S37" s="117">
        <v>0</v>
      </c>
      <c r="T37" s="117">
        <v>0</v>
      </c>
      <c r="U37" s="117">
        <v>2.4</v>
      </c>
      <c r="V37" s="117">
        <v>1.1</v>
      </c>
      <c r="W37" s="117">
        <v>0.4</v>
      </c>
      <c r="X37" s="117">
        <v>1.3</v>
      </c>
      <c r="Y37" s="117">
        <v>0</v>
      </c>
      <c r="Z37" s="116"/>
      <c r="AA37" s="118">
        <f t="shared" si="2"/>
        <v>2.6100000000000003</v>
      </c>
      <c r="AB37" s="76">
        <f t="shared" si="3"/>
        <v>2.7857142857142856</v>
      </c>
      <c r="AC37" s="102"/>
      <c r="AD37" s="102"/>
    </row>
    <row r="38" spans="1:30" ht="12.75">
      <c r="A38" s="114" t="s">
        <v>98</v>
      </c>
      <c r="B38" s="114">
        <v>11</v>
      </c>
      <c r="C38" s="115">
        <v>0</v>
      </c>
      <c r="D38" s="115">
        <v>0</v>
      </c>
      <c r="E38" s="115">
        <v>0</v>
      </c>
      <c r="F38" s="115">
        <v>0</v>
      </c>
      <c r="G38" s="115">
        <v>0</v>
      </c>
      <c r="H38" s="115">
        <v>0</v>
      </c>
      <c r="I38" s="115">
        <v>0</v>
      </c>
      <c r="J38" s="115">
        <v>0</v>
      </c>
      <c r="K38" s="115">
        <v>0</v>
      </c>
      <c r="L38" s="115">
        <v>0</v>
      </c>
      <c r="M38" s="116">
        <v>0</v>
      </c>
      <c r="N38" s="116">
        <v>0</v>
      </c>
      <c r="O38" s="116">
        <v>0</v>
      </c>
      <c r="P38" s="117">
        <v>0</v>
      </c>
      <c r="Q38" s="117">
        <v>0</v>
      </c>
      <c r="R38" s="117">
        <v>0</v>
      </c>
      <c r="S38" s="117">
        <v>0</v>
      </c>
      <c r="T38" s="117">
        <v>0</v>
      </c>
      <c r="U38" s="117">
        <v>0</v>
      </c>
      <c r="V38" s="117">
        <v>0</v>
      </c>
      <c r="W38" s="117">
        <v>0</v>
      </c>
      <c r="X38" s="117">
        <v>0</v>
      </c>
      <c r="Y38" s="117">
        <v>0</v>
      </c>
      <c r="Z38" s="116"/>
      <c r="AA38" s="118">
        <f t="shared" si="2"/>
        <v>0</v>
      </c>
      <c r="AB38" s="76">
        <f t="shared" si="3"/>
        <v>0</v>
      </c>
      <c r="AC38" s="102"/>
      <c r="AD38" s="102"/>
    </row>
    <row r="39" spans="1:30" ht="12.75">
      <c r="A39" s="114" t="s">
        <v>99</v>
      </c>
      <c r="B39" s="114">
        <v>12</v>
      </c>
      <c r="C39" s="115">
        <v>0</v>
      </c>
      <c r="D39" s="115">
        <v>0</v>
      </c>
      <c r="E39" s="115">
        <v>0</v>
      </c>
      <c r="F39" s="115">
        <v>0</v>
      </c>
      <c r="G39" s="115">
        <v>0</v>
      </c>
      <c r="H39" s="115">
        <v>0</v>
      </c>
      <c r="I39" s="115">
        <v>0</v>
      </c>
      <c r="J39" s="115">
        <v>0</v>
      </c>
      <c r="K39" s="115">
        <v>0</v>
      </c>
      <c r="L39" s="115">
        <v>0</v>
      </c>
      <c r="M39" s="116">
        <v>0</v>
      </c>
      <c r="N39" s="116">
        <v>0</v>
      </c>
      <c r="O39" s="116">
        <v>0</v>
      </c>
      <c r="P39" s="117">
        <v>0</v>
      </c>
      <c r="Q39" s="117">
        <v>0</v>
      </c>
      <c r="R39" s="117">
        <v>0</v>
      </c>
      <c r="S39" s="117">
        <v>0</v>
      </c>
      <c r="T39" s="117">
        <v>0</v>
      </c>
      <c r="U39" s="117">
        <v>0</v>
      </c>
      <c r="V39" s="117">
        <v>0</v>
      </c>
      <c r="W39" s="117">
        <v>0</v>
      </c>
      <c r="X39" s="117">
        <v>0</v>
      </c>
      <c r="Y39" s="117">
        <v>0</v>
      </c>
      <c r="Z39" s="116"/>
      <c r="AA39" s="118">
        <f t="shared" si="2"/>
        <v>0</v>
      </c>
      <c r="AB39" s="76">
        <f t="shared" si="3"/>
        <v>0</v>
      </c>
      <c r="AC39" s="102"/>
      <c r="AD39" s="102"/>
    </row>
    <row r="40" spans="1:30" ht="12.75">
      <c r="A40" s="114"/>
      <c r="B40" s="114"/>
      <c r="C40" s="114"/>
      <c r="D40" s="114"/>
      <c r="E40" s="114"/>
      <c r="F40" s="114"/>
      <c r="G40" s="114"/>
      <c r="H40" s="74"/>
      <c r="I40" s="74"/>
      <c r="J40" s="102"/>
      <c r="K40" s="102"/>
      <c r="L40" s="102"/>
      <c r="M40" s="103"/>
      <c r="N40" s="103"/>
      <c r="O40" s="103"/>
      <c r="P40" s="113"/>
      <c r="Q40" s="113"/>
      <c r="R40" s="120"/>
      <c r="S40" s="120"/>
      <c r="T40" s="120"/>
      <c r="U40" s="120"/>
      <c r="V40" s="120"/>
      <c r="W40" s="120"/>
      <c r="X40" s="120"/>
      <c r="Y40" s="120"/>
      <c r="Z40" s="121"/>
      <c r="AA40" s="102"/>
      <c r="AB40" s="102"/>
      <c r="AC40" s="102"/>
      <c r="AD40" s="102"/>
    </row>
    <row r="41" spans="1:30" ht="12.75">
      <c r="A41" s="114" t="s">
        <v>10</v>
      </c>
      <c r="B41" s="114"/>
      <c r="C41" s="115">
        <v>251.7</v>
      </c>
      <c r="D41" s="115">
        <v>247.70000000000002</v>
      </c>
      <c r="E41" s="115">
        <v>351.1</v>
      </c>
      <c r="F41" s="115">
        <v>220.7</v>
      </c>
      <c r="G41" s="115">
        <v>237.5</v>
      </c>
      <c r="H41" s="115">
        <v>375</v>
      </c>
      <c r="I41" s="115">
        <v>439.9</v>
      </c>
      <c r="J41" s="115">
        <v>265.5</v>
      </c>
      <c r="K41" s="115">
        <v>391.9</v>
      </c>
      <c r="L41" s="115">
        <v>518.8</v>
      </c>
      <c r="M41" s="116">
        <v>325.6</v>
      </c>
      <c r="N41" s="116">
        <v>228.90000000000003</v>
      </c>
      <c r="O41" s="116">
        <v>536.2</v>
      </c>
      <c r="P41" s="117">
        <v>382.5</v>
      </c>
      <c r="Q41" s="117">
        <v>436</v>
      </c>
      <c r="R41" s="117">
        <v>275.7</v>
      </c>
      <c r="S41" s="117">
        <v>197.9</v>
      </c>
      <c r="T41" s="117">
        <v>439.6</v>
      </c>
      <c r="U41" s="117">
        <v>427.99999999999994</v>
      </c>
      <c r="V41" s="117">
        <f>SUM(V28:V39)</f>
        <v>477.40000000000003</v>
      </c>
      <c r="W41" s="117">
        <f>SUM(W28:W39)</f>
        <v>325.79999999999995</v>
      </c>
      <c r="X41" s="117">
        <f>SUM(X28:X39)</f>
        <v>264.2</v>
      </c>
      <c r="Y41" s="117">
        <f>SUM(Y28:Y39)</f>
        <v>351.19999999999993</v>
      </c>
      <c r="Z41" s="116"/>
      <c r="AA41" s="123"/>
      <c r="AB41" s="123"/>
      <c r="AC41" s="102"/>
      <c r="AD41" s="102"/>
    </row>
    <row r="42" spans="1:30" ht="12.75">
      <c r="A42" s="114"/>
      <c r="B42" s="114"/>
      <c r="C42" s="114"/>
      <c r="D42" s="114"/>
      <c r="E42" s="114"/>
      <c r="F42" s="74"/>
      <c r="G42" s="74"/>
      <c r="H42" s="74"/>
      <c r="I42" s="74"/>
      <c r="J42" s="74"/>
      <c r="K42" s="74"/>
      <c r="L42" s="74"/>
      <c r="M42" s="74"/>
      <c r="N42" s="74"/>
      <c r="O42" s="74"/>
      <c r="P42" s="74"/>
      <c r="Q42" s="74"/>
      <c r="R42" s="102"/>
      <c r="S42" s="102"/>
      <c r="T42" s="102"/>
      <c r="U42" s="102"/>
      <c r="V42" s="102"/>
      <c r="W42" s="102">
        <v>325.80000000000007</v>
      </c>
      <c r="X42" s="102">
        <v>264.2</v>
      </c>
      <c r="Y42" s="102">
        <v>351.20000000000005</v>
      </c>
      <c r="Z42" s="103"/>
      <c r="AA42" s="102"/>
      <c r="AB42" s="102"/>
      <c r="AC42" s="102"/>
      <c r="AD42" s="102"/>
    </row>
    <row r="43" spans="1:30" ht="12.75">
      <c r="A43" s="114"/>
      <c r="B43" s="114"/>
      <c r="C43" s="114"/>
      <c r="D43" s="114"/>
      <c r="E43" s="114"/>
      <c r="F43" s="74"/>
      <c r="G43" s="74"/>
      <c r="H43" s="74"/>
      <c r="I43" s="74"/>
      <c r="J43" s="102"/>
      <c r="K43" s="102"/>
      <c r="L43" s="102"/>
      <c r="M43" s="102"/>
      <c r="N43" s="102"/>
      <c r="O43" s="102"/>
      <c r="P43" s="102"/>
      <c r="Q43" s="102"/>
      <c r="R43" s="102"/>
      <c r="S43" s="102"/>
      <c r="T43" s="102"/>
      <c r="U43" s="102"/>
      <c r="V43" s="102"/>
      <c r="W43" s="102"/>
      <c r="X43" s="102"/>
      <c r="Y43" s="102"/>
      <c r="Z43" s="103"/>
      <c r="AA43" s="102"/>
      <c r="AB43" s="102"/>
      <c r="AC43" s="102"/>
      <c r="AD43" s="102"/>
    </row>
    <row r="44" spans="1:30" ht="12.75">
      <c r="A44" s="105"/>
      <c r="B44" s="105"/>
      <c r="C44" s="105"/>
      <c r="D44" s="105"/>
      <c r="E44" s="105"/>
      <c r="F44" s="74"/>
      <c r="G44" s="74"/>
      <c r="H44" s="102"/>
      <c r="I44" s="102"/>
      <c r="J44" s="102"/>
      <c r="K44" s="102"/>
      <c r="L44" s="102"/>
      <c r="M44" s="102"/>
      <c r="N44" s="102"/>
      <c r="O44" s="102"/>
      <c r="P44" s="102"/>
      <c r="Q44" s="102"/>
      <c r="R44" s="102"/>
      <c r="S44" s="102"/>
      <c r="T44" s="102"/>
      <c r="U44" s="102"/>
      <c r="V44" s="102"/>
      <c r="W44" s="102"/>
      <c r="X44" s="102"/>
      <c r="Y44" s="102"/>
      <c r="Z44" s="103"/>
      <c r="AA44" s="102"/>
      <c r="AB44" s="102"/>
      <c r="AC44" s="102"/>
      <c r="AD44" s="102"/>
    </row>
    <row r="45" spans="1:30" ht="12.7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3"/>
      <c r="AA45" s="102"/>
      <c r="AB45" s="102"/>
      <c r="AC45" s="102"/>
      <c r="AD45" s="102"/>
    </row>
    <row r="46" spans="1:30" ht="12.7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3"/>
      <c r="AA46" s="102"/>
      <c r="AB46" s="102"/>
      <c r="AC46" s="102"/>
      <c r="AD46" s="102"/>
    </row>
    <row r="47" spans="1:30" ht="12.7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3"/>
      <c r="AA47" s="102"/>
      <c r="AB47" s="102"/>
      <c r="AC47" s="102"/>
      <c r="AD47" s="102"/>
    </row>
    <row r="48" spans="1:30" ht="12.7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3"/>
      <c r="AA48" s="102"/>
      <c r="AB48" s="102"/>
      <c r="AC48" s="102"/>
      <c r="AD48" s="102"/>
    </row>
    <row r="49" spans="11:30" ht="12.75">
      <c r="K49" s="102"/>
      <c r="L49" s="102"/>
      <c r="M49" s="102"/>
      <c r="N49" s="102"/>
      <c r="O49" s="102"/>
      <c r="P49" s="102"/>
      <c r="Q49" s="102"/>
      <c r="R49" s="102"/>
      <c r="S49" s="102"/>
      <c r="T49" s="102"/>
      <c r="U49" s="102"/>
      <c r="V49" s="102"/>
      <c r="W49" s="102"/>
      <c r="X49" s="102"/>
      <c r="Y49" s="102"/>
      <c r="Z49" s="103"/>
      <c r="AA49" s="102"/>
      <c r="AB49" s="102"/>
      <c r="AC49" s="102"/>
      <c r="AD49" s="102"/>
    </row>
    <row r="50" spans="23:30" ht="12.75">
      <c r="W50" s="102"/>
      <c r="X50" s="102"/>
      <c r="Y50" s="102"/>
      <c r="Z50" s="103"/>
      <c r="AA50" s="102"/>
      <c r="AB50" s="102"/>
      <c r="AC50" s="102"/>
      <c r="AD50" s="102"/>
    </row>
    <row r="51" spans="23:30" ht="12.75">
      <c r="W51" s="102"/>
      <c r="X51" s="102"/>
      <c r="Y51" s="102"/>
      <c r="Z51" s="103"/>
      <c r="AA51" s="102"/>
      <c r="AB51" s="102"/>
      <c r="AC51" s="102"/>
      <c r="AD51" s="102"/>
    </row>
    <row r="52" spans="23:30" ht="12.75">
      <c r="W52" s="102"/>
      <c r="X52" s="102"/>
      <c r="Y52" s="102"/>
      <c r="Z52" s="103"/>
      <c r="AA52" s="102"/>
      <c r="AB52" s="102"/>
      <c r="AC52" s="102"/>
      <c r="AD52" s="102"/>
    </row>
    <row r="53" spans="23:30" ht="12.75">
      <c r="W53" s="102"/>
      <c r="X53" s="102"/>
      <c r="Y53" s="102"/>
      <c r="Z53" s="103"/>
      <c r="AA53" s="102"/>
      <c r="AB53" s="102"/>
      <c r="AC53" s="102"/>
      <c r="AD53" s="102"/>
    </row>
    <row r="54" spans="23:30" ht="12.75">
      <c r="W54" s="102"/>
      <c r="X54" s="102"/>
      <c r="Y54" s="102"/>
      <c r="Z54" s="103"/>
      <c r="AA54" s="102"/>
      <c r="AB54" s="102"/>
      <c r="AC54" s="102"/>
      <c r="AD54" s="102"/>
    </row>
    <row r="55" spans="23:30" ht="12.75">
      <c r="W55" s="102"/>
      <c r="X55" s="102"/>
      <c r="Y55" s="102"/>
      <c r="Z55" s="103"/>
      <c r="AA55" s="102"/>
      <c r="AB55" s="102"/>
      <c r="AC55" s="102"/>
      <c r="AD55" s="102"/>
    </row>
    <row r="56" spans="23:30" ht="12.75">
      <c r="W56" s="102"/>
      <c r="X56" s="102"/>
      <c r="Y56" s="102"/>
      <c r="Z56" s="103"/>
      <c r="AA56" s="102"/>
      <c r="AB56" s="102"/>
      <c r="AC56" s="102"/>
      <c r="AD56" s="102"/>
    </row>
    <row r="57" spans="23:30" ht="12.75">
      <c r="W57" s="102"/>
      <c r="X57" s="102"/>
      <c r="Y57" s="102"/>
      <c r="Z57" s="103"/>
      <c r="AA57" s="102"/>
      <c r="AB57" s="102"/>
      <c r="AC57" s="102"/>
      <c r="AD57" s="102"/>
    </row>
    <row r="58" spans="23:30" ht="12.75">
      <c r="W58" s="102"/>
      <c r="X58" s="102"/>
      <c r="Y58" s="102"/>
      <c r="Z58" s="103"/>
      <c r="AA58" s="102"/>
      <c r="AB58" s="102"/>
      <c r="AC58" s="102"/>
      <c r="AD58" s="102"/>
    </row>
    <row r="59" spans="23:30" ht="12.75">
      <c r="W59" s="102"/>
      <c r="X59" s="102"/>
      <c r="Y59" s="102"/>
      <c r="Z59" s="103"/>
      <c r="AA59" s="102"/>
      <c r="AB59" s="102"/>
      <c r="AC59" s="102"/>
      <c r="AD59" s="102"/>
    </row>
    <row r="60" spans="23:30" ht="12.75">
      <c r="W60" s="102"/>
      <c r="X60" s="102"/>
      <c r="Y60" s="102"/>
      <c r="Z60" s="103"/>
      <c r="AA60" s="102"/>
      <c r="AB60" s="102"/>
      <c r="AC60" s="102"/>
      <c r="AD60" s="102"/>
    </row>
    <row r="61" spans="23:30" ht="12.75">
      <c r="W61" s="102"/>
      <c r="X61" s="102"/>
      <c r="Y61" s="102"/>
      <c r="Z61" s="103"/>
      <c r="AA61" s="102"/>
      <c r="AB61" s="102"/>
      <c r="AC61" s="102"/>
      <c r="AD61" s="102"/>
    </row>
    <row r="62" spans="23:30" ht="12.75">
      <c r="W62" s="102"/>
      <c r="X62" s="102"/>
      <c r="Y62" s="102"/>
      <c r="Z62" s="103"/>
      <c r="AA62" s="102"/>
      <c r="AB62" s="102"/>
      <c r="AC62" s="102"/>
      <c r="AD62" s="102"/>
    </row>
    <row r="63" spans="23:30" ht="12.75">
      <c r="W63" s="102"/>
      <c r="X63" s="102"/>
      <c r="Y63" s="102"/>
      <c r="Z63" s="103"/>
      <c r="AA63" s="102"/>
      <c r="AB63" s="102"/>
      <c r="AC63" s="102"/>
      <c r="AD63" s="102"/>
    </row>
    <row r="64" spans="23:30" ht="12.75">
      <c r="W64" s="102"/>
      <c r="X64" s="102"/>
      <c r="Y64" s="102"/>
      <c r="Z64" s="103"/>
      <c r="AA64" s="102"/>
      <c r="AB64" s="102"/>
      <c r="AC64" s="102"/>
      <c r="AD64" s="102"/>
    </row>
    <row r="65" spans="23:30" ht="12.75">
      <c r="W65" s="102"/>
      <c r="X65" s="102"/>
      <c r="Y65" s="102"/>
      <c r="Z65" s="103"/>
      <c r="AA65" s="102"/>
      <c r="AB65" s="102"/>
      <c r="AC65" s="102"/>
      <c r="AD65" s="102"/>
    </row>
    <row r="66" spans="23:30" ht="12.75">
      <c r="W66" s="102"/>
      <c r="X66" s="102"/>
      <c r="Y66" s="102"/>
      <c r="Z66" s="103"/>
      <c r="AA66" s="102"/>
      <c r="AB66" s="102"/>
      <c r="AC66" s="102"/>
      <c r="AD66" s="102"/>
    </row>
    <row r="67" spans="23:30" ht="12.75">
      <c r="W67" s="102"/>
      <c r="X67" s="102"/>
      <c r="Y67" s="102"/>
      <c r="Z67" s="103"/>
      <c r="AA67" s="102"/>
      <c r="AB67" s="102"/>
      <c r="AC67" s="102"/>
      <c r="AD67" s="102"/>
    </row>
    <row r="68" spans="23:30" ht="12.75">
      <c r="W68" s="102"/>
      <c r="X68" s="102"/>
      <c r="Y68" s="102"/>
      <c r="Z68" s="103"/>
      <c r="AA68" s="102"/>
      <c r="AB68" s="102"/>
      <c r="AC68" s="102"/>
      <c r="AD68" s="102"/>
    </row>
    <row r="69" spans="23:30" ht="12.75">
      <c r="W69" s="102"/>
      <c r="X69" s="102"/>
      <c r="Y69" s="102"/>
      <c r="Z69" s="103"/>
      <c r="AA69" s="102"/>
      <c r="AB69" s="102"/>
      <c r="AC69" s="102"/>
      <c r="AD69" s="102"/>
    </row>
    <row r="70" spans="23:30" ht="12.75">
      <c r="W70" s="102"/>
      <c r="X70" s="102"/>
      <c r="Y70" s="102"/>
      <c r="Z70" s="103"/>
      <c r="AA70" s="102"/>
      <c r="AB70" s="102"/>
      <c r="AC70" s="102"/>
      <c r="AD70" s="102"/>
    </row>
    <row r="71" spans="23:30" ht="12.75">
      <c r="W71" s="102"/>
      <c r="X71" s="102"/>
      <c r="Y71" s="102"/>
      <c r="Z71" s="103"/>
      <c r="AA71" s="102"/>
      <c r="AB71" s="102"/>
      <c r="AC71" s="102"/>
      <c r="AD71" s="102"/>
    </row>
    <row r="72" spans="23:30" ht="12.75">
      <c r="W72" s="102"/>
      <c r="X72" s="102"/>
      <c r="Y72" s="102"/>
      <c r="Z72" s="103"/>
      <c r="AA72" s="102"/>
      <c r="AB72" s="102"/>
      <c r="AC72" s="102"/>
      <c r="AD72" s="102"/>
    </row>
    <row r="73" spans="23:30" ht="12.75">
      <c r="W73" s="102"/>
      <c r="X73" s="102"/>
      <c r="Y73" s="102"/>
      <c r="Z73" s="103"/>
      <c r="AA73" s="102"/>
      <c r="AB73" s="102"/>
      <c r="AC73" s="102"/>
      <c r="AD73" s="102"/>
    </row>
    <row r="74" spans="23:30" ht="12.75">
      <c r="W74" s="102"/>
      <c r="X74" s="102"/>
      <c r="Y74" s="102"/>
      <c r="Z74" s="103"/>
      <c r="AA74" s="102"/>
      <c r="AB74" s="102"/>
      <c r="AC74" s="102"/>
      <c r="AD74" s="102"/>
    </row>
    <row r="75" spans="23:30" ht="12.75">
      <c r="W75" s="102"/>
      <c r="X75" s="102"/>
      <c r="Y75" s="102"/>
      <c r="Z75" s="103"/>
      <c r="AA75" s="102"/>
      <c r="AB75" s="102"/>
      <c r="AC75" s="102"/>
      <c r="AD75" s="102"/>
    </row>
    <row r="76" spans="23:30" ht="12.75">
      <c r="W76" s="102"/>
      <c r="X76" s="102"/>
      <c r="Y76" s="102"/>
      <c r="Z76" s="103"/>
      <c r="AA76" s="102"/>
      <c r="AB76" s="102"/>
      <c r="AC76" s="102"/>
      <c r="AD76" s="102"/>
    </row>
    <row r="77" spans="23:30" ht="12.75">
      <c r="W77" s="102"/>
      <c r="X77" s="102"/>
      <c r="Y77" s="102"/>
      <c r="Z77" s="103"/>
      <c r="AA77" s="102"/>
      <c r="AB77" s="102"/>
      <c r="AC77" s="102"/>
      <c r="AD77" s="102"/>
    </row>
    <row r="78" spans="23:30" ht="12.75">
      <c r="W78" s="102"/>
      <c r="X78" s="102"/>
      <c r="Y78" s="102"/>
      <c r="Z78" s="103"/>
      <c r="AA78" s="102"/>
      <c r="AB78" s="102"/>
      <c r="AC78" s="102"/>
      <c r="AD78" s="102"/>
    </row>
    <row r="79" spans="23:30" ht="12.75">
      <c r="W79" s="102"/>
      <c r="X79" s="102"/>
      <c r="Y79" s="102"/>
      <c r="Z79" s="103"/>
      <c r="AA79" s="102"/>
      <c r="AB79" s="102"/>
      <c r="AC79" s="102"/>
      <c r="AD79" s="102"/>
    </row>
    <row r="80" spans="23:30" ht="12.75">
      <c r="W80" s="102"/>
      <c r="X80" s="102"/>
      <c r="Y80" s="102"/>
      <c r="Z80" s="103"/>
      <c r="AA80" s="102"/>
      <c r="AB80" s="102"/>
      <c r="AC80" s="102"/>
      <c r="AD80" s="102"/>
    </row>
  </sheetData>
  <sheetProtection/>
  <mergeCells count="2">
    <mergeCell ref="E1:F1"/>
    <mergeCell ref="E2:F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2:S86"/>
  <sheetViews>
    <sheetView zoomScalePageLayoutView="0" workbookViewId="0" topLeftCell="I48">
      <selection activeCell="J81" sqref="J81"/>
    </sheetView>
  </sheetViews>
  <sheetFormatPr defaultColWidth="9.140625" defaultRowHeight="12.75"/>
  <cols>
    <col min="1" max="1" width="11.00390625" style="0" customWidth="1"/>
    <col min="2" max="3" width="18.00390625" style="1" customWidth="1"/>
    <col min="4" max="5" width="18.00390625" style="1" hidden="1" customWidth="1"/>
    <col min="6" max="6" width="15.7109375" style="1" customWidth="1"/>
    <col min="7" max="7" width="15.7109375" style="6" customWidth="1"/>
    <col min="8" max="8" width="15.00390625" style="6" customWidth="1"/>
    <col min="9" max="10" width="14.140625" style="6" bestFit="1" customWidth="1"/>
    <col min="11" max="11" width="14.140625" style="6" customWidth="1"/>
    <col min="12" max="12" width="14.7109375" style="6" customWidth="1"/>
    <col min="13" max="13" width="12.57421875" style="6" customWidth="1"/>
    <col min="14" max="14" width="12.7109375" style="6" bestFit="1" customWidth="1"/>
    <col min="15" max="15" width="11.140625" style="6" bestFit="1" customWidth="1"/>
    <col min="16" max="16" width="11.7109375" style="6" bestFit="1" customWidth="1"/>
    <col min="17" max="17" width="10.7109375" style="6" bestFit="1" customWidth="1"/>
    <col min="18" max="18" width="9.140625" style="6" customWidth="1"/>
    <col min="19" max="19" width="11.140625" style="6" bestFit="1" customWidth="1"/>
  </cols>
  <sheetData>
    <row r="1" ht="12.75"/>
    <row r="2" spans="2:13" ht="42" customHeight="1">
      <c r="B2" s="2" t="s">
        <v>7</v>
      </c>
      <c r="C2" s="2" t="s">
        <v>8</v>
      </c>
      <c r="D2" s="2" t="s">
        <v>39</v>
      </c>
      <c r="E2" s="2" t="s">
        <v>9</v>
      </c>
      <c r="F2" s="2" t="s">
        <v>1</v>
      </c>
      <c r="G2" s="7" t="s">
        <v>2</v>
      </c>
      <c r="H2" s="40" t="s">
        <v>59</v>
      </c>
      <c r="I2" s="41" t="s">
        <v>60</v>
      </c>
      <c r="J2" s="193" t="s">
        <v>186</v>
      </c>
      <c r="K2" s="41" t="s">
        <v>68</v>
      </c>
      <c r="L2" s="41" t="s">
        <v>63</v>
      </c>
      <c r="M2" s="42" t="s">
        <v>61</v>
      </c>
    </row>
    <row r="3" ht="12.75"/>
    <row r="4" spans="1:2" ht="12.75">
      <c r="A4" s="16"/>
      <c r="B4" s="36" t="s">
        <v>41</v>
      </c>
    </row>
    <row r="5" spans="2:19" ht="12.75">
      <c r="B5"/>
      <c r="C5"/>
      <c r="D5"/>
      <c r="E5"/>
      <c r="F5"/>
      <c r="G5"/>
      <c r="H5"/>
      <c r="I5"/>
      <c r="J5"/>
      <c r="K5"/>
      <c r="L5"/>
      <c r="M5"/>
      <c r="N5"/>
      <c r="O5"/>
      <c r="P5"/>
      <c r="Q5"/>
      <c r="R5"/>
      <c r="S5"/>
    </row>
    <row r="6" ht="12.75"/>
    <row r="7" spans="1:19" s="29" customFormat="1" ht="12.75">
      <c r="A7" s="29">
        <f>'Purchased Power Model '!A149</f>
        <v>2006</v>
      </c>
      <c r="B7" s="25">
        <f>'Purchased Power Model '!B149</f>
        <v>1022795092.0059999</v>
      </c>
      <c r="C7" s="25">
        <f>'Purchased Power Model '!M149</f>
        <v>987312085.8367729</v>
      </c>
      <c r="D7" s="66">
        <f aca="true" t="shared" si="0" ref="D7:D15">C7-B7</f>
        <v>-35483006.169227004</v>
      </c>
      <c r="E7" s="288">
        <f aca="true" t="shared" si="1" ref="E7:E16">D7/B7</f>
        <v>-0.03469219440585549</v>
      </c>
      <c r="F7" s="45">
        <f aca="true" t="shared" si="2" ref="F7:F15">1+(B7-G7)/G7</f>
        <v>1.035667931741926</v>
      </c>
      <c r="G7" s="289">
        <f aca="true" t="shared" si="3" ref="G7:G15">SUM(H7:M7)</f>
        <v>987570495</v>
      </c>
      <c r="H7" s="25">
        <v>281767239</v>
      </c>
      <c r="I7" s="25">
        <v>102615621</v>
      </c>
      <c r="J7" s="25">
        <v>594077901</v>
      </c>
      <c r="K7" s="25">
        <v>0</v>
      </c>
      <c r="L7" s="25">
        <v>6975374</v>
      </c>
      <c r="M7" s="25">
        <v>2134360</v>
      </c>
      <c r="N7" s="25"/>
      <c r="O7" s="25"/>
      <c r="P7" s="25"/>
      <c r="Q7" s="25"/>
      <c r="R7" s="25"/>
      <c r="S7" s="25"/>
    </row>
    <row r="8" spans="1:19" s="29" customFormat="1" ht="12.75">
      <c r="A8" s="29">
        <f>'Purchased Power Model '!A150</f>
        <v>2007</v>
      </c>
      <c r="B8" s="25">
        <f>'Purchased Power Model '!B150</f>
        <v>1043014996.6977228</v>
      </c>
      <c r="C8" s="25">
        <f>'Purchased Power Model '!M150</f>
        <v>1010478553.6991246</v>
      </c>
      <c r="D8" s="66">
        <f t="shared" si="0"/>
        <v>-32536442.998598218</v>
      </c>
      <c r="E8" s="288">
        <f t="shared" si="1"/>
        <v>-0.03119460707814505</v>
      </c>
      <c r="F8" s="45">
        <f t="shared" si="2"/>
        <v>1.0379996925452522</v>
      </c>
      <c r="G8" s="289">
        <f t="shared" si="3"/>
        <v>1004831701</v>
      </c>
      <c r="H8" s="25">
        <v>285310578</v>
      </c>
      <c r="I8" s="25">
        <v>105113198</v>
      </c>
      <c r="J8" s="25">
        <v>605456649</v>
      </c>
      <c r="K8" s="25">
        <v>0</v>
      </c>
      <c r="L8" s="25">
        <v>7101501</v>
      </c>
      <c r="M8" s="25">
        <v>1849775</v>
      </c>
      <c r="N8" s="25"/>
      <c r="O8" s="25"/>
      <c r="P8" s="25"/>
      <c r="Q8" s="25"/>
      <c r="R8" s="25"/>
      <c r="S8" s="25"/>
    </row>
    <row r="9" spans="1:19" s="29" customFormat="1" ht="12.75">
      <c r="A9" s="29">
        <f>'Purchased Power Model '!A151</f>
        <v>2008</v>
      </c>
      <c r="B9" s="25">
        <f>'Purchased Power Model '!B151</f>
        <v>1013423329.7209052</v>
      </c>
      <c r="C9" s="25">
        <f>'Purchased Power Model '!M151</f>
        <v>991464070.4996934</v>
      </c>
      <c r="D9" s="66">
        <f t="shared" si="0"/>
        <v>-21959259.22121179</v>
      </c>
      <c r="E9" s="288">
        <f t="shared" si="1"/>
        <v>-0.021668397181323355</v>
      </c>
      <c r="F9" s="45">
        <f t="shared" si="2"/>
        <v>1.0363428233343477</v>
      </c>
      <c r="G9" s="289">
        <f t="shared" si="3"/>
        <v>977884255</v>
      </c>
      <c r="H9" s="25">
        <v>278923645</v>
      </c>
      <c r="I9" s="25">
        <v>104110563</v>
      </c>
      <c r="J9" s="25">
        <v>585927516</v>
      </c>
      <c r="K9" s="25">
        <v>0</v>
      </c>
      <c r="L9" s="25">
        <v>7240798</v>
      </c>
      <c r="M9" s="25">
        <v>1681733</v>
      </c>
      <c r="N9" s="25"/>
      <c r="O9" s="25"/>
      <c r="P9" s="25"/>
      <c r="Q9" s="25"/>
      <c r="R9" s="25"/>
      <c r="S9" s="25"/>
    </row>
    <row r="10" spans="1:19" s="29" customFormat="1" ht="12.75">
      <c r="A10" s="29">
        <f>'Purchased Power Model '!A152</f>
        <v>2009</v>
      </c>
      <c r="B10" s="25">
        <f>'Purchased Power Model '!B152</f>
        <v>940830205.04</v>
      </c>
      <c r="C10" s="25">
        <f>'Purchased Power Model '!M152</f>
        <v>951892668.3263597</v>
      </c>
      <c r="D10" s="66">
        <f t="shared" si="0"/>
        <v>11062463.286359787</v>
      </c>
      <c r="E10" s="288">
        <f t="shared" si="1"/>
        <v>0.01175819316503498</v>
      </c>
      <c r="F10" s="45">
        <f t="shared" si="2"/>
        <v>1.031197348076179</v>
      </c>
      <c r="G10" s="289">
        <f t="shared" si="3"/>
        <v>912366781</v>
      </c>
      <c r="H10" s="25">
        <v>275417341</v>
      </c>
      <c r="I10" s="25">
        <v>99603717</v>
      </c>
      <c r="J10" s="25">
        <v>528476684</v>
      </c>
      <c r="K10" s="25">
        <v>0</v>
      </c>
      <c r="L10" s="25">
        <v>7316579</v>
      </c>
      <c r="M10" s="25">
        <v>1552460</v>
      </c>
      <c r="N10" s="25"/>
      <c r="O10" s="25"/>
      <c r="P10" s="25"/>
      <c r="Q10" s="25"/>
      <c r="R10" s="25"/>
      <c r="S10" s="25"/>
    </row>
    <row r="11" spans="1:19" s="29" customFormat="1" ht="12.75">
      <c r="A11" s="29">
        <f>'Purchased Power Model '!A153</f>
        <v>2010</v>
      </c>
      <c r="B11" s="25">
        <f>'Purchased Power Model '!B153</f>
        <v>950759112.6500769</v>
      </c>
      <c r="C11" s="25">
        <f>'Purchased Power Model '!M153</f>
        <v>971441399.1870096</v>
      </c>
      <c r="D11" s="66">
        <f>C11-B11</f>
        <v>20682286.536932707</v>
      </c>
      <c r="E11" s="288">
        <f>D11/B11</f>
        <v>0.021753445496077765</v>
      </c>
      <c r="F11" s="45">
        <f t="shared" si="2"/>
        <v>1.0366229412525825</v>
      </c>
      <c r="G11" s="289">
        <f t="shared" si="3"/>
        <v>917169662</v>
      </c>
      <c r="H11" s="25">
        <v>287357342</v>
      </c>
      <c r="I11" s="25">
        <v>98691975</v>
      </c>
      <c r="J11" s="25">
        <v>521725747</v>
      </c>
      <c r="K11" s="25">
        <v>480615</v>
      </c>
      <c r="L11" s="25">
        <v>7354351</v>
      </c>
      <c r="M11" s="25">
        <v>1559632</v>
      </c>
      <c r="N11" s="25"/>
      <c r="O11" s="25"/>
      <c r="P11" s="25"/>
      <c r="Q11" s="25"/>
      <c r="R11" s="25"/>
      <c r="S11" s="25"/>
    </row>
    <row r="12" spans="1:19" s="29" customFormat="1" ht="12.75">
      <c r="A12" s="29">
        <f>'Purchased Power Model '!A154</f>
        <v>2011</v>
      </c>
      <c r="B12" s="25">
        <f>'Purchased Power Model '!B154</f>
        <v>944902732.1238462</v>
      </c>
      <c r="C12" s="25">
        <f>'Purchased Power Model '!M154</f>
        <v>985304804.0978585</v>
      </c>
      <c r="D12" s="66">
        <f t="shared" si="0"/>
        <v>40402071.974012375</v>
      </c>
      <c r="E12" s="288">
        <f t="shared" si="1"/>
        <v>0.042757916344681464</v>
      </c>
      <c r="F12" s="45">
        <f t="shared" si="2"/>
        <v>1.0278943996713807</v>
      </c>
      <c r="G12" s="289">
        <f t="shared" si="3"/>
        <v>919260512</v>
      </c>
      <c r="H12" s="25">
        <v>291380972</v>
      </c>
      <c r="I12" s="25">
        <v>99001655</v>
      </c>
      <c r="J12" s="25">
        <v>519515098</v>
      </c>
      <c r="K12" s="25">
        <v>475427</v>
      </c>
      <c r="L12" s="25">
        <v>7330830</v>
      </c>
      <c r="M12" s="25">
        <v>1556530</v>
      </c>
      <c r="N12" s="25"/>
      <c r="O12" s="25"/>
      <c r="P12" s="25"/>
      <c r="Q12" s="25"/>
      <c r="R12" s="25"/>
      <c r="S12" s="25"/>
    </row>
    <row r="13" spans="1:19" s="29" customFormat="1" ht="12.75">
      <c r="A13" s="29">
        <f>'Purchased Power Model '!A155</f>
        <v>2012</v>
      </c>
      <c r="B13" s="25">
        <f>'Purchased Power Model '!B155</f>
        <v>964379230.7051749</v>
      </c>
      <c r="C13" s="25">
        <f>'Purchased Power Model '!M155</f>
        <v>989253301.3684258</v>
      </c>
      <c r="D13" s="66">
        <f t="shared" si="0"/>
        <v>24874070.663250923</v>
      </c>
      <c r="E13" s="288">
        <f t="shared" si="1"/>
        <v>0.02579283115114628</v>
      </c>
      <c r="F13" s="45">
        <f t="shared" si="2"/>
        <v>1.0299682978725877</v>
      </c>
      <c r="G13" s="289">
        <f t="shared" si="3"/>
        <v>936319334</v>
      </c>
      <c r="H13" s="25">
        <v>287058174</v>
      </c>
      <c r="I13" s="25">
        <v>100340238</v>
      </c>
      <c r="J13" s="25">
        <v>539521215</v>
      </c>
      <c r="K13" s="25">
        <v>459394</v>
      </c>
      <c r="L13" s="25">
        <v>7395374</v>
      </c>
      <c r="M13" s="25">
        <v>1544939</v>
      </c>
      <c r="N13" s="25"/>
      <c r="O13" s="25"/>
      <c r="P13" s="25"/>
      <c r="Q13" s="25"/>
      <c r="R13" s="25"/>
      <c r="S13" s="25"/>
    </row>
    <row r="14" spans="1:19" s="29" customFormat="1" ht="12.75">
      <c r="A14" s="29">
        <f>'Purchased Power Model '!A156</f>
        <v>2013</v>
      </c>
      <c r="B14" s="25">
        <f>'Purchased Power Model '!B156</f>
        <v>961335479.0000001</v>
      </c>
      <c r="C14" s="25">
        <f>'Purchased Power Model '!M156</f>
        <v>971777023.9012134</v>
      </c>
      <c r="D14" s="66">
        <f t="shared" si="0"/>
        <v>10441544.901213288</v>
      </c>
      <c r="E14" s="288">
        <f t="shared" si="1"/>
        <v>0.010861499579808274</v>
      </c>
      <c r="F14" s="45">
        <f t="shared" si="2"/>
        <v>1.0377678759158604</v>
      </c>
      <c r="G14" s="289">
        <f t="shared" si="3"/>
        <v>926349236</v>
      </c>
      <c r="H14" s="25">
        <v>282501947</v>
      </c>
      <c r="I14" s="25">
        <v>99838335</v>
      </c>
      <c r="J14" s="25">
        <v>534621114</v>
      </c>
      <c r="K14" s="25">
        <v>448778</v>
      </c>
      <c r="L14" s="25">
        <v>7386717</v>
      </c>
      <c r="M14" s="25">
        <v>1552345</v>
      </c>
      <c r="N14" s="25"/>
      <c r="O14" s="25"/>
      <c r="P14" s="25"/>
      <c r="Q14" s="25"/>
      <c r="R14" s="25"/>
      <c r="S14" s="25"/>
    </row>
    <row r="15" spans="1:19" s="29" customFormat="1" ht="12.75">
      <c r="A15" s="29">
        <v>2014</v>
      </c>
      <c r="B15" s="25">
        <f>'Purchased Power Model '!B157</f>
        <v>913546785.3566668</v>
      </c>
      <c r="C15" s="25">
        <f>'Purchased Power Model '!M157</f>
        <v>928986220.4144613</v>
      </c>
      <c r="D15" s="66">
        <f t="shared" si="0"/>
        <v>15439435.057794452</v>
      </c>
      <c r="E15" s="288">
        <f t="shared" si="1"/>
        <v>0.01690054117126206</v>
      </c>
      <c r="F15" s="45">
        <f t="shared" si="2"/>
        <v>1.0268959286730257</v>
      </c>
      <c r="G15" s="289">
        <f t="shared" si="3"/>
        <v>889619639</v>
      </c>
      <c r="H15" s="25">
        <v>282925750</v>
      </c>
      <c r="I15" s="25">
        <v>99356580</v>
      </c>
      <c r="J15" s="25">
        <v>497985709</v>
      </c>
      <c r="K15" s="25">
        <v>445147</v>
      </c>
      <c r="L15" s="25">
        <v>7378259</v>
      </c>
      <c r="M15" s="25">
        <v>1528194</v>
      </c>
      <c r="N15" s="25"/>
      <c r="O15" s="25"/>
      <c r="P15" s="25"/>
      <c r="Q15" s="25"/>
      <c r="R15" s="25"/>
      <c r="S15" s="25"/>
    </row>
    <row r="16" spans="1:19" s="29" customFormat="1" ht="12.75">
      <c r="A16" s="29">
        <v>2015</v>
      </c>
      <c r="B16" s="25">
        <f>'Purchased Power Model '!B158</f>
        <v>920489866.9830768</v>
      </c>
      <c r="C16" s="25">
        <f>'Purchased Power Model '!M158</f>
        <v>903313108.8975948</v>
      </c>
      <c r="D16" s="66">
        <f>C16-B16</f>
        <v>-17176758.085482</v>
      </c>
      <c r="E16" s="288">
        <f t="shared" si="1"/>
        <v>-0.01866045320170569</v>
      </c>
      <c r="F16" s="45">
        <f>1+(B16-G16)/G16</f>
        <v>1.0172373905888383</v>
      </c>
      <c r="G16" s="289">
        <f>SUM(H16:M16)</f>
        <v>904891892</v>
      </c>
      <c r="H16" s="25">
        <v>287594336</v>
      </c>
      <c r="I16" s="25">
        <v>100078635</v>
      </c>
      <c r="J16" s="25">
        <v>507886846</v>
      </c>
      <c r="K16" s="25">
        <v>446247</v>
      </c>
      <c r="L16" s="25">
        <v>7369714</v>
      </c>
      <c r="M16" s="25">
        <v>1516114</v>
      </c>
      <c r="N16" s="25"/>
      <c r="O16" s="221"/>
      <c r="P16" s="25"/>
      <c r="Q16" s="25"/>
      <c r="R16" s="25"/>
      <c r="S16" s="25"/>
    </row>
    <row r="17" spans="1:7" ht="12.75">
      <c r="A17">
        <v>2016</v>
      </c>
      <c r="B17" s="6"/>
      <c r="C17" s="6">
        <f>'Purchased Power Model '!M159</f>
        <v>918491576.43463</v>
      </c>
      <c r="G17" s="19">
        <f>C17/$F$21</f>
        <v>890218708.3345714</v>
      </c>
    </row>
    <row r="18" spans="1:7" ht="12.75">
      <c r="A18">
        <v>2017</v>
      </c>
      <c r="B18" s="6"/>
      <c r="C18" s="6">
        <f>'Purchased Power Model '!M160</f>
        <v>945357099.975493</v>
      </c>
      <c r="G18" s="19">
        <f>C18/$F$21</f>
        <v>916257261.4132137</v>
      </c>
    </row>
    <row r="19" spans="2:7" ht="12.75">
      <c r="B19" s="6"/>
      <c r="C19" s="6"/>
      <c r="G19" s="25"/>
    </row>
    <row r="20" ht="12.75">
      <c r="I20" s="23"/>
    </row>
    <row r="21" spans="1:6" ht="12.75">
      <c r="A21" s="17" t="s">
        <v>11</v>
      </c>
      <c r="F21" s="44">
        <f>AVERAGE(F7:F16)</f>
        <v>1.031759462967198</v>
      </c>
    </row>
    <row r="22" spans="5:7" ht="12.75">
      <c r="E22" s="16"/>
      <c r="F22" s="16" t="s">
        <v>70</v>
      </c>
      <c r="G22" s="19"/>
    </row>
    <row r="23" ht="12.75"/>
    <row r="24" spans="1:2" ht="12.75">
      <c r="A24" s="20" t="s">
        <v>13</v>
      </c>
      <c r="B24" s="12"/>
    </row>
    <row r="25" spans="3:5" ht="12.75">
      <c r="C25" s="232">
        <f>C17/C16-1</f>
        <v>0.01680310779012051</v>
      </c>
      <c r="D25" s="232"/>
      <c r="E25" s="232">
        <f>G17/G16-1</f>
        <v>-0.016215399646247075</v>
      </c>
    </row>
    <row r="26" spans="1:13" ht="12.75">
      <c r="A26">
        <f aca="true" t="shared" si="4" ref="A26:A33">A7</f>
        <v>2006</v>
      </c>
      <c r="H26" s="25">
        <f>H7/'Rate Class Customer Model'!B3</f>
        <v>8590.464603658536</v>
      </c>
      <c r="I26" s="25">
        <f>I7/'Rate Class Customer Model'!C3</f>
        <v>40304.64296936371</v>
      </c>
      <c r="J26" s="25">
        <f>J7/'Rate Class Customer Model'!D3</f>
        <v>1490785.1969887076</v>
      </c>
      <c r="K26" s="25">
        <f>K7/'Rate Class Customer Model'!E3</f>
        <v>0</v>
      </c>
      <c r="L26" s="25">
        <f>L7/'Rate Class Customer Model'!F3</f>
        <v>744.7548579970105</v>
      </c>
      <c r="M26" s="25">
        <f>M7/'Rate Class Customer Model'!G3</f>
        <v>4685.751920965971</v>
      </c>
    </row>
    <row r="27" spans="1:13" ht="12.75">
      <c r="A27">
        <f t="shared" si="4"/>
        <v>2007</v>
      </c>
      <c r="H27" s="25">
        <f>H8/'Rate Class Customer Model'!B4</f>
        <v>8577.286755753303</v>
      </c>
      <c r="I27" s="25">
        <f>I8/'Rate Class Customer Model'!C4</f>
        <v>39815.6053030303</v>
      </c>
      <c r="J27" s="25">
        <f>J8/'Rate Class Customer Model'!D4</f>
        <v>1480334.1051344743</v>
      </c>
      <c r="K27" s="25">
        <f>K8/'Rate Class Customer Model'!E4</f>
        <v>0</v>
      </c>
      <c r="L27" s="25">
        <f>L8/'Rate Class Customer Model'!F4</f>
        <v>739.5856071651739</v>
      </c>
      <c r="M27" s="25">
        <f>M8/'Rate Class Customer Model'!G4</f>
        <v>4213.6104783599085</v>
      </c>
    </row>
    <row r="28" spans="1:13" ht="12.75">
      <c r="A28">
        <f t="shared" si="4"/>
        <v>2008</v>
      </c>
      <c r="H28" s="25">
        <f>H9/'Rate Class Customer Model'!B5</f>
        <v>8280.720382383066</v>
      </c>
      <c r="I28" s="25">
        <f>I9/'Rate Class Customer Model'!C5</f>
        <v>38530.92635085122</v>
      </c>
      <c r="J28" s="25">
        <f>J9/'Rate Class Customer Model'!D5</f>
        <v>1439625.3464373464</v>
      </c>
      <c r="K28" s="25">
        <f>K9/'Rate Class Customer Model'!E5</f>
        <v>0</v>
      </c>
      <c r="L28" s="25">
        <f>L9/'Rate Class Customer Model'!F5</f>
        <v>743.4084188911704</v>
      </c>
      <c r="M28" s="25">
        <f>M9/'Rate Class Customer Model'!G5</f>
        <v>3804.8257918552035</v>
      </c>
    </row>
    <row r="29" spans="1:13" ht="12.75">
      <c r="A29">
        <f t="shared" si="4"/>
        <v>2009</v>
      </c>
      <c r="H29" s="25">
        <f>H10/'Rate Class Customer Model'!B6</f>
        <v>8113.1570094559165</v>
      </c>
      <c r="I29" s="25">
        <f>I10/'Rate Class Customer Model'!C6</f>
        <v>36842.5067505086</v>
      </c>
      <c r="J29" s="25">
        <f>J10/'Rate Class Customer Model'!D6</f>
        <v>1293700.5728274174</v>
      </c>
      <c r="K29" s="25">
        <f>K10/'Rate Class Customer Model'!E6</f>
        <v>0</v>
      </c>
      <c r="L29" s="25">
        <f>L10/'Rate Class Customer Model'!F6</f>
        <v>742.6491067803491</v>
      </c>
      <c r="M29" s="25">
        <f>M10/'Rate Class Customer Model'!G6</f>
        <v>3496.5315315315315</v>
      </c>
    </row>
    <row r="30" spans="1:13" ht="12.75">
      <c r="A30">
        <f t="shared" si="4"/>
        <v>2010</v>
      </c>
      <c r="H30" s="25">
        <f>H11/'Rate Class Customer Model'!B7</f>
        <v>8388.525864082205</v>
      </c>
      <c r="I30" s="25">
        <f>I11/'Rate Class Customer Model'!C7</f>
        <v>36722.59534883721</v>
      </c>
      <c r="J30" s="25">
        <f>J11/'Rate Class Customer Model'!D7</f>
        <v>1251140.8800959233</v>
      </c>
      <c r="K30" s="25">
        <f>K11/'Rate Class Customer Model'!E7</f>
        <v>797.701244813278</v>
      </c>
      <c r="L30" s="25">
        <f>L11/'Rate Class Customer Model'!F7</f>
        <v>738.9079674470009</v>
      </c>
      <c r="M30" s="25">
        <f>M11/'Rate Class Customer Model'!G7</f>
        <v>3500.8574635241303</v>
      </c>
    </row>
    <row r="31" spans="1:13" ht="12.75">
      <c r="A31">
        <f t="shared" si="4"/>
        <v>2011</v>
      </c>
      <c r="H31" s="25">
        <f>H12/'Rate Class Customer Model'!B8</f>
        <v>8410.962445515688</v>
      </c>
      <c r="I31" s="25">
        <f>I12/'Rate Class Customer Model'!C8</f>
        <v>36545.46142488003</v>
      </c>
      <c r="J31" s="25">
        <f>J12/'Rate Class Customer Model'!D8</f>
        <v>1234002.6080760094</v>
      </c>
      <c r="K31" s="25">
        <f>K12/'Rate Class Customer Model'!E8</f>
        <v>766.1998388396454</v>
      </c>
      <c r="L31" s="25">
        <f>L12/'Rate Class Customer Model'!F8</f>
        <v>733.9637565078094</v>
      </c>
      <c r="M31" s="25">
        <f>M12/'Rate Class Customer Model'!G8</f>
        <v>3493.894500561167</v>
      </c>
    </row>
    <row r="32" spans="1:19" s="29" customFormat="1" ht="12.75">
      <c r="A32" s="29">
        <f t="shared" si="4"/>
        <v>2012</v>
      </c>
      <c r="B32" s="21"/>
      <c r="C32" s="21"/>
      <c r="D32" s="21"/>
      <c r="E32" s="21"/>
      <c r="F32" s="21"/>
      <c r="G32" s="25"/>
      <c r="H32" s="25">
        <f>H13/'Rate Class Customer Model'!B9</f>
        <v>8216.216555040357</v>
      </c>
      <c r="I32" s="25">
        <f>I13/'Rate Class Customer Model'!C9</f>
        <v>36781.612170087974</v>
      </c>
      <c r="J32" s="25">
        <f>J13/'Rate Class Customer Model'!D9</f>
        <v>1287640.1312649164</v>
      </c>
      <c r="K32" s="25">
        <f>K13/'Rate Class Customer Model'!E9</f>
        <v>735.0304</v>
      </c>
      <c r="L32" s="25">
        <f>L13/'Rate Class Customer Model'!F9</f>
        <v>729.758634300375</v>
      </c>
      <c r="M32" s="25">
        <f>M13/'Rate Class Customer Model'!G9</f>
        <v>3491.387570621469</v>
      </c>
      <c r="N32" s="25"/>
      <c r="O32" s="25"/>
      <c r="P32" s="25"/>
      <c r="Q32" s="25"/>
      <c r="R32" s="25"/>
      <c r="S32" s="25"/>
    </row>
    <row r="33" spans="1:19" s="29" customFormat="1" ht="12.75">
      <c r="A33" s="29">
        <f t="shared" si="4"/>
        <v>2013</v>
      </c>
      <c r="B33" s="21"/>
      <c r="C33" s="21"/>
      <c r="D33" s="21"/>
      <c r="E33" s="21"/>
      <c r="F33" s="21"/>
      <c r="G33" s="25"/>
      <c r="H33" s="25">
        <f>H14/'Rate Class Customer Model'!B10</f>
        <v>8019.813686108075</v>
      </c>
      <c r="I33" s="25">
        <f>I14/'Rate Class Customer Model'!C10</f>
        <v>36324.662543205384</v>
      </c>
      <c r="J33" s="25">
        <f>J14/'Rate Class Customer Model'!D10</f>
        <v>1262387.5182998818</v>
      </c>
      <c r="K33" s="25">
        <f>K14/'Rate Class Customer Model'!E10</f>
        <v>718.6196957566053</v>
      </c>
      <c r="L33" s="25">
        <f>L14/'Rate Class Customer Model'!F10</f>
        <v>721.9583638762645</v>
      </c>
      <c r="M33" s="25">
        <f>M14/'Rate Class Customer Model'!G10</f>
        <v>3548.217142857143</v>
      </c>
      <c r="N33" s="25"/>
      <c r="O33" s="25"/>
      <c r="P33" s="25"/>
      <c r="Q33" s="25"/>
      <c r="R33" s="25"/>
      <c r="S33" s="25"/>
    </row>
    <row r="34" spans="1:19" s="29" customFormat="1" ht="12.75">
      <c r="A34" s="29">
        <v>2014</v>
      </c>
      <c r="B34" s="21"/>
      <c r="C34" s="21"/>
      <c r="D34" s="21"/>
      <c r="E34" s="21"/>
      <c r="F34" s="21"/>
      <c r="G34" s="25"/>
      <c r="H34" s="25">
        <f>H15/'Rate Class Customer Model'!B11</f>
        <v>7974.456720877139</v>
      </c>
      <c r="I34" s="25">
        <f>I15/'Rate Class Customer Model'!C11</f>
        <v>35849.38841782428</v>
      </c>
      <c r="J34" s="25">
        <f>J15/'Rate Class Customer Model'!D11</f>
        <v>1152744.6967592593</v>
      </c>
      <c r="K34" s="25">
        <f>K15/'Rate Class Customer Model'!E11</f>
        <v>716.2461786001609</v>
      </c>
      <c r="L34" s="25">
        <f>L15/'Rate Class Customer Model'!F11</f>
        <v>709.994130100077</v>
      </c>
      <c r="M34" s="25">
        <f>M15/'Rate Class Customer Model'!G11</f>
        <v>3521.1843317972352</v>
      </c>
      <c r="N34" s="25"/>
      <c r="O34" s="25"/>
      <c r="P34" s="25"/>
      <c r="Q34" s="25"/>
      <c r="R34" s="25"/>
      <c r="S34" s="25"/>
    </row>
    <row r="35" spans="1:13" ht="12.75">
      <c r="A35">
        <v>2015</v>
      </c>
      <c r="H35" s="25">
        <f>H16/'Rate Class Customer Model'!B12</f>
        <v>8046.059731139928</v>
      </c>
      <c r="I35" s="25">
        <f>I16/'Rate Class Customer Model'!C12</f>
        <v>35947.785560344826</v>
      </c>
      <c r="J35" s="25">
        <f>J16/'Rate Class Customer Model'!D12</f>
        <v>1160884.2194285714</v>
      </c>
      <c r="K35" s="25">
        <f>K16/'Rate Class Customer Model'!E12</f>
        <v>721.498787388844</v>
      </c>
      <c r="L35" s="25">
        <f>L16/'Rate Class Customer Model'!F12</f>
        <v>693.1960682876359</v>
      </c>
      <c r="M35" s="25">
        <f>M16/'Rate Class Customer Model'!G12</f>
        <v>3521.751451800232</v>
      </c>
    </row>
    <row r="36" spans="1:13" ht="12.75">
      <c r="A36">
        <v>2016</v>
      </c>
      <c r="H36" s="19">
        <f aca="true" t="shared" si="5" ref="H36:M36">H35*H50</f>
        <v>7987.741202732386</v>
      </c>
      <c r="I36" s="19">
        <f t="shared" si="5"/>
        <v>35493.7442846414</v>
      </c>
      <c r="J36" s="19">
        <f t="shared" si="5"/>
        <v>1129066.0112035729</v>
      </c>
      <c r="K36" s="19">
        <f>K35*K50</f>
        <v>707.1550915604413</v>
      </c>
      <c r="L36" s="19">
        <f t="shared" si="5"/>
        <v>687.692319080479</v>
      </c>
      <c r="M36" s="19">
        <f t="shared" si="5"/>
        <v>3411.7612855282014</v>
      </c>
    </row>
    <row r="37" spans="1:13" ht="12.75">
      <c r="A37">
        <v>2017</v>
      </c>
      <c r="H37" s="19">
        <f aca="true" t="shared" si="6" ref="H37:M37">H36*H50</f>
        <v>7929.845372001629</v>
      </c>
      <c r="I37" s="19">
        <f t="shared" si="6"/>
        <v>35045.43781225976</v>
      </c>
      <c r="J37" s="19">
        <f t="shared" si="6"/>
        <v>1098119.8954385335</v>
      </c>
      <c r="K37" s="19">
        <f>K36*K50</f>
        <v>693.096554367942</v>
      </c>
      <c r="L37" s="19">
        <f t="shared" si="6"/>
        <v>682.2322678351558</v>
      </c>
      <c r="M37" s="19">
        <f t="shared" si="6"/>
        <v>3305.2062954297658</v>
      </c>
    </row>
    <row r="38" ht="12.75"/>
    <row r="39" spans="1:13" ht="12.75">
      <c r="A39" s="33">
        <v>2006</v>
      </c>
      <c r="D39" s="6"/>
      <c r="H39" s="23"/>
      <c r="I39" s="23"/>
      <c r="J39" s="23"/>
      <c r="K39" s="23"/>
      <c r="L39" s="23"/>
      <c r="M39" s="23"/>
    </row>
    <row r="40" spans="1:13" ht="12.75">
      <c r="A40" s="33">
        <v>2007</v>
      </c>
      <c r="D40" s="6"/>
      <c r="H40" s="23">
        <f aca="true" t="shared" si="7" ref="H40:J48">H27/H26</f>
        <v>0.9984659912457329</v>
      </c>
      <c r="I40" s="23">
        <f t="shared" si="7"/>
        <v>0.9878664682204198</v>
      </c>
      <c r="J40" s="23">
        <f t="shared" si="7"/>
        <v>0.9929895387508919</v>
      </c>
      <c r="K40" s="23"/>
      <c r="L40" s="23">
        <f aca="true" t="shared" si="8" ref="L40:M48">L27/L26</f>
        <v>0.9930591243865946</v>
      </c>
      <c r="M40" s="23">
        <f t="shared" si="8"/>
        <v>0.8992389160652084</v>
      </c>
    </row>
    <row r="41" spans="1:13" ht="12.75">
      <c r="A41" s="33">
        <v>2008</v>
      </c>
      <c r="D41" s="6"/>
      <c r="H41" s="23">
        <f t="shared" si="7"/>
        <v>0.9654242207570696</v>
      </c>
      <c r="I41" s="23">
        <f t="shared" si="7"/>
        <v>0.9677342855294654</v>
      </c>
      <c r="J41" s="23">
        <f t="shared" si="7"/>
        <v>0.9725002899305425</v>
      </c>
      <c r="K41" s="23"/>
      <c r="L41" s="23">
        <f t="shared" si="8"/>
        <v>1.0051688563013677</v>
      </c>
      <c r="M41" s="23">
        <f t="shared" si="8"/>
        <v>0.9029846995577486</v>
      </c>
    </row>
    <row r="42" spans="1:13" ht="12.75">
      <c r="A42" s="33">
        <v>2009</v>
      </c>
      <c r="D42" s="6"/>
      <c r="H42" s="23">
        <f t="shared" si="7"/>
        <v>0.9797646381969817</v>
      </c>
      <c r="I42" s="23">
        <f t="shared" si="7"/>
        <v>0.9561801451392999</v>
      </c>
      <c r="J42" s="23">
        <f t="shared" si="7"/>
        <v>0.8986369794258969</v>
      </c>
      <c r="K42" s="23"/>
      <c r="L42" s="23">
        <f t="shared" si="8"/>
        <v>0.9989786070596915</v>
      </c>
      <c r="M42" s="23">
        <f t="shared" si="8"/>
        <v>0.9189728315594312</v>
      </c>
    </row>
    <row r="43" spans="1:13" ht="12.75">
      <c r="A43" s="33">
        <v>2010</v>
      </c>
      <c r="D43" s="6"/>
      <c r="H43" s="23">
        <f t="shared" si="7"/>
        <v>1.033941023735316</v>
      </c>
      <c r="I43" s="23">
        <f t="shared" si="7"/>
        <v>0.9967452974228</v>
      </c>
      <c r="J43" s="23">
        <f t="shared" si="7"/>
        <v>0.9671023623043787</v>
      </c>
      <c r="K43" s="23"/>
      <c r="L43" s="23">
        <f t="shared" si="8"/>
        <v>0.9949624401360053</v>
      </c>
      <c r="M43" s="23">
        <f t="shared" si="8"/>
        <v>1.0012372066299382</v>
      </c>
    </row>
    <row r="44" spans="1:13" ht="12.75">
      <c r="A44" s="33">
        <v>2011</v>
      </c>
      <c r="D44" s="6"/>
      <c r="H44" s="23">
        <f t="shared" si="7"/>
        <v>1.0026746751213527</v>
      </c>
      <c r="I44" s="23">
        <f t="shared" si="7"/>
        <v>0.9951764323225376</v>
      </c>
      <c r="J44" s="23">
        <f t="shared" si="7"/>
        <v>0.9863018847097379</v>
      </c>
      <c r="K44" s="23">
        <f>K31/K30</f>
        <v>0.960509769567921</v>
      </c>
      <c r="L44" s="23">
        <f t="shared" si="8"/>
        <v>0.993308759470717</v>
      </c>
      <c r="M44" s="23">
        <f t="shared" si="8"/>
        <v>0.9980110692778809</v>
      </c>
    </row>
    <row r="45" spans="1:13" ht="12.75">
      <c r="A45" s="68">
        <v>2012</v>
      </c>
      <c r="D45" s="6"/>
      <c r="H45" s="23">
        <f t="shared" si="7"/>
        <v>0.9768461823796205</v>
      </c>
      <c r="I45" s="23">
        <f t="shared" si="7"/>
        <v>1.006461835095265</v>
      </c>
      <c r="J45" s="23">
        <f t="shared" si="7"/>
        <v>1.0434662964550259</v>
      </c>
      <c r="K45" s="23">
        <f>K32/K31</f>
        <v>0.9593194395774746</v>
      </c>
      <c r="L45" s="23">
        <f t="shared" si="8"/>
        <v>0.9942706677677896</v>
      </c>
      <c r="M45" s="23">
        <f t="shared" si="8"/>
        <v>0.9992824826452843</v>
      </c>
    </row>
    <row r="46" spans="1:13" ht="12.75">
      <c r="A46" s="68">
        <v>2013</v>
      </c>
      <c r="D46" s="6"/>
      <c r="H46" s="23">
        <f t="shared" si="7"/>
        <v>0.9760957044380973</v>
      </c>
      <c r="I46" s="23">
        <f t="shared" si="7"/>
        <v>0.9875766830238563</v>
      </c>
      <c r="J46" s="23">
        <f t="shared" si="7"/>
        <v>0.9803884545441842</v>
      </c>
      <c r="K46" s="23">
        <f>K33/K32</f>
        <v>0.9776734346723691</v>
      </c>
      <c r="L46" s="23">
        <f t="shared" si="8"/>
        <v>0.9893111639143691</v>
      </c>
      <c r="M46" s="23">
        <f t="shared" si="8"/>
        <v>1.0162770735377162</v>
      </c>
    </row>
    <row r="47" spans="1:13" ht="12.75">
      <c r="A47" s="68">
        <v>2014</v>
      </c>
      <c r="D47" s="6"/>
      <c r="H47" s="23">
        <f t="shared" si="7"/>
        <v>0.9943443866645552</v>
      </c>
      <c r="I47" s="23">
        <f t="shared" si="7"/>
        <v>0.9869159383155782</v>
      </c>
      <c r="J47" s="23">
        <f t="shared" si="7"/>
        <v>0.913146462594716</v>
      </c>
      <c r="K47" s="23">
        <f>K34/K33</f>
        <v>0.9966971164713967</v>
      </c>
      <c r="L47" s="23">
        <f t="shared" si="8"/>
        <v>0.983428083425822</v>
      </c>
      <c r="M47" s="23">
        <f t="shared" si="8"/>
        <v>0.9923812974314926</v>
      </c>
    </row>
    <row r="48" spans="1:13" ht="12.75">
      <c r="A48" s="68">
        <v>2015</v>
      </c>
      <c r="D48" s="6"/>
      <c r="H48" s="23">
        <f t="shared" si="7"/>
        <v>1.008979045566243</v>
      </c>
      <c r="I48" s="23">
        <f t="shared" si="7"/>
        <v>1.002744736991709</v>
      </c>
      <c r="J48" s="23">
        <f t="shared" si="7"/>
        <v>1.0070609933771069</v>
      </c>
      <c r="K48" s="23">
        <f>K35/K34</f>
        <v>1.0073335243462644</v>
      </c>
      <c r="L48" s="23">
        <f t="shared" si="8"/>
        <v>0.9763405624070817</v>
      </c>
      <c r="M48" s="23">
        <f t="shared" si="8"/>
        <v>1.0001610594474921</v>
      </c>
    </row>
    <row r="49" spans="1:6" ht="12.75">
      <c r="A49" s="3"/>
      <c r="D49" s="6"/>
      <c r="E49" s="6"/>
      <c r="F49" s="6"/>
    </row>
    <row r="50" spans="1:13" ht="12.75">
      <c r="A50" t="s">
        <v>15</v>
      </c>
      <c r="D50" s="6"/>
      <c r="H50" s="23">
        <f aca="true" t="shared" si="9" ref="H50:M50">H52</f>
        <v>0.992751914557403</v>
      </c>
      <c r="I50" s="23">
        <f t="shared" si="9"/>
        <v>0.9873694229386888</v>
      </c>
      <c r="J50" s="23">
        <f t="shared" si="9"/>
        <v>0.9725914025770281</v>
      </c>
      <c r="K50" s="23">
        <f>K52</f>
        <v>0.9801195842888197</v>
      </c>
      <c r="L50" s="23">
        <f t="shared" si="9"/>
        <v>0.9920603282982368</v>
      </c>
      <c r="M50" s="23">
        <f t="shared" si="9"/>
        <v>0.9687683336608531</v>
      </c>
    </row>
    <row r="51" spans="1:13" ht="12.75">
      <c r="A51" s="3"/>
      <c r="D51" s="6"/>
      <c r="H51" s="12"/>
      <c r="I51" s="12"/>
      <c r="L51" s="10"/>
      <c r="M51" s="10"/>
    </row>
    <row r="52" spans="1:13" ht="12.75">
      <c r="A52" t="s">
        <v>12</v>
      </c>
      <c r="D52" s="6"/>
      <c r="H52" s="23">
        <f aca="true" t="shared" si="10" ref="H52:M52">GEOMEAN(H40:H48)</f>
        <v>0.992751914557403</v>
      </c>
      <c r="I52" s="23">
        <f t="shared" si="10"/>
        <v>0.9873694229386888</v>
      </c>
      <c r="J52" s="23">
        <f t="shared" si="10"/>
        <v>0.9725914025770281</v>
      </c>
      <c r="K52" s="23">
        <f t="shared" si="10"/>
        <v>0.9801195842888197</v>
      </c>
      <c r="L52" s="23">
        <f t="shared" si="10"/>
        <v>0.9920603282982368</v>
      </c>
      <c r="M52" s="23">
        <f t="shared" si="10"/>
        <v>0.9687683336608531</v>
      </c>
    </row>
    <row r="53" spans="4:13" ht="12.75">
      <c r="D53" s="6"/>
      <c r="H53" s="23"/>
      <c r="I53" s="23"/>
      <c r="J53" s="23"/>
      <c r="K53" s="23"/>
      <c r="L53" s="23"/>
      <c r="M53" s="23"/>
    </row>
    <row r="54" ht="12.75">
      <c r="A54" s="17" t="s">
        <v>43</v>
      </c>
    </row>
    <row r="55" spans="1:14" ht="12.75">
      <c r="A55">
        <v>2016</v>
      </c>
      <c r="B55">
        <v>2012</v>
      </c>
      <c r="C55">
        <v>2012</v>
      </c>
      <c r="G55" s="32">
        <f>SUM(H55:M55)</f>
        <v>896459850.1065702</v>
      </c>
      <c r="H55" s="32">
        <f>H36*'Rate Class Customer Model'!B13</f>
        <v>288249184.8140159</v>
      </c>
      <c r="I55" s="32">
        <f>'Rate Class Customer Model'!C13*I36</f>
        <v>99800648.11775096</v>
      </c>
      <c r="J55" s="32">
        <f>'Rate Class Customer Model'!D13*J36</f>
        <v>499117637.4641794</v>
      </c>
      <c r="K55" s="32">
        <f>'Rate Class Customer Model'!E13*K36</f>
        <v>417916.5655154677</v>
      </c>
      <c r="L55" s="32">
        <f>'Rate Class Customer Model'!F13*L36</f>
        <v>7414883.229607036</v>
      </c>
      <c r="M55" s="32">
        <f>'Rate Class Customer Model'!G13*M36</f>
        <v>1459579.915501509</v>
      </c>
      <c r="N55" s="32"/>
    </row>
    <row r="56" spans="1:14" ht="12.75">
      <c r="A56">
        <v>2017</v>
      </c>
      <c r="G56" s="32">
        <f>SUM(H56:M56)</f>
        <v>888208181.5820326</v>
      </c>
      <c r="H56" s="32">
        <f>H37*'Rate Class Customer Model'!B14</f>
        <v>288905524.7108368</v>
      </c>
      <c r="I56" s="32">
        <f>I37*'Rate Class Customer Model'!C14</f>
        <v>99523433.39538103</v>
      </c>
      <c r="J56" s="32">
        <f>J37*'Rate Class Customer Model'!D14</f>
        <v>490499838.67434907</v>
      </c>
      <c r="K56" s="32">
        <f>K37*'Rate Class Customer Model'!E14</f>
        <v>413901.57884625014</v>
      </c>
      <c r="L56" s="32">
        <f>L37*'Rate Class Customer Model'!F14</f>
        <v>7460329.3029699195</v>
      </c>
      <c r="M56" s="32">
        <f>M37*'Rate Class Customer Model'!G14</f>
        <v>1405153.9196494406</v>
      </c>
      <c r="N56" s="32"/>
    </row>
    <row r="57" spans="7:14" ht="12.75">
      <c r="G57" s="32"/>
      <c r="H57" s="32"/>
      <c r="I57" s="32"/>
      <c r="J57" s="32"/>
      <c r="K57" s="32"/>
      <c r="L57" s="32"/>
      <c r="M57" s="32"/>
      <c r="N57" s="32"/>
    </row>
    <row r="58" spans="1:14" ht="12.75">
      <c r="A58" s="17" t="s">
        <v>42</v>
      </c>
      <c r="G58" s="32"/>
      <c r="H58" s="32"/>
      <c r="I58" s="32"/>
      <c r="J58" s="32"/>
      <c r="K58" s="32"/>
      <c r="L58" s="32"/>
      <c r="M58" s="32"/>
      <c r="N58" s="32" t="s">
        <v>14</v>
      </c>
    </row>
    <row r="59" spans="1:14" ht="12.75">
      <c r="A59">
        <v>2016</v>
      </c>
      <c r="G59" s="47">
        <f>G17</f>
        <v>890218708.3345714</v>
      </c>
      <c r="H59" s="32">
        <f>H55+H67</f>
        <v>285444085.31411636</v>
      </c>
      <c r="I59" s="32">
        <f>I55+I67</f>
        <v>98829437.2249764</v>
      </c>
      <c r="J59" s="32">
        <f>J55+J67</f>
        <v>496652806.08485466</v>
      </c>
      <c r="K59" s="32">
        <f>K55+K67</f>
        <v>417916.5655154677</v>
      </c>
      <c r="L59" s="32">
        <f aca="true" t="shared" si="11" ref="I59:M60">L55+L67</f>
        <v>7414883.229607036</v>
      </c>
      <c r="M59" s="32">
        <f t="shared" si="11"/>
        <v>1459579.915501509</v>
      </c>
      <c r="N59" s="32">
        <f>SUM(H59:M59)</f>
        <v>890218708.3345714</v>
      </c>
    </row>
    <row r="60" spans="1:14" ht="12.75">
      <c r="A60">
        <v>2017</v>
      </c>
      <c r="G60" s="47">
        <f>G18</f>
        <v>916257261.4132137</v>
      </c>
      <c r="H60" s="32">
        <f>H56+H68</f>
        <v>301620155.39675874</v>
      </c>
      <c r="I60" s="32">
        <f t="shared" si="11"/>
        <v>103903424.74889961</v>
      </c>
      <c r="J60" s="32">
        <f>J56+J68</f>
        <v>501454296.4660898</v>
      </c>
      <c r="K60" s="32">
        <f t="shared" si="11"/>
        <v>413901.57884625014</v>
      </c>
      <c r="L60" s="32">
        <f t="shared" si="11"/>
        <v>7460329.3029699195</v>
      </c>
      <c r="M60" s="32">
        <f t="shared" si="11"/>
        <v>1405153.9196494406</v>
      </c>
      <c r="N60" s="32">
        <f>SUM(H60:M60)</f>
        <v>916257261.4132138</v>
      </c>
    </row>
    <row r="61" spans="7:14" ht="12.75">
      <c r="G61" s="32"/>
      <c r="H61" s="32"/>
      <c r="I61" s="32"/>
      <c r="J61" s="32"/>
      <c r="K61" s="32"/>
      <c r="L61" s="32"/>
      <c r="M61" s="32"/>
      <c r="N61" s="32"/>
    </row>
    <row r="62" spans="1:14" ht="12.75">
      <c r="A62" s="43" t="s">
        <v>44</v>
      </c>
      <c r="G62" s="32"/>
      <c r="H62" s="48">
        <v>0.67</v>
      </c>
      <c r="I62" s="48">
        <v>0.67</v>
      </c>
      <c r="J62" s="48">
        <v>0.34</v>
      </c>
      <c r="K62" s="186">
        <v>0</v>
      </c>
      <c r="L62" s="48">
        <v>0</v>
      </c>
      <c r="M62" s="48">
        <v>0</v>
      </c>
      <c r="N62" s="32" t="s">
        <v>14</v>
      </c>
    </row>
    <row r="63" spans="1:14" ht="12.75">
      <c r="A63">
        <v>2016</v>
      </c>
      <c r="G63" s="32">
        <f>G59-G55</f>
        <v>-6241141.771998882</v>
      </c>
      <c r="H63" s="32">
        <f aca="true" t="shared" si="12" ref="H63:M63">H55*H62</f>
        <v>193126953.82539067</v>
      </c>
      <c r="I63" s="32">
        <f t="shared" si="12"/>
        <v>66866434.238893144</v>
      </c>
      <c r="J63" s="32">
        <f t="shared" si="12"/>
        <v>169699996.737821</v>
      </c>
      <c r="K63" s="32">
        <f t="shared" si="12"/>
        <v>0</v>
      </c>
      <c r="L63" s="32">
        <f t="shared" si="12"/>
        <v>0</v>
      </c>
      <c r="M63" s="32">
        <f t="shared" si="12"/>
        <v>0</v>
      </c>
      <c r="N63" s="32">
        <f>SUM(H63:M63)</f>
        <v>429693384.80210483</v>
      </c>
    </row>
    <row r="64" spans="1:14" ht="12.75">
      <c r="A64">
        <v>2017</v>
      </c>
      <c r="G64" s="32">
        <f>G60-G56</f>
        <v>28049079.83118117</v>
      </c>
      <c r="H64" s="32">
        <f aca="true" t="shared" si="13" ref="H64:M64">H56*H62</f>
        <v>193566701.55626068</v>
      </c>
      <c r="I64" s="32">
        <f t="shared" si="13"/>
        <v>66680700.374905296</v>
      </c>
      <c r="J64" s="32">
        <f t="shared" si="13"/>
        <v>166769945.1492787</v>
      </c>
      <c r="K64" s="32">
        <f t="shared" si="13"/>
        <v>0</v>
      </c>
      <c r="L64" s="32">
        <f t="shared" si="13"/>
        <v>0</v>
      </c>
      <c r="M64" s="32">
        <f t="shared" si="13"/>
        <v>0</v>
      </c>
      <c r="N64" s="32">
        <f>SUM(H64:M64)</f>
        <v>427017347.0804447</v>
      </c>
    </row>
    <row r="65" spans="7:14" ht="12" customHeight="1">
      <c r="G65" s="32"/>
      <c r="H65" s="32"/>
      <c r="I65" s="32"/>
      <c r="J65" s="32"/>
      <c r="K65" s="32"/>
      <c r="L65" s="32"/>
      <c r="M65" s="32"/>
      <c r="N65" s="32"/>
    </row>
    <row r="66" spans="1:14" ht="12.75">
      <c r="A66" t="s">
        <v>45</v>
      </c>
      <c r="G66" s="32"/>
      <c r="H66" s="32"/>
      <c r="I66" s="32"/>
      <c r="J66" s="32"/>
      <c r="K66" s="32"/>
      <c r="L66" s="32"/>
      <c r="M66" s="32"/>
      <c r="N66" s="32"/>
    </row>
    <row r="67" spans="1:14" ht="12.75">
      <c r="A67">
        <v>2016</v>
      </c>
      <c r="G67" s="32"/>
      <c r="H67" s="32">
        <f aca="true" t="shared" si="14" ref="H67:M67">H63/$N$63*$G$63</f>
        <v>-2805099.4998995867</v>
      </c>
      <c r="I67" s="32">
        <f t="shared" si="14"/>
        <v>-971210.8927745542</v>
      </c>
      <c r="J67" s="32">
        <f t="shared" si="14"/>
        <v>-2464831.3793247407</v>
      </c>
      <c r="K67" s="32">
        <f t="shared" si="14"/>
        <v>0</v>
      </c>
      <c r="L67" s="32">
        <f t="shared" si="14"/>
        <v>0</v>
      </c>
      <c r="M67" s="32">
        <f t="shared" si="14"/>
        <v>0</v>
      </c>
      <c r="N67" s="32">
        <f>SUM(H67:M67)</f>
        <v>-6241141.771998881</v>
      </c>
    </row>
    <row r="68" spans="1:14" ht="12.75">
      <c r="A68">
        <v>2017</v>
      </c>
      <c r="H68" s="32">
        <f aca="true" t="shared" si="15" ref="H68:M68">H64/$N$64*$G$64</f>
        <v>12714630.68592188</v>
      </c>
      <c r="I68" s="32">
        <f t="shared" si="15"/>
        <v>4379991.353518581</v>
      </c>
      <c r="J68" s="32">
        <f t="shared" si="15"/>
        <v>10954457.791740706</v>
      </c>
      <c r="K68" s="32">
        <f t="shared" si="15"/>
        <v>0</v>
      </c>
      <c r="L68" s="32">
        <f t="shared" si="15"/>
        <v>0</v>
      </c>
      <c r="M68" s="32">
        <f t="shared" si="15"/>
        <v>0</v>
      </c>
      <c r="N68" s="32">
        <f>SUM(H68:M68)</f>
        <v>28049079.83118117</v>
      </c>
    </row>
    <row r="69" ht="12.75"/>
    <row r="70" ht="12.75">
      <c r="A70" s="13" t="s">
        <v>79</v>
      </c>
    </row>
    <row r="71" spans="7:14" ht="12.75">
      <c r="G71" s="71" t="s">
        <v>81</v>
      </c>
      <c r="H71" s="235">
        <f>'CDM Results'!D50</f>
        <v>0.05410560600989428</v>
      </c>
      <c r="I71" s="235">
        <f>'CDM Results'!D51</f>
        <v>0.0518477562832702</v>
      </c>
      <c r="J71" s="235">
        <f>'CDM Results'!D52</f>
        <v>0.8940466377068356</v>
      </c>
      <c r="K71" s="70">
        <v>0</v>
      </c>
      <c r="L71" s="70">
        <v>0</v>
      </c>
      <c r="M71" s="70">
        <v>0</v>
      </c>
      <c r="N71" s="32">
        <f>SUM(H71:M71)</f>
        <v>1</v>
      </c>
    </row>
    <row r="72" spans="1:14" ht="12.75">
      <c r="A72">
        <v>2016</v>
      </c>
      <c r="G72" s="47">
        <f>-('CDM Results'!N42/2+'CDM Results'!N43/2)</f>
        <v>-7566086.356216161</v>
      </c>
      <c r="H72" s="25">
        <f aca="true" t="shared" si="16" ref="H72:M72">$G$72*H71</f>
        <v>-409367.68742626824</v>
      </c>
      <c r="I72" s="25">
        <f t="shared" si="16"/>
        <v>-392284.6014152714</v>
      </c>
      <c r="J72" s="25">
        <f t="shared" si="16"/>
        <v>-6764434.0673746215</v>
      </c>
      <c r="K72" s="25">
        <f t="shared" si="16"/>
        <v>0</v>
      </c>
      <c r="L72" s="25">
        <f t="shared" si="16"/>
        <v>0</v>
      </c>
      <c r="M72" s="25">
        <f t="shared" si="16"/>
        <v>0</v>
      </c>
      <c r="N72" s="32">
        <f>SUM(H72:M72)</f>
        <v>-7566086.3562161615</v>
      </c>
    </row>
    <row r="73" spans="1:14" ht="12.75">
      <c r="A73">
        <v>2017</v>
      </c>
      <c r="G73" s="47">
        <f>-('CDM Results'!O42/2+'CDM Results'!O43+'CDM Results'!O44/2)</f>
        <v>-19236960.303039372</v>
      </c>
      <c r="H73" s="25">
        <f>$G$73*H71</f>
        <v>-1040827.3949842247</v>
      </c>
      <c r="I73" s="25">
        <f aca="true" t="shared" si="17" ref="I73:N73">$G$73*I71</f>
        <v>-997393.229422929</v>
      </c>
      <c r="J73" s="25">
        <f t="shared" si="17"/>
        <v>-17198739.67863222</v>
      </c>
      <c r="K73" s="25">
        <f t="shared" si="17"/>
        <v>0</v>
      </c>
      <c r="L73" s="25">
        <f t="shared" si="17"/>
        <v>0</v>
      </c>
      <c r="M73" s="25">
        <f t="shared" si="17"/>
        <v>0</v>
      </c>
      <c r="N73" s="25">
        <f t="shared" si="17"/>
        <v>-19236960.303039372</v>
      </c>
    </row>
    <row r="74" ht="12.75"/>
    <row r="75" ht="12.75">
      <c r="A75" s="198" t="s">
        <v>188</v>
      </c>
    </row>
    <row r="76" spans="1:11" ht="12.75">
      <c r="A76">
        <v>2016</v>
      </c>
      <c r="K76" s="6">
        <v>31604.417</v>
      </c>
    </row>
    <row r="77" spans="1:11" ht="12.75">
      <c r="A77">
        <v>2017</v>
      </c>
      <c r="K77" s="6">
        <v>31604.417</v>
      </c>
    </row>
    <row r="78" ht="12.75">
      <c r="A78" s="17" t="s">
        <v>80</v>
      </c>
    </row>
    <row r="79" ht="12.75">
      <c r="G79" s="66"/>
    </row>
    <row r="80" spans="1:14" ht="12.75">
      <c r="A80">
        <v>2016</v>
      </c>
      <c r="G80" s="66">
        <f>G59+G72-K76</f>
        <v>882621017.5613551</v>
      </c>
      <c r="H80" s="6">
        <f aca="true" t="shared" si="18" ref="H80:J81">H59+H72</f>
        <v>285034717.6266901</v>
      </c>
      <c r="I80" s="6">
        <f t="shared" si="18"/>
        <v>98437152.62356113</v>
      </c>
      <c r="J80" s="6">
        <f t="shared" si="18"/>
        <v>489888372.01748</v>
      </c>
      <c r="K80" s="6">
        <f>K59+K72-K76</f>
        <v>386312.1485154677</v>
      </c>
      <c r="L80" s="6">
        <f>L59+L72</f>
        <v>7414883.229607036</v>
      </c>
      <c r="M80" s="6">
        <f>M59+M72</f>
        <v>1459579.915501509</v>
      </c>
      <c r="N80" s="32">
        <f>SUM(H80:M80)</f>
        <v>882621017.5613551</v>
      </c>
    </row>
    <row r="81" spans="1:14" ht="12.75">
      <c r="A81">
        <v>2017</v>
      </c>
      <c r="G81" s="66">
        <f>G60+G73-K77</f>
        <v>896988696.6931744</v>
      </c>
      <c r="H81" s="6">
        <f t="shared" si="18"/>
        <v>300579328.0017745</v>
      </c>
      <c r="I81" s="6">
        <f t="shared" si="18"/>
        <v>102906031.51947668</v>
      </c>
      <c r="J81" s="6">
        <f t="shared" si="18"/>
        <v>484255556.7874576</v>
      </c>
      <c r="K81" s="6">
        <f>K60+K73-K77</f>
        <v>382297.1618462501</v>
      </c>
      <c r="L81" s="6">
        <f>L60+L73</f>
        <v>7460329.3029699195</v>
      </c>
      <c r="M81" s="6">
        <f>M60+M73</f>
        <v>1405153.9196494406</v>
      </c>
      <c r="N81" s="32">
        <f>SUM(H81:M81)</f>
        <v>896988696.6931745</v>
      </c>
    </row>
    <row r="82" ht="12.75">
      <c r="G82" s="25"/>
    </row>
    <row r="83" spans="1:7" ht="12.75">
      <c r="A83" s="198"/>
      <c r="G83" s="221"/>
    </row>
    <row r="84" ht="12.75">
      <c r="G84" s="221"/>
    </row>
    <row r="85" ht="12.75">
      <c r="G85" s="221"/>
    </row>
    <row r="86" ht="12.75">
      <c r="G86" s="25"/>
    </row>
  </sheetData>
  <sheetProtection/>
  <printOptions/>
  <pageMargins left="0.38" right="0.75" top="0.73" bottom="0.74" header="0.5" footer="0.5"/>
  <pageSetup fitToHeight="1" fitToWidth="1" horizontalDpi="600" verticalDpi="600" orientation="portrait"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Bacon</dc:creator>
  <cp:keywords/>
  <dc:description/>
  <cp:lastModifiedBy>Susi Vogt</cp:lastModifiedBy>
  <cp:lastPrinted>2009-07-21T19:47:49Z</cp:lastPrinted>
  <dcterms:created xsi:type="dcterms:W3CDTF">2008-02-06T18:24:44Z</dcterms:created>
  <dcterms:modified xsi:type="dcterms:W3CDTF">2016-09-12T14:00:52Z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