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15" windowWidth="14430" windowHeight="12930" tabRatio="831"/>
  </bookViews>
  <sheets>
    <sheet name="Summary" sheetId="11" r:id="rId1"/>
    <sheet name="Purchased Power Model " sheetId="19" r:id="rId2"/>
    <sheet name="Residential" sheetId="24" r:id="rId3"/>
    <sheet name="Residential WN" sheetId="37" r:id="rId4"/>
    <sheet name="GS &lt; 50 kW" sheetId="25" r:id="rId5"/>
    <sheet name="GS &lt; 50 kW WN" sheetId="38" r:id="rId6"/>
    <sheet name="GS &gt; 50 kW" sheetId="27" r:id="rId7"/>
    <sheet name="GS &gt; 50 kW WN" sheetId="39" r:id="rId8"/>
    <sheet name="GS &gt; 1000  kW" sheetId="28" r:id="rId9"/>
    <sheet name="Rate Class Energy Model" sheetId="9" r:id="rId10"/>
    <sheet name="Rate Class Customer Model" sheetId="17" r:id="rId11"/>
    <sheet name="Rate Class Load Model" sheetId="18" r:id="rId12"/>
    <sheet name="CDM Activity" sheetId="23" r:id="rId13"/>
    <sheet name="5. Static CDM Result by Program" sheetId="34" state="hidden" r:id="rId14"/>
    <sheet name="Weather Data" sheetId="31" r:id="rId15"/>
    <sheet name="Weather Analysis - Thunder Bay" sheetId="32" r:id="rId16"/>
  </sheets>
  <externalReferences>
    <externalReference r:id="rId17"/>
    <externalReference r:id="rId18"/>
    <externalReference r:id="rId19"/>
    <externalReference r:id="rId20"/>
  </externalReferences>
  <definedNames>
    <definedName name="_Order1" hidden="1">255</definedName>
    <definedName name="_Sort" localSheetId="12" hidden="1">[1]Sheet1!$G$40:$K$40</definedName>
    <definedName name="_Sort" localSheetId="15" hidden="1">[2]Sheet1!$G$40:$K$40</definedName>
    <definedName name="_Sort" hidden="1">[3]Sheet1!$G$40:$K$40</definedName>
    <definedName name="CAfile">[4]Refs!$B$2</definedName>
    <definedName name="CArevReq">[4]Refs!$B$6</definedName>
    <definedName name="ClassRange1">[4]Refs!$B$3</definedName>
    <definedName name="ClassRange2">[4]Refs!$B$4</definedName>
    <definedName name="FolderPath">[4]Menu!$C$8</definedName>
    <definedName name="NewRevReq">[4]Refs!$B$8</definedName>
    <definedName name="PAGE11" localSheetId="5">#REF!</definedName>
    <definedName name="PAGE11" localSheetId="7">#REF!</definedName>
    <definedName name="PAGE11" localSheetId="3">#REF!</definedName>
    <definedName name="PAGE11" localSheetId="15">#REF!</definedName>
    <definedName name="PAGE11">#REF!</definedName>
    <definedName name="PAGE2" localSheetId="12">[1]Sheet1!$A$1:$I$40</definedName>
    <definedName name="PAGE2" localSheetId="15">[2]Sheet1!$A$1:$I$40</definedName>
    <definedName name="PAGE2">[3]Sheet1!$A$1:$I$40</definedName>
    <definedName name="PAGE3" localSheetId="5">#REF!</definedName>
    <definedName name="PAGE3" localSheetId="7">#REF!</definedName>
    <definedName name="PAGE3" localSheetId="3">#REF!</definedName>
    <definedName name="PAGE3" localSheetId="15">#REF!</definedName>
    <definedName name="PAGE3">#REF!</definedName>
    <definedName name="PAGE4" localSheetId="5">#REF!</definedName>
    <definedName name="PAGE4" localSheetId="7">#REF!</definedName>
    <definedName name="PAGE4" localSheetId="3">#REF!</definedName>
    <definedName name="PAGE4" localSheetId="15">#REF!</definedName>
    <definedName name="PAGE4">#REF!</definedName>
    <definedName name="PAGE7" localSheetId="5">#REF!</definedName>
    <definedName name="PAGE7" localSheetId="7">#REF!</definedName>
    <definedName name="PAGE7" localSheetId="3">#REF!</definedName>
    <definedName name="PAGE7" localSheetId="15">#REF!</definedName>
    <definedName name="PAGE7">#REF!</definedName>
    <definedName name="PAGE9" localSheetId="5">#REF!</definedName>
    <definedName name="PAGE9" localSheetId="7">#REF!</definedName>
    <definedName name="PAGE9" localSheetId="3">#REF!</definedName>
    <definedName name="PAGE9" localSheetId="15">#REF!</definedName>
    <definedName name="PAGE9">#REF!</definedName>
    <definedName name="_xlnm.Print_Area" localSheetId="13">'5. Static CDM Result by Program'!$A$1:$Q$594</definedName>
    <definedName name="_xlnm.Print_Area" localSheetId="4">'GS &lt; 50 kW'!$N$64:$R$87</definedName>
    <definedName name="_xlnm.Print_Area" localSheetId="5">'GS &lt; 50 kW WN'!$N$64:$R$87</definedName>
    <definedName name="_xlnm.Print_Area" localSheetId="8">'GS &gt; 1000  kW'!$N$64:$R$87</definedName>
    <definedName name="_xlnm.Print_Area" localSheetId="6">'GS &gt; 50 kW'!$N$64:$R$87</definedName>
    <definedName name="_xlnm.Print_Area" localSheetId="7">'GS &gt; 50 kW WN'!$N$64:$R$87</definedName>
    <definedName name="_xlnm.Print_Area" localSheetId="1">'Purchased Power Model '!$N$63:$R$86</definedName>
    <definedName name="_xlnm.Print_Area" localSheetId="10">'Rate Class Customer Model'!$A$1:$C$2</definedName>
    <definedName name="_xlnm.Print_Area" localSheetId="9">'Rate Class Energy Model'!$A$1:$I$2</definedName>
    <definedName name="_xlnm.Print_Area" localSheetId="11">'Rate Class Load Model'!$A$1:$A$1</definedName>
    <definedName name="_xlnm.Print_Area" localSheetId="2">Residential!$N$64:$R$87</definedName>
    <definedName name="_xlnm.Print_Area" localSheetId="3">'Residential WN'!$N$64:$R$87</definedName>
    <definedName name="RevReqLookupKey">[4]Refs!$B$5</definedName>
    <definedName name="RevReqRange">[4]Refs!$B$7</definedName>
  </definedNames>
  <calcPr calcId="145621"/>
</workbook>
</file>

<file path=xl/calcChain.xml><?xml version="1.0" encoding="utf-8"?>
<calcChain xmlns="http://schemas.openxmlformats.org/spreadsheetml/2006/main">
  <c r="L61" i="9" l="1"/>
  <c r="I232" i="24" l="1"/>
  <c r="J232" i="24"/>
  <c r="D88" i="39" l="1"/>
  <c r="D89" i="39"/>
  <c r="D90" i="39"/>
  <c r="D91" i="39"/>
  <c r="D92" i="39"/>
  <c r="D93" i="39"/>
  <c r="D94" i="39"/>
  <c r="D95" i="39"/>
  <c r="D96" i="39"/>
  <c r="D97" i="39"/>
  <c r="D98" i="39"/>
  <c r="D87" i="39"/>
  <c r="C88" i="39"/>
  <c r="C89" i="39"/>
  <c r="C90" i="39"/>
  <c r="C91" i="39"/>
  <c r="C92" i="39"/>
  <c r="C93" i="39"/>
  <c r="C94" i="39"/>
  <c r="C95" i="39"/>
  <c r="C96" i="39"/>
  <c r="C97" i="39"/>
  <c r="C98" i="39"/>
  <c r="C106" i="39"/>
  <c r="C112" i="39"/>
  <c r="C124" i="39"/>
  <c r="C176" i="39"/>
  <c r="C87" i="39"/>
  <c r="H266" i="39"/>
  <c r="F266" i="39"/>
  <c r="E266" i="39"/>
  <c r="D266" i="39"/>
  <c r="C266" i="39"/>
  <c r="H265" i="39"/>
  <c r="F265" i="39"/>
  <c r="E265" i="39"/>
  <c r="D265" i="39"/>
  <c r="C265" i="39"/>
  <c r="H264" i="39"/>
  <c r="F264" i="39"/>
  <c r="E264" i="39"/>
  <c r="D264" i="39"/>
  <c r="C264" i="39"/>
  <c r="H263" i="39"/>
  <c r="F263" i="39"/>
  <c r="E263" i="39"/>
  <c r="D263" i="39"/>
  <c r="C263" i="39"/>
  <c r="H262" i="39"/>
  <c r="F262" i="39"/>
  <c r="E262" i="39"/>
  <c r="D262" i="39"/>
  <c r="C262" i="39"/>
  <c r="H261" i="39"/>
  <c r="F261" i="39"/>
  <c r="E261" i="39"/>
  <c r="D261" i="39"/>
  <c r="C261" i="39"/>
  <c r="H260" i="39"/>
  <c r="F260" i="39"/>
  <c r="E260" i="39"/>
  <c r="D260" i="39"/>
  <c r="C260" i="39"/>
  <c r="H259" i="39"/>
  <c r="F259" i="39"/>
  <c r="E259" i="39"/>
  <c r="D259" i="39"/>
  <c r="C259" i="39"/>
  <c r="H258" i="39"/>
  <c r="F258" i="39"/>
  <c r="E258" i="39"/>
  <c r="D258" i="39"/>
  <c r="C258" i="39"/>
  <c r="H257" i="39"/>
  <c r="F257" i="39"/>
  <c r="E257" i="39"/>
  <c r="D257" i="39"/>
  <c r="C257" i="39"/>
  <c r="H256" i="39"/>
  <c r="F256" i="39"/>
  <c r="E256" i="39"/>
  <c r="D256" i="39"/>
  <c r="C256" i="39"/>
  <c r="H255" i="39"/>
  <c r="F255" i="39"/>
  <c r="E255" i="39"/>
  <c r="D255" i="39"/>
  <c r="C255" i="39"/>
  <c r="B243" i="39"/>
  <c r="B241" i="39"/>
  <c r="B239" i="39"/>
  <c r="B237" i="39"/>
  <c r="B235" i="39"/>
  <c r="B234" i="39"/>
  <c r="D86" i="39"/>
  <c r="C86" i="39"/>
  <c r="D85" i="39"/>
  <c r="C85" i="39"/>
  <c r="D84" i="39"/>
  <c r="C84" i="39"/>
  <c r="D83" i="39"/>
  <c r="C83" i="39"/>
  <c r="D82" i="39"/>
  <c r="C82" i="39"/>
  <c r="D81" i="39"/>
  <c r="C81" i="39"/>
  <c r="D80" i="39"/>
  <c r="C80" i="39"/>
  <c r="D79" i="39"/>
  <c r="C79" i="39"/>
  <c r="D78" i="39"/>
  <c r="C78" i="39"/>
  <c r="D77" i="39"/>
  <c r="C77" i="39"/>
  <c r="D76" i="39"/>
  <c r="C76" i="39"/>
  <c r="D75" i="39"/>
  <c r="C75" i="39"/>
  <c r="D74" i="39"/>
  <c r="C74" i="39"/>
  <c r="D73" i="39"/>
  <c r="C73" i="39"/>
  <c r="D72" i="39"/>
  <c r="C72" i="39"/>
  <c r="D71" i="39"/>
  <c r="C71" i="39"/>
  <c r="D70" i="39"/>
  <c r="C70" i="39"/>
  <c r="D69" i="39"/>
  <c r="C69" i="39"/>
  <c r="D68" i="39"/>
  <c r="C68" i="39"/>
  <c r="D67" i="39"/>
  <c r="C67" i="39"/>
  <c r="D66" i="39"/>
  <c r="C66" i="39"/>
  <c r="D65" i="39"/>
  <c r="C65" i="39"/>
  <c r="D64" i="39"/>
  <c r="C64" i="39"/>
  <c r="D63" i="39"/>
  <c r="C63" i="39"/>
  <c r="D62" i="39"/>
  <c r="C62" i="39"/>
  <c r="D61" i="39"/>
  <c r="C61" i="39"/>
  <c r="D60" i="39"/>
  <c r="C60" i="39"/>
  <c r="D59" i="39"/>
  <c r="C59" i="39"/>
  <c r="D58" i="39"/>
  <c r="C58" i="39"/>
  <c r="D57" i="39"/>
  <c r="C57" i="39"/>
  <c r="D56" i="39"/>
  <c r="C56" i="39"/>
  <c r="D55" i="39"/>
  <c r="C55" i="39"/>
  <c r="D54" i="39"/>
  <c r="C54" i="39"/>
  <c r="D53" i="39"/>
  <c r="C53" i="39"/>
  <c r="D52" i="39"/>
  <c r="C52" i="39"/>
  <c r="D51" i="39"/>
  <c r="C51" i="39"/>
  <c r="D50" i="39"/>
  <c r="C50" i="39"/>
  <c r="D49" i="39"/>
  <c r="C49" i="39"/>
  <c r="D48" i="39"/>
  <c r="C48" i="39"/>
  <c r="D47" i="39"/>
  <c r="C47" i="39"/>
  <c r="D46" i="39"/>
  <c r="C46" i="39"/>
  <c r="D45" i="39"/>
  <c r="C45" i="39"/>
  <c r="D44" i="39"/>
  <c r="C44" i="39"/>
  <c r="D43" i="39"/>
  <c r="C43" i="39"/>
  <c r="D42" i="39"/>
  <c r="C42" i="39"/>
  <c r="D41" i="39"/>
  <c r="C41" i="39"/>
  <c r="D40" i="39"/>
  <c r="C40" i="39"/>
  <c r="D39" i="39"/>
  <c r="C39" i="39"/>
  <c r="D38" i="39"/>
  <c r="C38" i="39"/>
  <c r="D37" i="39"/>
  <c r="C37" i="39"/>
  <c r="D36" i="39"/>
  <c r="C36" i="39"/>
  <c r="D35" i="39"/>
  <c r="C35" i="39"/>
  <c r="D34" i="39"/>
  <c r="C34" i="39"/>
  <c r="D33" i="39"/>
  <c r="C33" i="39"/>
  <c r="D32" i="39"/>
  <c r="C32" i="39"/>
  <c r="D31" i="39"/>
  <c r="C31" i="39"/>
  <c r="D30" i="39"/>
  <c r="C30" i="39"/>
  <c r="D29" i="39"/>
  <c r="C29" i="39"/>
  <c r="D28" i="39"/>
  <c r="C28" i="39"/>
  <c r="D27" i="39"/>
  <c r="C27" i="39"/>
  <c r="D26" i="39"/>
  <c r="C26" i="39"/>
  <c r="D25" i="39"/>
  <c r="C25" i="39"/>
  <c r="D24" i="39"/>
  <c r="C24" i="39"/>
  <c r="D23" i="39"/>
  <c r="C23" i="39"/>
  <c r="D22" i="39"/>
  <c r="C22" i="39"/>
  <c r="D21" i="39"/>
  <c r="C21" i="39"/>
  <c r="D20" i="39"/>
  <c r="C20" i="39"/>
  <c r="D19" i="39"/>
  <c r="C19" i="39"/>
  <c r="D18" i="39"/>
  <c r="C18" i="39"/>
  <c r="D17" i="39"/>
  <c r="C17" i="39"/>
  <c r="D16" i="39"/>
  <c r="C16" i="39"/>
  <c r="D15" i="39"/>
  <c r="C15" i="39"/>
  <c r="D14" i="39"/>
  <c r="C14" i="39"/>
  <c r="D13" i="39"/>
  <c r="C13" i="39"/>
  <c r="D12" i="39"/>
  <c r="C12" i="39"/>
  <c r="D11" i="39"/>
  <c r="C11" i="39"/>
  <c r="D10" i="39"/>
  <c r="C10" i="39"/>
  <c r="D9" i="39"/>
  <c r="C9" i="39"/>
  <c r="D8" i="39"/>
  <c r="C8" i="39"/>
  <c r="D7" i="39"/>
  <c r="C7" i="39"/>
  <c r="D6" i="39"/>
  <c r="C6" i="39"/>
  <c r="D5" i="39"/>
  <c r="C5" i="39"/>
  <c r="D4" i="39"/>
  <c r="C4" i="39"/>
  <c r="D3" i="39"/>
  <c r="C3" i="39"/>
  <c r="D87" i="38"/>
  <c r="D88" i="38"/>
  <c r="D89" i="38"/>
  <c r="D90" i="38"/>
  <c r="D91" i="38"/>
  <c r="D92" i="38"/>
  <c r="D93" i="38"/>
  <c r="D94" i="38"/>
  <c r="D95" i="38"/>
  <c r="D96" i="38"/>
  <c r="D97" i="38"/>
  <c r="D98" i="38"/>
  <c r="D173" i="38"/>
  <c r="D182" i="38"/>
  <c r="D185" i="38"/>
  <c r="D194" i="38"/>
  <c r="D206" i="38"/>
  <c r="C88" i="38"/>
  <c r="C89" i="38"/>
  <c r="C90" i="38"/>
  <c r="C91" i="38"/>
  <c r="C92" i="38"/>
  <c r="C93" i="38"/>
  <c r="C94" i="38"/>
  <c r="C95" i="38"/>
  <c r="C96" i="38"/>
  <c r="C97" i="38"/>
  <c r="C98" i="38"/>
  <c r="C100" i="38"/>
  <c r="C102" i="38"/>
  <c r="C104" i="38"/>
  <c r="C106" i="38"/>
  <c r="C110" i="38"/>
  <c r="C112" i="38"/>
  <c r="C124" i="38"/>
  <c r="C156" i="38"/>
  <c r="C168" i="38"/>
  <c r="C174" i="38"/>
  <c r="C180" i="38"/>
  <c r="C186" i="38"/>
  <c r="C198" i="38"/>
  <c r="C220" i="38"/>
  <c r="C87" i="38"/>
  <c r="H266" i="38"/>
  <c r="F266" i="38"/>
  <c r="E266" i="38"/>
  <c r="D266" i="38"/>
  <c r="C266" i="38"/>
  <c r="H265" i="38"/>
  <c r="F265" i="38"/>
  <c r="E265" i="38"/>
  <c r="D265" i="38"/>
  <c r="C265" i="38"/>
  <c r="H264" i="38"/>
  <c r="F264" i="38"/>
  <c r="E264" i="38"/>
  <c r="D264" i="38"/>
  <c r="C264" i="38"/>
  <c r="H263" i="38"/>
  <c r="F263" i="38"/>
  <c r="E263" i="38"/>
  <c r="D263" i="38"/>
  <c r="C263" i="38"/>
  <c r="H262" i="38"/>
  <c r="F262" i="38"/>
  <c r="E262" i="38"/>
  <c r="D262" i="38"/>
  <c r="C262" i="38"/>
  <c r="H261" i="38"/>
  <c r="F261" i="38"/>
  <c r="E261" i="38"/>
  <c r="D261" i="38"/>
  <c r="C261" i="38"/>
  <c r="H260" i="38"/>
  <c r="F260" i="38"/>
  <c r="E260" i="38"/>
  <c r="D260" i="38"/>
  <c r="C260" i="38"/>
  <c r="H259" i="38"/>
  <c r="F259" i="38"/>
  <c r="E259" i="38"/>
  <c r="D259" i="38"/>
  <c r="C259" i="38"/>
  <c r="H258" i="38"/>
  <c r="F258" i="38"/>
  <c r="E258" i="38"/>
  <c r="D258" i="38"/>
  <c r="C258" i="38"/>
  <c r="H257" i="38"/>
  <c r="F257" i="38"/>
  <c r="E257" i="38"/>
  <c r="D257" i="38"/>
  <c r="C257" i="38"/>
  <c r="H256" i="38"/>
  <c r="F256" i="38"/>
  <c r="E256" i="38"/>
  <c r="D256" i="38"/>
  <c r="C256" i="38"/>
  <c r="H255" i="38"/>
  <c r="F255" i="38"/>
  <c r="E255" i="38"/>
  <c r="D255" i="38"/>
  <c r="C255" i="38"/>
  <c r="B240" i="38"/>
  <c r="B238" i="38"/>
  <c r="B243" i="38"/>
  <c r="B242" i="38"/>
  <c r="B241" i="38"/>
  <c r="B239" i="38"/>
  <c r="B237" i="38"/>
  <c r="B236" i="38"/>
  <c r="B235" i="38"/>
  <c r="B234" i="38"/>
  <c r="D86" i="38"/>
  <c r="C86" i="38"/>
  <c r="D85" i="38"/>
  <c r="C85" i="38"/>
  <c r="D84" i="38"/>
  <c r="C84" i="38"/>
  <c r="D83" i="38"/>
  <c r="C83" i="38"/>
  <c r="D82" i="38"/>
  <c r="C82" i="38"/>
  <c r="D81" i="38"/>
  <c r="C81" i="38"/>
  <c r="D80" i="38"/>
  <c r="C80" i="38"/>
  <c r="D79" i="38"/>
  <c r="C79" i="38"/>
  <c r="D78" i="38"/>
  <c r="C78" i="38"/>
  <c r="D77" i="38"/>
  <c r="C77" i="38"/>
  <c r="D76" i="38"/>
  <c r="C76" i="38"/>
  <c r="D75" i="38"/>
  <c r="C75" i="38"/>
  <c r="D74" i="38"/>
  <c r="C74" i="38"/>
  <c r="D73" i="38"/>
  <c r="C73" i="38"/>
  <c r="D72" i="38"/>
  <c r="C72" i="38"/>
  <c r="D71" i="38"/>
  <c r="C71" i="38"/>
  <c r="D70" i="38"/>
  <c r="C70" i="38"/>
  <c r="D69" i="38"/>
  <c r="C69" i="38"/>
  <c r="D68" i="38"/>
  <c r="C68" i="38"/>
  <c r="D67" i="38"/>
  <c r="C67" i="38"/>
  <c r="D66" i="38"/>
  <c r="C66" i="38"/>
  <c r="D65" i="38"/>
  <c r="C65" i="38"/>
  <c r="D64" i="38"/>
  <c r="C64" i="38"/>
  <c r="D63" i="38"/>
  <c r="C63" i="38"/>
  <c r="D62" i="38"/>
  <c r="C62" i="38"/>
  <c r="D61" i="38"/>
  <c r="C61" i="38"/>
  <c r="D60" i="38"/>
  <c r="C60" i="38"/>
  <c r="D59" i="38"/>
  <c r="C59" i="38"/>
  <c r="D58" i="38"/>
  <c r="C58" i="38"/>
  <c r="D57" i="38"/>
  <c r="C57" i="38"/>
  <c r="D56" i="38"/>
  <c r="C56" i="38"/>
  <c r="D55" i="38"/>
  <c r="C55" i="38"/>
  <c r="D54" i="38"/>
  <c r="C54" i="38"/>
  <c r="D53" i="38"/>
  <c r="C53" i="38"/>
  <c r="D52" i="38"/>
  <c r="C52" i="38"/>
  <c r="D51" i="38"/>
  <c r="C51" i="38"/>
  <c r="D50" i="38"/>
  <c r="C50" i="38"/>
  <c r="D49" i="38"/>
  <c r="C49" i="38"/>
  <c r="D48" i="38"/>
  <c r="C48" i="38"/>
  <c r="D47" i="38"/>
  <c r="C47" i="38"/>
  <c r="D46" i="38"/>
  <c r="C46" i="38"/>
  <c r="D45" i="38"/>
  <c r="C45" i="38"/>
  <c r="D44" i="38"/>
  <c r="C44" i="38"/>
  <c r="D43" i="38"/>
  <c r="C43" i="38"/>
  <c r="D42" i="38"/>
  <c r="C42" i="38"/>
  <c r="D41" i="38"/>
  <c r="C41" i="38"/>
  <c r="D40" i="38"/>
  <c r="C40" i="38"/>
  <c r="D39" i="38"/>
  <c r="C39" i="38"/>
  <c r="D38" i="38"/>
  <c r="C38" i="38"/>
  <c r="D37" i="38"/>
  <c r="C37" i="38"/>
  <c r="D36" i="38"/>
  <c r="C36" i="38"/>
  <c r="D35" i="38"/>
  <c r="C35" i="38"/>
  <c r="D34" i="38"/>
  <c r="C34" i="38"/>
  <c r="D33" i="38"/>
  <c r="C33" i="38"/>
  <c r="D32" i="38"/>
  <c r="C32" i="38"/>
  <c r="D31" i="38"/>
  <c r="C31" i="38"/>
  <c r="D30" i="38"/>
  <c r="C30" i="38"/>
  <c r="D29" i="38"/>
  <c r="C29" i="38"/>
  <c r="D28" i="38"/>
  <c r="C28" i="38"/>
  <c r="D27" i="38"/>
  <c r="C27" i="38"/>
  <c r="D26" i="38"/>
  <c r="C26" i="38"/>
  <c r="D25" i="38"/>
  <c r="C25" i="38"/>
  <c r="D24" i="38"/>
  <c r="C24" i="38"/>
  <c r="D23" i="38"/>
  <c r="C23" i="38"/>
  <c r="D22" i="38"/>
  <c r="C22" i="38"/>
  <c r="D21" i="38"/>
  <c r="C21" i="38"/>
  <c r="D20" i="38"/>
  <c r="C20" i="38"/>
  <c r="D19" i="38"/>
  <c r="C19" i="38"/>
  <c r="D18" i="38"/>
  <c r="C18" i="38"/>
  <c r="D17" i="38"/>
  <c r="C17" i="38"/>
  <c r="D16" i="38"/>
  <c r="C16" i="38"/>
  <c r="D15" i="38"/>
  <c r="C15" i="38"/>
  <c r="D14" i="38"/>
  <c r="C14" i="38"/>
  <c r="D13" i="38"/>
  <c r="C13" i="38"/>
  <c r="D12" i="38"/>
  <c r="C12" i="38"/>
  <c r="D11" i="38"/>
  <c r="C11" i="38"/>
  <c r="D10" i="38"/>
  <c r="C10" i="38"/>
  <c r="D9" i="38"/>
  <c r="C9" i="38"/>
  <c r="D8" i="38"/>
  <c r="C8" i="38"/>
  <c r="D7" i="38"/>
  <c r="C7" i="38"/>
  <c r="D6" i="38"/>
  <c r="C6" i="38"/>
  <c r="D5" i="38"/>
  <c r="C5" i="38"/>
  <c r="D4" i="38"/>
  <c r="C4" i="38"/>
  <c r="D3" i="38"/>
  <c r="C3" i="38"/>
  <c r="C100" i="37"/>
  <c r="C100" i="39" s="1"/>
  <c r="D100" i="37"/>
  <c r="C101" i="37"/>
  <c r="D101" i="37"/>
  <c r="C102" i="37"/>
  <c r="C102" i="39" s="1"/>
  <c r="D102" i="37"/>
  <c r="C103" i="37"/>
  <c r="D103" i="37"/>
  <c r="C104" i="37"/>
  <c r="C104" i="39" s="1"/>
  <c r="D104" i="37"/>
  <c r="D104" i="38" s="1"/>
  <c r="C105" i="37"/>
  <c r="D105" i="37"/>
  <c r="D117" i="37" s="1"/>
  <c r="C106" i="37"/>
  <c r="D106" i="37"/>
  <c r="C107" i="37"/>
  <c r="D107" i="37"/>
  <c r="D107" i="39" s="1"/>
  <c r="C108" i="37"/>
  <c r="C108" i="39" s="1"/>
  <c r="D108" i="37"/>
  <c r="C109" i="37"/>
  <c r="D109" i="37"/>
  <c r="D121" i="37" s="1"/>
  <c r="D121" i="39" s="1"/>
  <c r="C110" i="37"/>
  <c r="C110" i="39" s="1"/>
  <c r="D110" i="37"/>
  <c r="C112" i="37"/>
  <c r="C113" i="37"/>
  <c r="D113" i="37"/>
  <c r="C114" i="37"/>
  <c r="C116" i="37"/>
  <c r="C116" i="39" s="1"/>
  <c r="D116" i="37"/>
  <c r="D116" i="38" s="1"/>
  <c r="C118" i="37"/>
  <c r="D118" i="37"/>
  <c r="C120" i="37"/>
  <c r="D120" i="37"/>
  <c r="C122" i="37"/>
  <c r="D122" i="37"/>
  <c r="C124" i="37"/>
  <c r="C125" i="37"/>
  <c r="D125" i="37"/>
  <c r="C126" i="37"/>
  <c r="C126" i="39" s="1"/>
  <c r="C128" i="37"/>
  <c r="C128" i="39" s="1"/>
  <c r="D128" i="37"/>
  <c r="C130" i="37"/>
  <c r="D130" i="37"/>
  <c r="C132" i="37"/>
  <c r="D132" i="37"/>
  <c r="C134" i="37"/>
  <c r="C134" i="39" s="1"/>
  <c r="D134" i="37"/>
  <c r="C136" i="37"/>
  <c r="C137" i="37"/>
  <c r="D137" i="37"/>
  <c r="C138" i="37"/>
  <c r="C138" i="39" s="1"/>
  <c r="C140" i="37"/>
  <c r="D140" i="37"/>
  <c r="D140" i="39" s="1"/>
  <c r="C142" i="37"/>
  <c r="D142" i="37"/>
  <c r="C144" i="37"/>
  <c r="D144" i="37"/>
  <c r="C146" i="37"/>
  <c r="C146" i="39" s="1"/>
  <c r="D146" i="37"/>
  <c r="C148" i="37"/>
  <c r="C148" i="39" s="1"/>
  <c r="C149" i="37"/>
  <c r="D149" i="37"/>
  <c r="C150" i="37"/>
  <c r="C150" i="39" s="1"/>
  <c r="C152" i="37"/>
  <c r="C152" i="39" s="1"/>
  <c r="D152" i="37"/>
  <c r="C154" i="37"/>
  <c r="D154" i="37"/>
  <c r="C156" i="37"/>
  <c r="C156" i="39" s="1"/>
  <c r="D156" i="37"/>
  <c r="D156" i="38" s="1"/>
  <c r="C158" i="37"/>
  <c r="C158" i="39" s="1"/>
  <c r="D158" i="37"/>
  <c r="C160" i="37"/>
  <c r="C160" i="39" s="1"/>
  <c r="C161" i="37"/>
  <c r="D161" i="37"/>
  <c r="C162" i="37"/>
  <c r="C164" i="37"/>
  <c r="C164" i="39" s="1"/>
  <c r="D164" i="37"/>
  <c r="C166" i="37"/>
  <c r="D166" i="37"/>
  <c r="D166" i="39" s="1"/>
  <c r="C168" i="37"/>
  <c r="C168" i="39" s="1"/>
  <c r="D168" i="37"/>
  <c r="D168" i="38" s="1"/>
  <c r="C170" i="37"/>
  <c r="D170" i="37"/>
  <c r="C172" i="37"/>
  <c r="C172" i="39" s="1"/>
  <c r="C173" i="37"/>
  <c r="D173" i="37"/>
  <c r="D173" i="39" s="1"/>
  <c r="C174" i="37"/>
  <c r="C174" i="39" s="1"/>
  <c r="C176" i="37"/>
  <c r="C176" i="38" s="1"/>
  <c r="D176" i="37"/>
  <c r="C178" i="37"/>
  <c r="D178" i="37"/>
  <c r="D178" i="39" s="1"/>
  <c r="C180" i="37"/>
  <c r="C180" i="39" s="1"/>
  <c r="D180" i="37"/>
  <c r="C182" i="37"/>
  <c r="D182" i="37"/>
  <c r="D182" i="39" s="1"/>
  <c r="C184" i="37"/>
  <c r="C185" i="37"/>
  <c r="D185" i="37"/>
  <c r="D185" i="39" s="1"/>
  <c r="C186" i="37"/>
  <c r="C186" i="39" s="1"/>
  <c r="C188" i="37"/>
  <c r="D188" i="37"/>
  <c r="C190" i="37"/>
  <c r="D190" i="37"/>
  <c r="D190" i="39" s="1"/>
  <c r="C192" i="37"/>
  <c r="D192" i="37"/>
  <c r="C194" i="37"/>
  <c r="D194" i="37"/>
  <c r="D194" i="39" s="1"/>
  <c r="C196" i="37"/>
  <c r="C196" i="39" s="1"/>
  <c r="C197" i="37"/>
  <c r="D197" i="37"/>
  <c r="C198" i="37"/>
  <c r="C198" i="39" s="1"/>
  <c r="C200" i="37"/>
  <c r="D200" i="37"/>
  <c r="D200" i="39" s="1"/>
  <c r="C202" i="37"/>
  <c r="D202" i="37"/>
  <c r="D202" i="39" s="1"/>
  <c r="C204" i="37"/>
  <c r="C204" i="39" s="1"/>
  <c r="D204" i="37"/>
  <c r="C206" i="37"/>
  <c r="D206" i="37"/>
  <c r="D206" i="39" s="1"/>
  <c r="C208" i="37"/>
  <c r="C208" i="39" s="1"/>
  <c r="C209" i="37"/>
  <c r="C209" i="39" s="1"/>
  <c r="D209" i="37"/>
  <c r="D209" i="38" s="1"/>
  <c r="C210" i="37"/>
  <c r="C212" i="37"/>
  <c r="D212" i="37"/>
  <c r="D212" i="39" s="1"/>
  <c r="C214" i="37"/>
  <c r="D214" i="37"/>
  <c r="C216" i="37"/>
  <c r="C216" i="39" s="1"/>
  <c r="C218" i="37"/>
  <c r="D218" i="37"/>
  <c r="C220" i="37"/>
  <c r="C220" i="39" s="1"/>
  <c r="D221" i="37"/>
  <c r="D221" i="38" s="1"/>
  <c r="C222" i="37"/>
  <c r="C226" i="37"/>
  <c r="D99" i="37"/>
  <c r="D111" i="37" s="1"/>
  <c r="C99" i="37"/>
  <c r="C99" i="39" s="1"/>
  <c r="D88" i="37"/>
  <c r="D89" i="37"/>
  <c r="D90" i="37"/>
  <c r="D91" i="37"/>
  <c r="D92" i="37"/>
  <c r="D93" i="37"/>
  <c r="D94" i="37"/>
  <c r="D95" i="37"/>
  <c r="D96" i="37"/>
  <c r="D97" i="37"/>
  <c r="D98" i="37"/>
  <c r="D87" i="37"/>
  <c r="C88" i="37"/>
  <c r="C89" i="37"/>
  <c r="C90" i="37"/>
  <c r="C91" i="37"/>
  <c r="C92" i="37"/>
  <c r="C93" i="37"/>
  <c r="C94" i="37"/>
  <c r="C95" i="37"/>
  <c r="C96" i="37"/>
  <c r="C97" i="37"/>
  <c r="C98" i="37"/>
  <c r="C87" i="37"/>
  <c r="H266" i="37"/>
  <c r="F266" i="37"/>
  <c r="E266" i="37"/>
  <c r="D266" i="37"/>
  <c r="C266" i="37"/>
  <c r="H265" i="37"/>
  <c r="F265" i="37"/>
  <c r="E265" i="37"/>
  <c r="D265" i="37"/>
  <c r="C265" i="37"/>
  <c r="H264" i="37"/>
  <c r="F264" i="37"/>
  <c r="E264" i="37"/>
  <c r="D264" i="37"/>
  <c r="C264" i="37"/>
  <c r="H263" i="37"/>
  <c r="F263" i="37"/>
  <c r="E263" i="37"/>
  <c r="D263" i="37"/>
  <c r="C263" i="37"/>
  <c r="H262" i="37"/>
  <c r="F262" i="37"/>
  <c r="E262" i="37"/>
  <c r="D262" i="37"/>
  <c r="C262" i="37"/>
  <c r="H261" i="37"/>
  <c r="F261" i="37"/>
  <c r="E261" i="37"/>
  <c r="D261" i="37"/>
  <c r="C261" i="37"/>
  <c r="H260" i="37"/>
  <c r="F260" i="37"/>
  <c r="E260" i="37"/>
  <c r="D260" i="37"/>
  <c r="C260" i="37"/>
  <c r="H259" i="37"/>
  <c r="F259" i="37"/>
  <c r="E259" i="37"/>
  <c r="D259" i="37"/>
  <c r="C259" i="37"/>
  <c r="H258" i="37"/>
  <c r="F258" i="37"/>
  <c r="E258" i="37"/>
  <c r="D258" i="37"/>
  <c r="C258" i="37"/>
  <c r="H257" i="37"/>
  <c r="F257" i="37"/>
  <c r="E257" i="37"/>
  <c r="D257" i="37"/>
  <c r="C257" i="37"/>
  <c r="H256" i="37"/>
  <c r="F256" i="37"/>
  <c r="E256" i="37"/>
  <c r="D256" i="37"/>
  <c r="C256" i="37"/>
  <c r="H255" i="37"/>
  <c r="F255" i="37"/>
  <c r="E255" i="37"/>
  <c r="D255" i="37"/>
  <c r="C255" i="37"/>
  <c r="B236" i="37"/>
  <c r="B234" i="37"/>
  <c r="B243" i="37"/>
  <c r="B242" i="37"/>
  <c r="B241" i="37"/>
  <c r="B240" i="37"/>
  <c r="B239" i="37"/>
  <c r="B238" i="37"/>
  <c r="B237" i="37"/>
  <c r="B235" i="37"/>
  <c r="D86" i="37"/>
  <c r="C86" i="37"/>
  <c r="D85" i="37"/>
  <c r="C85" i="37"/>
  <c r="D84" i="37"/>
  <c r="C84" i="37"/>
  <c r="D83" i="37"/>
  <c r="C83" i="37"/>
  <c r="D82" i="37"/>
  <c r="C82" i="37"/>
  <c r="D81" i="37"/>
  <c r="C81" i="37"/>
  <c r="D80" i="37"/>
  <c r="C80" i="37"/>
  <c r="D79" i="37"/>
  <c r="C79" i="37"/>
  <c r="D78" i="37"/>
  <c r="C78" i="37"/>
  <c r="D77" i="37"/>
  <c r="C77" i="37"/>
  <c r="D76" i="37"/>
  <c r="C76" i="37"/>
  <c r="D75" i="37"/>
  <c r="C75" i="37"/>
  <c r="D74" i="37"/>
  <c r="C74" i="37"/>
  <c r="D73" i="37"/>
  <c r="C73" i="37"/>
  <c r="D72" i="37"/>
  <c r="C72" i="37"/>
  <c r="D71" i="37"/>
  <c r="C71" i="37"/>
  <c r="D70" i="37"/>
  <c r="C70" i="37"/>
  <c r="D69" i="37"/>
  <c r="C69" i="37"/>
  <c r="D68" i="37"/>
  <c r="C68" i="37"/>
  <c r="D67" i="37"/>
  <c r="C67" i="37"/>
  <c r="D66" i="37"/>
  <c r="C66" i="37"/>
  <c r="D65" i="37"/>
  <c r="C65" i="37"/>
  <c r="D64" i="37"/>
  <c r="C64" i="37"/>
  <c r="D63" i="37"/>
  <c r="C63" i="37"/>
  <c r="D62" i="37"/>
  <c r="C62" i="37"/>
  <c r="D61" i="37"/>
  <c r="C61" i="37"/>
  <c r="D60" i="37"/>
  <c r="C60" i="37"/>
  <c r="D59" i="37"/>
  <c r="C59" i="37"/>
  <c r="D58" i="37"/>
  <c r="C58" i="37"/>
  <c r="D57" i="37"/>
  <c r="C57" i="37"/>
  <c r="D56" i="37"/>
  <c r="C56" i="37"/>
  <c r="D55" i="37"/>
  <c r="C55" i="37"/>
  <c r="D54" i="37"/>
  <c r="C54" i="37"/>
  <c r="D53" i="37"/>
  <c r="C53" i="37"/>
  <c r="D52" i="37"/>
  <c r="C52" i="37"/>
  <c r="D51" i="37"/>
  <c r="C51" i="37"/>
  <c r="D50" i="37"/>
  <c r="C50" i="37"/>
  <c r="D49" i="37"/>
  <c r="C49" i="37"/>
  <c r="D48" i="37"/>
  <c r="C48" i="37"/>
  <c r="D47" i="37"/>
  <c r="C47" i="37"/>
  <c r="D46" i="37"/>
  <c r="C46" i="37"/>
  <c r="D45" i="37"/>
  <c r="C45" i="37"/>
  <c r="D44" i="37"/>
  <c r="C44" i="37"/>
  <c r="D43" i="37"/>
  <c r="C43" i="37"/>
  <c r="D42" i="37"/>
  <c r="C42" i="37"/>
  <c r="D41" i="37"/>
  <c r="C41" i="37"/>
  <c r="D40" i="37"/>
  <c r="C40" i="37"/>
  <c r="D39" i="37"/>
  <c r="C39" i="37"/>
  <c r="D38" i="37"/>
  <c r="C38" i="37"/>
  <c r="D37" i="37"/>
  <c r="C37" i="37"/>
  <c r="D36" i="37"/>
  <c r="C36" i="37"/>
  <c r="D35" i="37"/>
  <c r="C35" i="37"/>
  <c r="D34" i="37"/>
  <c r="C34" i="37"/>
  <c r="D33" i="37"/>
  <c r="C33" i="37"/>
  <c r="D32" i="37"/>
  <c r="C32" i="37"/>
  <c r="D31" i="37"/>
  <c r="C31" i="37"/>
  <c r="D30" i="37"/>
  <c r="C30" i="37"/>
  <c r="D29" i="37"/>
  <c r="C29" i="37"/>
  <c r="D28" i="37"/>
  <c r="C28" i="37"/>
  <c r="D27" i="37"/>
  <c r="C27" i="37"/>
  <c r="D26" i="37"/>
  <c r="C26" i="37"/>
  <c r="D25" i="37"/>
  <c r="C25" i="37"/>
  <c r="D24" i="37"/>
  <c r="C24" i="37"/>
  <c r="D23" i="37"/>
  <c r="C23" i="37"/>
  <c r="D22" i="37"/>
  <c r="C22" i="37"/>
  <c r="D21" i="37"/>
  <c r="C21" i="37"/>
  <c r="D20" i="37"/>
  <c r="C20" i="37"/>
  <c r="D19" i="37"/>
  <c r="C19" i="37"/>
  <c r="D18" i="37"/>
  <c r="C18" i="37"/>
  <c r="D17" i="37"/>
  <c r="C17" i="37"/>
  <c r="D16" i="37"/>
  <c r="C16" i="37"/>
  <c r="D15" i="37"/>
  <c r="C15" i="37"/>
  <c r="D14" i="37"/>
  <c r="C14" i="37"/>
  <c r="D13" i="37"/>
  <c r="C13" i="37"/>
  <c r="D12" i="37"/>
  <c r="C12" i="37"/>
  <c r="D11" i="37"/>
  <c r="C11" i="37"/>
  <c r="D10" i="37"/>
  <c r="C10" i="37"/>
  <c r="D9" i="37"/>
  <c r="C9" i="37"/>
  <c r="D8" i="37"/>
  <c r="C8" i="37"/>
  <c r="D7" i="37"/>
  <c r="C7" i="37"/>
  <c r="D6" i="37"/>
  <c r="C6" i="37"/>
  <c r="D5" i="37"/>
  <c r="C5" i="37"/>
  <c r="D4" i="37"/>
  <c r="C4" i="37"/>
  <c r="D3" i="37"/>
  <c r="C3" i="37"/>
  <c r="B247" i="38" l="1"/>
  <c r="D123" i="37"/>
  <c r="D111" i="38"/>
  <c r="C222" i="39"/>
  <c r="C222" i="38"/>
  <c r="D204" i="39"/>
  <c r="D204" i="38"/>
  <c r="C197" i="39"/>
  <c r="C197" i="38"/>
  <c r="D188" i="39"/>
  <c r="D188" i="38"/>
  <c r="C185" i="39"/>
  <c r="C185" i="38"/>
  <c r="D176" i="39"/>
  <c r="D176" i="38"/>
  <c r="C161" i="39"/>
  <c r="C161" i="38"/>
  <c r="D152" i="38"/>
  <c r="D152" i="39"/>
  <c r="D132" i="39"/>
  <c r="D132" i="38"/>
  <c r="C125" i="39"/>
  <c r="C125" i="38"/>
  <c r="D120" i="38"/>
  <c r="D120" i="39"/>
  <c r="C113" i="39"/>
  <c r="C113" i="38"/>
  <c r="C228" i="37"/>
  <c r="C218" i="39"/>
  <c r="C218" i="38"/>
  <c r="C212" i="39"/>
  <c r="C212" i="38"/>
  <c r="C192" i="39"/>
  <c r="C192" i="38"/>
  <c r="C140" i="39"/>
  <c r="C140" i="38"/>
  <c r="C120" i="39"/>
  <c r="C120" i="38"/>
  <c r="C164" i="38"/>
  <c r="C230" i="37"/>
  <c r="D224" i="37"/>
  <c r="C221" i="37"/>
  <c r="D214" i="39"/>
  <c r="D214" i="38"/>
  <c r="D158" i="39"/>
  <c r="D158" i="38"/>
  <c r="D226" i="37"/>
  <c r="C224" i="37"/>
  <c r="D216" i="37"/>
  <c r="C214" i="39"/>
  <c r="C214" i="38"/>
  <c r="C206" i="39"/>
  <c r="C206" i="38"/>
  <c r="C202" i="39"/>
  <c r="C202" i="38"/>
  <c r="D197" i="39"/>
  <c r="D197" i="38"/>
  <c r="C194" i="39"/>
  <c r="C194" i="38"/>
  <c r="C190" i="39"/>
  <c r="C190" i="38"/>
  <c r="C182" i="39"/>
  <c r="C182" i="38"/>
  <c r="C178" i="39"/>
  <c r="C178" i="38"/>
  <c r="C170" i="39"/>
  <c r="C170" i="38"/>
  <c r="C166" i="39"/>
  <c r="C166" i="38"/>
  <c r="D161" i="38"/>
  <c r="D161" i="39"/>
  <c r="C154" i="39"/>
  <c r="C154" i="38"/>
  <c r="D149" i="39"/>
  <c r="D149" i="38"/>
  <c r="C142" i="39"/>
  <c r="C142" i="38"/>
  <c r="D137" i="39"/>
  <c r="D137" i="38"/>
  <c r="C130" i="39"/>
  <c r="C130" i="38"/>
  <c r="D125" i="38"/>
  <c r="D125" i="39"/>
  <c r="C122" i="39"/>
  <c r="C122" i="38"/>
  <c r="C118" i="39"/>
  <c r="C118" i="38"/>
  <c r="D113" i="38"/>
  <c r="D113" i="39"/>
  <c r="D110" i="39"/>
  <c r="D108" i="38"/>
  <c r="D108" i="39"/>
  <c r="D106" i="39"/>
  <c r="D106" i="38"/>
  <c r="D102" i="39"/>
  <c r="D102" i="38"/>
  <c r="D114" i="37"/>
  <c r="D100" i="38"/>
  <c r="D100" i="39"/>
  <c r="D112" i="37"/>
  <c r="C216" i="38"/>
  <c r="C204" i="38"/>
  <c r="C158" i="38"/>
  <c r="C146" i="38"/>
  <c r="C134" i="38"/>
  <c r="D212" i="38"/>
  <c r="D200" i="38"/>
  <c r="D140" i="38"/>
  <c r="D110" i="38"/>
  <c r="D209" i="39"/>
  <c r="D104" i="39"/>
  <c r="C226" i="39"/>
  <c r="C226" i="38"/>
  <c r="D218" i="39"/>
  <c r="D218" i="38"/>
  <c r="D192" i="39"/>
  <c r="D192" i="38"/>
  <c r="D180" i="39"/>
  <c r="D180" i="38"/>
  <c r="C173" i="39"/>
  <c r="C173" i="38"/>
  <c r="D164" i="38"/>
  <c r="D164" i="39"/>
  <c r="C149" i="39"/>
  <c r="C149" i="38"/>
  <c r="D144" i="39"/>
  <c r="D144" i="38"/>
  <c r="C137" i="39"/>
  <c r="C137" i="38"/>
  <c r="D128" i="39"/>
  <c r="D128" i="38"/>
  <c r="D99" i="38"/>
  <c r="D168" i="39"/>
  <c r="D230" i="37"/>
  <c r="C200" i="39"/>
  <c r="C200" i="38"/>
  <c r="C188" i="39"/>
  <c r="C188" i="38"/>
  <c r="C144" i="39"/>
  <c r="C144" i="38"/>
  <c r="C132" i="39"/>
  <c r="C132" i="38"/>
  <c r="D121" i="38"/>
  <c r="D133" i="37"/>
  <c r="D117" i="38"/>
  <c r="D117" i="39"/>
  <c r="D129" i="37"/>
  <c r="C152" i="38"/>
  <c r="D156" i="39"/>
  <c r="D170" i="39"/>
  <c r="D170" i="38"/>
  <c r="D154" i="39"/>
  <c r="D154" i="38"/>
  <c r="D146" i="38"/>
  <c r="D146" i="39"/>
  <c r="D142" i="38"/>
  <c r="D142" i="39"/>
  <c r="D134" i="38"/>
  <c r="D134" i="39"/>
  <c r="D130" i="38"/>
  <c r="D130" i="39"/>
  <c r="D122" i="39"/>
  <c r="D122" i="38"/>
  <c r="D118" i="39"/>
  <c r="D118" i="38"/>
  <c r="C109" i="39"/>
  <c r="C109" i="38"/>
  <c r="C121" i="37"/>
  <c r="C107" i="39"/>
  <c r="C107" i="38"/>
  <c r="C119" i="37"/>
  <c r="C105" i="39"/>
  <c r="C105" i="38"/>
  <c r="C117" i="37"/>
  <c r="C103" i="39"/>
  <c r="C103" i="38"/>
  <c r="C101" i="39"/>
  <c r="C101" i="38"/>
  <c r="C209" i="38"/>
  <c r="C128" i="38"/>
  <c r="C116" i="38"/>
  <c r="D202" i="38"/>
  <c r="D190" i="38"/>
  <c r="D178" i="38"/>
  <c r="D166" i="38"/>
  <c r="D221" i="39"/>
  <c r="D116" i="39"/>
  <c r="D119" i="37"/>
  <c r="C208" i="38"/>
  <c r="C196" i="38"/>
  <c r="C150" i="38"/>
  <c r="C138" i="38"/>
  <c r="C126" i="38"/>
  <c r="C108" i="38"/>
  <c r="D107" i="38"/>
  <c r="C210" i="39"/>
  <c r="C210" i="38"/>
  <c r="C184" i="39"/>
  <c r="C184" i="38"/>
  <c r="C162" i="39"/>
  <c r="C162" i="38"/>
  <c r="C136" i="39"/>
  <c r="C136" i="38"/>
  <c r="C114" i="39"/>
  <c r="C114" i="38"/>
  <c r="D109" i="39"/>
  <c r="D109" i="38"/>
  <c r="D105" i="39"/>
  <c r="D105" i="38"/>
  <c r="D115" i="37"/>
  <c r="D103" i="39"/>
  <c r="D103" i="38"/>
  <c r="D101" i="39"/>
  <c r="D101" i="38"/>
  <c r="C172" i="38"/>
  <c r="C160" i="38"/>
  <c r="C148" i="38"/>
  <c r="D123" i="39"/>
  <c r="D135" i="37"/>
  <c r="D123" i="38"/>
  <c r="C99" i="38"/>
  <c r="C111" i="37"/>
  <c r="D111" i="39"/>
  <c r="D99" i="39"/>
  <c r="B236" i="39"/>
  <c r="B238" i="39"/>
  <c r="B240" i="39"/>
  <c r="B242" i="39"/>
  <c r="C115" i="37"/>
  <c r="B247" i="37"/>
  <c r="B247" i="39" l="1"/>
  <c r="D129" i="38"/>
  <c r="D129" i="39"/>
  <c r="D141" i="37"/>
  <c r="C119" i="39"/>
  <c r="C119" i="38"/>
  <c r="C131" i="37"/>
  <c r="C115" i="39"/>
  <c r="C115" i="38"/>
  <c r="D119" i="39"/>
  <c r="D119" i="38"/>
  <c r="D131" i="37"/>
  <c r="D133" i="38"/>
  <c r="D145" i="37"/>
  <c r="D133" i="39"/>
  <c r="D230" i="39"/>
  <c r="D230" i="38"/>
  <c r="C224" i="39"/>
  <c r="C224" i="38"/>
  <c r="C230" i="39"/>
  <c r="C230" i="38"/>
  <c r="D226" i="38"/>
  <c r="D226" i="39"/>
  <c r="C228" i="39"/>
  <c r="C228" i="38"/>
  <c r="D127" i="37"/>
  <c r="D115" i="39"/>
  <c r="D115" i="38"/>
  <c r="C117" i="39"/>
  <c r="C129" i="37"/>
  <c r="C117" i="38"/>
  <c r="C121" i="39"/>
  <c r="C133" i="37"/>
  <c r="C121" i="38"/>
  <c r="C221" i="39"/>
  <c r="C221" i="38"/>
  <c r="D112" i="38"/>
  <c r="D112" i="39"/>
  <c r="D124" i="37"/>
  <c r="D114" i="39"/>
  <c r="D114" i="38"/>
  <c r="D126" i="37"/>
  <c r="D216" i="39"/>
  <c r="D216" i="38"/>
  <c r="D228" i="37"/>
  <c r="D224" i="39"/>
  <c r="D224" i="38"/>
  <c r="C111" i="39"/>
  <c r="C111" i="38"/>
  <c r="C123" i="37"/>
  <c r="D147" i="37"/>
  <c r="D135" i="39"/>
  <c r="D135" i="38"/>
  <c r="C127" i="37"/>
  <c r="D228" i="39" l="1"/>
  <c r="D228" i="38"/>
  <c r="D139" i="37"/>
  <c r="D127" i="39"/>
  <c r="D127" i="38"/>
  <c r="D145" i="39"/>
  <c r="D145" i="38"/>
  <c r="D157" i="37"/>
  <c r="D126" i="38"/>
  <c r="D126" i="39"/>
  <c r="D138" i="37"/>
  <c r="D124" i="39"/>
  <c r="D124" i="38"/>
  <c r="D136" i="37"/>
  <c r="C131" i="39"/>
  <c r="C131" i="38"/>
  <c r="C143" i="37"/>
  <c r="D131" i="39"/>
  <c r="D143" i="37"/>
  <c r="D131" i="38"/>
  <c r="D141" i="39"/>
  <c r="D153" i="37"/>
  <c r="D141" i="38"/>
  <c r="C127" i="39"/>
  <c r="C127" i="38"/>
  <c r="C133" i="39"/>
  <c r="C145" i="37"/>
  <c r="C133" i="38"/>
  <c r="C141" i="37"/>
  <c r="C129" i="39"/>
  <c r="C129" i="38"/>
  <c r="D147" i="39"/>
  <c r="D159" i="37"/>
  <c r="D147" i="38"/>
  <c r="C123" i="39"/>
  <c r="C135" i="37"/>
  <c r="C123" i="38"/>
  <c r="C139" i="37"/>
  <c r="C143" i="39" l="1"/>
  <c r="C155" i="37"/>
  <c r="C143" i="38"/>
  <c r="D136" i="39"/>
  <c r="D136" i="38"/>
  <c r="D148" i="37"/>
  <c r="D138" i="38"/>
  <c r="D138" i="39"/>
  <c r="D150" i="37"/>
  <c r="C139" i="39"/>
  <c r="C139" i="38"/>
  <c r="C153" i="37"/>
  <c r="C141" i="38"/>
  <c r="C141" i="39"/>
  <c r="D153" i="39"/>
  <c r="D165" i="37"/>
  <c r="D153" i="38"/>
  <c r="D143" i="38"/>
  <c r="D143" i="39"/>
  <c r="D155" i="37"/>
  <c r="C145" i="39"/>
  <c r="C157" i="37"/>
  <c r="C145" i="38"/>
  <c r="D157" i="39"/>
  <c r="D157" i="38"/>
  <c r="D169" i="37"/>
  <c r="D151" i="37"/>
  <c r="D139" i="38"/>
  <c r="D139" i="39"/>
  <c r="C135" i="39"/>
  <c r="C135" i="38"/>
  <c r="C147" i="37"/>
  <c r="D171" i="37"/>
  <c r="D159" i="39"/>
  <c r="D159" i="38"/>
  <c r="C151" i="37"/>
  <c r="C157" i="39" l="1"/>
  <c r="C157" i="38"/>
  <c r="C169" i="37"/>
  <c r="D163" i="37"/>
  <c r="D151" i="38"/>
  <c r="D151" i="39"/>
  <c r="D165" i="38"/>
  <c r="D165" i="39"/>
  <c r="D177" i="37"/>
  <c r="C153" i="39"/>
  <c r="C153" i="38"/>
  <c r="C165" i="37"/>
  <c r="C151" i="39"/>
  <c r="C151" i="38"/>
  <c r="D169" i="38"/>
  <c r="D169" i="39"/>
  <c r="D181" i="37"/>
  <c r="C167" i="37"/>
  <c r="C155" i="39"/>
  <c r="C155" i="38"/>
  <c r="D155" i="38"/>
  <c r="D155" i="39"/>
  <c r="D167" i="37"/>
  <c r="D150" i="39"/>
  <c r="D162" i="37"/>
  <c r="D150" i="38"/>
  <c r="D148" i="38"/>
  <c r="D148" i="39"/>
  <c r="D160" i="37"/>
  <c r="D171" i="39"/>
  <c r="D183" i="37"/>
  <c r="D171" i="38"/>
  <c r="C147" i="39"/>
  <c r="C159" i="37"/>
  <c r="C147" i="38"/>
  <c r="C163" i="37"/>
  <c r="D177" i="39" l="1"/>
  <c r="D189" i="37"/>
  <c r="D177" i="38"/>
  <c r="C163" i="39"/>
  <c r="C163" i="38"/>
  <c r="D167" i="39"/>
  <c r="D167" i="38"/>
  <c r="D179" i="37"/>
  <c r="C165" i="39"/>
  <c r="C165" i="38"/>
  <c r="C177" i="37"/>
  <c r="D175" i="37"/>
  <c r="D163" i="39"/>
  <c r="D163" i="38"/>
  <c r="C169" i="39"/>
  <c r="C181" i="37"/>
  <c r="C169" i="38"/>
  <c r="D160" i="38"/>
  <c r="D160" i="39"/>
  <c r="D172" i="37"/>
  <c r="D162" i="39"/>
  <c r="D174" i="37"/>
  <c r="D162" i="38"/>
  <c r="C167" i="39"/>
  <c r="C179" i="37"/>
  <c r="C167" i="38"/>
  <c r="D181" i="39"/>
  <c r="D181" i="38"/>
  <c r="D193" i="37"/>
  <c r="C159" i="39"/>
  <c r="C159" i="38"/>
  <c r="C171" i="37"/>
  <c r="D195" i="37"/>
  <c r="D183" i="39"/>
  <c r="D183" i="38"/>
  <c r="C175" i="37"/>
  <c r="D172" i="39" l="1"/>
  <c r="D184" i="37"/>
  <c r="D172" i="38"/>
  <c r="C193" i="37"/>
  <c r="C181" i="39"/>
  <c r="C181" i="38"/>
  <c r="D187" i="37"/>
  <c r="D175" i="39"/>
  <c r="D175" i="38"/>
  <c r="D179" i="39"/>
  <c r="D179" i="38"/>
  <c r="D191" i="37"/>
  <c r="C175" i="39"/>
  <c r="C175" i="38"/>
  <c r="D174" i="38"/>
  <c r="D186" i="37"/>
  <c r="D174" i="39"/>
  <c r="C177" i="39"/>
  <c r="C177" i="38"/>
  <c r="C189" i="37"/>
  <c r="D193" i="39"/>
  <c r="D193" i="38"/>
  <c r="D205" i="37"/>
  <c r="C179" i="39"/>
  <c r="C179" i="38"/>
  <c r="C191" i="37"/>
  <c r="D189" i="39"/>
  <c r="D201" i="37"/>
  <c r="D189" i="38"/>
  <c r="C171" i="39"/>
  <c r="C183" i="37"/>
  <c r="C171" i="38"/>
  <c r="D195" i="39"/>
  <c r="D207" i="37"/>
  <c r="D195" i="38"/>
  <c r="C187" i="37"/>
  <c r="D205" i="39" l="1"/>
  <c r="D205" i="38"/>
  <c r="D217" i="37"/>
  <c r="D199" i="37"/>
  <c r="D187" i="39"/>
  <c r="D187" i="38"/>
  <c r="C191" i="39"/>
  <c r="C203" i="37"/>
  <c r="C191" i="38"/>
  <c r="D184" i="39"/>
  <c r="D184" i="38"/>
  <c r="D196" i="37"/>
  <c r="C187" i="39"/>
  <c r="C187" i="38"/>
  <c r="D201" i="39"/>
  <c r="D201" i="38"/>
  <c r="D213" i="37"/>
  <c r="C189" i="39"/>
  <c r="C189" i="38"/>
  <c r="C201" i="37"/>
  <c r="D186" i="38"/>
  <c r="D198" i="37"/>
  <c r="D186" i="39"/>
  <c r="D191" i="38"/>
  <c r="D203" i="37"/>
  <c r="D191" i="39"/>
  <c r="C205" i="37"/>
  <c r="C193" i="39"/>
  <c r="C193" i="38"/>
  <c r="D219" i="37"/>
  <c r="D207" i="39"/>
  <c r="D207" i="38"/>
  <c r="C183" i="39"/>
  <c r="C183" i="38"/>
  <c r="C195" i="37"/>
  <c r="C199" i="37"/>
  <c r="C205" i="39" l="1"/>
  <c r="C205" i="38"/>
  <c r="C217" i="37"/>
  <c r="D217" i="39"/>
  <c r="D229" i="37"/>
  <c r="D217" i="38"/>
  <c r="D198" i="39"/>
  <c r="D198" i="38"/>
  <c r="D210" i="37"/>
  <c r="D203" i="38"/>
  <c r="D215" i="37"/>
  <c r="D203" i="39"/>
  <c r="D213" i="39"/>
  <c r="D225" i="37"/>
  <c r="D213" i="38"/>
  <c r="C199" i="38"/>
  <c r="C199" i="39"/>
  <c r="C201" i="39"/>
  <c r="C201" i="38"/>
  <c r="C213" i="37"/>
  <c r="D196" i="39"/>
  <c r="D208" i="37"/>
  <c r="D196" i="38"/>
  <c r="C203" i="39"/>
  <c r="C215" i="37"/>
  <c r="C203" i="38"/>
  <c r="D211" i="37"/>
  <c r="D199" i="39"/>
  <c r="D199" i="38"/>
  <c r="D219" i="39"/>
  <c r="D219" i="38"/>
  <c r="C195" i="39"/>
  <c r="C207" i="37"/>
  <c r="C195" i="38"/>
  <c r="C211" i="37"/>
  <c r="C211" i="39" l="1"/>
  <c r="C211" i="38"/>
  <c r="D223" i="37"/>
  <c r="D211" i="39"/>
  <c r="D211" i="38"/>
  <c r="D215" i="39"/>
  <c r="D215" i="38"/>
  <c r="D227" i="37"/>
  <c r="C217" i="39"/>
  <c r="C217" i="38"/>
  <c r="C229" i="37"/>
  <c r="D208" i="39"/>
  <c r="D220" i="37"/>
  <c r="D208" i="38"/>
  <c r="D225" i="39"/>
  <c r="D225" i="38"/>
  <c r="C215" i="39"/>
  <c r="C227" i="37"/>
  <c r="C215" i="38"/>
  <c r="D210" i="39"/>
  <c r="D210" i="38"/>
  <c r="D222" i="37"/>
  <c r="D229" i="39"/>
  <c r="D229" i="38"/>
  <c r="C213" i="39"/>
  <c r="C213" i="38"/>
  <c r="C225" i="37"/>
  <c r="C207" i="39"/>
  <c r="C207" i="38"/>
  <c r="C219" i="37"/>
  <c r="C223" i="37"/>
  <c r="D220" i="39" l="1"/>
  <c r="D220" i="38"/>
  <c r="D227" i="39"/>
  <c r="D227" i="38"/>
  <c r="C223" i="39"/>
  <c r="C223" i="38"/>
  <c r="C225" i="39"/>
  <c r="C225" i="38"/>
  <c r="C229" i="39"/>
  <c r="C229" i="38"/>
  <c r="D223" i="39"/>
  <c r="D223" i="38"/>
  <c r="D222" i="39"/>
  <c r="D222" i="38"/>
  <c r="C227" i="39"/>
  <c r="C227" i="38"/>
  <c r="C219" i="39"/>
  <c r="C219" i="38"/>
  <c r="H232" i="24"/>
  <c r="D44" i="18"/>
  <c r="D43" i="18" l="1"/>
  <c r="D45" i="18"/>
  <c r="N111" i="28" l="1"/>
  <c r="BB62" i="23" l="1"/>
  <c r="H57" i="9" l="1"/>
  <c r="P51" i="9" l="1"/>
  <c r="M57" i="9"/>
  <c r="K56" i="9"/>
  <c r="H56" i="9"/>
  <c r="K57" i="9" l="1"/>
  <c r="M56" i="9"/>
  <c r="L57" i="9"/>
  <c r="N57" i="9"/>
  <c r="O57" i="9"/>
  <c r="L56" i="9"/>
  <c r="N56" i="9"/>
  <c r="O56" i="9"/>
  <c r="J56" i="9"/>
  <c r="I56" i="9"/>
  <c r="J57" i="9" l="1"/>
  <c r="I57" i="9"/>
  <c r="C302" i="31"/>
  <c r="B302" i="31"/>
  <c r="C301" i="31"/>
  <c r="B301" i="31"/>
  <c r="C300" i="31"/>
  <c r="B300" i="31"/>
  <c r="C299" i="31"/>
  <c r="B299" i="31"/>
  <c r="C298" i="31"/>
  <c r="B298" i="31"/>
  <c r="C297" i="31"/>
  <c r="B297" i="31"/>
  <c r="C296" i="31"/>
  <c r="B296" i="31"/>
  <c r="C295" i="31"/>
  <c r="B295" i="31"/>
  <c r="C294" i="31"/>
  <c r="B294" i="31"/>
  <c r="C293" i="31"/>
  <c r="B293" i="31"/>
  <c r="C292" i="31"/>
  <c r="B292" i="31"/>
  <c r="C291" i="31"/>
  <c r="B291" i="31"/>
  <c r="C290" i="31"/>
  <c r="B290" i="31"/>
  <c r="C289" i="31"/>
  <c r="B289" i="31"/>
  <c r="C288" i="31"/>
  <c r="B288" i="31"/>
  <c r="C287" i="31"/>
  <c r="B287" i="31"/>
  <c r="C286" i="31"/>
  <c r="B286" i="31"/>
  <c r="C285" i="31"/>
  <c r="B285" i="31"/>
  <c r="C284" i="31"/>
  <c r="B284" i="31"/>
  <c r="C283" i="31"/>
  <c r="B283" i="31"/>
  <c r="C282" i="31"/>
  <c r="B282" i="31"/>
  <c r="C281" i="31"/>
  <c r="B281" i="31"/>
  <c r="C280" i="31"/>
  <c r="B280" i="31"/>
  <c r="C279" i="31"/>
  <c r="B279" i="31"/>
  <c r="C278" i="31"/>
  <c r="B278" i="31"/>
  <c r="C277" i="31"/>
  <c r="B277" i="31"/>
  <c r="C276" i="31"/>
  <c r="B276" i="31"/>
  <c r="C275" i="31"/>
  <c r="B275" i="31"/>
  <c r="C274" i="31"/>
  <c r="B274" i="31"/>
  <c r="C273" i="31"/>
  <c r="B273" i="31"/>
  <c r="C272" i="31"/>
  <c r="B272" i="31"/>
  <c r="C271" i="31"/>
  <c r="B271" i="31"/>
  <c r="C270" i="31"/>
  <c r="B270" i="31"/>
  <c r="C269" i="31"/>
  <c r="B269" i="31"/>
  <c r="C268" i="31"/>
  <c r="B268" i="31"/>
  <c r="C267" i="31"/>
  <c r="B267" i="31"/>
  <c r="C266" i="31"/>
  <c r="B266" i="31"/>
  <c r="C265" i="31"/>
  <c r="B265" i="31"/>
  <c r="C264" i="31"/>
  <c r="B264" i="31"/>
  <c r="C263" i="31"/>
  <c r="B263" i="31"/>
  <c r="C262" i="31"/>
  <c r="B262" i="31"/>
  <c r="C261" i="31"/>
  <c r="B261" i="31"/>
  <c r="C260" i="31"/>
  <c r="B260" i="31"/>
  <c r="C259" i="31"/>
  <c r="B259" i="31"/>
  <c r="C258" i="31"/>
  <c r="B258" i="31"/>
  <c r="C257" i="31"/>
  <c r="B257" i="31"/>
  <c r="C256" i="31"/>
  <c r="B256" i="31"/>
  <c r="C255" i="31"/>
  <c r="B255" i="31"/>
  <c r="C254" i="31"/>
  <c r="B254" i="31"/>
  <c r="C253" i="31"/>
  <c r="B253" i="31"/>
  <c r="C252" i="31"/>
  <c r="B252" i="31"/>
  <c r="C251" i="31"/>
  <c r="B251" i="31"/>
  <c r="C250" i="31"/>
  <c r="B250" i="31"/>
  <c r="C249" i="31"/>
  <c r="B249" i="31"/>
  <c r="C248" i="31"/>
  <c r="B248" i="31"/>
  <c r="C247" i="31"/>
  <c r="B247" i="31"/>
  <c r="C246" i="31"/>
  <c r="B246" i="31"/>
  <c r="C245" i="31"/>
  <c r="B245" i="31"/>
  <c r="C244" i="31"/>
  <c r="B244" i="31"/>
  <c r="C243" i="31"/>
  <c r="B243" i="31"/>
  <c r="C242" i="31"/>
  <c r="B242" i="31"/>
  <c r="C241" i="31"/>
  <c r="B241" i="31"/>
  <c r="C240" i="31"/>
  <c r="B240" i="31"/>
  <c r="C239" i="31"/>
  <c r="B239" i="31"/>
  <c r="C238" i="31"/>
  <c r="B238" i="31"/>
  <c r="C237" i="31"/>
  <c r="B237" i="31"/>
  <c r="C236" i="31"/>
  <c r="B236" i="31"/>
  <c r="C235" i="31"/>
  <c r="B235" i="31"/>
  <c r="C234" i="31"/>
  <c r="B234" i="31"/>
  <c r="C233" i="31"/>
  <c r="B233" i="31"/>
  <c r="C232" i="31"/>
  <c r="B232" i="31"/>
  <c r="C231" i="31"/>
  <c r="B231" i="31"/>
  <c r="C230" i="31"/>
  <c r="B230" i="31"/>
  <c r="C229" i="31"/>
  <c r="B229" i="31"/>
  <c r="C228" i="31"/>
  <c r="B228" i="31"/>
  <c r="C227" i="31"/>
  <c r="B227" i="31"/>
  <c r="C226" i="31"/>
  <c r="B226" i="31"/>
  <c r="C225" i="31"/>
  <c r="B225" i="31"/>
  <c r="C224" i="31"/>
  <c r="B224" i="31"/>
  <c r="C223" i="31"/>
  <c r="B223" i="31"/>
  <c r="C222" i="31"/>
  <c r="B222" i="31"/>
  <c r="C221" i="31"/>
  <c r="B221" i="31"/>
  <c r="C220" i="31"/>
  <c r="B220" i="31"/>
  <c r="C219" i="31"/>
  <c r="B219" i="31"/>
  <c r="C218" i="31"/>
  <c r="B218" i="31"/>
  <c r="C217" i="31"/>
  <c r="B217" i="31"/>
  <c r="C216" i="31"/>
  <c r="B216" i="31"/>
  <c r="C215" i="31"/>
  <c r="B215" i="31"/>
  <c r="C214" i="31"/>
  <c r="B214" i="31"/>
  <c r="C213" i="31"/>
  <c r="B213" i="31"/>
  <c r="C212" i="31"/>
  <c r="B212" i="31"/>
  <c r="C211" i="31"/>
  <c r="B211" i="31"/>
  <c r="C210" i="31"/>
  <c r="B210" i="31"/>
  <c r="C209" i="31"/>
  <c r="B209" i="31"/>
  <c r="C208" i="31"/>
  <c r="B208" i="31"/>
  <c r="C207" i="31"/>
  <c r="B207" i="31"/>
  <c r="C206" i="31"/>
  <c r="B206" i="31"/>
  <c r="C205" i="31"/>
  <c r="B205" i="31"/>
  <c r="C204" i="31"/>
  <c r="B204" i="31"/>
  <c r="C203" i="31"/>
  <c r="B203" i="31"/>
  <c r="C202" i="31"/>
  <c r="B202" i="31"/>
  <c r="C201" i="31"/>
  <c r="B201" i="31"/>
  <c r="C200" i="31"/>
  <c r="B200" i="31"/>
  <c r="C199" i="31"/>
  <c r="B199" i="31"/>
  <c r="C198" i="31"/>
  <c r="B198" i="31"/>
  <c r="C197" i="31"/>
  <c r="B197" i="31"/>
  <c r="C196" i="31"/>
  <c r="B196" i="31"/>
  <c r="C195" i="31"/>
  <c r="B195" i="31"/>
  <c r="C194" i="31"/>
  <c r="B194" i="31"/>
  <c r="C193" i="31"/>
  <c r="B193" i="31"/>
  <c r="C192" i="31"/>
  <c r="B192" i="31"/>
  <c r="C191" i="31"/>
  <c r="B191" i="31"/>
  <c r="C190" i="31"/>
  <c r="B190" i="31"/>
  <c r="C189" i="31"/>
  <c r="B189" i="31"/>
  <c r="C188" i="31"/>
  <c r="B188" i="31"/>
  <c r="C187" i="31"/>
  <c r="B187" i="31"/>
  <c r="C186" i="31"/>
  <c r="B186" i="31"/>
  <c r="C185" i="31"/>
  <c r="B185" i="31"/>
  <c r="C184" i="31"/>
  <c r="B184" i="31"/>
  <c r="C183" i="31"/>
  <c r="B183" i="31"/>
  <c r="A42" i="11" l="1"/>
  <c r="K40" i="11"/>
  <c r="J40" i="11"/>
  <c r="H40" i="11"/>
  <c r="G40" i="11"/>
  <c r="F40" i="11"/>
  <c r="D40" i="11"/>
  <c r="C40" i="11"/>
  <c r="B40" i="11"/>
  <c r="P53" i="9"/>
  <c r="P52" i="9"/>
  <c r="Q57" i="9" l="1"/>
  <c r="Q56" i="9"/>
  <c r="E40" i="11"/>
  <c r="I40" i="11"/>
  <c r="K43" i="11" l="1"/>
  <c r="J43" i="11"/>
  <c r="I43" i="11"/>
  <c r="H43" i="11"/>
  <c r="G43" i="11"/>
  <c r="F43" i="11"/>
  <c r="E43" i="11"/>
  <c r="D43" i="11"/>
  <c r="C43" i="11"/>
  <c r="B43" i="11"/>
  <c r="I2" i="17"/>
  <c r="I24" i="17" l="1"/>
  <c r="I20" i="17"/>
  <c r="I13" i="17"/>
  <c r="L43" i="11" s="1"/>
  <c r="I23" i="17"/>
  <c r="I19" i="17"/>
  <c r="I25" i="17"/>
  <c r="I21" i="17"/>
  <c r="I17" i="17"/>
  <c r="I22" i="17"/>
  <c r="I18" i="17"/>
  <c r="I14" i="17" l="1"/>
  <c r="M43" i="11" s="1"/>
  <c r="I30" i="17"/>
  <c r="H44" i="11" l="1"/>
  <c r="O23" i="9"/>
  <c r="E44" i="11"/>
  <c r="O20" i="9"/>
  <c r="I44" i="11"/>
  <c r="O24" i="9"/>
  <c r="O37" i="9" s="1"/>
  <c r="B44" i="11"/>
  <c r="O17" i="9"/>
  <c r="J44" i="11"/>
  <c r="O25" i="9"/>
  <c r="O38" i="9" s="1"/>
  <c r="C44" i="11"/>
  <c r="O18" i="9"/>
  <c r="G44" i="11"/>
  <c r="O22" i="9"/>
  <c r="K44" i="11"/>
  <c r="O26" i="9"/>
  <c r="D44" i="11"/>
  <c r="O19" i="9"/>
  <c r="F44" i="11"/>
  <c r="O21" i="9"/>
  <c r="G11" i="18"/>
  <c r="G10" i="18"/>
  <c r="G9" i="18"/>
  <c r="G8" i="18"/>
  <c r="G7" i="18"/>
  <c r="G6" i="18"/>
  <c r="G5" i="18"/>
  <c r="G4" i="18"/>
  <c r="G3" i="18"/>
  <c r="G2" i="18"/>
  <c r="J11" i="17"/>
  <c r="J7" i="17"/>
  <c r="J3" i="17"/>
  <c r="F25" i="18"/>
  <c r="F27" i="18" s="1"/>
  <c r="F24" i="18"/>
  <c r="F23" i="18"/>
  <c r="F22" i="18"/>
  <c r="F21" i="18"/>
  <c r="F20" i="18"/>
  <c r="F19" i="18"/>
  <c r="F18" i="18"/>
  <c r="F17" i="18"/>
  <c r="F16" i="18"/>
  <c r="O34" i="9" l="1"/>
  <c r="J5" i="17"/>
  <c r="O33" i="9"/>
  <c r="O27" i="9"/>
  <c r="O39" i="9"/>
  <c r="O31" i="9"/>
  <c r="J4" i="17"/>
  <c r="J6" i="17"/>
  <c r="J8" i="17"/>
  <c r="J10" i="17"/>
  <c r="J12" i="17"/>
  <c r="O32" i="9"/>
  <c r="O35" i="9"/>
  <c r="O36" i="9"/>
  <c r="J9" i="17"/>
  <c r="BA58" i="23"/>
  <c r="BA59" i="23"/>
  <c r="BA60" i="23"/>
  <c r="BA61" i="23"/>
  <c r="BA57" i="23"/>
  <c r="O43" i="9" l="1"/>
  <c r="O28" i="9"/>
  <c r="O48" i="9" s="1"/>
  <c r="O61" i="9" s="1"/>
  <c r="M44" i="11" s="1"/>
  <c r="O47" i="9"/>
  <c r="O60" i="9" s="1"/>
  <c r="L44" i="11" s="1"/>
  <c r="P57" i="9"/>
  <c r="BC58" i="23"/>
  <c r="BC59" i="23"/>
  <c r="BC60" i="23"/>
  <c r="BC61" i="23"/>
  <c r="BC57" i="23"/>
  <c r="P56" i="9" l="1"/>
  <c r="J35" i="11"/>
  <c r="H35" i="11"/>
  <c r="K30" i="11"/>
  <c r="J30" i="11"/>
  <c r="I30" i="11"/>
  <c r="H30" i="11"/>
  <c r="K25" i="11"/>
  <c r="J25" i="11"/>
  <c r="H25" i="11"/>
  <c r="J20" i="11"/>
  <c r="I20" i="11"/>
  <c r="H54" i="11"/>
  <c r="F17" i="17"/>
  <c r="I38" i="11"/>
  <c r="H38" i="11"/>
  <c r="H18" i="17"/>
  <c r="K33" i="11"/>
  <c r="G24" i="17"/>
  <c r="I33" i="11"/>
  <c r="G21" i="17"/>
  <c r="G17" i="17"/>
  <c r="K28" i="11"/>
  <c r="I28" i="11"/>
  <c r="H28" i="11"/>
  <c r="F21" i="17"/>
  <c r="E13" i="17"/>
  <c r="L23" i="11" s="1"/>
  <c r="J23" i="11"/>
  <c r="I23" i="11"/>
  <c r="H23" i="11"/>
  <c r="K18" i="11"/>
  <c r="J18" i="11"/>
  <c r="H18" i="11"/>
  <c r="K14" i="11"/>
  <c r="J14" i="11"/>
  <c r="I14" i="11"/>
  <c r="C21" i="17"/>
  <c r="C17" i="17"/>
  <c r="B23" i="17"/>
  <c r="H10" i="11"/>
  <c r="B19" i="17"/>
  <c r="J39" i="11"/>
  <c r="L23" i="9"/>
  <c r="L22" i="9"/>
  <c r="L21" i="9"/>
  <c r="L20" i="9"/>
  <c r="L19" i="9"/>
  <c r="L18" i="9"/>
  <c r="M25" i="9"/>
  <c r="M22" i="9"/>
  <c r="M21" i="9"/>
  <c r="M20" i="9"/>
  <c r="M18" i="9"/>
  <c r="E16" i="18"/>
  <c r="A11" i="9"/>
  <c r="A25" i="9" s="1"/>
  <c r="A12" i="9"/>
  <c r="A26" i="9" s="1"/>
  <c r="C9" i="28"/>
  <c r="D9" i="28"/>
  <c r="C10" i="28"/>
  <c r="D10" i="28"/>
  <c r="C11" i="28"/>
  <c r="D11" i="28"/>
  <c r="C12" i="28"/>
  <c r="D12" i="28"/>
  <c r="C13" i="28"/>
  <c r="D13" i="28"/>
  <c r="C14" i="28"/>
  <c r="D14" i="28"/>
  <c r="C15" i="28"/>
  <c r="D15" i="28"/>
  <c r="C16" i="28"/>
  <c r="D16" i="28"/>
  <c r="C17" i="28"/>
  <c r="D17" i="28"/>
  <c r="C18" i="28"/>
  <c r="D18" i="28"/>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47" i="28"/>
  <c r="D47" i="28"/>
  <c r="C48" i="28"/>
  <c r="D48" i="28"/>
  <c r="C49" i="28"/>
  <c r="D49" i="28"/>
  <c r="C50" i="28"/>
  <c r="D50" i="28"/>
  <c r="C51" i="28"/>
  <c r="D51" i="28"/>
  <c r="C52" i="28"/>
  <c r="D52" i="28"/>
  <c r="C53" i="28"/>
  <c r="D53" i="28"/>
  <c r="C54" i="28"/>
  <c r="D54" i="28"/>
  <c r="C55" i="28"/>
  <c r="D55" i="28"/>
  <c r="C56" i="28"/>
  <c r="D56" i="28"/>
  <c r="C57" i="28"/>
  <c r="D57" i="28"/>
  <c r="C58" i="28"/>
  <c r="D58" i="28"/>
  <c r="C59" i="28"/>
  <c r="D59" i="28"/>
  <c r="C60" i="28"/>
  <c r="D60" i="28"/>
  <c r="C61" i="28"/>
  <c r="D61" i="28"/>
  <c r="C62" i="28"/>
  <c r="D62" i="28"/>
  <c r="C63" i="28"/>
  <c r="D63" i="28"/>
  <c r="C64" i="28"/>
  <c r="D64" i="28"/>
  <c r="C65" i="28"/>
  <c r="D65" i="28"/>
  <c r="C66" i="28"/>
  <c r="D66" i="28"/>
  <c r="C67" i="28"/>
  <c r="D67" i="28"/>
  <c r="C68" i="28"/>
  <c r="D68" i="28"/>
  <c r="C69" i="28"/>
  <c r="D69" i="28"/>
  <c r="C70" i="28"/>
  <c r="D70" i="28"/>
  <c r="C71" i="28"/>
  <c r="D71" i="28"/>
  <c r="C72" i="28"/>
  <c r="D72" i="28"/>
  <c r="C73" i="28"/>
  <c r="D73" i="28"/>
  <c r="C74" i="28"/>
  <c r="D74" i="28"/>
  <c r="C75" i="28"/>
  <c r="D75" i="28"/>
  <c r="C76" i="28"/>
  <c r="D76" i="28"/>
  <c r="C77" i="28"/>
  <c r="D77" i="28"/>
  <c r="C78" i="28"/>
  <c r="D78" i="28"/>
  <c r="C79" i="28"/>
  <c r="D79" i="28"/>
  <c r="C80" i="28"/>
  <c r="D80" i="28"/>
  <c r="C81" i="28"/>
  <c r="D81" i="28"/>
  <c r="C82" i="28"/>
  <c r="D82" i="28"/>
  <c r="C83" i="28"/>
  <c r="D83" i="28"/>
  <c r="C84" i="28"/>
  <c r="D84" i="28"/>
  <c r="C85" i="28"/>
  <c r="D85" i="28"/>
  <c r="C86" i="28"/>
  <c r="D86" i="28"/>
  <c r="C87" i="28"/>
  <c r="D87" i="28"/>
  <c r="C88" i="28"/>
  <c r="D88" i="28"/>
  <c r="C89" i="28"/>
  <c r="D89" i="28"/>
  <c r="C90" i="28"/>
  <c r="D90" i="28"/>
  <c r="C91" i="28"/>
  <c r="D91" i="28"/>
  <c r="C92" i="28"/>
  <c r="D92" i="28"/>
  <c r="C93" i="28"/>
  <c r="D93" i="28"/>
  <c r="C94" i="28"/>
  <c r="D94" i="28"/>
  <c r="C95" i="28"/>
  <c r="D95" i="28"/>
  <c r="C96" i="28"/>
  <c r="D96" i="28"/>
  <c r="C97" i="28"/>
  <c r="D97" i="28"/>
  <c r="C98" i="28"/>
  <c r="D98" i="28"/>
  <c r="C99" i="28"/>
  <c r="D99" i="28"/>
  <c r="C100" i="28"/>
  <c r="D100" i="28"/>
  <c r="C101" i="28"/>
  <c r="D101" i="28"/>
  <c r="C102" i="28"/>
  <c r="D102" i="28"/>
  <c r="C103" i="28"/>
  <c r="D103" i="28"/>
  <c r="C104" i="28"/>
  <c r="D104" i="28"/>
  <c r="C105" i="28"/>
  <c r="D105" i="28"/>
  <c r="C106" i="28"/>
  <c r="D106" i="28"/>
  <c r="C107" i="28"/>
  <c r="D107" i="28"/>
  <c r="C108" i="28"/>
  <c r="D108" i="28"/>
  <c r="C109" i="28"/>
  <c r="D109" i="28"/>
  <c r="C110" i="28"/>
  <c r="D110" i="28"/>
  <c r="C159" i="28"/>
  <c r="D159" i="28"/>
  <c r="C160" i="28"/>
  <c r="D160" i="28"/>
  <c r="C161" i="28"/>
  <c r="D161" i="28"/>
  <c r="C162" i="28"/>
  <c r="D162" i="28"/>
  <c r="C163" i="28"/>
  <c r="D163" i="28"/>
  <c r="C164" i="28"/>
  <c r="D164" i="28"/>
  <c r="C165" i="28"/>
  <c r="D165" i="28"/>
  <c r="C166" i="28"/>
  <c r="D166" i="28"/>
  <c r="C167" i="28"/>
  <c r="D167" i="28"/>
  <c r="C168" i="28"/>
  <c r="D168" i="28"/>
  <c r="C169" i="28"/>
  <c r="D169" i="28"/>
  <c r="C170" i="28"/>
  <c r="D170" i="28"/>
  <c r="C171" i="28"/>
  <c r="D171" i="28"/>
  <c r="C172" i="28"/>
  <c r="D172" i="28"/>
  <c r="C173" i="28"/>
  <c r="D173" i="28"/>
  <c r="C174" i="28"/>
  <c r="D174" i="28"/>
  <c r="C175" i="28"/>
  <c r="D175" i="28"/>
  <c r="C176" i="28"/>
  <c r="D176" i="28"/>
  <c r="C177" i="28"/>
  <c r="D177" i="28"/>
  <c r="C178" i="28"/>
  <c r="D178" i="28"/>
  <c r="C179" i="28"/>
  <c r="D179" i="28"/>
  <c r="C180" i="28"/>
  <c r="D180" i="28"/>
  <c r="C181" i="28"/>
  <c r="D181" i="28"/>
  <c r="C182" i="28"/>
  <c r="D182" i="28"/>
  <c r="C183" i="28"/>
  <c r="D183" i="28"/>
  <c r="C184" i="28"/>
  <c r="D184" i="28"/>
  <c r="C185" i="28"/>
  <c r="D185" i="28"/>
  <c r="C186" i="28"/>
  <c r="D186" i="28"/>
  <c r="C187" i="28"/>
  <c r="D187" i="28"/>
  <c r="C188" i="28"/>
  <c r="D188" i="28"/>
  <c r="C189" i="28"/>
  <c r="D189" i="28"/>
  <c r="C190" i="28"/>
  <c r="D190" i="28"/>
  <c r="C191" i="28"/>
  <c r="D191" i="28"/>
  <c r="C192" i="28"/>
  <c r="D192" i="28"/>
  <c r="C193" i="28"/>
  <c r="D193" i="28"/>
  <c r="C194" i="28"/>
  <c r="D194" i="28"/>
  <c r="C195" i="28"/>
  <c r="D195" i="28"/>
  <c r="C196" i="28"/>
  <c r="D196" i="28"/>
  <c r="C197" i="28"/>
  <c r="D197" i="28"/>
  <c r="C198" i="28"/>
  <c r="D198" i="28"/>
  <c r="C199" i="28"/>
  <c r="D199" i="28"/>
  <c r="C200" i="28"/>
  <c r="D200" i="28"/>
  <c r="C201" i="28"/>
  <c r="D201" i="28"/>
  <c r="C202" i="28"/>
  <c r="D202" i="28"/>
  <c r="C203" i="28"/>
  <c r="D203" i="28"/>
  <c r="C204" i="28"/>
  <c r="D204" i="28"/>
  <c r="C205" i="28"/>
  <c r="D205" i="28"/>
  <c r="C206" i="28"/>
  <c r="D206" i="28"/>
  <c r="C4" i="28"/>
  <c r="D4" i="28"/>
  <c r="C5" i="28"/>
  <c r="D5" i="28"/>
  <c r="C6" i="28"/>
  <c r="D6" i="28"/>
  <c r="C7" i="28"/>
  <c r="D7" i="28"/>
  <c r="C8" i="28"/>
  <c r="D8" i="28"/>
  <c r="D3" i="28"/>
  <c r="C3" i="28"/>
  <c r="H266" i="27"/>
  <c r="F266" i="27"/>
  <c r="E266" i="27"/>
  <c r="H265" i="27"/>
  <c r="F265" i="27"/>
  <c r="E265" i="27"/>
  <c r="H264" i="27"/>
  <c r="F264" i="27"/>
  <c r="E264" i="27"/>
  <c r="H263" i="27"/>
  <c r="F263" i="27"/>
  <c r="E263" i="27"/>
  <c r="H262" i="27"/>
  <c r="F262" i="27"/>
  <c r="E262" i="27"/>
  <c r="H261" i="27"/>
  <c r="F261" i="27"/>
  <c r="E261" i="27"/>
  <c r="H260" i="27"/>
  <c r="F260" i="27"/>
  <c r="E260" i="27"/>
  <c r="H259" i="27"/>
  <c r="F259" i="27"/>
  <c r="E259" i="27"/>
  <c r="H258" i="27"/>
  <c r="F258" i="27"/>
  <c r="E258" i="27"/>
  <c r="H257" i="27"/>
  <c r="F257" i="27"/>
  <c r="E257" i="27"/>
  <c r="H256" i="27"/>
  <c r="F256" i="27"/>
  <c r="E256" i="27"/>
  <c r="H255" i="27"/>
  <c r="F255" i="27"/>
  <c r="E255" i="27"/>
  <c r="D4" i="27"/>
  <c r="D5"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3"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4" i="27"/>
  <c r="C5" i="27"/>
  <c r="C6" i="27"/>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3" i="27"/>
  <c r="H256" i="25"/>
  <c r="H257" i="25"/>
  <c r="H258" i="25"/>
  <c r="H259" i="25"/>
  <c r="H260" i="25"/>
  <c r="H261" i="25"/>
  <c r="H262" i="25"/>
  <c r="H263" i="25"/>
  <c r="H264" i="25"/>
  <c r="H265" i="25"/>
  <c r="H266" i="25"/>
  <c r="H255" i="25"/>
  <c r="F266" i="25"/>
  <c r="E266" i="25"/>
  <c r="F265" i="25"/>
  <c r="E265" i="25"/>
  <c r="F264" i="25"/>
  <c r="E264" i="25"/>
  <c r="F263" i="25"/>
  <c r="E263" i="25"/>
  <c r="F262" i="25"/>
  <c r="E262" i="25"/>
  <c r="F261" i="25"/>
  <c r="E261" i="25"/>
  <c r="F260" i="25"/>
  <c r="E260" i="25"/>
  <c r="F259" i="25"/>
  <c r="E259" i="25"/>
  <c r="F258" i="25"/>
  <c r="E258" i="25"/>
  <c r="F257" i="25"/>
  <c r="E257" i="25"/>
  <c r="F256" i="25"/>
  <c r="E256" i="25"/>
  <c r="F255" i="25"/>
  <c r="E255" i="25"/>
  <c r="C4" i="25"/>
  <c r="D4" i="25"/>
  <c r="C5" i="25"/>
  <c r="D5" i="25"/>
  <c r="C6" i="25"/>
  <c r="D6" i="25"/>
  <c r="C7" i="25"/>
  <c r="D7" i="25"/>
  <c r="C8" i="25"/>
  <c r="D8" i="25"/>
  <c r="C9" i="25"/>
  <c r="D9" i="25"/>
  <c r="C10" i="25"/>
  <c r="D10" i="25"/>
  <c r="C11" i="25"/>
  <c r="D11" i="25"/>
  <c r="C12" i="25"/>
  <c r="D12" i="25"/>
  <c r="C13" i="25"/>
  <c r="D13" i="25"/>
  <c r="C14" i="25"/>
  <c r="D14" i="25"/>
  <c r="C15" i="25"/>
  <c r="D15" i="25"/>
  <c r="C16" i="25"/>
  <c r="D16" i="25"/>
  <c r="C17" i="25"/>
  <c r="D17" i="25"/>
  <c r="C18" i="25"/>
  <c r="D18" i="25"/>
  <c r="C19" i="25"/>
  <c r="D19" i="25"/>
  <c r="C20" i="25"/>
  <c r="D20" i="25"/>
  <c r="C21" i="25"/>
  <c r="D21" i="25"/>
  <c r="C22" i="25"/>
  <c r="D22" i="25"/>
  <c r="C23" i="25"/>
  <c r="D23" i="25"/>
  <c r="C24" i="25"/>
  <c r="D24" i="25"/>
  <c r="C25" i="25"/>
  <c r="D25" i="25"/>
  <c r="C26" i="25"/>
  <c r="D26" i="25"/>
  <c r="C27" i="25"/>
  <c r="D27" i="25"/>
  <c r="C28" i="25"/>
  <c r="D28" i="25"/>
  <c r="C29" i="25"/>
  <c r="D29" i="25"/>
  <c r="C30" i="25"/>
  <c r="D30" i="25"/>
  <c r="C31" i="25"/>
  <c r="D31" i="25"/>
  <c r="C32" i="25"/>
  <c r="D32" i="25"/>
  <c r="C33" i="25"/>
  <c r="D33" i="25"/>
  <c r="C34" i="25"/>
  <c r="D34" i="25"/>
  <c r="C35" i="25"/>
  <c r="D35" i="25"/>
  <c r="C36" i="25"/>
  <c r="D36" i="25"/>
  <c r="C37" i="25"/>
  <c r="D37" i="25"/>
  <c r="C38" i="25"/>
  <c r="D38" i="25"/>
  <c r="C39" i="25"/>
  <c r="D39" i="25"/>
  <c r="C40" i="25"/>
  <c r="D40" i="25"/>
  <c r="C41" i="25"/>
  <c r="D41" i="25"/>
  <c r="C42" i="25"/>
  <c r="D42" i="25"/>
  <c r="C43" i="25"/>
  <c r="D43" i="25"/>
  <c r="C44" i="25"/>
  <c r="D44" i="25"/>
  <c r="C45" i="25"/>
  <c r="D45" i="25"/>
  <c r="C46" i="25"/>
  <c r="D46" i="25"/>
  <c r="C47" i="25"/>
  <c r="D47" i="25"/>
  <c r="C48" i="25"/>
  <c r="D48" i="25"/>
  <c r="C49" i="25"/>
  <c r="D49" i="25"/>
  <c r="C50" i="25"/>
  <c r="D50" i="25"/>
  <c r="C51" i="25"/>
  <c r="D51" i="25"/>
  <c r="C52" i="25"/>
  <c r="D52" i="25"/>
  <c r="C53" i="25"/>
  <c r="D53" i="25"/>
  <c r="C54" i="25"/>
  <c r="D54" i="25"/>
  <c r="C55" i="25"/>
  <c r="D55" i="25"/>
  <c r="C56" i="25"/>
  <c r="D56" i="25"/>
  <c r="C57" i="25"/>
  <c r="D57" i="25"/>
  <c r="C58" i="25"/>
  <c r="D58" i="25"/>
  <c r="C59" i="25"/>
  <c r="D59" i="25"/>
  <c r="C60" i="25"/>
  <c r="D60" i="25"/>
  <c r="C61" i="25"/>
  <c r="D61" i="25"/>
  <c r="C62" i="25"/>
  <c r="D62" i="25"/>
  <c r="C63" i="25"/>
  <c r="D63" i="25"/>
  <c r="C64" i="25"/>
  <c r="D64" i="25"/>
  <c r="C65" i="25"/>
  <c r="D65" i="25"/>
  <c r="C66" i="25"/>
  <c r="D66" i="25"/>
  <c r="C67" i="25"/>
  <c r="D67" i="25"/>
  <c r="C68" i="25"/>
  <c r="D68" i="25"/>
  <c r="C69" i="25"/>
  <c r="D69" i="25"/>
  <c r="C70" i="25"/>
  <c r="D70" i="25"/>
  <c r="C71" i="25"/>
  <c r="D71" i="25"/>
  <c r="C72" i="25"/>
  <c r="D72" i="25"/>
  <c r="C73" i="25"/>
  <c r="D73" i="25"/>
  <c r="C74" i="25"/>
  <c r="D74" i="25"/>
  <c r="C75" i="25"/>
  <c r="D75" i="25"/>
  <c r="C76" i="25"/>
  <c r="D76" i="25"/>
  <c r="C77" i="25"/>
  <c r="D77" i="25"/>
  <c r="C78" i="25"/>
  <c r="D78" i="25"/>
  <c r="C79" i="25"/>
  <c r="D79" i="25"/>
  <c r="C80" i="25"/>
  <c r="D80" i="25"/>
  <c r="C81" i="25"/>
  <c r="D81" i="25"/>
  <c r="C82" i="25"/>
  <c r="D82" i="25"/>
  <c r="C83" i="25"/>
  <c r="D83" i="25"/>
  <c r="C84" i="25"/>
  <c r="D84" i="25"/>
  <c r="C85" i="25"/>
  <c r="D85" i="25"/>
  <c r="C86" i="25"/>
  <c r="D86" i="25"/>
  <c r="C87" i="25"/>
  <c r="D87" i="25"/>
  <c r="C88" i="25"/>
  <c r="D88" i="25"/>
  <c r="C89" i="25"/>
  <c r="D89" i="25"/>
  <c r="C90" i="25"/>
  <c r="D90" i="25"/>
  <c r="C91" i="25"/>
  <c r="D91" i="25"/>
  <c r="C92" i="25"/>
  <c r="D92" i="25"/>
  <c r="C93" i="25"/>
  <c r="D93" i="25"/>
  <c r="C94" i="25"/>
  <c r="D94" i="25"/>
  <c r="C95" i="25"/>
  <c r="D95" i="25"/>
  <c r="C96" i="25"/>
  <c r="D96" i="25"/>
  <c r="C97" i="25"/>
  <c r="D97" i="25"/>
  <c r="C98" i="25"/>
  <c r="D98" i="25"/>
  <c r="C99" i="25"/>
  <c r="D99" i="25"/>
  <c r="C100" i="25"/>
  <c r="D100" i="25"/>
  <c r="C101" i="25"/>
  <c r="D101" i="25"/>
  <c r="C102" i="25"/>
  <c r="D102" i="25"/>
  <c r="C103" i="25"/>
  <c r="D103" i="25"/>
  <c r="C104" i="25"/>
  <c r="D104" i="25"/>
  <c r="C105" i="25"/>
  <c r="D105" i="25"/>
  <c r="C106" i="25"/>
  <c r="D106" i="25"/>
  <c r="C107" i="25"/>
  <c r="D107" i="25"/>
  <c r="C108" i="25"/>
  <c r="D108" i="25"/>
  <c r="C109" i="25"/>
  <c r="D109" i="25"/>
  <c r="C110" i="25"/>
  <c r="D110" i="25"/>
  <c r="C159" i="25"/>
  <c r="D159" i="25"/>
  <c r="C160" i="25"/>
  <c r="D160" i="25"/>
  <c r="C161" i="25"/>
  <c r="D161" i="25"/>
  <c r="C162" i="25"/>
  <c r="D162" i="25"/>
  <c r="C163" i="25"/>
  <c r="D163" i="25"/>
  <c r="C164" i="25"/>
  <c r="D164" i="25"/>
  <c r="C165" i="25"/>
  <c r="D165" i="25"/>
  <c r="C166" i="25"/>
  <c r="D166" i="25"/>
  <c r="C167" i="25"/>
  <c r="D167" i="25"/>
  <c r="C168" i="25"/>
  <c r="D168" i="25"/>
  <c r="C169" i="25"/>
  <c r="D169" i="25"/>
  <c r="C170" i="25"/>
  <c r="D170" i="25"/>
  <c r="C171" i="25"/>
  <c r="D171" i="25"/>
  <c r="C172" i="25"/>
  <c r="D172" i="25"/>
  <c r="C173" i="25"/>
  <c r="D173" i="25"/>
  <c r="C174" i="25"/>
  <c r="D174" i="25"/>
  <c r="C175" i="25"/>
  <c r="D175" i="25"/>
  <c r="C176" i="25"/>
  <c r="D176" i="25"/>
  <c r="C177" i="25"/>
  <c r="D177" i="25"/>
  <c r="C178" i="25"/>
  <c r="D178" i="25"/>
  <c r="C179" i="25"/>
  <c r="D179" i="25"/>
  <c r="C180" i="25"/>
  <c r="D180" i="25"/>
  <c r="C181" i="25"/>
  <c r="D181" i="25"/>
  <c r="C182" i="25"/>
  <c r="D182" i="25"/>
  <c r="C183" i="25"/>
  <c r="D183" i="25"/>
  <c r="C184" i="25"/>
  <c r="D184" i="25"/>
  <c r="C185" i="25"/>
  <c r="D185" i="25"/>
  <c r="C186" i="25"/>
  <c r="D186" i="25"/>
  <c r="C187" i="25"/>
  <c r="D187" i="25"/>
  <c r="C188" i="25"/>
  <c r="D188" i="25"/>
  <c r="C189" i="25"/>
  <c r="D189" i="25"/>
  <c r="C190" i="25"/>
  <c r="D190" i="25"/>
  <c r="C191" i="25"/>
  <c r="D191" i="25"/>
  <c r="C192" i="25"/>
  <c r="D192" i="25"/>
  <c r="C193" i="25"/>
  <c r="D193" i="25"/>
  <c r="C194" i="25"/>
  <c r="D194" i="25"/>
  <c r="C195" i="25"/>
  <c r="D195" i="25"/>
  <c r="C196" i="25"/>
  <c r="D196" i="25"/>
  <c r="C197" i="25"/>
  <c r="D197" i="25"/>
  <c r="C198" i="25"/>
  <c r="D198" i="25"/>
  <c r="C199" i="25"/>
  <c r="D199" i="25"/>
  <c r="C200" i="25"/>
  <c r="D200" i="25"/>
  <c r="C201" i="25"/>
  <c r="D201" i="25"/>
  <c r="C202" i="25"/>
  <c r="D202" i="25"/>
  <c r="C203" i="25"/>
  <c r="D203" i="25"/>
  <c r="C204" i="25"/>
  <c r="D204" i="25"/>
  <c r="C205" i="25"/>
  <c r="D205" i="25"/>
  <c r="C206" i="25"/>
  <c r="D206" i="25"/>
  <c r="D3" i="25"/>
  <c r="C3" i="25"/>
  <c r="J49" i="11" l="1"/>
  <c r="L32" i="9"/>
  <c r="E18" i="17"/>
  <c r="I10" i="11"/>
  <c r="F19" i="17"/>
  <c r="D17" i="18"/>
  <c r="D23" i="18"/>
  <c r="F25" i="17"/>
  <c r="E20" i="18"/>
  <c r="H22" i="17"/>
  <c r="J33" i="11"/>
  <c r="M35" i="9"/>
  <c r="D19" i="17"/>
  <c r="B241" i="27"/>
  <c r="L34" i="9"/>
  <c r="N19" i="9"/>
  <c r="D20" i="17"/>
  <c r="F20" i="17"/>
  <c r="H20" i="17"/>
  <c r="D24" i="17"/>
  <c r="D19" i="18"/>
  <c r="L33" i="9"/>
  <c r="D23" i="17"/>
  <c r="E17" i="17"/>
  <c r="E21" i="17"/>
  <c r="H19" i="17"/>
  <c r="C25" i="17"/>
  <c r="I18" i="11"/>
  <c r="H29" i="11"/>
  <c r="B237" i="27"/>
  <c r="N20" i="9"/>
  <c r="F18" i="17"/>
  <c r="F22" i="17"/>
  <c r="G25" i="17"/>
  <c r="F23" i="17"/>
  <c r="J54" i="11"/>
  <c r="D25" i="18"/>
  <c r="D27" i="18" s="1"/>
  <c r="B243" i="28"/>
  <c r="K12" i="9" s="1"/>
  <c r="C25" i="18" s="1"/>
  <c r="B242" i="28"/>
  <c r="K11" i="9" s="1"/>
  <c r="B241" i="28"/>
  <c r="K10" i="9" s="1"/>
  <c r="B240" i="28"/>
  <c r="K9" i="9" s="1"/>
  <c r="B239" i="28"/>
  <c r="K8" i="9" s="1"/>
  <c r="K22" i="9" s="1"/>
  <c r="B238" i="28"/>
  <c r="K7" i="9" s="1"/>
  <c r="B237" i="28"/>
  <c r="K6" i="9" s="1"/>
  <c r="K20" i="9" s="1"/>
  <c r="B236" i="28"/>
  <c r="K5" i="9" s="1"/>
  <c r="B235" i="28"/>
  <c r="K4" i="9" s="1"/>
  <c r="K18" i="9" s="1"/>
  <c r="B234" i="28"/>
  <c r="K3" i="9" s="1"/>
  <c r="C16" i="18" s="1"/>
  <c r="B243" i="25"/>
  <c r="B242" i="25"/>
  <c r="B241" i="25"/>
  <c r="B240" i="25"/>
  <c r="B239" i="25"/>
  <c r="B238" i="25"/>
  <c r="B237" i="25"/>
  <c r="B236" i="25"/>
  <c r="B235" i="25"/>
  <c r="B234" i="25"/>
  <c r="B243" i="27"/>
  <c r="B242" i="27"/>
  <c r="B240" i="27"/>
  <c r="B239" i="27"/>
  <c r="B238" i="27"/>
  <c r="B236" i="27"/>
  <c r="B235" i="27"/>
  <c r="B234" i="27"/>
  <c r="M19" i="9"/>
  <c r="M33" i="9" s="1"/>
  <c r="E18" i="18"/>
  <c r="M23" i="9"/>
  <c r="M36" i="9" s="1"/>
  <c r="H34" i="11"/>
  <c r="E22" i="18"/>
  <c r="L25" i="9"/>
  <c r="J29" i="11"/>
  <c r="N23" i="9"/>
  <c r="H39" i="11"/>
  <c r="B20" i="17"/>
  <c r="J10" i="11"/>
  <c r="J52" i="11"/>
  <c r="B24" i="17"/>
  <c r="C18" i="17"/>
  <c r="H14" i="11"/>
  <c r="C22" i="17"/>
  <c r="J28" i="11"/>
  <c r="F24" i="17"/>
  <c r="G18" i="17"/>
  <c r="G19" i="17"/>
  <c r="H33" i="11"/>
  <c r="G22" i="17"/>
  <c r="G23" i="17"/>
  <c r="J38" i="11"/>
  <c r="H24" i="17"/>
  <c r="E22" i="17"/>
  <c r="H52" i="11"/>
  <c r="C19" i="17"/>
  <c r="D16" i="18"/>
  <c r="D20" i="18"/>
  <c r="D24" i="18"/>
  <c r="M24" i="9"/>
  <c r="M38" i="9" s="1"/>
  <c r="I34" i="11"/>
  <c r="L35" i="9"/>
  <c r="L26" i="9"/>
  <c r="K29" i="11"/>
  <c r="N24" i="9"/>
  <c r="I39" i="11"/>
  <c r="B21" i="17"/>
  <c r="B25" i="17"/>
  <c r="K52" i="11"/>
  <c r="D17" i="17"/>
  <c r="D21" i="17"/>
  <c r="D25" i="17"/>
  <c r="E19" i="17"/>
  <c r="E23" i="17"/>
  <c r="H17" i="17"/>
  <c r="H21" i="17"/>
  <c r="H25" i="17"/>
  <c r="D22" i="17"/>
  <c r="D18" i="17"/>
  <c r="K54" i="11"/>
  <c r="K20" i="11"/>
  <c r="I25" i="11"/>
  <c r="D21" i="18"/>
  <c r="E19" i="18"/>
  <c r="I35" i="11"/>
  <c r="E23" i="18"/>
  <c r="K10" i="11"/>
  <c r="L36" i="9"/>
  <c r="B18" i="17"/>
  <c r="C20" i="17"/>
  <c r="G20" i="17"/>
  <c r="I52" i="11"/>
  <c r="E24" i="17"/>
  <c r="C23" i="17"/>
  <c r="E20" i="17"/>
  <c r="K38" i="11"/>
  <c r="M34" i="9"/>
  <c r="N21" i="9"/>
  <c r="N25" i="9"/>
  <c r="B22" i="17"/>
  <c r="E25" i="17"/>
  <c r="C24" i="17"/>
  <c r="E14" i="17"/>
  <c r="M23" i="11" s="1"/>
  <c r="D18" i="18"/>
  <c r="D22" i="18"/>
  <c r="E24" i="18"/>
  <c r="K23" i="11"/>
  <c r="M26" i="9"/>
  <c r="M39" i="9" s="1"/>
  <c r="K34" i="11"/>
  <c r="L24" i="9"/>
  <c r="L37" i="9" s="1"/>
  <c r="I29" i="11"/>
  <c r="N18" i="9"/>
  <c r="N22" i="9"/>
  <c r="N26" i="9"/>
  <c r="N27" i="9" s="1"/>
  <c r="K39" i="11"/>
  <c r="H23" i="17"/>
  <c r="I54" i="11"/>
  <c r="E17" i="18"/>
  <c r="E21" i="18"/>
  <c r="K35" i="11"/>
  <c r="E25" i="18"/>
  <c r="J34" i="11"/>
  <c r="H20" i="11"/>
  <c r="J7" i="9" l="1"/>
  <c r="B20" i="18" s="1"/>
  <c r="J12" i="9"/>
  <c r="K19" i="11" s="1"/>
  <c r="J6" i="9"/>
  <c r="B19" i="18" s="1"/>
  <c r="J10" i="9"/>
  <c r="B23" i="18" s="1"/>
  <c r="J8" i="9"/>
  <c r="B21" i="18" s="1"/>
  <c r="J4" i="9"/>
  <c r="B17" i="18" s="1"/>
  <c r="J9" i="9"/>
  <c r="H19" i="11" s="1"/>
  <c r="J5" i="9"/>
  <c r="B18" i="18" s="1"/>
  <c r="J11" i="9"/>
  <c r="J19" i="11" s="1"/>
  <c r="I5" i="9"/>
  <c r="I9" i="9"/>
  <c r="H15" i="11" s="1"/>
  <c r="I6" i="9"/>
  <c r="I10" i="9"/>
  <c r="I15" i="11" s="1"/>
  <c r="I7" i="9"/>
  <c r="I11" i="9"/>
  <c r="J15" i="11" s="1"/>
  <c r="I4" i="9"/>
  <c r="I8" i="9"/>
  <c r="I12" i="9"/>
  <c r="K15" i="11" s="1"/>
  <c r="H47" i="11"/>
  <c r="H57" i="11" s="1"/>
  <c r="I49" i="11"/>
  <c r="I59" i="11" s="1"/>
  <c r="N32" i="9"/>
  <c r="K49" i="11"/>
  <c r="K59" i="11" s="1"/>
  <c r="H49" i="11"/>
  <c r="H59" i="11" s="1"/>
  <c r="K47" i="11"/>
  <c r="K57" i="11" s="1"/>
  <c r="J47" i="11"/>
  <c r="J57" i="11" s="1"/>
  <c r="I47" i="11"/>
  <c r="I57" i="11" s="1"/>
  <c r="C21" i="18"/>
  <c r="N34" i="9"/>
  <c r="C17" i="18"/>
  <c r="N33" i="9"/>
  <c r="M5" i="11"/>
  <c r="N36" i="9"/>
  <c r="F30" i="17"/>
  <c r="C30" i="17"/>
  <c r="E27" i="18"/>
  <c r="J59" i="11"/>
  <c r="G30" i="17"/>
  <c r="M37" i="9"/>
  <c r="I19" i="11"/>
  <c r="N37" i="9"/>
  <c r="M32" i="9"/>
  <c r="E30" i="17"/>
  <c r="K24" i="9"/>
  <c r="I24" i="11"/>
  <c r="N28" i="9"/>
  <c r="H30" i="17"/>
  <c r="K21" i="9"/>
  <c r="K34" i="9" s="1"/>
  <c r="C20" i="18"/>
  <c r="K25" i="9"/>
  <c r="C24" i="18"/>
  <c r="J24" i="11"/>
  <c r="M27" i="9"/>
  <c r="N35" i="9"/>
  <c r="N38" i="9"/>
  <c r="C23" i="18"/>
  <c r="L38" i="9"/>
  <c r="I3" i="9"/>
  <c r="B247" i="25"/>
  <c r="K26" i="9"/>
  <c r="K24" i="11"/>
  <c r="B247" i="27"/>
  <c r="J3" i="9"/>
  <c r="B25" i="18"/>
  <c r="N39" i="9"/>
  <c r="C19" i="18"/>
  <c r="D30" i="17"/>
  <c r="D28" i="17" s="1"/>
  <c r="D13" i="17" s="1"/>
  <c r="D14" i="17" s="1"/>
  <c r="M18" i="11" s="1"/>
  <c r="L27" i="9"/>
  <c r="L39" i="9"/>
  <c r="K19" i="9"/>
  <c r="K32" i="9" s="1"/>
  <c r="C18" i="18"/>
  <c r="K23" i="9"/>
  <c r="K36" i="9" s="1"/>
  <c r="H24" i="11"/>
  <c r="C22" i="18"/>
  <c r="B24" i="18" l="1"/>
  <c r="B22" i="18"/>
  <c r="C27" i="18"/>
  <c r="L18" i="11"/>
  <c r="R57" i="9"/>
  <c r="L5" i="11"/>
  <c r="R56" i="9"/>
  <c r="K35" i="9"/>
  <c r="K33" i="9"/>
  <c r="K37" i="9"/>
  <c r="L28" i="9"/>
  <c r="M28" i="9"/>
  <c r="B243" i="19"/>
  <c r="B242" i="19"/>
  <c r="B241" i="19"/>
  <c r="B240" i="19"/>
  <c r="B239" i="19"/>
  <c r="B238" i="19"/>
  <c r="B237" i="19"/>
  <c r="B236" i="19"/>
  <c r="B235" i="19"/>
  <c r="B234" i="19"/>
  <c r="K39" i="9"/>
  <c r="K27" i="9"/>
  <c r="K38" i="9"/>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59" i="19"/>
  <c r="D160" i="19"/>
  <c r="D161" i="19"/>
  <c r="D162" i="19"/>
  <c r="D163" i="19"/>
  <c r="D164" i="19"/>
  <c r="D165" i="19"/>
  <c r="D166" i="19"/>
  <c r="D167" i="19"/>
  <c r="D168" i="19"/>
  <c r="D169" i="19"/>
  <c r="D170" i="19"/>
  <c r="D171" i="19"/>
  <c r="D172" i="19"/>
  <c r="D173" i="19"/>
  <c r="D174"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204" i="19"/>
  <c r="D205" i="19"/>
  <c r="D206"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D3" i="19"/>
  <c r="C3" i="19"/>
  <c r="E256" i="24"/>
  <c r="F256" i="24"/>
  <c r="E257" i="24"/>
  <c r="F257" i="24"/>
  <c r="E258" i="24"/>
  <c r="F258" i="24"/>
  <c r="E259" i="24"/>
  <c r="F259" i="24"/>
  <c r="E260" i="24"/>
  <c r="F260" i="24"/>
  <c r="E261" i="24"/>
  <c r="F261" i="24"/>
  <c r="E262" i="24"/>
  <c r="F262" i="24"/>
  <c r="E263" i="24"/>
  <c r="F263" i="24"/>
  <c r="E264" i="24"/>
  <c r="F264" i="24"/>
  <c r="E265" i="24"/>
  <c r="F265" i="24"/>
  <c r="E266" i="24"/>
  <c r="F266" i="24"/>
  <c r="F255" i="24"/>
  <c r="E255" i="24"/>
  <c r="B248" i="19" l="1"/>
  <c r="K28" i="9"/>
  <c r="K48" i="9" s="1"/>
  <c r="K61" i="9" s="1"/>
  <c r="K47" i="9"/>
  <c r="K60" i="9" s="1"/>
  <c r="BP75" i="23"/>
  <c r="BP74" i="23"/>
  <c r="BP73" i="23"/>
  <c r="BP72" i="23"/>
  <c r="BP71" i="23"/>
  <c r="BP66" i="23"/>
  <c r="BP65" i="23"/>
  <c r="BP64" i="23"/>
  <c r="BP63" i="23"/>
  <c r="BP62" i="23"/>
  <c r="BQ62" i="23"/>
  <c r="BQ63" i="23"/>
  <c r="BQ64" i="23"/>
  <c r="BQ65" i="23"/>
  <c r="BQ66" i="23"/>
  <c r="BQ71" i="23"/>
  <c r="BQ72" i="23"/>
  <c r="BQ73" i="23"/>
  <c r="BQ74" i="23"/>
  <c r="BQ75" i="23"/>
  <c r="BO61" i="23"/>
  <c r="BO60" i="23"/>
  <c r="BO55" i="23"/>
  <c r="BO54" i="23"/>
  <c r="BO53" i="23"/>
  <c r="BO52" i="23"/>
  <c r="BO51" i="23"/>
  <c r="BO50" i="23"/>
  <c r="BO46" i="23"/>
  <c r="BO45" i="23"/>
  <c r="BO44" i="23"/>
  <c r="BO43" i="23"/>
  <c r="BO42" i="23"/>
  <c r="BO41" i="23"/>
  <c r="BN40" i="23"/>
  <c r="BN39" i="23"/>
  <c r="BN35" i="23"/>
  <c r="BN34" i="23"/>
  <c r="BN33" i="23"/>
  <c r="BN32" i="23"/>
  <c r="BN31" i="23"/>
  <c r="BN28" i="23"/>
  <c r="BN27" i="23"/>
  <c r="BN26" i="23"/>
  <c r="BN25" i="23"/>
  <c r="BN24" i="23"/>
  <c r="BM23" i="23"/>
  <c r="BM22" i="23"/>
  <c r="BM18" i="23"/>
  <c r="BM17" i="23"/>
  <c r="BM16" i="23"/>
  <c r="BM14" i="23"/>
  <c r="BM13" i="23"/>
  <c r="BM12" i="23"/>
  <c r="BM11" i="23"/>
  <c r="BM7" i="23"/>
  <c r="BM6" i="23"/>
  <c r="BM5" i="23"/>
  <c r="BM4" i="23"/>
  <c r="BM3" i="23"/>
  <c r="L24" i="11" l="1"/>
  <c r="C12" i="18"/>
  <c r="C13" i="18"/>
  <c r="M24" i="11"/>
  <c r="AZ68" i="23"/>
  <c r="BA68" i="23"/>
  <c r="BB68" i="23"/>
  <c r="BC68" i="23"/>
  <c r="AS68" i="23"/>
  <c r="AT68" i="23"/>
  <c r="AU68" i="23"/>
  <c r="AV68" i="23"/>
  <c r="AW68" i="23"/>
  <c r="AX68" i="23"/>
  <c r="AY68" i="23"/>
  <c r="AR68" i="23"/>
  <c r="AQ68" i="23"/>
  <c r="BC62" i="23"/>
  <c r="BA62" i="23"/>
  <c r="AQ52" i="23"/>
  <c r="AQ58" i="23" s="1"/>
  <c r="AQ65" i="23" s="1"/>
  <c r="AQ53" i="23"/>
  <c r="AQ59" i="23" s="1"/>
  <c r="AQ66" i="23" s="1"/>
  <c r="AQ54" i="23"/>
  <c r="AQ60" i="23" s="1"/>
  <c r="AQ67" i="23" s="1"/>
  <c r="AQ51" i="23"/>
  <c r="AQ57" i="23" s="1"/>
  <c r="AQ64" i="23" s="1"/>
  <c r="AP52" i="23"/>
  <c r="AP53" i="23"/>
  <c r="AP54" i="23"/>
  <c r="AP51" i="23"/>
  <c r="BQ33" i="23"/>
  <c r="BR33" i="23" s="1"/>
  <c r="BS33" i="23" s="1"/>
  <c r="BQ51" i="23"/>
  <c r="BR51" i="23" s="1"/>
  <c r="BS51" i="23" s="1"/>
  <c r="BR75" i="23"/>
  <c r="BS75" i="23" s="1"/>
  <c r="BU73" i="23"/>
  <c r="BV73" i="23" s="1"/>
  <c r="BR72" i="23"/>
  <c r="BS72" i="23" s="1"/>
  <c r="BR71" i="23"/>
  <c r="BS71" i="23" s="1"/>
  <c r="BR63" i="23"/>
  <c r="BS63" i="23" s="1"/>
  <c r="BR64" i="23"/>
  <c r="BS64" i="23" s="1"/>
  <c r="BR65" i="23"/>
  <c r="BS65" i="23" s="1"/>
  <c r="BR66" i="23"/>
  <c r="BS66" i="23" s="1"/>
  <c r="BF70" i="23"/>
  <c r="BG75" i="23"/>
  <c r="BG74" i="23"/>
  <c r="BG73" i="23"/>
  <c r="BG72" i="23"/>
  <c r="BG71" i="23"/>
  <c r="BG69" i="23"/>
  <c r="BG68" i="23"/>
  <c r="BG67" i="23"/>
  <c r="BG66" i="23"/>
  <c r="BG65" i="23"/>
  <c r="BG64" i="23"/>
  <c r="BG63" i="23"/>
  <c r="BG62" i="23"/>
  <c r="BF75" i="23"/>
  <c r="BF74" i="23"/>
  <c r="BF73" i="23"/>
  <c r="BF72" i="23"/>
  <c r="BF71" i="23"/>
  <c r="BF68" i="23"/>
  <c r="BF69" i="23"/>
  <c r="BF67" i="23"/>
  <c r="BF64" i="23"/>
  <c r="BF65" i="23"/>
  <c r="BF66" i="23"/>
  <c r="BF63" i="23"/>
  <c r="BF62" i="23"/>
  <c r="BP61" i="23"/>
  <c r="BQ61" i="23" s="1"/>
  <c r="BR61" i="23" s="1"/>
  <c r="BS61" i="23" s="1"/>
  <c r="BP60" i="23"/>
  <c r="BQ60" i="23" s="1"/>
  <c r="BR60" i="23" s="1"/>
  <c r="BS60" i="23" s="1"/>
  <c r="BP59" i="23"/>
  <c r="BQ59" i="23" s="1"/>
  <c r="BR59" i="23" s="1"/>
  <c r="BS59" i="23" s="1"/>
  <c r="BG59" i="23"/>
  <c r="BF59" i="23"/>
  <c r="BP55" i="23"/>
  <c r="BQ55" i="23" s="1"/>
  <c r="BR55" i="23" s="1"/>
  <c r="BS55" i="23" s="1"/>
  <c r="BP54" i="23"/>
  <c r="BQ54" i="23" s="1"/>
  <c r="BR54" i="23" s="1"/>
  <c r="BS54" i="23" s="1"/>
  <c r="BP53" i="23"/>
  <c r="BQ53" i="23" s="1"/>
  <c r="BR53" i="23" s="1"/>
  <c r="BS53" i="23" s="1"/>
  <c r="BP52" i="23"/>
  <c r="BQ52" i="23" s="1"/>
  <c r="BR52" i="23" s="1"/>
  <c r="BS52" i="23" s="1"/>
  <c r="BU51" i="23"/>
  <c r="BV51" i="23" s="1"/>
  <c r="BG61" i="23"/>
  <c r="BG60" i="23"/>
  <c r="BG58" i="23"/>
  <c r="BG57" i="23"/>
  <c r="BG56" i="23"/>
  <c r="BG55" i="23"/>
  <c r="BG54" i="23"/>
  <c r="BG53" i="23"/>
  <c r="BG52" i="23"/>
  <c r="BG51" i="23"/>
  <c r="BF61" i="23"/>
  <c r="BF60" i="23"/>
  <c r="BF57" i="23"/>
  <c r="BF58" i="23"/>
  <c r="BF56" i="23"/>
  <c r="BF53" i="23"/>
  <c r="BF55" i="23"/>
  <c r="BF54" i="23"/>
  <c r="BF52" i="23"/>
  <c r="BF51" i="23"/>
  <c r="BP50" i="23"/>
  <c r="BQ50" i="23" s="1"/>
  <c r="BR50" i="23" s="1"/>
  <c r="BS50" i="23" s="1"/>
  <c r="BG50" i="23"/>
  <c r="BG49" i="23"/>
  <c r="BG48" i="23"/>
  <c r="BG47" i="23"/>
  <c r="BF48" i="23"/>
  <c r="BF49" i="23"/>
  <c r="BF50" i="23"/>
  <c r="BF47" i="23"/>
  <c r="BP46" i="23"/>
  <c r="BQ46" i="23" s="1"/>
  <c r="BR46" i="23" s="1"/>
  <c r="BS46" i="23" s="1"/>
  <c r="BG46" i="23"/>
  <c r="BF46" i="23"/>
  <c r="BP42" i="23"/>
  <c r="BQ42" i="23" s="1"/>
  <c r="BR42" i="23" s="1"/>
  <c r="BS42" i="23" s="1"/>
  <c r="BP43" i="23"/>
  <c r="BQ43" i="23" s="1"/>
  <c r="BR43" i="23" s="1"/>
  <c r="BS43" i="23" s="1"/>
  <c r="BP44" i="23"/>
  <c r="BQ44" i="23" s="1"/>
  <c r="BR44" i="23" s="1"/>
  <c r="BS44" i="23" s="1"/>
  <c r="BP45" i="23"/>
  <c r="BQ45" i="23" s="1"/>
  <c r="BR45" i="23" s="1"/>
  <c r="BS45" i="23" s="1"/>
  <c r="BP41" i="23"/>
  <c r="BQ41" i="23" s="1"/>
  <c r="BR41" i="23" s="1"/>
  <c r="BS41" i="23" s="1"/>
  <c r="BG45" i="23"/>
  <c r="BG44" i="23"/>
  <c r="BG43" i="23"/>
  <c r="BG42" i="23"/>
  <c r="BG41" i="23"/>
  <c r="BF42" i="23"/>
  <c r="BF43" i="23"/>
  <c r="BF44" i="23"/>
  <c r="BF45" i="23"/>
  <c r="BF41" i="23"/>
  <c r="BP38" i="23"/>
  <c r="BQ38" i="23" s="1"/>
  <c r="BR38" i="23" s="1"/>
  <c r="BS38" i="23" s="1"/>
  <c r="BG38" i="23"/>
  <c r="BF38" i="23"/>
  <c r="BP35" i="23"/>
  <c r="BQ35" i="23" s="1"/>
  <c r="BR35" i="23" s="1"/>
  <c r="BS35" i="23" s="1"/>
  <c r="BP39" i="23"/>
  <c r="BQ39" i="23" s="1"/>
  <c r="BR39" i="23" s="1"/>
  <c r="BS39" i="23" s="1"/>
  <c r="BP40" i="23"/>
  <c r="BQ40" i="23" s="1"/>
  <c r="BR40" i="23" s="1"/>
  <c r="BS40" i="23" s="1"/>
  <c r="BO35" i="23"/>
  <c r="BO39" i="23"/>
  <c r="BO40" i="23"/>
  <c r="BG40" i="23"/>
  <c r="BG39" i="23"/>
  <c r="BG37" i="23"/>
  <c r="BG36" i="23"/>
  <c r="BG35" i="23"/>
  <c r="BF40" i="23"/>
  <c r="BF39" i="23"/>
  <c r="BF37" i="23"/>
  <c r="BF36" i="23"/>
  <c r="BF35" i="23"/>
  <c r="BP34" i="23"/>
  <c r="BQ34" i="23" s="1"/>
  <c r="BR34" i="23" s="1"/>
  <c r="BS34" i="23" s="1"/>
  <c r="BO34" i="23"/>
  <c r="BG34" i="23"/>
  <c r="BF34" i="23"/>
  <c r="BU33" i="23"/>
  <c r="BV33" i="23" s="1"/>
  <c r="BG33" i="23"/>
  <c r="BF33" i="23"/>
  <c r="BP31" i="23"/>
  <c r="BQ31" i="23" s="1"/>
  <c r="BR31" i="23" s="1"/>
  <c r="BS31" i="23" s="1"/>
  <c r="BP32" i="23"/>
  <c r="BQ32" i="23" s="1"/>
  <c r="BR32" i="23" s="1"/>
  <c r="BS32" i="23" s="1"/>
  <c r="BO31" i="23"/>
  <c r="BO32" i="23"/>
  <c r="BG32" i="23"/>
  <c r="BG31" i="23"/>
  <c r="BG30" i="23"/>
  <c r="BG29" i="23"/>
  <c r="BF32" i="23"/>
  <c r="BF30" i="23"/>
  <c r="BF31" i="23"/>
  <c r="BF29" i="23"/>
  <c r="BP24" i="23"/>
  <c r="BQ24" i="23" s="1"/>
  <c r="BR24" i="23" s="1"/>
  <c r="BS24" i="23" s="1"/>
  <c r="BP25" i="23"/>
  <c r="BQ25" i="23" s="1"/>
  <c r="BR25" i="23" s="1"/>
  <c r="BS25" i="23" s="1"/>
  <c r="BP26" i="23"/>
  <c r="BQ26" i="23" s="1"/>
  <c r="BR26" i="23" s="1"/>
  <c r="BS26" i="23" s="1"/>
  <c r="BP27" i="23"/>
  <c r="BQ27" i="23" s="1"/>
  <c r="BR27" i="23" s="1"/>
  <c r="BS27" i="23" s="1"/>
  <c r="BP28" i="23"/>
  <c r="BQ28" i="23" s="1"/>
  <c r="BR28" i="23" s="1"/>
  <c r="BS28" i="23" s="1"/>
  <c r="BO24" i="23"/>
  <c r="BO25" i="23"/>
  <c r="BO26" i="23"/>
  <c r="BO27" i="23"/>
  <c r="BO28" i="23"/>
  <c r="BG28" i="23"/>
  <c r="BG27" i="23"/>
  <c r="BG26" i="23"/>
  <c r="BG25" i="23"/>
  <c r="BG24" i="23"/>
  <c r="BF28" i="23"/>
  <c r="BF25" i="23"/>
  <c r="BF26" i="23"/>
  <c r="BF27" i="23"/>
  <c r="BF24" i="23"/>
  <c r="BP22" i="23"/>
  <c r="BQ22" i="23" s="1"/>
  <c r="BR22" i="23" s="1"/>
  <c r="BS22" i="23" s="1"/>
  <c r="BP23" i="23"/>
  <c r="BQ23" i="23" s="1"/>
  <c r="BR23" i="23" s="1"/>
  <c r="BS23" i="23" s="1"/>
  <c r="BO22" i="23"/>
  <c r="BO23" i="23"/>
  <c r="BN22" i="23"/>
  <c r="BN23" i="23"/>
  <c r="BG22" i="23"/>
  <c r="BF22" i="23"/>
  <c r="BG23" i="23"/>
  <c r="BG21" i="23"/>
  <c r="BG20" i="23"/>
  <c r="BG19" i="23"/>
  <c r="BF23" i="23"/>
  <c r="BF20" i="23"/>
  <c r="BF21" i="23"/>
  <c r="BF19" i="23"/>
  <c r="BP15" i="23"/>
  <c r="BQ15" i="23" s="1"/>
  <c r="BR15" i="23" s="1"/>
  <c r="BS15" i="23" s="1"/>
  <c r="BP16" i="23"/>
  <c r="BQ16" i="23" s="1"/>
  <c r="BR16" i="23" s="1"/>
  <c r="BS16" i="23" s="1"/>
  <c r="BP17" i="23"/>
  <c r="BQ17" i="23" s="1"/>
  <c r="BR17" i="23" s="1"/>
  <c r="BS17" i="23" s="1"/>
  <c r="BP18" i="23"/>
  <c r="BQ18" i="23" s="1"/>
  <c r="BR18" i="23" s="1"/>
  <c r="BS18" i="23" s="1"/>
  <c r="BO15" i="23"/>
  <c r="BO16" i="23"/>
  <c r="BO17" i="23"/>
  <c r="BO18" i="23"/>
  <c r="BN15" i="23"/>
  <c r="BN16" i="23"/>
  <c r="BN17" i="23"/>
  <c r="BN18" i="23"/>
  <c r="BM15" i="23"/>
  <c r="BG18" i="23"/>
  <c r="BG17" i="23"/>
  <c r="BG16" i="23"/>
  <c r="BG15" i="23"/>
  <c r="BF18" i="23"/>
  <c r="BF17" i="23"/>
  <c r="BF16" i="23"/>
  <c r="BF15" i="23"/>
  <c r="BN14" i="23"/>
  <c r="BO14" i="23"/>
  <c r="BP14" i="23"/>
  <c r="BQ14" i="23" s="1"/>
  <c r="BR14" i="23" s="1"/>
  <c r="BS14" i="23" s="1"/>
  <c r="BP13" i="23"/>
  <c r="BQ13" i="23" s="1"/>
  <c r="BR13" i="23" s="1"/>
  <c r="BS13" i="23" s="1"/>
  <c r="BO13" i="23"/>
  <c r="BN13" i="23"/>
  <c r="BG14" i="23"/>
  <c r="BG13" i="23"/>
  <c r="BF14" i="23"/>
  <c r="BF13" i="23"/>
  <c r="BP12" i="23"/>
  <c r="BQ12" i="23" s="1"/>
  <c r="BR12" i="23" s="1"/>
  <c r="BS12" i="23" s="1"/>
  <c r="BO12" i="23"/>
  <c r="BN12" i="23"/>
  <c r="BG12" i="23"/>
  <c r="BF12" i="23"/>
  <c r="BN11" i="23"/>
  <c r="BO11" i="23"/>
  <c r="BP11" i="23"/>
  <c r="BQ11" i="23" s="1"/>
  <c r="BR11" i="23" s="1"/>
  <c r="BS11" i="23" s="1"/>
  <c r="BG11" i="23"/>
  <c r="BF11" i="23"/>
  <c r="BG9" i="23"/>
  <c r="BG10" i="23"/>
  <c r="BG8" i="23"/>
  <c r="BF9" i="23"/>
  <c r="BF10" i="23"/>
  <c r="D40" i="34"/>
  <c r="E40" i="34"/>
  <c r="G40" i="34"/>
  <c r="H40" i="34"/>
  <c r="J40" i="34"/>
  <c r="K40" i="34"/>
  <c r="M40" i="34"/>
  <c r="N40" i="34"/>
  <c r="P40" i="34"/>
  <c r="D45" i="34"/>
  <c r="E45" i="34"/>
  <c r="G45" i="34"/>
  <c r="H45" i="34"/>
  <c r="J45" i="34"/>
  <c r="K45" i="34"/>
  <c r="M45" i="34"/>
  <c r="N45" i="34"/>
  <c r="Q45" i="34"/>
  <c r="D59" i="34"/>
  <c r="E59" i="34"/>
  <c r="G59" i="34"/>
  <c r="H59" i="34"/>
  <c r="J59" i="34"/>
  <c r="K59" i="34"/>
  <c r="Q59" i="34" s="1"/>
  <c r="M59" i="34"/>
  <c r="N59" i="34"/>
  <c r="BF8" i="23"/>
  <c r="BG4" i="23"/>
  <c r="BG5" i="23"/>
  <c r="BG6" i="23"/>
  <c r="BG7" i="23"/>
  <c r="BG3" i="23"/>
  <c r="BF4" i="23"/>
  <c r="BF5" i="23"/>
  <c r="BF6" i="23"/>
  <c r="BF7" i="23"/>
  <c r="BF3" i="23"/>
  <c r="C593" i="34"/>
  <c r="D589" i="34" s="1"/>
  <c r="N586" i="34"/>
  <c r="N376" i="34" s="1"/>
  <c r="K584" i="34"/>
  <c r="G584" i="34"/>
  <c r="G586" i="34" s="1"/>
  <c r="G587" i="34" s="1"/>
  <c r="N93" i="34" s="1"/>
  <c r="E577" i="34"/>
  <c r="D577" i="34"/>
  <c r="Q576" i="34"/>
  <c r="P576" i="34"/>
  <c r="Q575" i="34"/>
  <c r="M575" i="34"/>
  <c r="P575" i="34" s="1"/>
  <c r="N574" i="34"/>
  <c r="N577" i="34" s="1"/>
  <c r="J574" i="34"/>
  <c r="J577" i="34" s="1"/>
  <c r="G574" i="34"/>
  <c r="G577" i="34" s="1"/>
  <c r="N571" i="34"/>
  <c r="M571" i="34"/>
  <c r="K571" i="34"/>
  <c r="J571" i="34"/>
  <c r="Q570" i="34"/>
  <c r="P570" i="34"/>
  <c r="Q569" i="34"/>
  <c r="P569" i="34"/>
  <c r="Q568" i="34"/>
  <c r="P568" i="34"/>
  <c r="G567" i="34"/>
  <c r="D567" i="34"/>
  <c r="H566" i="34"/>
  <c r="G566" i="34"/>
  <c r="D566" i="34"/>
  <c r="N563" i="34"/>
  <c r="M563" i="34"/>
  <c r="K563" i="34"/>
  <c r="J563" i="34"/>
  <c r="H563" i="34"/>
  <c r="G563" i="34"/>
  <c r="E563" i="34"/>
  <c r="D563" i="34"/>
  <c r="Q562" i="34"/>
  <c r="P562" i="34"/>
  <c r="Q561" i="34"/>
  <c r="P561" i="34"/>
  <c r="H558" i="34"/>
  <c r="G558" i="34"/>
  <c r="E558" i="34"/>
  <c r="D558" i="34"/>
  <c r="N557" i="34"/>
  <c r="N558" i="34" s="1"/>
  <c r="M557" i="34"/>
  <c r="M558" i="34" s="1"/>
  <c r="J557" i="34"/>
  <c r="J558" i="34" s="1"/>
  <c r="J554" i="34"/>
  <c r="G554" i="34"/>
  <c r="M553" i="34"/>
  <c r="P553" i="34" s="1"/>
  <c r="K553" i="34"/>
  <c r="K554" i="34" s="1"/>
  <c r="H553" i="34"/>
  <c r="D552" i="34"/>
  <c r="N551" i="34"/>
  <c r="N554" i="34" s="1"/>
  <c r="M551" i="34"/>
  <c r="P551" i="34" s="1"/>
  <c r="Q550" i="34"/>
  <c r="P550" i="34"/>
  <c r="Q549" i="34"/>
  <c r="P549" i="34"/>
  <c r="Q545" i="34"/>
  <c r="P545" i="34"/>
  <c r="Q544" i="34"/>
  <c r="P544" i="34"/>
  <c r="Q543" i="34"/>
  <c r="M543" i="34"/>
  <c r="J543" i="34"/>
  <c r="G542" i="34"/>
  <c r="D542" i="34"/>
  <c r="N541" i="34"/>
  <c r="Q541" i="34" s="1"/>
  <c r="M541" i="34"/>
  <c r="P541" i="34" s="1"/>
  <c r="Q540" i="34"/>
  <c r="P540" i="34"/>
  <c r="N539" i="34"/>
  <c r="M539" i="34"/>
  <c r="J539" i="34"/>
  <c r="G539" i="34"/>
  <c r="D539" i="34"/>
  <c r="Q531" i="34"/>
  <c r="P531" i="34"/>
  <c r="Q530" i="34"/>
  <c r="P530" i="34"/>
  <c r="M529" i="34"/>
  <c r="P529" i="34" s="1"/>
  <c r="Q528" i="34"/>
  <c r="P528" i="34"/>
  <c r="N527" i="34"/>
  <c r="M527" i="34"/>
  <c r="J527" i="34"/>
  <c r="G527" i="34"/>
  <c r="D527" i="34"/>
  <c r="N526" i="34"/>
  <c r="M526" i="34"/>
  <c r="J526" i="34"/>
  <c r="G526" i="34"/>
  <c r="D526" i="34"/>
  <c r="N525" i="34"/>
  <c r="M525" i="34"/>
  <c r="J525" i="34"/>
  <c r="G525" i="34"/>
  <c r="D525" i="34"/>
  <c r="N524" i="34"/>
  <c r="M524" i="34"/>
  <c r="J524" i="34"/>
  <c r="G524" i="34"/>
  <c r="D524" i="34"/>
  <c r="N523" i="34"/>
  <c r="M523" i="34"/>
  <c r="J523" i="34"/>
  <c r="G523" i="34"/>
  <c r="D523" i="34"/>
  <c r="E506" i="34"/>
  <c r="Q506" i="34" s="1"/>
  <c r="D506" i="34"/>
  <c r="P506" i="34" s="1"/>
  <c r="E500" i="34"/>
  <c r="D500" i="34"/>
  <c r="E492" i="34"/>
  <c r="D492" i="34"/>
  <c r="E487" i="34"/>
  <c r="Q487" i="34" s="1"/>
  <c r="D487" i="34"/>
  <c r="P487" i="34" s="1"/>
  <c r="E483" i="34"/>
  <c r="Q483" i="34" s="1"/>
  <c r="D483" i="34"/>
  <c r="P483" i="34" s="1"/>
  <c r="M538" i="34"/>
  <c r="M537" i="34"/>
  <c r="M536" i="34"/>
  <c r="M535" i="34"/>
  <c r="E461" i="34"/>
  <c r="Q461" i="34" s="1"/>
  <c r="D461" i="34"/>
  <c r="P461" i="34" s="1"/>
  <c r="Q449" i="34"/>
  <c r="P449" i="34"/>
  <c r="N449" i="34"/>
  <c r="M449" i="34"/>
  <c r="K449" i="34"/>
  <c r="J449" i="34"/>
  <c r="H449" i="34"/>
  <c r="G449" i="34"/>
  <c r="E449" i="34"/>
  <c r="D449" i="34"/>
  <c r="M430" i="34"/>
  <c r="K430" i="34"/>
  <c r="J430" i="34"/>
  <c r="H430" i="34"/>
  <c r="G430" i="34"/>
  <c r="E430" i="34"/>
  <c r="D430" i="34"/>
  <c r="N427" i="34"/>
  <c r="N430" i="34" s="1"/>
  <c r="N424" i="34"/>
  <c r="M424" i="34"/>
  <c r="K424" i="34"/>
  <c r="J424" i="34"/>
  <c r="H424" i="34"/>
  <c r="G424" i="34"/>
  <c r="E424" i="34"/>
  <c r="D424" i="34"/>
  <c r="N416" i="34"/>
  <c r="M416" i="34"/>
  <c r="K416" i="34"/>
  <c r="J416" i="34"/>
  <c r="H416" i="34"/>
  <c r="G416" i="34"/>
  <c r="E416" i="34"/>
  <c r="D416" i="34"/>
  <c r="M411" i="34"/>
  <c r="K411" i="34"/>
  <c r="J411" i="34"/>
  <c r="H411" i="34"/>
  <c r="G411" i="34"/>
  <c r="E411" i="34"/>
  <c r="D411" i="34"/>
  <c r="N410" i="34"/>
  <c r="N407" i="34"/>
  <c r="M407" i="34"/>
  <c r="K407" i="34"/>
  <c r="J407" i="34"/>
  <c r="H407" i="34"/>
  <c r="G407" i="34"/>
  <c r="E407" i="34"/>
  <c r="D407" i="34"/>
  <c r="M399" i="34"/>
  <c r="K399" i="34"/>
  <c r="J399" i="34"/>
  <c r="H399" i="34"/>
  <c r="G399" i="34"/>
  <c r="J537" i="34"/>
  <c r="BO56" i="23"/>
  <c r="J535" i="34"/>
  <c r="M385" i="34"/>
  <c r="K385" i="34"/>
  <c r="J385" i="34"/>
  <c r="H385" i="34"/>
  <c r="G385" i="34"/>
  <c r="E385" i="34"/>
  <c r="D385" i="34"/>
  <c r="N379" i="34"/>
  <c r="N378" i="34"/>
  <c r="Q373" i="34"/>
  <c r="P373" i="34"/>
  <c r="N373" i="34"/>
  <c r="M373" i="34"/>
  <c r="K373" i="34"/>
  <c r="J373" i="34"/>
  <c r="H373" i="34"/>
  <c r="G373" i="34"/>
  <c r="E373" i="34"/>
  <c r="D373" i="34"/>
  <c r="N357" i="34"/>
  <c r="M357" i="34"/>
  <c r="K357" i="34"/>
  <c r="J357" i="34"/>
  <c r="H357" i="34"/>
  <c r="G357" i="34"/>
  <c r="E357" i="34"/>
  <c r="D357" i="34"/>
  <c r="N351" i="34"/>
  <c r="M351" i="34"/>
  <c r="K351" i="34"/>
  <c r="J351" i="34"/>
  <c r="H351" i="34"/>
  <c r="G351" i="34"/>
  <c r="E351" i="34"/>
  <c r="D351" i="34"/>
  <c r="N343" i="34"/>
  <c r="M343" i="34"/>
  <c r="K343" i="34"/>
  <c r="J343" i="34"/>
  <c r="H343" i="34"/>
  <c r="G343" i="34"/>
  <c r="E343" i="34"/>
  <c r="D343" i="34"/>
  <c r="M338" i="34"/>
  <c r="K338" i="34"/>
  <c r="J338" i="34"/>
  <c r="H338" i="34"/>
  <c r="G338" i="34"/>
  <c r="E338" i="34"/>
  <c r="D338" i="34"/>
  <c r="N337" i="34"/>
  <c r="N338" i="34" s="1"/>
  <c r="N334" i="34"/>
  <c r="M334" i="34"/>
  <c r="K334" i="34"/>
  <c r="J334" i="34"/>
  <c r="H334" i="34"/>
  <c r="G334" i="34"/>
  <c r="E334" i="34"/>
  <c r="D334" i="34"/>
  <c r="M326" i="34"/>
  <c r="K326" i="34"/>
  <c r="J326" i="34"/>
  <c r="H326" i="34"/>
  <c r="G326" i="34"/>
  <c r="N319" i="34"/>
  <c r="M312" i="34"/>
  <c r="K312" i="34"/>
  <c r="J312" i="34"/>
  <c r="H312" i="34"/>
  <c r="G312" i="34"/>
  <c r="E312" i="34"/>
  <c r="D312" i="34"/>
  <c r="N311" i="34"/>
  <c r="N310" i="34"/>
  <c r="N309" i="34"/>
  <c r="K529" i="34" s="1"/>
  <c r="Q529" i="34" s="1"/>
  <c r="N308" i="34"/>
  <c r="N307" i="34"/>
  <c r="K527" i="34" s="1"/>
  <c r="N306" i="34"/>
  <c r="N305" i="34"/>
  <c r="N304" i="34"/>
  <c r="K524" i="34" s="1"/>
  <c r="N303" i="34"/>
  <c r="Q300" i="34"/>
  <c r="P300" i="34"/>
  <c r="N300" i="34"/>
  <c r="M300" i="34"/>
  <c r="K300" i="34"/>
  <c r="J300" i="34"/>
  <c r="H300" i="34"/>
  <c r="G300" i="34"/>
  <c r="E300" i="34"/>
  <c r="D300" i="34"/>
  <c r="M280" i="34"/>
  <c r="J280" i="34"/>
  <c r="H280" i="34"/>
  <c r="G280" i="34"/>
  <c r="E280" i="34"/>
  <c r="D280" i="34"/>
  <c r="K277" i="34"/>
  <c r="K280" i="34" s="1"/>
  <c r="N274" i="34"/>
  <c r="M274" i="34"/>
  <c r="K274" i="34"/>
  <c r="J274" i="34"/>
  <c r="H274" i="34"/>
  <c r="G274" i="34"/>
  <c r="E274" i="34"/>
  <c r="D274" i="34"/>
  <c r="N266" i="34"/>
  <c r="M266" i="34"/>
  <c r="K266" i="34"/>
  <c r="J266" i="34"/>
  <c r="H266" i="34"/>
  <c r="G266" i="34"/>
  <c r="E266" i="34"/>
  <c r="D266" i="34"/>
  <c r="N261" i="34"/>
  <c r="M261" i="34"/>
  <c r="K261" i="34"/>
  <c r="J261" i="34"/>
  <c r="H261" i="34"/>
  <c r="G261" i="34"/>
  <c r="E261" i="34"/>
  <c r="D261" i="34"/>
  <c r="N257" i="34"/>
  <c r="M257" i="34"/>
  <c r="K257" i="34"/>
  <c r="J257" i="34"/>
  <c r="H257" i="34"/>
  <c r="G257" i="34"/>
  <c r="E257" i="34"/>
  <c r="D257" i="34"/>
  <c r="M249" i="34"/>
  <c r="J249" i="34"/>
  <c r="H249" i="34"/>
  <c r="G249" i="34"/>
  <c r="K245" i="34"/>
  <c r="N245" i="34" s="1"/>
  <c r="N242" i="34"/>
  <c r="BN37" i="23"/>
  <c r="G536" i="34"/>
  <c r="BN36" i="23"/>
  <c r="M235" i="34"/>
  <c r="J235" i="34"/>
  <c r="H235" i="34"/>
  <c r="G235" i="34"/>
  <c r="E235" i="34"/>
  <c r="D235" i="34"/>
  <c r="K228" i="34"/>
  <c r="K235" i="34" s="1"/>
  <c r="Q223" i="34"/>
  <c r="P223" i="34"/>
  <c r="N223" i="34"/>
  <c r="M223" i="34"/>
  <c r="K223" i="34"/>
  <c r="J223" i="34"/>
  <c r="H223" i="34"/>
  <c r="G223" i="34"/>
  <c r="E223" i="34"/>
  <c r="D223" i="34"/>
  <c r="N207" i="34"/>
  <c r="M207" i="34"/>
  <c r="K207" i="34"/>
  <c r="J207" i="34"/>
  <c r="H207" i="34"/>
  <c r="G207" i="34"/>
  <c r="E207" i="34"/>
  <c r="D207" i="34"/>
  <c r="M201" i="34"/>
  <c r="J201" i="34"/>
  <c r="H201" i="34"/>
  <c r="G201" i="34"/>
  <c r="E201" i="34"/>
  <c r="D201" i="34"/>
  <c r="K197" i="34"/>
  <c r="K201" i="34" s="1"/>
  <c r="N193" i="34"/>
  <c r="M193" i="34"/>
  <c r="K193" i="34"/>
  <c r="J193" i="34"/>
  <c r="H193" i="34"/>
  <c r="G193" i="34"/>
  <c r="E193" i="34"/>
  <c r="D193" i="34"/>
  <c r="N188" i="34"/>
  <c r="M188" i="34"/>
  <c r="K188" i="34"/>
  <c r="J188" i="34"/>
  <c r="H188" i="34"/>
  <c r="G188" i="34"/>
  <c r="E188" i="34"/>
  <c r="D188" i="34"/>
  <c r="N184" i="34"/>
  <c r="M184" i="34"/>
  <c r="K184" i="34"/>
  <c r="J184" i="34"/>
  <c r="H184" i="34"/>
  <c r="G184" i="34"/>
  <c r="E184" i="34"/>
  <c r="D184" i="34"/>
  <c r="M176" i="34"/>
  <c r="J176" i="34"/>
  <c r="H176" i="34"/>
  <c r="G176" i="34"/>
  <c r="K172" i="34"/>
  <c r="N172" i="34" s="1"/>
  <c r="K169" i="34"/>
  <c r="N169" i="34" s="1"/>
  <c r="M162" i="34"/>
  <c r="J162" i="34"/>
  <c r="H162" i="34"/>
  <c r="G162" i="34"/>
  <c r="E162" i="34"/>
  <c r="D162" i="34"/>
  <c r="K157" i="34"/>
  <c r="N157" i="34" s="1"/>
  <c r="K156" i="34"/>
  <c r="N156" i="34" s="1"/>
  <c r="K155" i="34"/>
  <c r="N155" i="34" s="1"/>
  <c r="K154" i="34"/>
  <c r="N154" i="34" s="1"/>
  <c r="H524" i="34" s="1"/>
  <c r="K153" i="34"/>
  <c r="Q150" i="34"/>
  <c r="P150" i="34"/>
  <c r="N150" i="34"/>
  <c r="M150" i="34"/>
  <c r="K150" i="34"/>
  <c r="J150" i="34"/>
  <c r="H150" i="34"/>
  <c r="G150" i="34"/>
  <c r="E150" i="34"/>
  <c r="D150" i="34"/>
  <c r="N131" i="34"/>
  <c r="M131" i="34"/>
  <c r="K131" i="34"/>
  <c r="J131" i="34"/>
  <c r="H131" i="34"/>
  <c r="G131" i="34"/>
  <c r="E131" i="34"/>
  <c r="D131" i="34"/>
  <c r="N125" i="34"/>
  <c r="M125" i="34"/>
  <c r="K125" i="34"/>
  <c r="J125" i="34"/>
  <c r="H125" i="34"/>
  <c r="G125" i="34"/>
  <c r="E125" i="34"/>
  <c r="D125" i="34"/>
  <c r="N117" i="34"/>
  <c r="M117" i="34"/>
  <c r="K117" i="34"/>
  <c r="J117" i="34"/>
  <c r="H117" i="34"/>
  <c r="G117" i="34"/>
  <c r="E117" i="34"/>
  <c r="D117" i="34"/>
  <c r="N112" i="34"/>
  <c r="M112" i="34"/>
  <c r="K112" i="34"/>
  <c r="J112" i="34"/>
  <c r="H112" i="34"/>
  <c r="G112" i="34"/>
  <c r="E112" i="34"/>
  <c r="D112" i="34"/>
  <c r="N108" i="34"/>
  <c r="M108" i="34"/>
  <c r="K108" i="34"/>
  <c r="J108" i="34"/>
  <c r="H108" i="34"/>
  <c r="G108" i="34"/>
  <c r="E108" i="34"/>
  <c r="D108" i="34"/>
  <c r="M100" i="34"/>
  <c r="J100" i="34"/>
  <c r="G100" i="34"/>
  <c r="H96" i="34"/>
  <c r="D537" i="34"/>
  <c r="M86" i="34"/>
  <c r="J86" i="34"/>
  <c r="G86" i="34"/>
  <c r="E86" i="34"/>
  <c r="D86" i="34"/>
  <c r="H81" i="34"/>
  <c r="K81" i="34" s="1"/>
  <c r="N81" i="34" s="1"/>
  <c r="H80" i="34"/>
  <c r="K80" i="34" s="1"/>
  <c r="N80" i="34" s="1"/>
  <c r="H79" i="34"/>
  <c r="K79" i="34" s="1"/>
  <c r="N79" i="34" s="1"/>
  <c r="Q74" i="34"/>
  <c r="P74" i="34"/>
  <c r="N74" i="34"/>
  <c r="M74" i="34"/>
  <c r="K74" i="34"/>
  <c r="J74" i="34"/>
  <c r="H74" i="34"/>
  <c r="G74" i="34"/>
  <c r="E74" i="34"/>
  <c r="D74" i="34"/>
  <c r="M53" i="34"/>
  <c r="J53" i="34"/>
  <c r="G53" i="34"/>
  <c r="E53" i="34"/>
  <c r="D53" i="34"/>
  <c r="H49" i="34"/>
  <c r="H48" i="34"/>
  <c r="M36" i="34"/>
  <c r="J36" i="34"/>
  <c r="G36" i="34"/>
  <c r="E36" i="34"/>
  <c r="D36" i="34"/>
  <c r="H34" i="34"/>
  <c r="H36" i="34" s="1"/>
  <c r="M28" i="34"/>
  <c r="J28" i="34"/>
  <c r="G28" i="34"/>
  <c r="H21" i="34"/>
  <c r="M14" i="34"/>
  <c r="J14" i="34"/>
  <c r="G14" i="34"/>
  <c r="D14" i="34"/>
  <c r="E13" i="34"/>
  <c r="H13" i="34" s="1"/>
  <c r="K13" i="34" s="1"/>
  <c r="N13" i="34" s="1"/>
  <c r="BP7" i="23" s="1"/>
  <c r="BQ7" i="23" s="1"/>
  <c r="BR7" i="23" s="1"/>
  <c r="BS7" i="23" s="1"/>
  <c r="E12" i="34"/>
  <c r="H12" i="34" s="1"/>
  <c r="K12" i="34" s="1"/>
  <c r="N12" i="34" s="1"/>
  <c r="BP6" i="23" s="1"/>
  <c r="BQ6" i="23" s="1"/>
  <c r="BR6" i="23" s="1"/>
  <c r="BS6" i="23" s="1"/>
  <c r="E11" i="34"/>
  <c r="H11" i="34" s="1"/>
  <c r="K11" i="34" s="1"/>
  <c r="N11" i="34" s="1"/>
  <c r="BP5" i="23" s="1"/>
  <c r="BQ5" i="23" s="1"/>
  <c r="BR5" i="23" s="1"/>
  <c r="BS5" i="23" s="1"/>
  <c r="H10" i="34"/>
  <c r="BN4" i="23" s="1"/>
  <c r="H9" i="34"/>
  <c r="BN3" i="23" s="1"/>
  <c r="L25" i="11" l="1"/>
  <c r="M25" i="11"/>
  <c r="N390" i="34"/>
  <c r="BP58" i="23" s="1"/>
  <c r="BQ58" i="23" s="1"/>
  <c r="BR58" i="23" s="1"/>
  <c r="BS58" i="23" s="1"/>
  <c r="BO58" i="23"/>
  <c r="H90" i="34"/>
  <c r="BM20" i="23"/>
  <c r="N536" i="34"/>
  <c r="BP68" i="23"/>
  <c r="BQ68" i="23"/>
  <c r="BR68" i="23" s="1"/>
  <c r="BS68" i="23" s="1"/>
  <c r="N538" i="34"/>
  <c r="Q538" i="34" s="1"/>
  <c r="BP70" i="23"/>
  <c r="BQ70" i="23"/>
  <c r="BR70" i="23" s="1"/>
  <c r="BS70" i="23" s="1"/>
  <c r="N389" i="34"/>
  <c r="BP57" i="23" s="1"/>
  <c r="BQ57" i="23" s="1"/>
  <c r="BR57" i="23" s="1"/>
  <c r="BS57" i="23" s="1"/>
  <c r="BO57" i="23"/>
  <c r="H89" i="34"/>
  <c r="BN19" i="23" s="1"/>
  <c r="BM19" i="23"/>
  <c r="H91" i="34"/>
  <c r="BM21" i="23"/>
  <c r="BQ67" i="23"/>
  <c r="BP67" i="23"/>
  <c r="BP84" i="23" s="1"/>
  <c r="N537" i="34"/>
  <c r="BQ69" i="23"/>
  <c r="BR69" i="23" s="1"/>
  <c r="BS69" i="23" s="1"/>
  <c r="BP69" i="23"/>
  <c r="BU75" i="23"/>
  <c r="BV75" i="23" s="1"/>
  <c r="BR73" i="23"/>
  <c r="BS73" i="23" s="1"/>
  <c r="BR74" i="23"/>
  <c r="BS74" i="23" s="1"/>
  <c r="BU74" i="23"/>
  <c r="BV74" i="23" s="1"/>
  <c r="BR62" i="23"/>
  <c r="BS62" i="23" s="1"/>
  <c r="BU66" i="23"/>
  <c r="BU35" i="23"/>
  <c r="BV35" i="23" s="1"/>
  <c r="BU61" i="23"/>
  <c r="BV61" i="23" s="1"/>
  <c r="BU60" i="23"/>
  <c r="BV60" i="23" s="1"/>
  <c r="BU34" i="23"/>
  <c r="BV34" i="23" s="1"/>
  <c r="BU52" i="23"/>
  <c r="BV52" i="23" s="1"/>
  <c r="BU12" i="23"/>
  <c r="BV12" i="23" s="1"/>
  <c r="BU14" i="23"/>
  <c r="BV14" i="23" s="1"/>
  <c r="BU18" i="23"/>
  <c r="BV18" i="23" s="1"/>
  <c r="BU28" i="23"/>
  <c r="BV28" i="23" s="1"/>
  <c r="BU55" i="23"/>
  <c r="BV55" i="23" s="1"/>
  <c r="BU46" i="23"/>
  <c r="BU40" i="23"/>
  <c r="BV40" i="23" s="1"/>
  <c r="P45" i="34"/>
  <c r="Q40" i="34"/>
  <c r="Q125" i="34"/>
  <c r="G61" i="34"/>
  <c r="P59" i="34"/>
  <c r="Q257" i="34"/>
  <c r="Q261" i="34"/>
  <c r="Q274" i="34"/>
  <c r="P407" i="34"/>
  <c r="P416" i="34"/>
  <c r="K9" i="34"/>
  <c r="N9" i="34" s="1"/>
  <c r="BP3" i="23" s="1"/>
  <c r="K162" i="34"/>
  <c r="Q407" i="34"/>
  <c r="E475" i="34"/>
  <c r="Q475" i="34" s="1"/>
  <c r="Q508" i="34" s="1"/>
  <c r="N153" i="34"/>
  <c r="N197" i="34"/>
  <c r="N201" i="34" s="1"/>
  <c r="Q201" i="34" s="1"/>
  <c r="P257" i="34"/>
  <c r="P261" i="34"/>
  <c r="P274" i="34"/>
  <c r="K526" i="34"/>
  <c r="D587" i="34"/>
  <c r="P351" i="34"/>
  <c r="P357" i="34"/>
  <c r="P385" i="34"/>
  <c r="E399" i="34"/>
  <c r="E432" i="34" s="1"/>
  <c r="P14" i="34"/>
  <c r="Q108" i="34"/>
  <c r="M282" i="34"/>
  <c r="Q334" i="34"/>
  <c r="P338" i="34"/>
  <c r="Q351" i="34"/>
  <c r="Q357" i="34"/>
  <c r="G432" i="34"/>
  <c r="P543" i="34"/>
  <c r="Q551" i="34"/>
  <c r="P280" i="34"/>
  <c r="Q553" i="34"/>
  <c r="D592" i="34"/>
  <c r="BN6" i="23"/>
  <c r="M61" i="34"/>
  <c r="D100" i="34"/>
  <c r="P100" i="34" s="1"/>
  <c r="P108" i="34"/>
  <c r="P112" i="34"/>
  <c r="P117" i="34"/>
  <c r="P125" i="34"/>
  <c r="Q131" i="34"/>
  <c r="N162" i="34"/>
  <c r="Q162" i="34" s="1"/>
  <c r="Q184" i="34"/>
  <c r="Q193" i="34"/>
  <c r="P312" i="34"/>
  <c r="M432" i="34"/>
  <c r="P563" i="34"/>
  <c r="BO3" i="23"/>
  <c r="BN7" i="23"/>
  <c r="BN5" i="23"/>
  <c r="P424" i="34"/>
  <c r="D532" i="34"/>
  <c r="N532" i="34"/>
  <c r="Q563" i="34"/>
  <c r="G571" i="34"/>
  <c r="K34" i="34"/>
  <c r="K36" i="34" s="1"/>
  <c r="N77" i="34"/>
  <c r="Q112" i="34"/>
  <c r="P184" i="34"/>
  <c r="P193" i="34"/>
  <c r="N228" i="34"/>
  <c r="N235" i="34" s="1"/>
  <c r="Q235" i="34" s="1"/>
  <c r="E249" i="34"/>
  <c r="E282" i="34" s="1"/>
  <c r="P524" i="34"/>
  <c r="P542" i="34"/>
  <c r="D571" i="34"/>
  <c r="BO7" i="23"/>
  <c r="BO6" i="23"/>
  <c r="BO5" i="23"/>
  <c r="H209" i="34"/>
  <c r="K432" i="34"/>
  <c r="E14" i="34"/>
  <c r="D535" i="34"/>
  <c r="P36" i="34"/>
  <c r="K49" i="34"/>
  <c r="N49" i="34" s="1"/>
  <c r="Q117" i="34"/>
  <c r="P131" i="34"/>
  <c r="J133" i="34"/>
  <c r="P162" i="34"/>
  <c r="G282" i="34"/>
  <c r="K525" i="34"/>
  <c r="N388" i="34"/>
  <c r="BP56" i="23" s="1"/>
  <c r="BQ56" i="23" s="1"/>
  <c r="BR56" i="23" s="1"/>
  <c r="BS56" i="23" s="1"/>
  <c r="G532" i="34"/>
  <c r="P527" i="34"/>
  <c r="D588" i="34"/>
  <c r="P537" i="34"/>
  <c r="P53" i="34"/>
  <c r="G133" i="34"/>
  <c r="M133" i="34"/>
  <c r="Q207" i="34"/>
  <c r="P334" i="34"/>
  <c r="N535" i="34"/>
  <c r="P539" i="34"/>
  <c r="J61" i="34"/>
  <c r="P86" i="34"/>
  <c r="N312" i="34"/>
  <c r="Q312" i="34" s="1"/>
  <c r="J359" i="34"/>
  <c r="K557" i="34"/>
  <c r="Q557" i="34" s="1"/>
  <c r="Q416" i="34"/>
  <c r="M532" i="34"/>
  <c r="H554" i="34"/>
  <c r="K86" i="34"/>
  <c r="E525" i="34"/>
  <c r="K21" i="34"/>
  <c r="N21" i="34" s="1"/>
  <c r="D536" i="34"/>
  <c r="H53" i="34"/>
  <c r="K48" i="34"/>
  <c r="H86" i="34"/>
  <c r="H539" i="34"/>
  <c r="P188" i="34"/>
  <c r="H282" i="34"/>
  <c r="K359" i="34"/>
  <c r="P526" i="34"/>
  <c r="K10" i="34"/>
  <c r="E527" i="34"/>
  <c r="BM10" i="23"/>
  <c r="K96" i="34"/>
  <c r="N96" i="34" s="1"/>
  <c r="H526" i="34"/>
  <c r="H542" i="34"/>
  <c r="D399" i="34"/>
  <c r="P399" i="34" s="1"/>
  <c r="J536" i="34"/>
  <c r="J546" i="34" s="1"/>
  <c r="P538" i="34"/>
  <c r="M546" i="34"/>
  <c r="H14" i="34"/>
  <c r="E100" i="34"/>
  <c r="E133" i="34" s="1"/>
  <c r="P201" i="34"/>
  <c r="J209" i="34"/>
  <c r="D249" i="34"/>
  <c r="P249" i="34" s="1"/>
  <c r="N385" i="34"/>
  <c r="Q385" i="34" s="1"/>
  <c r="K523" i="34"/>
  <c r="P266" i="34"/>
  <c r="P343" i="34"/>
  <c r="G359" i="34"/>
  <c r="M359" i="34"/>
  <c r="N411" i="34"/>
  <c r="Q424" i="34"/>
  <c r="J432" i="34"/>
  <c r="P430" i="34"/>
  <c r="M577" i="34"/>
  <c r="P577" i="34" s="1"/>
  <c r="H523" i="34"/>
  <c r="H527" i="34"/>
  <c r="Q188" i="34"/>
  <c r="P207" i="34"/>
  <c r="BN30" i="23"/>
  <c r="K239" i="34"/>
  <c r="Q266" i="34"/>
  <c r="Q343" i="34"/>
  <c r="H359" i="34"/>
  <c r="P411" i="34"/>
  <c r="Q430" i="34"/>
  <c r="M554" i="34"/>
  <c r="P558" i="34"/>
  <c r="P566" i="34"/>
  <c r="K574" i="34"/>
  <c r="K577" i="34" s="1"/>
  <c r="N587" i="34"/>
  <c r="N392" i="34"/>
  <c r="E526" i="34"/>
  <c r="G209" i="34"/>
  <c r="M209" i="34"/>
  <c r="P235" i="34"/>
  <c r="BN29" i="23"/>
  <c r="BN84" i="23" s="1"/>
  <c r="K238" i="34"/>
  <c r="BO36" i="23" s="1"/>
  <c r="J282" i="34"/>
  <c r="Q338" i="34"/>
  <c r="H432" i="34"/>
  <c r="J532" i="34"/>
  <c r="P525" i="34"/>
  <c r="P552" i="34"/>
  <c r="D554" i="34"/>
  <c r="P557" i="34"/>
  <c r="P567" i="34"/>
  <c r="P574" i="34"/>
  <c r="D591" i="34"/>
  <c r="D590" i="34"/>
  <c r="D586" i="34"/>
  <c r="N277" i="34"/>
  <c r="N280" i="34" s="1"/>
  <c r="Q280" i="34" s="1"/>
  <c r="D475" i="34"/>
  <c r="P475" i="34" s="1"/>
  <c r="P508" i="34" s="1"/>
  <c r="P523" i="34"/>
  <c r="BR67" i="23" l="1"/>
  <c r="BQ84" i="23"/>
  <c r="H100" i="34"/>
  <c r="H133" i="34" s="1"/>
  <c r="K89" i="34"/>
  <c r="BO19" i="23" s="1"/>
  <c r="BU72" i="23"/>
  <c r="BV72" i="23" s="1"/>
  <c r="N546" i="34"/>
  <c r="N239" i="34"/>
  <c r="BP37" i="23" s="1"/>
  <c r="BQ37" i="23" s="1"/>
  <c r="BR37" i="23" s="1"/>
  <c r="BS37" i="23" s="1"/>
  <c r="BO37" i="23"/>
  <c r="N315" i="34"/>
  <c r="BP47" i="23" s="1"/>
  <c r="BQ47" i="23" s="1"/>
  <c r="BR47" i="23" s="1"/>
  <c r="BS47" i="23" s="1"/>
  <c r="BO47" i="23"/>
  <c r="H17" i="34"/>
  <c r="BN8" i="23" s="1"/>
  <c r="BM8" i="23"/>
  <c r="N316" i="34"/>
  <c r="BP48" i="23" s="1"/>
  <c r="BQ48" i="23" s="1"/>
  <c r="BR48" i="23" s="1"/>
  <c r="BS48" i="23" s="1"/>
  <c r="BO48" i="23"/>
  <c r="BU59" i="23"/>
  <c r="K91" i="34"/>
  <c r="BN21" i="23"/>
  <c r="K90" i="34"/>
  <c r="BN20" i="23"/>
  <c r="N317" i="34"/>
  <c r="BP49" i="23" s="1"/>
  <c r="BQ49" i="23" s="1"/>
  <c r="BR49" i="23" s="1"/>
  <c r="BS49" i="23" s="1"/>
  <c r="BO49" i="23"/>
  <c r="H18" i="34"/>
  <c r="BM9" i="23"/>
  <c r="BM76" i="23" s="1"/>
  <c r="BQ3" i="23"/>
  <c r="BV66" i="23"/>
  <c r="BM80" i="23"/>
  <c r="AW53" i="23" s="1"/>
  <c r="BV46" i="23"/>
  <c r="E523" i="34"/>
  <c r="Q523" i="34" s="1"/>
  <c r="E508" i="34"/>
  <c r="BY75" i="23" s="1"/>
  <c r="Q527" i="34"/>
  <c r="E326" i="34"/>
  <c r="E359" i="34" s="1"/>
  <c r="BY61" i="23" s="1"/>
  <c r="H567" i="34"/>
  <c r="H571" i="34" s="1"/>
  <c r="D326" i="34"/>
  <c r="D359" i="34" s="1"/>
  <c r="H525" i="34"/>
  <c r="Q525" i="34" s="1"/>
  <c r="P133" i="34"/>
  <c r="P571" i="34"/>
  <c r="P554" i="34"/>
  <c r="D133" i="34"/>
  <c r="N86" i="34"/>
  <c r="Q86" i="34" s="1"/>
  <c r="D546" i="34"/>
  <c r="D579" i="34" s="1"/>
  <c r="N579" i="34"/>
  <c r="N34" i="34"/>
  <c r="N36" i="34" s="1"/>
  <c r="Q36" i="34" s="1"/>
  <c r="D432" i="34"/>
  <c r="K558" i="34"/>
  <c r="Q558" i="34" s="1"/>
  <c r="D282" i="34"/>
  <c r="E542" i="34"/>
  <c r="Q542" i="34" s="1"/>
  <c r="N10" i="34"/>
  <c r="BO4" i="23"/>
  <c r="D28" i="34"/>
  <c r="M579" i="34"/>
  <c r="Q526" i="34"/>
  <c r="E552" i="34"/>
  <c r="E554" i="34" s="1"/>
  <c r="Q554" i="34" s="1"/>
  <c r="P432" i="34"/>
  <c r="K532" i="34"/>
  <c r="K14" i="34"/>
  <c r="K539" i="34"/>
  <c r="P282" i="34"/>
  <c r="E567" i="34"/>
  <c r="H19" i="34"/>
  <c r="D508" i="34"/>
  <c r="E176" i="34"/>
  <c r="K165" i="34"/>
  <c r="BO29" i="23" s="1"/>
  <c r="Q411" i="34"/>
  <c r="P532" i="34"/>
  <c r="G535" i="34"/>
  <c r="D176" i="34"/>
  <c r="N399" i="34"/>
  <c r="Q399" i="34" s="1"/>
  <c r="E539" i="34"/>
  <c r="E28" i="34"/>
  <c r="E61" i="34" s="1"/>
  <c r="BY23" i="23" s="1"/>
  <c r="K166" i="34"/>
  <c r="K53" i="34"/>
  <c r="N48" i="34"/>
  <c r="N53" i="34" s="1"/>
  <c r="J579" i="34"/>
  <c r="N238" i="34"/>
  <c r="K249" i="34"/>
  <c r="H574" i="34"/>
  <c r="N89" i="34"/>
  <c r="P536" i="34"/>
  <c r="BM79" i="23" l="1"/>
  <c r="AW52" i="23" s="1"/>
  <c r="K100" i="34"/>
  <c r="K133" i="34" s="1"/>
  <c r="BO84" i="23"/>
  <c r="BM84" i="23"/>
  <c r="BM86" i="23" s="1"/>
  <c r="K537" i="34"/>
  <c r="BS67" i="23"/>
  <c r="BS84" i="23" s="1"/>
  <c r="BR84" i="23"/>
  <c r="BV59" i="23"/>
  <c r="K17" i="34"/>
  <c r="BO8" i="23" s="1"/>
  <c r="N326" i="34"/>
  <c r="N359" i="34" s="1"/>
  <c r="BW75" i="23"/>
  <c r="BX75" i="23" s="1"/>
  <c r="BZ75" i="23" s="1"/>
  <c r="BM78" i="23"/>
  <c r="AW51" i="23" s="1"/>
  <c r="N166" i="34"/>
  <c r="BP30" i="23" s="1"/>
  <c r="BQ30" i="23" s="1"/>
  <c r="BR30" i="23" s="1"/>
  <c r="BS30" i="23" s="1"/>
  <c r="BO30" i="23"/>
  <c r="BP19" i="23"/>
  <c r="BM81" i="23"/>
  <c r="AW54" i="23" s="1"/>
  <c r="N91" i="34"/>
  <c r="BP21" i="23" s="1"/>
  <c r="BQ21" i="23" s="1"/>
  <c r="BR21" i="23" s="1"/>
  <c r="BS21" i="23" s="1"/>
  <c r="BO21" i="23"/>
  <c r="N249" i="34"/>
  <c r="N282" i="34" s="1"/>
  <c r="BP36" i="23"/>
  <c r="K19" i="34"/>
  <c r="BN10" i="23"/>
  <c r="K536" i="34"/>
  <c r="K535" i="34"/>
  <c r="K18" i="34"/>
  <c r="K28" i="34" s="1"/>
  <c r="K61" i="34" s="1"/>
  <c r="BN9" i="23"/>
  <c r="N90" i="34"/>
  <c r="BP20" i="23" s="1"/>
  <c r="BQ20" i="23" s="1"/>
  <c r="BR20" i="23" s="1"/>
  <c r="BS20" i="23" s="1"/>
  <c r="BO20" i="23"/>
  <c r="BU50" i="23"/>
  <c r="BR3" i="23"/>
  <c r="P28" i="34"/>
  <c r="P61" i="34" s="1"/>
  <c r="D61" i="34"/>
  <c r="H532" i="34"/>
  <c r="P326" i="34"/>
  <c r="P359" i="34" s="1"/>
  <c r="Q567" i="34"/>
  <c r="Q552" i="34"/>
  <c r="Q539" i="34"/>
  <c r="N14" i="34"/>
  <c r="Q14" i="34" s="1"/>
  <c r="BP4" i="23"/>
  <c r="Q53" i="34"/>
  <c r="E524" i="34"/>
  <c r="Q524" i="34" s="1"/>
  <c r="Q532" i="34" s="1"/>
  <c r="H28" i="34"/>
  <c r="H61" i="34" s="1"/>
  <c r="Q432" i="34"/>
  <c r="K176" i="34"/>
  <c r="K209" i="34" s="1"/>
  <c r="N165" i="34"/>
  <c r="BP29" i="23" s="1"/>
  <c r="BQ29" i="23" s="1"/>
  <c r="BR29" i="23" s="1"/>
  <c r="BS29" i="23" s="1"/>
  <c r="K282" i="34"/>
  <c r="P176" i="34"/>
  <c r="P209" i="34" s="1"/>
  <c r="D209" i="34"/>
  <c r="N432" i="34"/>
  <c r="E566" i="34"/>
  <c r="H577" i="34"/>
  <c r="Q577" i="34" s="1"/>
  <c r="Q574" i="34"/>
  <c r="G546" i="34"/>
  <c r="P535" i="34"/>
  <c r="E209" i="34"/>
  <c r="BY40" i="23" s="1"/>
  <c r="BY76" i="23" s="1"/>
  <c r="N17" i="34" l="1"/>
  <c r="BP8" i="23" s="1"/>
  <c r="BQ8" i="23" s="1"/>
  <c r="BR8" i="23" s="1"/>
  <c r="BS8" i="23" s="1"/>
  <c r="AW55" i="23"/>
  <c r="BM82" i="23"/>
  <c r="BM83" i="23" s="1"/>
  <c r="BN81" i="23"/>
  <c r="AX54" i="23" s="1"/>
  <c r="Q326" i="34"/>
  <c r="Q359" i="34" s="1"/>
  <c r="BN80" i="23"/>
  <c r="AX53" i="23" s="1"/>
  <c r="N100" i="34"/>
  <c r="K546" i="34"/>
  <c r="K579" i="34" s="1"/>
  <c r="BN79" i="23"/>
  <c r="AX52" i="23" s="1"/>
  <c r="BU32" i="23"/>
  <c r="H536" i="34"/>
  <c r="BW61" i="23"/>
  <c r="BX61" i="23" s="1"/>
  <c r="BZ61" i="23" s="1"/>
  <c r="N18" i="34"/>
  <c r="BP9" i="23" s="1"/>
  <c r="BQ9" i="23" s="1"/>
  <c r="BR9" i="23" s="1"/>
  <c r="BS9" i="23" s="1"/>
  <c r="BO9" i="23"/>
  <c r="BQ36" i="23"/>
  <c r="BR36" i="23" s="1"/>
  <c r="BS36" i="23" s="1"/>
  <c r="BU39" i="23"/>
  <c r="Q249" i="34"/>
  <c r="Q282" i="34" s="1"/>
  <c r="N19" i="34"/>
  <c r="BO10" i="23"/>
  <c r="BN78" i="23"/>
  <c r="BQ19" i="23"/>
  <c r="BR19" i="23" s="1"/>
  <c r="BS19" i="23" s="1"/>
  <c r="BU23" i="23"/>
  <c r="BN76" i="23"/>
  <c r="BN86" i="23" s="1"/>
  <c r="BS3" i="23"/>
  <c r="BU7" i="23"/>
  <c r="BQ4" i="23"/>
  <c r="E532" i="34"/>
  <c r="Q566" i="34"/>
  <c r="E571" i="34"/>
  <c r="Q571" i="34" s="1"/>
  <c r="N176" i="34"/>
  <c r="N209" i="34" s="1"/>
  <c r="H535" i="34"/>
  <c r="G579" i="34"/>
  <c r="P546" i="34"/>
  <c r="E535" i="34" l="1"/>
  <c r="BV50" i="23"/>
  <c r="H546" i="34"/>
  <c r="H579" i="34" s="1"/>
  <c r="N133" i="34"/>
  <c r="Q100" i="34"/>
  <c r="Q133" i="34" s="1"/>
  <c r="N28" i="34"/>
  <c r="Q28" i="34" s="1"/>
  <c r="Q61" i="34" s="1"/>
  <c r="E536" i="34"/>
  <c r="Q536" i="34" s="1"/>
  <c r="BP10" i="23"/>
  <c r="BU11" i="23" s="1"/>
  <c r="E537" i="34"/>
  <c r="Q537" i="34" s="1"/>
  <c r="AX51" i="23"/>
  <c r="BN82" i="23"/>
  <c r="BN83" i="23" s="1"/>
  <c r="BO80" i="23"/>
  <c r="AY53" i="23" s="1"/>
  <c r="BO76" i="23"/>
  <c r="BO86" i="23" s="1"/>
  <c r="BO78" i="23"/>
  <c r="BO79" i="23"/>
  <c r="AY52" i="23" s="1"/>
  <c r="BO81" i="23"/>
  <c r="AY54" i="23" s="1"/>
  <c r="BV39" i="23"/>
  <c r="BW40" i="23"/>
  <c r="AX55" i="23"/>
  <c r="BV7" i="23"/>
  <c r="BR4" i="23"/>
  <c r="P579" i="34"/>
  <c r="P581" i="34" s="1"/>
  <c r="Q535" i="34"/>
  <c r="Q176" i="34"/>
  <c r="Q209" i="34" s="1"/>
  <c r="BX40" i="23" l="1"/>
  <c r="BZ40" i="23" s="1"/>
  <c r="BV11" i="23"/>
  <c r="N61" i="34"/>
  <c r="BV32" i="23"/>
  <c r="E546" i="34"/>
  <c r="Q546" i="34" s="1"/>
  <c r="BV23" i="23"/>
  <c r="BW23" i="23"/>
  <c r="BW76" i="23" s="1"/>
  <c r="BU76" i="23"/>
  <c r="AY51" i="23"/>
  <c r="AY55" i="23" s="1"/>
  <c r="BO82" i="23"/>
  <c r="BO83" i="23" s="1"/>
  <c r="BQ10" i="23"/>
  <c r="BP80" i="23"/>
  <c r="AZ53" i="23" s="1"/>
  <c r="BP78" i="23"/>
  <c r="BP81" i="23"/>
  <c r="AZ54" i="23" s="1"/>
  <c r="BP79" i="23"/>
  <c r="AZ52" i="23" s="1"/>
  <c r="BP76" i="23"/>
  <c r="BP86" i="23" s="1"/>
  <c r="BS4" i="23"/>
  <c r="E579" i="34" l="1"/>
  <c r="BX23" i="23" s="1"/>
  <c r="BZ23" i="23" s="1"/>
  <c r="AZ51" i="23"/>
  <c r="AZ55" i="23" s="1"/>
  <c r="BP82" i="23"/>
  <c r="BP83" i="23" s="1"/>
  <c r="BR10" i="23"/>
  <c r="BQ80" i="23"/>
  <c r="BA53" i="23" s="1"/>
  <c r="BQ79" i="23"/>
  <c r="BA52" i="23" s="1"/>
  <c r="BQ76" i="23"/>
  <c r="BQ81" i="23"/>
  <c r="BA54" i="23" s="1"/>
  <c r="BQ78" i="23"/>
  <c r="Q579" i="34"/>
  <c r="BS10" i="23" l="1"/>
  <c r="BR80" i="23"/>
  <c r="BB53" i="23" s="1"/>
  <c r="BR76" i="23"/>
  <c r="BR79" i="23"/>
  <c r="BB52" i="23" s="1"/>
  <c r="BR78" i="23"/>
  <c r="BR81" i="23"/>
  <c r="BB54" i="23" s="1"/>
  <c r="Q581" i="34"/>
  <c r="BX76" i="23"/>
  <c r="BZ76" i="23" s="1"/>
  <c r="BA51" i="23"/>
  <c r="BA55" i="23" s="1"/>
  <c r="BQ82" i="23"/>
  <c r="BB51" i="23" l="1"/>
  <c r="BB55" i="23" s="1"/>
  <c r="BR82" i="23"/>
  <c r="BS76" i="23"/>
  <c r="BS81" i="23"/>
  <c r="BC54" i="23" s="1"/>
  <c r="BS79" i="23"/>
  <c r="BC52" i="23" s="1"/>
  <c r="BS80" i="23"/>
  <c r="BC53" i="23" s="1"/>
  <c r="BS78" i="23"/>
  <c r="BC51" i="23" l="1"/>
  <c r="BC55" i="23" s="1"/>
  <c r="BS82" i="23"/>
  <c r="AY47" i="23"/>
  <c r="AY66" i="23" s="1"/>
  <c r="U10" i="23" s="1"/>
  <c r="AX48" i="23"/>
  <c r="AX67" i="23" s="1"/>
  <c r="AA9" i="23" s="1"/>
  <c r="AW48" i="23"/>
  <c r="AW67" i="23" s="1"/>
  <c r="AA8" i="23" s="1"/>
  <c r="BB46" i="23"/>
  <c r="BB65" i="23" s="1"/>
  <c r="O13" i="23" s="1"/>
  <c r="BC46" i="23"/>
  <c r="BC65" i="23" s="1"/>
  <c r="O14" i="23" s="1"/>
  <c r="BA48" i="23"/>
  <c r="BA67" i="23" s="1"/>
  <c r="AA12" i="23" s="1"/>
  <c r="AX47" i="23"/>
  <c r="AX66" i="23" s="1"/>
  <c r="U9" i="23" s="1"/>
  <c r="AY46" i="23"/>
  <c r="AY65" i="23" s="1"/>
  <c r="O10" i="23" s="1"/>
  <c r="AU46" i="23"/>
  <c r="AU65" i="23" s="1"/>
  <c r="O6" i="23" s="1"/>
  <c r="BB47" i="23"/>
  <c r="BB66" i="23" s="1"/>
  <c r="U13" i="23" s="1"/>
  <c r="AX46" i="23"/>
  <c r="AX65" i="23" s="1"/>
  <c r="O9" i="23" s="1"/>
  <c r="BB48" i="23"/>
  <c r="BB67" i="23" s="1"/>
  <c r="AA13" i="23" s="1"/>
  <c r="AW46" i="23"/>
  <c r="AW65" i="23" s="1"/>
  <c r="O8" i="23" s="1"/>
  <c r="AZ47" i="23"/>
  <c r="AZ66" i="23" s="1"/>
  <c r="U11" i="23" s="1"/>
  <c r="AV47" i="23"/>
  <c r="AV66" i="23" s="1"/>
  <c r="U7" i="23" s="1"/>
  <c r="BA45" i="23"/>
  <c r="BA64" i="23" s="1"/>
  <c r="BC48" i="23"/>
  <c r="BC67" i="23" s="1"/>
  <c r="AA14" i="23" s="1"/>
  <c r="BB45" i="23"/>
  <c r="BB64" i="23" s="1"/>
  <c r="AU47" i="23"/>
  <c r="AU66" i="23" s="1"/>
  <c r="U6" i="23" s="1"/>
  <c r="BC47" i="23"/>
  <c r="BC66" i="23" s="1"/>
  <c r="U14" i="23" s="1"/>
  <c r="AZ48" i="23"/>
  <c r="AZ67" i="23" s="1"/>
  <c r="AA11" i="23" s="1"/>
  <c r="BA46" i="23"/>
  <c r="BA65" i="23" s="1"/>
  <c r="O12" i="23" s="1"/>
  <c r="AZ45" i="23"/>
  <c r="AZ64" i="23" s="1"/>
  <c r="AZ46" i="23"/>
  <c r="AZ65" i="23" s="1"/>
  <c r="O11" i="23" s="1"/>
  <c r="AV46" i="23"/>
  <c r="AV65" i="23" s="1"/>
  <c r="O7" i="23" s="1"/>
  <c r="BA47" i="23"/>
  <c r="BA66" i="23" s="1"/>
  <c r="U12" i="23" s="1"/>
  <c r="AW47" i="23"/>
  <c r="AW66" i="23" s="1"/>
  <c r="U8" i="23" s="1"/>
  <c r="AV48" i="23"/>
  <c r="AV67" i="23" s="1"/>
  <c r="AA7" i="23" s="1"/>
  <c r="AY48" i="23"/>
  <c r="AY67" i="23" s="1"/>
  <c r="AA10" i="23" s="1"/>
  <c r="BC45" i="23"/>
  <c r="BB39" i="23"/>
  <c r="BB41" i="23" s="1"/>
  <c r="BC39" i="23"/>
  <c r="BC41" i="23" s="1"/>
  <c r="AX39" i="23"/>
  <c r="AX41" i="23" s="1"/>
  <c r="AT39" i="23"/>
  <c r="AT41" i="23" s="1"/>
  <c r="AV39" i="23"/>
  <c r="AV41" i="23" s="1"/>
  <c r="AW39" i="23"/>
  <c r="AW41" i="23" s="1"/>
  <c r="AS39" i="23"/>
  <c r="AS41" i="23" s="1"/>
  <c r="BA39" i="23"/>
  <c r="BA41" i="23" s="1"/>
  <c r="AZ39" i="23"/>
  <c r="AZ41" i="23" s="1"/>
  <c r="AY39" i="23"/>
  <c r="AY41" i="23" s="1"/>
  <c r="AU39" i="23"/>
  <c r="AU41" i="23" s="1"/>
  <c r="D3" i="24"/>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C4" i="24"/>
  <c r="C5" i="24"/>
  <c r="C6" i="24"/>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3" i="24"/>
  <c r="BC64" i="23" l="1"/>
  <c r="I14" i="23" s="1"/>
  <c r="X41" i="32"/>
  <c r="W41" i="32"/>
  <c r="V21" i="32"/>
  <c r="V41" i="32"/>
  <c r="W21" i="32"/>
  <c r="X21" i="32"/>
  <c r="I12" i="23"/>
  <c r="I11" i="23"/>
  <c r="I13" i="23"/>
  <c r="AZ69" i="23"/>
  <c r="C11" i="23" s="1"/>
  <c r="BA69" i="23"/>
  <c r="C12" i="23" s="1"/>
  <c r="BB69" i="23"/>
  <c r="C13" i="23" s="1"/>
  <c r="BC69" i="23"/>
  <c r="C14" i="23" s="1"/>
  <c r="BB49" i="23"/>
  <c r="BA49" i="23"/>
  <c r="BC49" i="23"/>
  <c r="AZ49" i="23"/>
  <c r="AA12" i="32"/>
  <c r="AA39" i="32"/>
  <c r="AA38" i="32"/>
  <c r="AA37" i="32"/>
  <c r="AA36" i="32"/>
  <c r="AA35" i="32"/>
  <c r="AA34" i="32"/>
  <c r="AA33" i="32"/>
  <c r="AA32" i="32"/>
  <c r="AA31" i="32"/>
  <c r="AA30" i="32"/>
  <c r="AA29" i="32"/>
  <c r="AA28" i="32"/>
  <c r="AA19" i="32"/>
  <c r="AA18" i="32"/>
  <c r="AA17" i="32"/>
  <c r="AA16" i="32"/>
  <c r="AA15" i="32"/>
  <c r="AA14" i="32"/>
  <c r="AA13" i="32"/>
  <c r="AA11" i="32"/>
  <c r="AA10" i="32"/>
  <c r="AA9" i="32"/>
  <c r="Z8" i="32"/>
  <c r="Z36" i="32" l="1"/>
  <c r="D215" i="27" s="1"/>
  <c r="D227" i="27" s="1"/>
  <c r="Z12" i="32"/>
  <c r="C211" i="27" s="1"/>
  <c r="BA70" i="23"/>
  <c r="Z34" i="32"/>
  <c r="D213" i="27" s="1"/>
  <c r="D225" i="27" s="1"/>
  <c r="Z28" i="32"/>
  <c r="D207" i="25" s="1"/>
  <c r="D219" i="25" s="1"/>
  <c r="Z16" i="32"/>
  <c r="C215" i="27" s="1"/>
  <c r="Z30" i="32"/>
  <c r="D209" i="27" s="1"/>
  <c r="D221" i="27" s="1"/>
  <c r="Z9" i="32"/>
  <c r="C208" i="25" s="1"/>
  <c r="Z11" i="32"/>
  <c r="C210" i="19" s="1"/>
  <c r="C222" i="19" s="1"/>
  <c r="Z18" i="32"/>
  <c r="C217" i="27" s="1"/>
  <c r="Z38" i="32"/>
  <c r="D217" i="27" s="1"/>
  <c r="D229" i="27" s="1"/>
  <c r="Z14" i="32"/>
  <c r="C213" i="25" s="1"/>
  <c r="Z32" i="32"/>
  <c r="D211" i="25" s="1"/>
  <c r="D223" i="25" s="1"/>
  <c r="C261" i="27"/>
  <c r="C261" i="25"/>
  <c r="C261" i="24"/>
  <c r="D257" i="27"/>
  <c r="D257" i="25"/>
  <c r="D257" i="24"/>
  <c r="D265" i="27"/>
  <c r="D265" i="25"/>
  <c r="D265" i="24"/>
  <c r="C262" i="27"/>
  <c r="C262" i="25"/>
  <c r="C262" i="24"/>
  <c r="D258" i="27"/>
  <c r="D258" i="25"/>
  <c r="D258" i="24"/>
  <c r="D266" i="27"/>
  <c r="D266" i="25"/>
  <c r="D266" i="24"/>
  <c r="C258" i="27"/>
  <c r="C258" i="25"/>
  <c r="C258" i="24"/>
  <c r="C263" i="25"/>
  <c r="C263" i="27"/>
  <c r="C263" i="24"/>
  <c r="D255" i="27"/>
  <c r="D255" i="25"/>
  <c r="D255" i="24"/>
  <c r="D259" i="27"/>
  <c r="D259" i="25"/>
  <c r="D259" i="24"/>
  <c r="D263" i="27"/>
  <c r="D263" i="25"/>
  <c r="D263" i="24"/>
  <c r="C256" i="27"/>
  <c r="C256" i="25"/>
  <c r="C256" i="24"/>
  <c r="C265" i="27"/>
  <c r="C265" i="25"/>
  <c r="C265" i="24"/>
  <c r="D261" i="27"/>
  <c r="D261" i="25"/>
  <c r="D261" i="24"/>
  <c r="C257" i="27"/>
  <c r="C257" i="25"/>
  <c r="C257" i="24"/>
  <c r="C266" i="27"/>
  <c r="C266" i="25"/>
  <c r="C266" i="24"/>
  <c r="D262" i="25"/>
  <c r="D262" i="27"/>
  <c r="D262" i="24"/>
  <c r="C207" i="27"/>
  <c r="C207" i="19"/>
  <c r="C219" i="19" s="1"/>
  <c r="C207" i="25"/>
  <c r="C207" i="24"/>
  <c r="C219" i="24" s="1"/>
  <c r="C260" i="27"/>
  <c r="C260" i="25"/>
  <c r="C260" i="24"/>
  <c r="C264" i="27"/>
  <c r="C264" i="25"/>
  <c r="C264" i="24"/>
  <c r="D256" i="27"/>
  <c r="D256" i="25"/>
  <c r="D256" i="24"/>
  <c r="D260" i="27"/>
  <c r="D260" i="25"/>
  <c r="D260" i="24"/>
  <c r="D264" i="27"/>
  <c r="D264" i="25"/>
  <c r="D264" i="24"/>
  <c r="C213" i="19"/>
  <c r="C225" i="19" s="1"/>
  <c r="D207" i="24"/>
  <c r="D219" i="24" s="1"/>
  <c r="C217" i="19"/>
  <c r="C229" i="19" s="1"/>
  <c r="Z10" i="32"/>
  <c r="AA8" i="32"/>
  <c r="Z19" i="32"/>
  <c r="Z33" i="32"/>
  <c r="Z17" i="32"/>
  <c r="C208" i="24"/>
  <c r="C220" i="24" s="1"/>
  <c r="Z39" i="32"/>
  <c r="Z15" i="32"/>
  <c r="C211" i="19"/>
  <c r="C223" i="19" s="1"/>
  <c r="C259" i="27"/>
  <c r="C259" i="25"/>
  <c r="C259" i="24"/>
  <c r="Z35" i="32"/>
  <c r="Z37" i="32"/>
  <c r="Z29" i="32"/>
  <c r="Z13" i="32"/>
  <c r="D215" i="24"/>
  <c r="D227" i="24" s="1"/>
  <c r="C215" i="25"/>
  <c r="Z31" i="32"/>
  <c r="C210" i="27"/>
  <c r="AZ70" i="23"/>
  <c r="BC70" i="23"/>
  <c r="BB70" i="23"/>
  <c r="R5" i="32"/>
  <c r="S5" i="32"/>
  <c r="T5" i="32"/>
  <c r="U5" i="32"/>
  <c r="V5" i="32"/>
  <c r="W5" i="32"/>
  <c r="X5" i="32"/>
  <c r="Y5" i="32"/>
  <c r="U41" i="32"/>
  <c r="T41" i="32"/>
  <c r="S41" i="32"/>
  <c r="O41" i="32"/>
  <c r="M41" i="32"/>
  <c r="K41" i="32"/>
  <c r="I41" i="32"/>
  <c r="I21" i="32"/>
  <c r="L21" i="32"/>
  <c r="M21" i="32"/>
  <c r="P21" i="32"/>
  <c r="Q21" i="32"/>
  <c r="T21" i="32"/>
  <c r="U21" i="32"/>
  <c r="E21" i="32"/>
  <c r="C21" i="32"/>
  <c r="P41" i="32"/>
  <c r="L41" i="32"/>
  <c r="H41" i="32"/>
  <c r="G41" i="32"/>
  <c r="E41" i="32"/>
  <c r="D41" i="32"/>
  <c r="C41" i="32"/>
  <c r="S21" i="32"/>
  <c r="R21" i="32"/>
  <c r="O21" i="32"/>
  <c r="N21" i="32"/>
  <c r="K21" i="32"/>
  <c r="J21" i="32"/>
  <c r="G21" i="32"/>
  <c r="F21" i="32"/>
  <c r="D21" i="32"/>
  <c r="Q5" i="32"/>
  <c r="P5" i="32"/>
  <c r="O5" i="32"/>
  <c r="N5" i="32"/>
  <c r="M5" i="32"/>
  <c r="L5" i="32"/>
  <c r="K5" i="32"/>
  <c r="B10" i="11"/>
  <c r="G14" i="11"/>
  <c r="B15" i="11"/>
  <c r="B14" i="11"/>
  <c r="D14" i="11"/>
  <c r="F14" i="11"/>
  <c r="B19" i="11"/>
  <c r="B18" i="11"/>
  <c r="C19" i="11"/>
  <c r="D19" i="11"/>
  <c r="E19" i="11"/>
  <c r="E18" i="11"/>
  <c r="F18" i="11"/>
  <c r="G24" i="11"/>
  <c r="E24" i="11"/>
  <c r="B29" i="11"/>
  <c r="D28" i="11"/>
  <c r="G34" i="11"/>
  <c r="G33" i="11"/>
  <c r="B34" i="11"/>
  <c r="C34" i="11"/>
  <c r="C33" i="11"/>
  <c r="D34" i="11"/>
  <c r="F34" i="11"/>
  <c r="F33" i="11"/>
  <c r="G39" i="11"/>
  <c r="B39" i="11"/>
  <c r="C39" i="11"/>
  <c r="C38" i="11"/>
  <c r="D39" i="11"/>
  <c r="E38" i="11"/>
  <c r="F39" i="11"/>
  <c r="AB2" i="23"/>
  <c r="AH14" i="23"/>
  <c r="V2" i="23"/>
  <c r="P2" i="23"/>
  <c r="J2" i="23"/>
  <c r="E25" i="11"/>
  <c r="D30" i="11"/>
  <c r="E30" i="11"/>
  <c r="F30" i="11"/>
  <c r="D35" i="11"/>
  <c r="E35" i="11"/>
  <c r="G35" i="11"/>
  <c r="B20" i="11"/>
  <c r="D20" i="11"/>
  <c r="E20" i="11"/>
  <c r="A37" i="11"/>
  <c r="G2" i="17"/>
  <c r="E1" i="18" s="1"/>
  <c r="H2" i="17"/>
  <c r="F1" i="18" s="1"/>
  <c r="D2" i="23"/>
  <c r="A10" i="9"/>
  <c r="A24" i="9" s="1"/>
  <c r="A9" i="9"/>
  <c r="A23" i="9" s="1"/>
  <c r="A3" i="9"/>
  <c r="A17" i="9" s="1"/>
  <c r="A4" i="9"/>
  <c r="A18" i="9" s="1"/>
  <c r="A5" i="9"/>
  <c r="A19" i="9" s="1"/>
  <c r="A6" i="9"/>
  <c r="A20" i="9" s="1"/>
  <c r="A7" i="9"/>
  <c r="A21" i="9" s="1"/>
  <c r="A8" i="9"/>
  <c r="A22" i="9" s="1"/>
  <c r="A22" i="11"/>
  <c r="E2" i="17"/>
  <c r="C1" i="18" s="1"/>
  <c r="A13" i="11"/>
  <c r="A9" i="11"/>
  <c r="C2" i="17"/>
  <c r="D2" i="17"/>
  <c r="B1" i="18" s="1"/>
  <c r="F2" i="17"/>
  <c r="D1" i="18" s="1"/>
  <c r="B2" i="17"/>
  <c r="A32" i="11"/>
  <c r="A27" i="11"/>
  <c r="A17" i="11"/>
  <c r="B41" i="32"/>
  <c r="J41" i="32"/>
  <c r="R41" i="32"/>
  <c r="N41" i="32"/>
  <c r="Q41" i="32"/>
  <c r="F41" i="32"/>
  <c r="H21" i="32"/>
  <c r="B21" i="32"/>
  <c r="E33" i="11"/>
  <c r="E15" i="11"/>
  <c r="F24" i="11"/>
  <c r="C15" i="11"/>
  <c r="G15" i="11"/>
  <c r="AS45" i="23"/>
  <c r="AS64" i="23" s="1"/>
  <c r="AR46" i="23"/>
  <c r="AR65" i="23" s="1"/>
  <c r="O3" i="23" s="1"/>
  <c r="AV45" i="23"/>
  <c r="AU48" i="23"/>
  <c r="AU45" i="23"/>
  <c r="AU64" i="23" s="1"/>
  <c r="AT48" i="23"/>
  <c r="AW45" i="23"/>
  <c r="D24" i="11"/>
  <c r="AR48" i="23"/>
  <c r="AY45" i="23"/>
  <c r="AS46" i="23"/>
  <c r="AS47" i="23"/>
  <c r="AS66" i="23" s="1"/>
  <c r="U4" i="23" s="1"/>
  <c r="G10" i="11"/>
  <c r="AT45" i="23"/>
  <c r="AT64" i="23" s="1"/>
  <c r="AR47" i="23"/>
  <c r="AR66" i="23" s="1"/>
  <c r="U3" i="23" s="1"/>
  <c r="AS48" i="23"/>
  <c r="E39" i="11"/>
  <c r="AR45" i="23"/>
  <c r="AR64" i="23" s="1"/>
  <c r="AR39" i="23"/>
  <c r="AR41" i="23" s="1"/>
  <c r="AT47" i="23"/>
  <c r="AX45" i="23"/>
  <c r="AT46" i="23"/>
  <c r="AT65" i="23" s="1"/>
  <c r="O5" i="23" s="1"/>
  <c r="E29" i="11"/>
  <c r="H260" i="24"/>
  <c r="C211" i="24" l="1"/>
  <c r="C223" i="24" s="1"/>
  <c r="E49" i="11"/>
  <c r="C215" i="19"/>
  <c r="C227" i="19" s="1"/>
  <c r="D215" i="19"/>
  <c r="D227" i="19" s="1"/>
  <c r="D215" i="25"/>
  <c r="D227" i="25" s="1"/>
  <c r="D211" i="27"/>
  <c r="D223" i="27" s="1"/>
  <c r="D213" i="24"/>
  <c r="D225" i="24" s="1"/>
  <c r="C208" i="27"/>
  <c r="C220" i="27" s="1"/>
  <c r="D213" i="19"/>
  <c r="D225" i="19" s="1"/>
  <c r="C213" i="24"/>
  <c r="C225" i="24" s="1"/>
  <c r="C211" i="25"/>
  <c r="C223" i="25" s="1"/>
  <c r="C217" i="24"/>
  <c r="C229" i="24" s="1"/>
  <c r="D217" i="24"/>
  <c r="D229" i="24" s="1"/>
  <c r="D209" i="24"/>
  <c r="D221" i="24" s="1"/>
  <c r="D207" i="27"/>
  <c r="D219" i="27" s="1"/>
  <c r="C210" i="25"/>
  <c r="C222" i="25" s="1"/>
  <c r="D211" i="19"/>
  <c r="D223" i="19" s="1"/>
  <c r="C208" i="19"/>
  <c r="C220" i="19" s="1"/>
  <c r="D213" i="25"/>
  <c r="D225" i="25" s="1"/>
  <c r="D207" i="19"/>
  <c r="D219" i="19" s="1"/>
  <c r="C213" i="27"/>
  <c r="C225" i="27" s="1"/>
  <c r="C210" i="24"/>
  <c r="C222" i="24" s="1"/>
  <c r="D211" i="24"/>
  <c r="D223" i="24" s="1"/>
  <c r="C215" i="24"/>
  <c r="C227" i="24" s="1"/>
  <c r="C217" i="25"/>
  <c r="D209" i="25"/>
  <c r="D221" i="25" s="1"/>
  <c r="D217" i="25"/>
  <c r="D229" i="25" s="1"/>
  <c r="D209" i="19"/>
  <c r="D221" i="19" s="1"/>
  <c r="D217" i="19"/>
  <c r="D229" i="19" s="1"/>
  <c r="C113" i="24"/>
  <c r="C113" i="28"/>
  <c r="C113" i="27"/>
  <c r="C113" i="25"/>
  <c r="C113" i="19"/>
  <c r="C117" i="24"/>
  <c r="C117" i="28"/>
  <c r="C117" i="27"/>
  <c r="C117" i="25"/>
  <c r="C117" i="19"/>
  <c r="C121" i="24"/>
  <c r="C121" i="28"/>
  <c r="C121" i="27"/>
  <c r="C121" i="25"/>
  <c r="C121" i="19"/>
  <c r="C123" i="24"/>
  <c r="C123" i="28"/>
  <c r="C123" i="25"/>
  <c r="C123" i="27"/>
  <c r="C123" i="19"/>
  <c r="C127" i="24"/>
  <c r="C127" i="28"/>
  <c r="C127" i="25"/>
  <c r="C127" i="27"/>
  <c r="C127" i="19"/>
  <c r="C131" i="24"/>
  <c r="C131" i="28"/>
  <c r="C131" i="25"/>
  <c r="C131" i="27"/>
  <c r="C131" i="19"/>
  <c r="C135" i="24"/>
  <c r="C135" i="28"/>
  <c r="C135" i="25"/>
  <c r="C135" i="27"/>
  <c r="C135" i="19"/>
  <c r="C139" i="24"/>
  <c r="C139" i="28"/>
  <c r="C139" i="25"/>
  <c r="C139" i="27"/>
  <c r="C139" i="19"/>
  <c r="C141" i="24"/>
  <c r="C141" i="28"/>
  <c r="C141" i="27"/>
  <c r="C141" i="25"/>
  <c r="C141" i="19"/>
  <c r="C145" i="24"/>
  <c r="C145" i="28"/>
  <c r="C145" i="27"/>
  <c r="C145" i="25"/>
  <c r="C145" i="19"/>
  <c r="C149" i="28"/>
  <c r="C149" i="27"/>
  <c r="C149" i="25"/>
  <c r="C149" i="19"/>
  <c r="C149" i="24"/>
  <c r="C154" i="28"/>
  <c r="C154" i="25"/>
  <c r="C154" i="27"/>
  <c r="C154" i="19"/>
  <c r="C154" i="24"/>
  <c r="D158" i="28"/>
  <c r="D158" i="27"/>
  <c r="D158" i="25"/>
  <c r="D158" i="19"/>
  <c r="D158" i="24"/>
  <c r="C227" i="27"/>
  <c r="D208" i="27"/>
  <c r="D208" i="19"/>
  <c r="D220" i="19" s="1"/>
  <c r="D208" i="25"/>
  <c r="D220" i="25" s="1"/>
  <c r="D208" i="24"/>
  <c r="D220" i="24" s="1"/>
  <c r="C216" i="27"/>
  <c r="C228" i="27" s="1"/>
  <c r="C216" i="25"/>
  <c r="C216" i="19"/>
  <c r="C228" i="19" s="1"/>
  <c r="C216" i="24"/>
  <c r="C228" i="24" s="1"/>
  <c r="C209" i="27"/>
  <c r="C209" i="25"/>
  <c r="C209" i="19"/>
  <c r="C221" i="19" s="1"/>
  <c r="C209" i="24"/>
  <c r="C221" i="24" s="1"/>
  <c r="C229" i="27"/>
  <c r="C225" i="25"/>
  <c r="C219" i="27"/>
  <c r="D111" i="28"/>
  <c r="D111" i="27"/>
  <c r="D111" i="25"/>
  <c r="D111" i="19"/>
  <c r="D113" i="24"/>
  <c r="D113" i="28"/>
  <c r="D113" i="27"/>
  <c r="D113" i="25"/>
  <c r="D113" i="19"/>
  <c r="D115" i="24"/>
  <c r="D115" i="28"/>
  <c r="D115" i="27"/>
  <c r="D115" i="25"/>
  <c r="D115" i="19"/>
  <c r="D117" i="24"/>
  <c r="D117" i="28"/>
  <c r="D117" i="27"/>
  <c r="D117" i="25"/>
  <c r="D117" i="19"/>
  <c r="D119" i="24"/>
  <c r="D119" i="28"/>
  <c r="D119" i="27"/>
  <c r="D119" i="25"/>
  <c r="D119" i="19"/>
  <c r="D121" i="24"/>
  <c r="D121" i="28"/>
  <c r="D121" i="27"/>
  <c r="D121" i="25"/>
  <c r="D121" i="19"/>
  <c r="D123" i="24"/>
  <c r="D123" i="28"/>
  <c r="D123" i="27"/>
  <c r="D123" i="25"/>
  <c r="D123" i="19"/>
  <c r="D125" i="24"/>
  <c r="D125" i="28"/>
  <c r="D125" i="25"/>
  <c r="D125" i="27"/>
  <c r="D125" i="19"/>
  <c r="D127" i="24"/>
  <c r="D127" i="28"/>
  <c r="D127" i="27"/>
  <c r="D127" i="25"/>
  <c r="D127" i="19"/>
  <c r="D129" i="24"/>
  <c r="D129" i="28"/>
  <c r="D129" i="27"/>
  <c r="D129" i="25"/>
  <c r="D129" i="19"/>
  <c r="D131" i="24"/>
  <c r="D131" i="28"/>
  <c r="D131" i="27"/>
  <c r="D131" i="25"/>
  <c r="D131" i="19"/>
  <c r="D133" i="24"/>
  <c r="D133" i="28"/>
  <c r="D133" i="25"/>
  <c r="D133" i="27"/>
  <c r="D133" i="19"/>
  <c r="D135" i="24"/>
  <c r="D135" i="28"/>
  <c r="D135" i="27"/>
  <c r="D135" i="25"/>
  <c r="D135" i="19"/>
  <c r="D137" i="24"/>
  <c r="D137" i="28"/>
  <c r="D137" i="27"/>
  <c r="D137" i="25"/>
  <c r="D137" i="19"/>
  <c r="D139" i="24"/>
  <c r="D139" i="28"/>
  <c r="D139" i="27"/>
  <c r="D139" i="25"/>
  <c r="D139" i="19"/>
  <c r="D141" i="24"/>
  <c r="D141" i="28"/>
  <c r="D141" i="27"/>
  <c r="D141" i="25"/>
  <c r="D141" i="19"/>
  <c r="D143" i="24"/>
  <c r="D143" i="28"/>
  <c r="D143" i="27"/>
  <c r="D143" i="25"/>
  <c r="D143" i="19"/>
  <c r="D145" i="24"/>
  <c r="D145" i="28"/>
  <c r="D145" i="27"/>
  <c r="D145" i="25"/>
  <c r="D145" i="19"/>
  <c r="D147" i="28"/>
  <c r="D147" i="27"/>
  <c r="D147" i="25"/>
  <c r="D147" i="19"/>
  <c r="D147" i="24"/>
  <c r="C150" i="28"/>
  <c r="C150" i="25"/>
  <c r="C150" i="27"/>
  <c r="C150" i="19"/>
  <c r="C150" i="24"/>
  <c r="C152" i="28"/>
  <c r="C152" i="25"/>
  <c r="C152" i="27"/>
  <c r="C152" i="19"/>
  <c r="C152" i="24"/>
  <c r="D154" i="27"/>
  <c r="D154" i="25"/>
  <c r="D154" i="28"/>
  <c r="D154" i="19"/>
  <c r="D154" i="24"/>
  <c r="D156" i="28"/>
  <c r="D156" i="27"/>
  <c r="D156" i="25"/>
  <c r="D156" i="19"/>
  <c r="D156" i="24"/>
  <c r="C222" i="27"/>
  <c r="C227" i="25"/>
  <c r="D216" i="27"/>
  <c r="D216" i="19"/>
  <c r="D228" i="19" s="1"/>
  <c r="D216" i="25"/>
  <c r="D228" i="25" s="1"/>
  <c r="D216" i="24"/>
  <c r="D228" i="24" s="1"/>
  <c r="D212" i="27"/>
  <c r="D212" i="19"/>
  <c r="D224" i="19" s="1"/>
  <c r="D212" i="25"/>
  <c r="D224" i="25" s="1"/>
  <c r="D212" i="24"/>
  <c r="D224" i="24" s="1"/>
  <c r="Z21" i="32"/>
  <c r="C112" i="24"/>
  <c r="C112" i="28"/>
  <c r="C112" i="25"/>
  <c r="C112" i="27"/>
  <c r="C112" i="19"/>
  <c r="C114" i="24"/>
  <c r="C114" i="28"/>
  <c r="C114" i="25"/>
  <c r="C114" i="27"/>
  <c r="C114" i="19"/>
  <c r="C116" i="24"/>
  <c r="C116" i="28"/>
  <c r="C116" i="25"/>
  <c r="C116" i="27"/>
  <c r="C116" i="19"/>
  <c r="C118" i="24"/>
  <c r="C118" i="28"/>
  <c r="C118" i="25"/>
  <c r="C118" i="27"/>
  <c r="C118" i="19"/>
  <c r="C120" i="24"/>
  <c r="C120" i="28"/>
  <c r="C120" i="25"/>
  <c r="C120" i="27"/>
  <c r="C120" i="19"/>
  <c r="C122" i="24"/>
  <c r="C122" i="28"/>
  <c r="C122" i="25"/>
  <c r="C122" i="27"/>
  <c r="C122" i="19"/>
  <c r="C124" i="24"/>
  <c r="C124" i="28"/>
  <c r="C124" i="25"/>
  <c r="C124" i="27"/>
  <c r="C124" i="19"/>
  <c r="C126" i="24"/>
  <c r="C126" i="28"/>
  <c r="C126" i="25"/>
  <c r="C126" i="27"/>
  <c r="C126" i="19"/>
  <c r="C128" i="24"/>
  <c r="C128" i="28"/>
  <c r="C128" i="25"/>
  <c r="C128" i="27"/>
  <c r="C128" i="19"/>
  <c r="C130" i="24"/>
  <c r="C130" i="28"/>
  <c r="C130" i="25"/>
  <c r="C130" i="27"/>
  <c r="C130" i="19"/>
  <c r="C132" i="24"/>
  <c r="C132" i="28"/>
  <c r="C132" i="25"/>
  <c r="C132" i="27"/>
  <c r="C132" i="19"/>
  <c r="C134" i="24"/>
  <c r="C134" i="28"/>
  <c r="C134" i="25"/>
  <c r="C134" i="27"/>
  <c r="C134" i="19"/>
  <c r="C136" i="24"/>
  <c r="C136" i="28"/>
  <c r="C136" i="25"/>
  <c r="C136" i="27"/>
  <c r="C136" i="19"/>
  <c r="C138" i="24"/>
  <c r="C138" i="28"/>
  <c r="C138" i="25"/>
  <c r="C138" i="27"/>
  <c r="C138" i="19"/>
  <c r="C140" i="24"/>
  <c r="C140" i="28"/>
  <c r="C140" i="25"/>
  <c r="C140" i="27"/>
  <c r="C140" i="19"/>
  <c r="C142" i="24"/>
  <c r="C142" i="28"/>
  <c r="C142" i="25"/>
  <c r="C142" i="27"/>
  <c r="C142" i="19"/>
  <c r="C144" i="24"/>
  <c r="C144" i="28"/>
  <c r="C144" i="25"/>
  <c r="C144" i="27"/>
  <c r="C144" i="19"/>
  <c r="C146" i="24"/>
  <c r="C146" i="28"/>
  <c r="C146" i="25"/>
  <c r="C146" i="27"/>
  <c r="C146" i="19"/>
  <c r="C148" i="28"/>
  <c r="C148" i="25"/>
  <c r="C148" i="27"/>
  <c r="C148" i="19"/>
  <c r="C148" i="24"/>
  <c r="D150" i="28"/>
  <c r="D150" i="27"/>
  <c r="D150" i="25"/>
  <c r="D150" i="19"/>
  <c r="D150" i="24"/>
  <c r="D152" i="28"/>
  <c r="D152" i="25"/>
  <c r="D152" i="27"/>
  <c r="D152" i="19"/>
  <c r="D152" i="24"/>
  <c r="C155" i="28"/>
  <c r="C155" i="25"/>
  <c r="C155" i="27"/>
  <c r="C155" i="19"/>
  <c r="C155" i="24"/>
  <c r="C157" i="28"/>
  <c r="C157" i="27"/>
  <c r="C157" i="25"/>
  <c r="C157" i="19"/>
  <c r="C157" i="24"/>
  <c r="D210" i="27"/>
  <c r="D222" i="27" s="1"/>
  <c r="D210" i="19"/>
  <c r="D222" i="19" s="1"/>
  <c r="D210" i="25"/>
  <c r="D222" i="25" s="1"/>
  <c r="D210" i="24"/>
  <c r="D222" i="24" s="1"/>
  <c r="D214" i="27"/>
  <c r="D226" i="27" s="1"/>
  <c r="D214" i="19"/>
  <c r="D226" i="19" s="1"/>
  <c r="D214" i="25"/>
  <c r="D226" i="25" s="1"/>
  <c r="D214" i="24"/>
  <c r="D226" i="24" s="1"/>
  <c r="C214" i="27"/>
  <c r="C214" i="19"/>
  <c r="C226" i="19" s="1"/>
  <c r="C214" i="25"/>
  <c r="C214" i="24"/>
  <c r="C226" i="24" s="1"/>
  <c r="C220" i="25"/>
  <c r="C218" i="27"/>
  <c r="C218" i="19"/>
  <c r="C230" i="19" s="1"/>
  <c r="C218" i="25"/>
  <c r="C218" i="24"/>
  <c r="C230" i="24" s="1"/>
  <c r="C219" i="25"/>
  <c r="C111" i="28"/>
  <c r="C111" i="25"/>
  <c r="C111" i="27"/>
  <c r="C111" i="19"/>
  <c r="C115" i="24"/>
  <c r="C115" i="28"/>
  <c r="C115" i="25"/>
  <c r="C115" i="27"/>
  <c r="C115" i="19"/>
  <c r="C119" i="24"/>
  <c r="C119" i="28"/>
  <c r="C119" i="25"/>
  <c r="C119" i="27"/>
  <c r="C119" i="19"/>
  <c r="C125" i="24"/>
  <c r="C125" i="28"/>
  <c r="C125" i="27"/>
  <c r="C125" i="25"/>
  <c r="C125" i="19"/>
  <c r="C129" i="24"/>
  <c r="C129" i="28"/>
  <c r="C129" i="27"/>
  <c r="C129" i="25"/>
  <c r="C129" i="19"/>
  <c r="C133" i="24"/>
  <c r="C133" i="28"/>
  <c r="C133" i="27"/>
  <c r="C133" i="25"/>
  <c r="C133" i="19"/>
  <c r="C137" i="24"/>
  <c r="C137" i="28"/>
  <c r="C137" i="27"/>
  <c r="C137" i="25"/>
  <c r="C137" i="19"/>
  <c r="C143" i="24"/>
  <c r="C143" i="28"/>
  <c r="C143" i="25"/>
  <c r="C143" i="27"/>
  <c r="C143" i="19"/>
  <c r="C147" i="28"/>
  <c r="C147" i="25"/>
  <c r="C147" i="27"/>
  <c r="C147" i="19"/>
  <c r="C147" i="24"/>
  <c r="D151" i="28"/>
  <c r="D151" i="27"/>
  <c r="D151" i="25"/>
  <c r="D151" i="19"/>
  <c r="D151" i="24"/>
  <c r="C156" i="28"/>
  <c r="C156" i="25"/>
  <c r="C156" i="27"/>
  <c r="C156" i="19"/>
  <c r="C156" i="24"/>
  <c r="D112" i="24"/>
  <c r="D112" i="27"/>
  <c r="D112" i="28"/>
  <c r="D112" i="25"/>
  <c r="D112" i="19"/>
  <c r="D114" i="24"/>
  <c r="D114" i="27"/>
  <c r="D114" i="28"/>
  <c r="D114" i="25"/>
  <c r="D114" i="19"/>
  <c r="D116" i="24"/>
  <c r="D116" i="27"/>
  <c r="D116" i="28"/>
  <c r="D116" i="25"/>
  <c r="D116" i="19"/>
  <c r="D118" i="24"/>
  <c r="D118" i="28"/>
  <c r="D118" i="25"/>
  <c r="D118" i="27"/>
  <c r="D118" i="19"/>
  <c r="D120" i="24"/>
  <c r="D120" i="27"/>
  <c r="D120" i="28"/>
  <c r="D120" i="25"/>
  <c r="D120" i="19"/>
  <c r="D122" i="24"/>
  <c r="D122" i="27"/>
  <c r="D122" i="28"/>
  <c r="D122" i="25"/>
  <c r="D122" i="19"/>
  <c r="D124" i="24"/>
  <c r="D124" i="27"/>
  <c r="D124" i="28"/>
  <c r="D124" i="25"/>
  <c r="D124" i="19"/>
  <c r="D126" i="24"/>
  <c r="D126" i="27"/>
  <c r="D126" i="25"/>
  <c r="D126" i="28"/>
  <c r="D126" i="19"/>
  <c r="D128" i="24"/>
  <c r="D128" i="28"/>
  <c r="D128" i="27"/>
  <c r="D128" i="25"/>
  <c r="D128" i="19"/>
  <c r="D130" i="24"/>
  <c r="D130" i="27"/>
  <c r="D130" i="28"/>
  <c r="D130" i="25"/>
  <c r="D130" i="19"/>
  <c r="D132" i="24"/>
  <c r="D132" i="28"/>
  <c r="D132" i="27"/>
  <c r="D132" i="25"/>
  <c r="D132" i="19"/>
  <c r="D134" i="24"/>
  <c r="D134" i="27"/>
  <c r="D134" i="28"/>
  <c r="D134" i="25"/>
  <c r="D134" i="19"/>
  <c r="D136" i="24"/>
  <c r="D136" i="28"/>
  <c r="D136" i="25"/>
  <c r="D136" i="27"/>
  <c r="D136" i="19"/>
  <c r="D138" i="24"/>
  <c r="D138" i="27"/>
  <c r="D138" i="28"/>
  <c r="D138" i="25"/>
  <c r="D138" i="19"/>
  <c r="D140" i="24"/>
  <c r="D140" i="28"/>
  <c r="D140" i="27"/>
  <c r="D140" i="25"/>
  <c r="D140" i="19"/>
  <c r="D142" i="24"/>
  <c r="D142" i="25"/>
  <c r="D142" i="28"/>
  <c r="D142" i="27"/>
  <c r="D142" i="19"/>
  <c r="D144" i="24"/>
  <c r="D144" i="28"/>
  <c r="D144" i="27"/>
  <c r="D144" i="25"/>
  <c r="D144" i="19"/>
  <c r="D146" i="24"/>
  <c r="D146" i="27"/>
  <c r="D146" i="28"/>
  <c r="D146" i="25"/>
  <c r="D146" i="19"/>
  <c r="D148" i="28"/>
  <c r="D148" i="27"/>
  <c r="D148" i="25"/>
  <c r="D148" i="19"/>
  <c r="D148" i="24"/>
  <c r="C151" i="28"/>
  <c r="C151" i="25"/>
  <c r="C151" i="27"/>
  <c r="C151" i="19"/>
  <c r="C151" i="24"/>
  <c r="C153" i="28"/>
  <c r="C153" i="27"/>
  <c r="C153" i="25"/>
  <c r="C153" i="19"/>
  <c r="C153" i="24"/>
  <c r="D155" i="28"/>
  <c r="D155" i="27"/>
  <c r="D155" i="25"/>
  <c r="D155" i="19"/>
  <c r="D155" i="24"/>
  <c r="C158" i="28"/>
  <c r="C158" i="25"/>
  <c r="C158" i="27"/>
  <c r="C158" i="19"/>
  <c r="C158" i="24"/>
  <c r="C212" i="27"/>
  <c r="C224" i="27" s="1"/>
  <c r="C212" i="19"/>
  <c r="C224" i="19" s="1"/>
  <c r="C212" i="25"/>
  <c r="C212" i="24"/>
  <c r="C224" i="24" s="1"/>
  <c r="C223" i="27"/>
  <c r="D218" i="27"/>
  <c r="D230" i="27" s="1"/>
  <c r="D218" i="19"/>
  <c r="D230" i="19" s="1"/>
  <c r="D218" i="25"/>
  <c r="D230" i="25" s="1"/>
  <c r="D218" i="24"/>
  <c r="D230" i="24" s="1"/>
  <c r="C255" i="25"/>
  <c r="C255" i="27"/>
  <c r="C255" i="24"/>
  <c r="C229" i="25"/>
  <c r="D25" i="11"/>
  <c r="D49" i="11" s="1"/>
  <c r="C30" i="11"/>
  <c r="D29" i="11"/>
  <c r="C24" i="11"/>
  <c r="F29" i="11"/>
  <c r="M17" i="9"/>
  <c r="M31" i="9" s="1"/>
  <c r="M43" i="9" s="1"/>
  <c r="N17" i="9"/>
  <c r="N31" i="9" s="1"/>
  <c r="N43" i="9" s="1"/>
  <c r="C10" i="11"/>
  <c r="E10" i="11"/>
  <c r="E14" i="11"/>
  <c r="E52" i="11"/>
  <c r="E23" i="11"/>
  <c r="B33" i="11"/>
  <c r="D18" i="11"/>
  <c r="B38" i="11"/>
  <c r="E28" i="11"/>
  <c r="D33" i="11"/>
  <c r="C14" i="11"/>
  <c r="C18" i="11"/>
  <c r="G52" i="11"/>
  <c r="F28" i="11"/>
  <c r="B243" i="24"/>
  <c r="B242" i="24"/>
  <c r="B241" i="24"/>
  <c r="B240" i="24"/>
  <c r="I6" i="23"/>
  <c r="I5" i="23"/>
  <c r="P3" i="23"/>
  <c r="Q3" i="23" s="1"/>
  <c r="I3" i="23"/>
  <c r="J3" i="23" s="1"/>
  <c r="K3" i="23" s="1"/>
  <c r="I19" i="23" s="1"/>
  <c r="G87" i="37" s="1"/>
  <c r="K87" i="37" s="1"/>
  <c r="I4" i="23"/>
  <c r="AV49" i="23"/>
  <c r="AV64" i="23"/>
  <c r="AT66" i="23"/>
  <c r="U5" i="23" s="1"/>
  <c r="AS67" i="23"/>
  <c r="AA4" i="23" s="1"/>
  <c r="AS65" i="23"/>
  <c r="AW49" i="23"/>
  <c r="AW64" i="23"/>
  <c r="AT67" i="23"/>
  <c r="Q2" i="23"/>
  <c r="AR67" i="23"/>
  <c r="AU67" i="23"/>
  <c r="AX49" i="23"/>
  <c r="AX64" i="23"/>
  <c r="AY49" i="23"/>
  <c r="AY64" i="23"/>
  <c r="AC2" i="23"/>
  <c r="AU49" i="23"/>
  <c r="AT49" i="23"/>
  <c r="AS49" i="23"/>
  <c r="E2" i="23"/>
  <c r="W2" i="23"/>
  <c r="K2" i="23"/>
  <c r="F35" i="11"/>
  <c r="B16" i="18"/>
  <c r="B30" i="11"/>
  <c r="G25" i="11"/>
  <c r="D52" i="11"/>
  <c r="E54" i="11"/>
  <c r="C20" i="11"/>
  <c r="C35" i="11"/>
  <c r="B25" i="11"/>
  <c r="C29" i="11"/>
  <c r="F23" i="11"/>
  <c r="G18" i="11"/>
  <c r="L17" i="9"/>
  <c r="L31" i="9" s="1"/>
  <c r="L43" i="9" s="1"/>
  <c r="B28" i="11"/>
  <c r="AR49" i="23"/>
  <c r="B35" i="11"/>
  <c r="F25" i="11"/>
  <c r="F54" i="11"/>
  <c r="F15" i="11"/>
  <c r="D10" i="11"/>
  <c r="D111" i="24"/>
  <c r="C23" i="11"/>
  <c r="C52" i="11"/>
  <c r="G28" i="11"/>
  <c r="G30" i="11"/>
  <c r="F10" i="11"/>
  <c r="F52" i="11"/>
  <c r="B17" i="17"/>
  <c r="B30" i="17" s="1"/>
  <c r="B52" i="11"/>
  <c r="D15" i="11"/>
  <c r="D54" i="11"/>
  <c r="C25" i="11"/>
  <c r="C54" i="11"/>
  <c r="G38" i="11"/>
  <c r="G23" i="11"/>
  <c r="G29" i="11"/>
  <c r="D23" i="11"/>
  <c r="F19" i="11"/>
  <c r="G19" i="11"/>
  <c r="F20" i="11"/>
  <c r="D38" i="11"/>
  <c r="B24" i="11"/>
  <c r="K17" i="9"/>
  <c r="G54" i="11"/>
  <c r="G20" i="11"/>
  <c r="F38" i="11"/>
  <c r="E34" i="11"/>
  <c r="C28" i="11"/>
  <c r="B23" i="11"/>
  <c r="C111" i="24"/>
  <c r="B303" i="31"/>
  <c r="Y41" i="32"/>
  <c r="Y21" i="32"/>
  <c r="G255" i="31"/>
  <c r="H261" i="24"/>
  <c r="B237" i="24"/>
  <c r="B235" i="24"/>
  <c r="B239" i="24"/>
  <c r="B238" i="24"/>
  <c r="B236" i="24"/>
  <c r="B234" i="24"/>
  <c r="B27" i="18" l="1"/>
  <c r="H5" i="9"/>
  <c r="P5" i="9" s="1"/>
  <c r="H10" i="9"/>
  <c r="P10" i="9" s="1"/>
  <c r="H11" i="9"/>
  <c r="P11" i="9" s="1"/>
  <c r="H8" i="9"/>
  <c r="P8" i="9" s="1"/>
  <c r="H12" i="9"/>
  <c r="P12" i="9" s="1"/>
  <c r="H6" i="9"/>
  <c r="P6" i="9" s="1"/>
  <c r="H7" i="9"/>
  <c r="P7" i="9" s="1"/>
  <c r="H3" i="9"/>
  <c r="P3" i="9" s="1"/>
  <c r="H4" i="9"/>
  <c r="P4" i="9" s="1"/>
  <c r="H9" i="9"/>
  <c r="P9" i="9" s="1"/>
  <c r="F49" i="11"/>
  <c r="F59" i="11" s="1"/>
  <c r="B47" i="11"/>
  <c r="B57" i="11" s="1"/>
  <c r="G47" i="11"/>
  <c r="G57" i="11" s="1"/>
  <c r="C49" i="11"/>
  <c r="C59" i="11" s="1"/>
  <c r="B49" i="11"/>
  <c r="F47" i="11"/>
  <c r="F57" i="11" s="1"/>
  <c r="G49" i="11"/>
  <c r="G59" i="11" s="1"/>
  <c r="E47" i="11"/>
  <c r="E57" i="11" s="1"/>
  <c r="D47" i="11"/>
  <c r="D57" i="11" s="1"/>
  <c r="C47" i="11"/>
  <c r="C57" i="11" s="1"/>
  <c r="D59" i="11"/>
  <c r="C11" i="11"/>
  <c r="D153" i="28"/>
  <c r="D153" i="27"/>
  <c r="D153" i="25"/>
  <c r="D153" i="19"/>
  <c r="D153" i="24"/>
  <c r="C230" i="25"/>
  <c r="C226" i="27"/>
  <c r="C221" i="27"/>
  <c r="D149" i="28"/>
  <c r="D149" i="27"/>
  <c r="D149" i="25"/>
  <c r="D149" i="19"/>
  <c r="D149" i="24"/>
  <c r="C303" i="31"/>
  <c r="C224" i="25"/>
  <c r="E59" i="11"/>
  <c r="C230" i="27"/>
  <c r="C226" i="25"/>
  <c r="D224" i="27"/>
  <c r="E11" i="11"/>
  <c r="D157" i="28"/>
  <c r="D157" i="27"/>
  <c r="D157" i="25"/>
  <c r="D157" i="19"/>
  <c r="D157" i="24"/>
  <c r="D228" i="27"/>
  <c r="C221" i="25"/>
  <c r="C228" i="25"/>
  <c r="D220" i="27"/>
  <c r="B247" i="24"/>
  <c r="AR69" i="23"/>
  <c r="C3" i="23" s="1"/>
  <c r="D3" i="23" s="1"/>
  <c r="E3" i="23" s="1"/>
  <c r="C19" i="23" s="1"/>
  <c r="C20" i="23" s="1"/>
  <c r="G88" i="19" s="1"/>
  <c r="K88" i="19" s="1"/>
  <c r="AA3" i="23"/>
  <c r="AB3" i="23" s="1"/>
  <c r="AC3" i="23" s="1"/>
  <c r="AA19" i="23" s="1"/>
  <c r="AU69" i="23"/>
  <c r="C6" i="23" s="1"/>
  <c r="AA6" i="23"/>
  <c r="AA5" i="23"/>
  <c r="I20" i="23"/>
  <c r="G88" i="37" s="1"/>
  <c r="K88" i="37" s="1"/>
  <c r="G87" i="24"/>
  <c r="O4" i="23"/>
  <c r="O15" i="23" s="1"/>
  <c r="O16" i="23" s="1"/>
  <c r="V3" i="23"/>
  <c r="W3" i="23" s="1"/>
  <c r="U19" i="23" s="1"/>
  <c r="G87" i="39" s="1"/>
  <c r="K87" i="39" s="1"/>
  <c r="U15" i="23"/>
  <c r="U16" i="23" s="1"/>
  <c r="AV69" i="23"/>
  <c r="C7" i="23" s="1"/>
  <c r="I7" i="23"/>
  <c r="AX69" i="23"/>
  <c r="C9" i="23" s="1"/>
  <c r="I9" i="23"/>
  <c r="AY69" i="23"/>
  <c r="C10" i="23" s="1"/>
  <c r="I10" i="23"/>
  <c r="AW69" i="23"/>
  <c r="C8" i="23" s="1"/>
  <c r="I8" i="23"/>
  <c r="AT69" i="23"/>
  <c r="AS69" i="23"/>
  <c r="C4" i="23" s="1"/>
  <c r="AR70" i="23"/>
  <c r="K31" i="9"/>
  <c r="K43" i="9" s="1"/>
  <c r="O19" i="23"/>
  <c r="G87" i="38" s="1"/>
  <c r="K87" i="38" s="1"/>
  <c r="H255" i="31"/>
  <c r="H262" i="24"/>
  <c r="B11" i="11" l="1"/>
  <c r="B48" i="11" s="1"/>
  <c r="H11" i="11"/>
  <c r="K11" i="11"/>
  <c r="G11" i="11"/>
  <c r="I11" i="11"/>
  <c r="D11" i="11"/>
  <c r="J11" i="11"/>
  <c r="F11" i="11"/>
  <c r="K87" i="24"/>
  <c r="L87" i="24" s="1"/>
  <c r="M87" i="24" s="1"/>
  <c r="J48" i="11"/>
  <c r="E48" i="11"/>
  <c r="H48" i="11"/>
  <c r="C48" i="11"/>
  <c r="K53" i="11"/>
  <c r="K4" i="11"/>
  <c r="AU70" i="23"/>
  <c r="D4" i="11"/>
  <c r="D6" i="11" s="1"/>
  <c r="D53" i="11"/>
  <c r="F4" i="11"/>
  <c r="F6" i="11" s="1"/>
  <c r="F53" i="11"/>
  <c r="H4" i="11"/>
  <c r="H53" i="11"/>
  <c r="B4" i="11"/>
  <c r="B6" i="11" s="1"/>
  <c r="B53" i="11"/>
  <c r="G53" i="11"/>
  <c r="G4" i="11"/>
  <c r="I53" i="11"/>
  <c r="I4" i="11"/>
  <c r="E4" i="11"/>
  <c r="E6" i="11" s="1"/>
  <c r="E53" i="11"/>
  <c r="J4" i="11"/>
  <c r="J53" i="11"/>
  <c r="C53" i="11"/>
  <c r="C4" i="11"/>
  <c r="C6" i="11" s="1"/>
  <c r="AY70" i="23"/>
  <c r="C21" i="23"/>
  <c r="AA20" i="23"/>
  <c r="AA21" i="23" s="1"/>
  <c r="AA22" i="23" s="1"/>
  <c r="AA23" i="23" s="1"/>
  <c r="AA24" i="23" s="1"/>
  <c r="AA25" i="23" s="1"/>
  <c r="AA26" i="23" s="1"/>
  <c r="AA27" i="23" s="1"/>
  <c r="AA28" i="23" s="1"/>
  <c r="AA29" i="23" s="1"/>
  <c r="AA30" i="23" s="1"/>
  <c r="AC30" i="23" s="1"/>
  <c r="I21" i="23"/>
  <c r="G89" i="37" s="1"/>
  <c r="K89" i="37" s="1"/>
  <c r="G88" i="24"/>
  <c r="K88" i="24" s="1"/>
  <c r="L88" i="24" s="1"/>
  <c r="M88" i="24" s="1"/>
  <c r="AA15" i="23"/>
  <c r="AA16" i="23" s="1"/>
  <c r="AS70" i="23"/>
  <c r="AW70" i="23"/>
  <c r="G87" i="19"/>
  <c r="K87" i="19" s="1"/>
  <c r="U20" i="23"/>
  <c r="O20" i="23"/>
  <c r="AX70" i="23"/>
  <c r="AV70" i="23"/>
  <c r="I15" i="23"/>
  <c r="I16" i="23" s="1"/>
  <c r="AT70" i="23"/>
  <c r="C5" i="23"/>
  <c r="G28" i="17"/>
  <c r="G13" i="17" s="1"/>
  <c r="C28" i="17"/>
  <c r="C13" i="17" s="1"/>
  <c r="H13" i="17"/>
  <c r="F28" i="17"/>
  <c r="F13" i="17" s="1"/>
  <c r="B28" i="17"/>
  <c r="B13" i="17" s="1"/>
  <c r="L10" i="11" s="1"/>
  <c r="G87" i="27"/>
  <c r="G87" i="25"/>
  <c r="H263" i="24"/>
  <c r="U21" i="23" l="1"/>
  <c r="G88" i="39"/>
  <c r="K88" i="39" s="1"/>
  <c r="O21" i="23"/>
  <c r="G88" i="38"/>
  <c r="K88" i="38" s="1"/>
  <c r="G48" i="11"/>
  <c r="G58" i="11" s="1"/>
  <c r="K48" i="11"/>
  <c r="K58" i="11" s="1"/>
  <c r="B58" i="11"/>
  <c r="K87" i="27"/>
  <c r="L87" i="27" s="1"/>
  <c r="M87" i="27" s="1"/>
  <c r="K87" i="25"/>
  <c r="L87" i="25" s="1"/>
  <c r="M87" i="25" s="1"/>
  <c r="D48" i="11"/>
  <c r="D58" i="11" s="1"/>
  <c r="I48" i="11"/>
  <c r="I58" i="11" s="1"/>
  <c r="F48" i="11"/>
  <c r="F58" i="11" s="1"/>
  <c r="I6" i="11"/>
  <c r="J6" i="11"/>
  <c r="K6" i="11"/>
  <c r="E58" i="11"/>
  <c r="G6" i="11"/>
  <c r="H58" i="11"/>
  <c r="H6" i="11"/>
  <c r="C58" i="11"/>
  <c r="J58" i="11"/>
  <c r="J13" i="17"/>
  <c r="L52" i="11" s="1"/>
  <c r="H14" i="17"/>
  <c r="L38" i="11"/>
  <c r="N47" i="9"/>
  <c r="C14" i="17"/>
  <c r="M14" i="11" s="1"/>
  <c r="L14" i="11"/>
  <c r="C22" i="23"/>
  <c r="G90" i="19" s="1"/>
  <c r="K90" i="19" s="1"/>
  <c r="G89" i="19"/>
  <c r="K89" i="19" s="1"/>
  <c r="G14" i="17"/>
  <c r="L33" i="11"/>
  <c r="M47" i="9"/>
  <c r="M60" i="9" s="1"/>
  <c r="L28" i="11"/>
  <c r="F14" i="17"/>
  <c r="L47" i="9"/>
  <c r="L60" i="9" s="1"/>
  <c r="C23" i="23"/>
  <c r="G91" i="19" s="1"/>
  <c r="K91" i="19" s="1"/>
  <c r="I22" i="23"/>
  <c r="G90" i="37" s="1"/>
  <c r="K90" i="37" s="1"/>
  <c r="G89" i="24"/>
  <c r="K89" i="24" s="1"/>
  <c r="L89" i="24" s="1"/>
  <c r="M89" i="24" s="1"/>
  <c r="G88" i="28"/>
  <c r="AB30" i="23"/>
  <c r="G87" i="28"/>
  <c r="C15" i="23"/>
  <c r="B14" i="17"/>
  <c r="M10" i="11" s="1"/>
  <c r="G89" i="28"/>
  <c r="G88" i="25"/>
  <c r="K88" i="25" s="1"/>
  <c r="L88" i="25" s="1"/>
  <c r="M88" i="25" s="1"/>
  <c r="G88" i="27"/>
  <c r="K88" i="27" s="1"/>
  <c r="L88" i="27" s="1"/>
  <c r="M88" i="27" s="1"/>
  <c r="H255" i="24"/>
  <c r="U22" i="23" l="1"/>
  <c r="G89" i="39"/>
  <c r="K89" i="39" s="1"/>
  <c r="O22" i="23"/>
  <c r="G89" i="38"/>
  <c r="K89" i="38" s="1"/>
  <c r="L47" i="11"/>
  <c r="N60" i="9"/>
  <c r="L39" i="11" s="1"/>
  <c r="N48" i="9"/>
  <c r="J14" i="17"/>
  <c r="M52" i="11" s="1"/>
  <c r="L57" i="11"/>
  <c r="L29" i="11"/>
  <c r="D12" i="18"/>
  <c r="L34" i="11"/>
  <c r="E12" i="18"/>
  <c r="M28" i="11"/>
  <c r="L48" i="9"/>
  <c r="C24" i="23"/>
  <c r="G92" i="19" s="1"/>
  <c r="K92" i="19" s="1"/>
  <c r="M33" i="11"/>
  <c r="M48" i="9"/>
  <c r="M61" i="9" s="1"/>
  <c r="M38" i="11"/>
  <c r="I23" i="23"/>
  <c r="G91" i="37" s="1"/>
  <c r="K91" i="37" s="1"/>
  <c r="G90" i="24"/>
  <c r="K90" i="24" s="1"/>
  <c r="L90" i="24" s="1"/>
  <c r="M90" i="24" s="1"/>
  <c r="C16" i="23"/>
  <c r="D16" i="23"/>
  <c r="E16" i="23" s="1"/>
  <c r="G90" i="28"/>
  <c r="G89" i="25"/>
  <c r="G89" i="27"/>
  <c r="K89" i="27" s="1"/>
  <c r="L89" i="27" s="1"/>
  <c r="M89" i="27" s="1"/>
  <c r="H264" i="24"/>
  <c r="H256" i="24"/>
  <c r="H265" i="24"/>
  <c r="U23" i="23" l="1"/>
  <c r="G90" i="39"/>
  <c r="K90" i="39" s="1"/>
  <c r="O23" i="23"/>
  <c r="G90" i="38"/>
  <c r="K90" i="38" s="1"/>
  <c r="L35" i="11"/>
  <c r="K89" i="25"/>
  <c r="L89" i="25" s="1"/>
  <c r="M89" i="25" s="1"/>
  <c r="M47" i="11"/>
  <c r="F12" i="18"/>
  <c r="L40" i="11" s="1"/>
  <c r="N61" i="9"/>
  <c r="L30" i="11"/>
  <c r="M29" i="11"/>
  <c r="D13" i="18"/>
  <c r="C25" i="23"/>
  <c r="G93" i="19" s="1"/>
  <c r="K93" i="19" s="1"/>
  <c r="E13" i="18"/>
  <c r="M34" i="11"/>
  <c r="I24" i="23"/>
  <c r="G92" i="37" s="1"/>
  <c r="K92" i="37" s="1"/>
  <c r="G91" i="24"/>
  <c r="G90" i="25"/>
  <c r="K90" i="25" s="1"/>
  <c r="L90" i="25" s="1"/>
  <c r="M90" i="25" s="1"/>
  <c r="G91" i="28"/>
  <c r="G90" i="27"/>
  <c r="H257" i="24"/>
  <c r="H266" i="24"/>
  <c r="U24" i="23" l="1"/>
  <c r="G91" i="39"/>
  <c r="K91" i="39" s="1"/>
  <c r="O24" i="23"/>
  <c r="G91" i="38"/>
  <c r="K91" i="38" s="1"/>
  <c r="M35" i="11"/>
  <c r="K90" i="27"/>
  <c r="L90" i="27" s="1"/>
  <c r="M90" i="27" s="1"/>
  <c r="K91" i="24"/>
  <c r="L91" i="24" s="1"/>
  <c r="M91" i="24" s="1"/>
  <c r="M57" i="11"/>
  <c r="F13" i="18"/>
  <c r="M40" i="11" s="1"/>
  <c r="M39" i="11"/>
  <c r="M30" i="11"/>
  <c r="C26" i="23"/>
  <c r="G94" i="19" s="1"/>
  <c r="K94" i="19" s="1"/>
  <c r="I25" i="23"/>
  <c r="G93" i="37" s="1"/>
  <c r="K93" i="37" s="1"/>
  <c r="G92" i="24"/>
  <c r="K92" i="24" s="1"/>
  <c r="L92" i="24" s="1"/>
  <c r="M92" i="24" s="1"/>
  <c r="G92" i="28"/>
  <c r="G91" i="25"/>
  <c r="G91" i="27"/>
  <c r="K91" i="27" s="1"/>
  <c r="L91" i="27" s="1"/>
  <c r="M91" i="27" s="1"/>
  <c r="H258" i="24"/>
  <c r="U25" i="23" l="1"/>
  <c r="G92" i="39"/>
  <c r="K92" i="39" s="1"/>
  <c r="O25" i="23"/>
  <c r="G92" i="38"/>
  <c r="K92" i="38" s="1"/>
  <c r="K91" i="25"/>
  <c r="L91" i="25" s="1"/>
  <c r="M91" i="25" s="1"/>
  <c r="C27" i="23"/>
  <c r="G95" i="19" s="1"/>
  <c r="K95" i="19" s="1"/>
  <c r="I26" i="23"/>
  <c r="G94" i="37" s="1"/>
  <c r="K94" i="37" s="1"/>
  <c r="G93" i="24"/>
  <c r="K93" i="24" s="1"/>
  <c r="L93" i="24" s="1"/>
  <c r="M93" i="24" s="1"/>
  <c r="G92" i="27"/>
  <c r="K92" i="27" s="1"/>
  <c r="L92" i="27" s="1"/>
  <c r="M92" i="27" s="1"/>
  <c r="G92" i="25"/>
  <c r="K92" i="25" s="1"/>
  <c r="L92" i="25" s="1"/>
  <c r="M92" i="25" s="1"/>
  <c r="G93" i="28"/>
  <c r="H259" i="24"/>
  <c r="U26" i="23" l="1"/>
  <c r="G93" i="39"/>
  <c r="K93" i="39" s="1"/>
  <c r="O26" i="23"/>
  <c r="G93" i="38"/>
  <c r="K93" i="38" s="1"/>
  <c r="C28" i="23"/>
  <c r="G96" i="19" s="1"/>
  <c r="K96" i="19" s="1"/>
  <c r="I27" i="23"/>
  <c r="G95" i="37" s="1"/>
  <c r="K95" i="37" s="1"/>
  <c r="G94" i="24"/>
  <c r="K94" i="24" s="1"/>
  <c r="L94" i="24" s="1"/>
  <c r="M94" i="24" s="1"/>
  <c r="G94" i="28"/>
  <c r="G93" i="27"/>
  <c r="K93" i="27" s="1"/>
  <c r="L93" i="27" s="1"/>
  <c r="M93" i="27" s="1"/>
  <c r="G93" i="25"/>
  <c r="U27" i="23" l="1"/>
  <c r="G94" i="39"/>
  <c r="K94" i="39" s="1"/>
  <c r="O27" i="23"/>
  <c r="G94" i="38"/>
  <c r="K94" i="38" s="1"/>
  <c r="K93" i="25"/>
  <c r="L93" i="25" s="1"/>
  <c r="M93" i="25" s="1"/>
  <c r="C29" i="23"/>
  <c r="G97" i="19" s="1"/>
  <c r="K97" i="19" s="1"/>
  <c r="I28" i="23"/>
  <c r="G96" i="37" s="1"/>
  <c r="K96" i="37" s="1"/>
  <c r="G95" i="24"/>
  <c r="K95" i="24" s="1"/>
  <c r="L95" i="24" s="1"/>
  <c r="M95" i="24" s="1"/>
  <c r="G94" i="25"/>
  <c r="K94" i="25" s="1"/>
  <c r="L94" i="25" s="1"/>
  <c r="M94" i="25" s="1"/>
  <c r="G94" i="27"/>
  <c r="K94" i="27" s="1"/>
  <c r="L94" i="27" s="1"/>
  <c r="M94" i="27" s="1"/>
  <c r="G95" i="28"/>
  <c r="U28" i="23" l="1"/>
  <c r="G95" i="39"/>
  <c r="K95" i="39" s="1"/>
  <c r="O28" i="23"/>
  <c r="G95" i="38"/>
  <c r="K95" i="38" s="1"/>
  <c r="C30" i="23"/>
  <c r="G98" i="19" s="1"/>
  <c r="K98" i="19" s="1"/>
  <c r="K234" i="19" s="1"/>
  <c r="I29" i="23"/>
  <c r="G97" i="37" s="1"/>
  <c r="K97" i="37" s="1"/>
  <c r="G96" i="24"/>
  <c r="K96" i="24" s="1"/>
  <c r="L96" i="24" s="1"/>
  <c r="M96" i="24" s="1"/>
  <c r="G95" i="27"/>
  <c r="K95" i="27" s="1"/>
  <c r="L95" i="27" s="1"/>
  <c r="M95" i="27" s="1"/>
  <c r="G95" i="25"/>
  <c r="G96" i="28"/>
  <c r="U29" i="23" l="1"/>
  <c r="G96" i="39"/>
  <c r="K96" i="39" s="1"/>
  <c r="O29" i="23"/>
  <c r="G96" i="38"/>
  <c r="K96" i="38" s="1"/>
  <c r="K95" i="25"/>
  <c r="L95" i="25" s="1"/>
  <c r="M95" i="25" s="1"/>
  <c r="E30" i="23"/>
  <c r="D4" i="23" s="1"/>
  <c r="E4" i="23" s="1"/>
  <c r="C31" i="23" s="1"/>
  <c r="G99" i="19" s="1"/>
  <c r="K99" i="19" s="1"/>
  <c r="D30" i="23"/>
  <c r="F3" i="23" s="1"/>
  <c r="G3" i="23" s="1"/>
  <c r="I30" i="23"/>
  <c r="G98" i="37" s="1"/>
  <c r="K98" i="37" s="1"/>
  <c r="K234" i="37" s="1"/>
  <c r="G97" i="24"/>
  <c r="K97" i="24" s="1"/>
  <c r="L97" i="24" s="1"/>
  <c r="M97" i="24" s="1"/>
  <c r="L234" i="19"/>
  <c r="M234" i="19" s="1"/>
  <c r="G97" i="28"/>
  <c r="G96" i="25"/>
  <c r="K96" i="25" s="1"/>
  <c r="L96" i="25" s="1"/>
  <c r="M96" i="25" s="1"/>
  <c r="G96" i="27"/>
  <c r="K96" i="27" s="1"/>
  <c r="L96" i="27" s="1"/>
  <c r="M96" i="27" s="1"/>
  <c r="U30" i="23" l="1"/>
  <c r="G97" i="39"/>
  <c r="K97" i="39" s="1"/>
  <c r="O30" i="23"/>
  <c r="G97" i="38"/>
  <c r="K97" i="38" s="1"/>
  <c r="N234" i="24"/>
  <c r="L234" i="37"/>
  <c r="M234" i="37" s="1"/>
  <c r="K30" i="23"/>
  <c r="J4" i="23" s="1"/>
  <c r="K4" i="23" s="1"/>
  <c r="I31" i="23" s="1"/>
  <c r="G99" i="37" s="1"/>
  <c r="K99" i="37" s="1"/>
  <c r="G98" i="24"/>
  <c r="K98" i="24" s="1"/>
  <c r="J30" i="23"/>
  <c r="L3" i="23" s="1"/>
  <c r="M3" i="23" s="1"/>
  <c r="C32" i="23"/>
  <c r="G100" i="19" s="1"/>
  <c r="K100" i="19" s="1"/>
  <c r="G97" i="27"/>
  <c r="K97" i="27" s="1"/>
  <c r="L97" i="27" s="1"/>
  <c r="M97" i="27" s="1"/>
  <c r="G97" i="25"/>
  <c r="K97" i="25" s="1"/>
  <c r="L97" i="25" s="1"/>
  <c r="M97" i="25" s="1"/>
  <c r="G98" i="28"/>
  <c r="AD3" i="23"/>
  <c r="AE3" i="23" s="1"/>
  <c r="W30" i="23" l="1"/>
  <c r="V4" i="23" s="1"/>
  <c r="W4" i="23" s="1"/>
  <c r="G98" i="39"/>
  <c r="K98" i="39" s="1"/>
  <c r="K234" i="39" s="1"/>
  <c r="V30" i="23"/>
  <c r="X3" i="23" s="1"/>
  <c r="Y3" i="23" s="1"/>
  <c r="Q30" i="23"/>
  <c r="P4" i="23" s="1"/>
  <c r="Q4" i="23" s="1"/>
  <c r="O31" i="23" s="1"/>
  <c r="G99" i="38" s="1"/>
  <c r="K99" i="38" s="1"/>
  <c r="G98" i="38"/>
  <c r="K98" i="38" s="1"/>
  <c r="K234" i="38" s="1"/>
  <c r="P30" i="23"/>
  <c r="R3" i="23" s="1"/>
  <c r="S3" i="23" s="1"/>
  <c r="K234" i="24"/>
  <c r="L98" i="24"/>
  <c r="M98" i="24" s="1"/>
  <c r="G99" i="24"/>
  <c r="K99" i="24" s="1"/>
  <c r="L99" i="24" s="1"/>
  <c r="M99" i="24" s="1"/>
  <c r="I32" i="23"/>
  <c r="G100" i="37" s="1"/>
  <c r="K100" i="37" s="1"/>
  <c r="AB4" i="23"/>
  <c r="AC4" i="23" s="1"/>
  <c r="AA31" i="23" s="1"/>
  <c r="C33" i="23"/>
  <c r="G98" i="25"/>
  <c r="U31" i="23"/>
  <c r="G99" i="39" s="1"/>
  <c r="K99" i="39" s="1"/>
  <c r="G98" i="27"/>
  <c r="N234" i="27" l="1"/>
  <c r="L234" i="39"/>
  <c r="M234" i="39" s="1"/>
  <c r="N234" i="25"/>
  <c r="L234" i="38"/>
  <c r="M234" i="38" s="1"/>
  <c r="L234" i="24"/>
  <c r="M234" i="24" s="1"/>
  <c r="O234" i="24"/>
  <c r="K98" i="27"/>
  <c r="C34" i="23"/>
  <c r="G102" i="19" s="1"/>
  <c r="K102" i="19" s="1"/>
  <c r="G101" i="19"/>
  <c r="K101" i="19" s="1"/>
  <c r="K98" i="25"/>
  <c r="I33" i="23"/>
  <c r="G101" i="37" s="1"/>
  <c r="K101" i="37" s="1"/>
  <c r="G100" i="24"/>
  <c r="K100" i="24" s="1"/>
  <c r="L100" i="24" s="1"/>
  <c r="M100" i="24" s="1"/>
  <c r="AA32" i="23"/>
  <c r="AA33" i="23" s="1"/>
  <c r="AA34" i="23" s="1"/>
  <c r="AA35" i="23" s="1"/>
  <c r="AA36" i="23" s="1"/>
  <c r="AA37" i="23" s="1"/>
  <c r="AA38" i="23" s="1"/>
  <c r="AA39" i="23" s="1"/>
  <c r="AA40" i="23" s="1"/>
  <c r="AA41" i="23" s="1"/>
  <c r="AA42" i="23" s="1"/>
  <c r="G99" i="28"/>
  <c r="U32" i="23"/>
  <c r="O32" i="23"/>
  <c r="G99" i="25"/>
  <c r="K99" i="25" s="1"/>
  <c r="L99" i="25" s="1"/>
  <c r="M99" i="25" s="1"/>
  <c r="G99" i="27"/>
  <c r="K99" i="27" s="1"/>
  <c r="L99" i="27" s="1"/>
  <c r="M99" i="27" s="1"/>
  <c r="U33" i="23" l="1"/>
  <c r="G100" i="39"/>
  <c r="K100" i="39" s="1"/>
  <c r="O33" i="23"/>
  <c r="G100" i="38"/>
  <c r="K100" i="38" s="1"/>
  <c r="K234" i="27"/>
  <c r="L98" i="27"/>
  <c r="M98" i="27" s="1"/>
  <c r="K234" i="25"/>
  <c r="L234" i="25" s="1"/>
  <c r="M234" i="25" s="1"/>
  <c r="L98" i="25"/>
  <c r="M98" i="25" s="1"/>
  <c r="C35" i="23"/>
  <c r="G103" i="19" s="1"/>
  <c r="K103" i="19" s="1"/>
  <c r="I34" i="23"/>
  <c r="G102" i="37" s="1"/>
  <c r="K102" i="37" s="1"/>
  <c r="G101" i="24"/>
  <c r="K101" i="24" s="1"/>
  <c r="L101" i="24" s="1"/>
  <c r="M101" i="24" s="1"/>
  <c r="AC42" i="23"/>
  <c r="G100" i="28"/>
  <c r="AB42" i="23"/>
  <c r="G100" i="25"/>
  <c r="K100" i="25" s="1"/>
  <c r="L100" i="25" s="1"/>
  <c r="M100" i="25" s="1"/>
  <c r="G101" i="28"/>
  <c r="G100" i="27"/>
  <c r="K100" i="27" s="1"/>
  <c r="L100" i="27" s="1"/>
  <c r="M100" i="27" s="1"/>
  <c r="U34" i="23" l="1"/>
  <c r="G101" i="39"/>
  <c r="K101" i="39" s="1"/>
  <c r="O34" i="23"/>
  <c r="G101" i="38"/>
  <c r="K101" i="38" s="1"/>
  <c r="L234" i="27"/>
  <c r="M234" i="27" s="1"/>
  <c r="O234" i="27"/>
  <c r="O234" i="25"/>
  <c r="C36" i="23"/>
  <c r="G104" i="19" s="1"/>
  <c r="K104" i="19" s="1"/>
  <c r="I35" i="23"/>
  <c r="G103" i="37" s="1"/>
  <c r="K103" i="37" s="1"/>
  <c r="G102" i="24"/>
  <c r="K102" i="24" s="1"/>
  <c r="L102" i="24" s="1"/>
  <c r="M102" i="24" s="1"/>
  <c r="G102" i="28"/>
  <c r="G101" i="25"/>
  <c r="K101" i="25" s="1"/>
  <c r="L101" i="25" s="1"/>
  <c r="M101" i="25" s="1"/>
  <c r="G101" i="27"/>
  <c r="K101" i="27" s="1"/>
  <c r="L101" i="27" s="1"/>
  <c r="M101" i="27" s="1"/>
  <c r="U35" i="23" l="1"/>
  <c r="G102" i="39"/>
  <c r="K102" i="39" s="1"/>
  <c r="O35" i="23"/>
  <c r="G102" i="38"/>
  <c r="K102" i="38" s="1"/>
  <c r="C37" i="23"/>
  <c r="G105" i="19" s="1"/>
  <c r="K105" i="19" s="1"/>
  <c r="I36" i="23"/>
  <c r="G104" i="37" s="1"/>
  <c r="K104" i="37" s="1"/>
  <c r="G103" i="24"/>
  <c r="K103" i="24" s="1"/>
  <c r="L103" i="24" s="1"/>
  <c r="M103" i="24" s="1"/>
  <c r="G102" i="25"/>
  <c r="K102" i="25" s="1"/>
  <c r="L102" i="25" s="1"/>
  <c r="M102" i="25" s="1"/>
  <c r="G102" i="27"/>
  <c r="K102" i="27" s="1"/>
  <c r="L102" i="27" s="1"/>
  <c r="M102" i="27" s="1"/>
  <c r="G103" i="28"/>
  <c r="U36" i="23" l="1"/>
  <c r="G103" i="39"/>
  <c r="K103" i="39" s="1"/>
  <c r="O36" i="23"/>
  <c r="G103" i="38"/>
  <c r="K103" i="38" s="1"/>
  <c r="C38" i="23"/>
  <c r="G106" i="19" s="1"/>
  <c r="K106" i="19" s="1"/>
  <c r="I37" i="23"/>
  <c r="G105" i="37" s="1"/>
  <c r="K105" i="37" s="1"/>
  <c r="G104" i="24"/>
  <c r="K104" i="24" s="1"/>
  <c r="L104" i="24" s="1"/>
  <c r="M104" i="24" s="1"/>
  <c r="G104" i="28"/>
  <c r="G103" i="25"/>
  <c r="K103" i="25" s="1"/>
  <c r="L103" i="25" s="1"/>
  <c r="M103" i="25" s="1"/>
  <c r="G103" i="27"/>
  <c r="K103" i="27" s="1"/>
  <c r="L103" i="27" s="1"/>
  <c r="M103" i="27" s="1"/>
  <c r="U37" i="23" l="1"/>
  <c r="G104" i="39"/>
  <c r="K104" i="39" s="1"/>
  <c r="O37" i="23"/>
  <c r="G104" i="38"/>
  <c r="K104" i="38" s="1"/>
  <c r="C39" i="23"/>
  <c r="G107" i="19" s="1"/>
  <c r="K107" i="19" s="1"/>
  <c r="I38" i="23"/>
  <c r="G106" i="37" s="1"/>
  <c r="K106" i="37" s="1"/>
  <c r="G105" i="24"/>
  <c r="K105" i="24" s="1"/>
  <c r="L105" i="24" s="1"/>
  <c r="M105" i="24" s="1"/>
  <c r="G104" i="27"/>
  <c r="K104" i="27" s="1"/>
  <c r="L104" i="27" s="1"/>
  <c r="M104" i="27" s="1"/>
  <c r="G105" i="28"/>
  <c r="G104" i="25"/>
  <c r="K104" i="25" s="1"/>
  <c r="L104" i="25" s="1"/>
  <c r="M104" i="25" s="1"/>
  <c r="U38" i="23" l="1"/>
  <c r="G105" i="39"/>
  <c r="K105" i="39" s="1"/>
  <c r="O38" i="23"/>
  <c r="G105" i="38"/>
  <c r="K105" i="38" s="1"/>
  <c r="C40" i="23"/>
  <c r="G108" i="19" s="1"/>
  <c r="K108" i="19" s="1"/>
  <c r="I39" i="23"/>
  <c r="G107" i="37" s="1"/>
  <c r="K107" i="37" s="1"/>
  <c r="G106" i="24"/>
  <c r="K106" i="24" s="1"/>
  <c r="L106" i="24" s="1"/>
  <c r="M106" i="24" s="1"/>
  <c r="G105" i="25"/>
  <c r="K105" i="25" s="1"/>
  <c r="L105" i="25" s="1"/>
  <c r="M105" i="25" s="1"/>
  <c r="G105" i="27"/>
  <c r="K105" i="27" s="1"/>
  <c r="L105" i="27" s="1"/>
  <c r="M105" i="27" s="1"/>
  <c r="G106" i="28"/>
  <c r="U39" i="23" l="1"/>
  <c r="G106" i="39"/>
  <c r="K106" i="39" s="1"/>
  <c r="O39" i="23"/>
  <c r="G106" i="38"/>
  <c r="K106" i="38" s="1"/>
  <c r="C41" i="23"/>
  <c r="G109" i="19" s="1"/>
  <c r="K109" i="19" s="1"/>
  <c r="I40" i="23"/>
  <c r="G108" i="37" s="1"/>
  <c r="K108" i="37" s="1"/>
  <c r="G107" i="24"/>
  <c r="K107" i="24" s="1"/>
  <c r="L107" i="24" s="1"/>
  <c r="M107" i="24" s="1"/>
  <c r="G107" i="28"/>
  <c r="G106" i="27"/>
  <c r="K106" i="27" s="1"/>
  <c r="L106" i="27" s="1"/>
  <c r="M106" i="27" s="1"/>
  <c r="G106" i="25"/>
  <c r="K106" i="25" s="1"/>
  <c r="L106" i="25" s="1"/>
  <c r="M106" i="25" s="1"/>
  <c r="U40" i="23" l="1"/>
  <c r="G107" i="39"/>
  <c r="K107" i="39" s="1"/>
  <c r="O40" i="23"/>
  <c r="G107" i="38"/>
  <c r="K107" i="38" s="1"/>
  <c r="C42" i="23"/>
  <c r="G110" i="19" s="1"/>
  <c r="K110" i="19" s="1"/>
  <c r="K235" i="19" s="1"/>
  <c r="I41" i="23"/>
  <c r="G109" i="37" s="1"/>
  <c r="K109" i="37" s="1"/>
  <c r="G108" i="24"/>
  <c r="K108" i="24" s="1"/>
  <c r="L108" i="24" s="1"/>
  <c r="M108" i="24" s="1"/>
  <c r="G107" i="25"/>
  <c r="K107" i="25" s="1"/>
  <c r="L107" i="25" s="1"/>
  <c r="M107" i="25" s="1"/>
  <c r="G107" i="27"/>
  <c r="K107" i="27" s="1"/>
  <c r="L107" i="27" s="1"/>
  <c r="M107" i="27" s="1"/>
  <c r="G108" i="28"/>
  <c r="U41" i="23" l="1"/>
  <c r="G108" i="39"/>
  <c r="K108" i="39" s="1"/>
  <c r="O41" i="23"/>
  <c r="G108" i="38"/>
  <c r="K108" i="38" s="1"/>
  <c r="D42" i="23"/>
  <c r="F4" i="23" s="1"/>
  <c r="G4" i="23" s="1"/>
  <c r="E42" i="23"/>
  <c r="D5" i="23" s="1"/>
  <c r="E5" i="23" s="1"/>
  <c r="C43" i="23" s="1"/>
  <c r="G111" i="19" s="1"/>
  <c r="K111" i="19" s="1"/>
  <c r="I42" i="23"/>
  <c r="G110" i="37" s="1"/>
  <c r="K110" i="37" s="1"/>
  <c r="K235" i="37" s="1"/>
  <c r="G109" i="24"/>
  <c r="K109" i="24" s="1"/>
  <c r="L109" i="24" s="1"/>
  <c r="M109" i="24" s="1"/>
  <c r="L235" i="19"/>
  <c r="M235" i="19" s="1"/>
  <c r="G109" i="28"/>
  <c r="G108" i="25"/>
  <c r="K108" i="25" s="1"/>
  <c r="L108" i="25" s="1"/>
  <c r="M108" i="25" s="1"/>
  <c r="G108" i="27"/>
  <c r="K108" i="27" s="1"/>
  <c r="L108" i="27" s="1"/>
  <c r="M108" i="27" s="1"/>
  <c r="U42" i="23" l="1"/>
  <c r="G109" i="39"/>
  <c r="K109" i="39" s="1"/>
  <c r="O42" i="23"/>
  <c r="G109" i="38"/>
  <c r="K109" i="38" s="1"/>
  <c r="N235" i="24"/>
  <c r="L235" i="37"/>
  <c r="M235" i="37" s="1"/>
  <c r="G110" i="24"/>
  <c r="K110" i="24" s="1"/>
  <c r="K42" i="23"/>
  <c r="J5" i="23" s="1"/>
  <c r="K5" i="23" s="1"/>
  <c r="I43" i="23" s="1"/>
  <c r="G111" i="37" s="1"/>
  <c r="K111" i="37" s="1"/>
  <c r="J42" i="23"/>
  <c r="L4" i="23" s="1"/>
  <c r="M4" i="23" s="1"/>
  <c r="C44" i="23"/>
  <c r="G112" i="19" s="1"/>
  <c r="K112" i="19" s="1"/>
  <c r="G109" i="25"/>
  <c r="K109" i="25" s="1"/>
  <c r="L109" i="25" s="1"/>
  <c r="M109" i="25" s="1"/>
  <c r="G110" i="28"/>
  <c r="AD4" i="23"/>
  <c r="AE4" i="23" s="1"/>
  <c r="G109" i="27"/>
  <c r="K109" i="27" s="1"/>
  <c r="L109" i="27" s="1"/>
  <c r="M109" i="27" s="1"/>
  <c r="G110" i="39" l="1"/>
  <c r="K110" i="39" s="1"/>
  <c r="K235" i="39" s="1"/>
  <c r="W42" i="23"/>
  <c r="V5" i="23" s="1"/>
  <c r="W5" i="23" s="1"/>
  <c r="V42" i="23"/>
  <c r="X4" i="23" s="1"/>
  <c r="Y4" i="23" s="1"/>
  <c r="G110" i="38"/>
  <c r="K110" i="38" s="1"/>
  <c r="K235" i="38" s="1"/>
  <c r="Q42" i="23"/>
  <c r="P5" i="23" s="1"/>
  <c r="Q5" i="23" s="1"/>
  <c r="O43" i="23" s="1"/>
  <c r="G111" i="38" s="1"/>
  <c r="K111" i="38" s="1"/>
  <c r="P42" i="23"/>
  <c r="R4" i="23" s="1"/>
  <c r="S4" i="23" s="1"/>
  <c r="K235" i="24"/>
  <c r="L110" i="24"/>
  <c r="M110" i="24" s="1"/>
  <c r="G111" i="24"/>
  <c r="K111" i="24" s="1"/>
  <c r="L111" i="24" s="1"/>
  <c r="M111" i="24" s="1"/>
  <c r="I44" i="23"/>
  <c r="G112" i="37" s="1"/>
  <c r="K112" i="37" s="1"/>
  <c r="L235" i="24"/>
  <c r="M235" i="24" s="1"/>
  <c r="AB5" i="23"/>
  <c r="AC5" i="23" s="1"/>
  <c r="AA43" i="23" s="1"/>
  <c r="C45" i="23"/>
  <c r="G110" i="25"/>
  <c r="U43" i="23"/>
  <c r="G111" i="39" s="1"/>
  <c r="K111" i="39" s="1"/>
  <c r="G110" i="27"/>
  <c r="N235" i="27" l="1"/>
  <c r="L235" i="39"/>
  <c r="M235" i="39" s="1"/>
  <c r="L235" i="38"/>
  <c r="M235" i="38" s="1"/>
  <c r="N235" i="25"/>
  <c r="O235" i="24"/>
  <c r="K110" i="27"/>
  <c r="C46" i="23"/>
  <c r="G114" i="19" s="1"/>
  <c r="K114" i="19" s="1"/>
  <c r="G113" i="19"/>
  <c r="K113" i="19" s="1"/>
  <c r="K110" i="25"/>
  <c r="I45" i="23"/>
  <c r="G113" i="37" s="1"/>
  <c r="K113" i="37" s="1"/>
  <c r="G112" i="24"/>
  <c r="K112" i="24" s="1"/>
  <c r="L112" i="24" s="1"/>
  <c r="M112" i="24" s="1"/>
  <c r="AA44" i="23"/>
  <c r="AA45" i="23" s="1"/>
  <c r="AA46" i="23" s="1"/>
  <c r="AA47" i="23" s="1"/>
  <c r="AA48" i="23" s="1"/>
  <c r="AA49" i="23" s="1"/>
  <c r="AA50" i="23" s="1"/>
  <c r="AA51" i="23" s="1"/>
  <c r="AA52" i="23" s="1"/>
  <c r="AA53" i="23" s="1"/>
  <c r="AA54" i="23" s="1"/>
  <c r="G111" i="28"/>
  <c r="U44" i="23"/>
  <c r="G112" i="39" s="1"/>
  <c r="K112" i="39" s="1"/>
  <c r="O44" i="23"/>
  <c r="G112" i="38" s="1"/>
  <c r="K112" i="38" s="1"/>
  <c r="G111" i="27"/>
  <c r="K111" i="27" s="1"/>
  <c r="L111" i="27" s="1"/>
  <c r="M111" i="27" s="1"/>
  <c r="G111" i="25"/>
  <c r="K111" i="25" s="1"/>
  <c r="L111" i="25" s="1"/>
  <c r="M111" i="25" s="1"/>
  <c r="K235" i="27" l="1"/>
  <c r="L110" i="27"/>
  <c r="M110" i="27" s="1"/>
  <c r="K235" i="25"/>
  <c r="L235" i="25" s="1"/>
  <c r="M235" i="25" s="1"/>
  <c r="L110" i="25"/>
  <c r="M110" i="25" s="1"/>
  <c r="O45" i="23"/>
  <c r="G113" i="38" s="1"/>
  <c r="K113" i="38" s="1"/>
  <c r="G112" i="25"/>
  <c r="K112" i="25" s="1"/>
  <c r="L112" i="25" s="1"/>
  <c r="M112" i="25" s="1"/>
  <c r="U45" i="23"/>
  <c r="G113" i="39" s="1"/>
  <c r="K113" i="39" s="1"/>
  <c r="G112" i="27"/>
  <c r="K112" i="27" s="1"/>
  <c r="L112" i="27" s="1"/>
  <c r="M112" i="27" s="1"/>
  <c r="C47" i="23"/>
  <c r="G115" i="19" s="1"/>
  <c r="K115" i="19" s="1"/>
  <c r="I46" i="23"/>
  <c r="G114" i="37" s="1"/>
  <c r="K114" i="37" s="1"/>
  <c r="G113" i="24"/>
  <c r="K113" i="24" s="1"/>
  <c r="L113" i="24" s="1"/>
  <c r="M113" i="24" s="1"/>
  <c r="AC54" i="23"/>
  <c r="G112" i="28"/>
  <c r="AB54" i="23"/>
  <c r="G113" i="28"/>
  <c r="L235" i="27" l="1"/>
  <c r="M235" i="27" s="1"/>
  <c r="O235" i="27"/>
  <c r="O235" i="25"/>
  <c r="C48" i="23"/>
  <c r="G116" i="19" s="1"/>
  <c r="K116" i="19" s="1"/>
  <c r="U46" i="23"/>
  <c r="G114" i="39" s="1"/>
  <c r="K114" i="39" s="1"/>
  <c r="G113" i="27"/>
  <c r="K113" i="27" s="1"/>
  <c r="L113" i="27" s="1"/>
  <c r="M113" i="27" s="1"/>
  <c r="O46" i="23"/>
  <c r="G114" i="38" s="1"/>
  <c r="K114" i="38" s="1"/>
  <c r="G113" i="25"/>
  <c r="K113" i="25" s="1"/>
  <c r="L113" i="25" s="1"/>
  <c r="M113" i="25" s="1"/>
  <c r="I47" i="23"/>
  <c r="G115" i="37" s="1"/>
  <c r="K115" i="37" s="1"/>
  <c r="G114" i="24"/>
  <c r="K114" i="24" s="1"/>
  <c r="L114" i="24" s="1"/>
  <c r="M114" i="24" s="1"/>
  <c r="G114" i="28"/>
  <c r="C49" i="23" l="1"/>
  <c r="G117" i="19" s="1"/>
  <c r="K117" i="19" s="1"/>
  <c r="O47" i="23"/>
  <c r="G115" i="38" s="1"/>
  <c r="K115" i="38" s="1"/>
  <c r="G114" i="25"/>
  <c r="K114" i="25" s="1"/>
  <c r="L114" i="25" s="1"/>
  <c r="M114" i="25" s="1"/>
  <c r="U47" i="23"/>
  <c r="G115" i="39" s="1"/>
  <c r="K115" i="39" s="1"/>
  <c r="G114" i="27"/>
  <c r="K114" i="27" s="1"/>
  <c r="L114" i="27" s="1"/>
  <c r="M114" i="27" s="1"/>
  <c r="I48" i="23"/>
  <c r="G116" i="37" s="1"/>
  <c r="K116" i="37" s="1"/>
  <c r="G115" i="24"/>
  <c r="K115" i="24" s="1"/>
  <c r="L115" i="24" s="1"/>
  <c r="M115" i="24" s="1"/>
  <c r="G115" i="28"/>
  <c r="C50" i="23" l="1"/>
  <c r="G118" i="19" s="1"/>
  <c r="K118" i="19" s="1"/>
  <c r="O48" i="23"/>
  <c r="G116" i="38" s="1"/>
  <c r="K116" i="38" s="1"/>
  <c r="G115" i="25"/>
  <c r="K115" i="25" s="1"/>
  <c r="L115" i="25" s="1"/>
  <c r="M115" i="25" s="1"/>
  <c r="U48" i="23"/>
  <c r="G116" i="39" s="1"/>
  <c r="K116" i="39" s="1"/>
  <c r="G115" i="27"/>
  <c r="K115" i="27" s="1"/>
  <c r="L115" i="27" s="1"/>
  <c r="M115" i="27" s="1"/>
  <c r="I49" i="23"/>
  <c r="G117" i="37" s="1"/>
  <c r="K117" i="37" s="1"/>
  <c r="G116" i="24"/>
  <c r="K116" i="24" s="1"/>
  <c r="L116" i="24" s="1"/>
  <c r="M116" i="24" s="1"/>
  <c r="G116" i="28"/>
  <c r="C51" i="23" l="1"/>
  <c r="G119" i="19" s="1"/>
  <c r="K119" i="19" s="1"/>
  <c r="U49" i="23"/>
  <c r="G117" i="39" s="1"/>
  <c r="K117" i="39" s="1"/>
  <c r="G116" i="27"/>
  <c r="K116" i="27" s="1"/>
  <c r="L116" i="27" s="1"/>
  <c r="M116" i="27" s="1"/>
  <c r="O49" i="23"/>
  <c r="G117" i="38" s="1"/>
  <c r="K117" i="38" s="1"/>
  <c r="G116" i="25"/>
  <c r="K116" i="25" s="1"/>
  <c r="L116" i="25" s="1"/>
  <c r="M116" i="25" s="1"/>
  <c r="I50" i="23"/>
  <c r="G118" i="37" s="1"/>
  <c r="K118" i="37" s="1"/>
  <c r="G117" i="24"/>
  <c r="K117" i="24" s="1"/>
  <c r="L117" i="24" s="1"/>
  <c r="M117" i="24" s="1"/>
  <c r="G117" i="28"/>
  <c r="C52" i="23" l="1"/>
  <c r="G120" i="19" s="1"/>
  <c r="K120" i="19" s="1"/>
  <c r="O50" i="23"/>
  <c r="G118" i="38" s="1"/>
  <c r="K118" i="38" s="1"/>
  <c r="G117" i="25"/>
  <c r="K117" i="25" s="1"/>
  <c r="L117" i="25" s="1"/>
  <c r="M117" i="25" s="1"/>
  <c r="U50" i="23"/>
  <c r="G118" i="39" s="1"/>
  <c r="K118" i="39" s="1"/>
  <c r="G117" i="27"/>
  <c r="K117" i="27" s="1"/>
  <c r="L117" i="27" s="1"/>
  <c r="M117" i="27" s="1"/>
  <c r="I51" i="23"/>
  <c r="G119" i="37" s="1"/>
  <c r="K119" i="37" s="1"/>
  <c r="G118" i="24"/>
  <c r="K118" i="24" s="1"/>
  <c r="L118" i="24" s="1"/>
  <c r="M118" i="24" s="1"/>
  <c r="G118" i="28"/>
  <c r="C53" i="23" l="1"/>
  <c r="G121" i="19" s="1"/>
  <c r="K121" i="19" s="1"/>
  <c r="U51" i="23"/>
  <c r="G119" i="39" s="1"/>
  <c r="K119" i="39" s="1"/>
  <c r="G118" i="27"/>
  <c r="K118" i="27" s="1"/>
  <c r="L118" i="27" s="1"/>
  <c r="M118" i="27" s="1"/>
  <c r="O51" i="23"/>
  <c r="G119" i="38" s="1"/>
  <c r="K119" i="38" s="1"/>
  <c r="G118" i="25"/>
  <c r="K118" i="25" s="1"/>
  <c r="L118" i="25" s="1"/>
  <c r="M118" i="25" s="1"/>
  <c r="I52" i="23"/>
  <c r="G120" i="37" s="1"/>
  <c r="K120" i="37" s="1"/>
  <c r="G119" i="24"/>
  <c r="K119" i="24" s="1"/>
  <c r="L119" i="24" s="1"/>
  <c r="M119" i="24" s="1"/>
  <c r="G119" i="28"/>
  <c r="C54" i="23" l="1"/>
  <c r="G122" i="19" s="1"/>
  <c r="K122" i="19" s="1"/>
  <c r="K236" i="19" s="1"/>
  <c r="O52" i="23"/>
  <c r="G120" i="38" s="1"/>
  <c r="K120" i="38" s="1"/>
  <c r="G119" i="25"/>
  <c r="K119" i="25" s="1"/>
  <c r="L119" i="25" s="1"/>
  <c r="M119" i="25" s="1"/>
  <c r="U52" i="23"/>
  <c r="G120" i="39" s="1"/>
  <c r="K120" i="39" s="1"/>
  <c r="G119" i="27"/>
  <c r="K119" i="27" s="1"/>
  <c r="L119" i="27" s="1"/>
  <c r="M119" i="27" s="1"/>
  <c r="I53" i="23"/>
  <c r="G121" i="37" s="1"/>
  <c r="K121" i="37" s="1"/>
  <c r="G120" i="24"/>
  <c r="K120" i="24" s="1"/>
  <c r="L120" i="24" s="1"/>
  <c r="M120" i="24" s="1"/>
  <c r="G120" i="28"/>
  <c r="D54" i="23" l="1"/>
  <c r="F5" i="23" s="1"/>
  <c r="G5" i="23" s="1"/>
  <c r="E54" i="23"/>
  <c r="D6" i="23" s="1"/>
  <c r="E6" i="23" s="1"/>
  <c r="C55" i="23" s="1"/>
  <c r="G123" i="19" s="1"/>
  <c r="K123" i="19" s="1"/>
  <c r="O53" i="23"/>
  <c r="G121" i="38" s="1"/>
  <c r="K121" i="38" s="1"/>
  <c r="G120" i="25"/>
  <c r="K120" i="25" s="1"/>
  <c r="L120" i="25" s="1"/>
  <c r="M120" i="25" s="1"/>
  <c r="U53" i="23"/>
  <c r="G121" i="39" s="1"/>
  <c r="K121" i="39" s="1"/>
  <c r="G120" i="27"/>
  <c r="K120" i="27" s="1"/>
  <c r="L120" i="27" s="1"/>
  <c r="M120" i="27" s="1"/>
  <c r="I54" i="23"/>
  <c r="G122" i="37" s="1"/>
  <c r="K122" i="37" s="1"/>
  <c r="K236" i="37" s="1"/>
  <c r="G121" i="24"/>
  <c r="K121" i="24" s="1"/>
  <c r="L121" i="24" s="1"/>
  <c r="M121" i="24" s="1"/>
  <c r="L236" i="19"/>
  <c r="M236" i="19" s="1"/>
  <c r="G121" i="28"/>
  <c r="N236" i="24" l="1"/>
  <c r="L236" i="37"/>
  <c r="M236" i="37" s="1"/>
  <c r="U54" i="23"/>
  <c r="G121" i="27"/>
  <c r="K121" i="27" s="1"/>
  <c r="L121" i="27" s="1"/>
  <c r="M121" i="27" s="1"/>
  <c r="O54" i="23"/>
  <c r="G121" i="25"/>
  <c r="K121" i="25" s="1"/>
  <c r="L121" i="25" s="1"/>
  <c r="M121" i="25" s="1"/>
  <c r="G122" i="24"/>
  <c r="K122" i="24" s="1"/>
  <c r="K54" i="23"/>
  <c r="J6" i="23" s="1"/>
  <c r="K6" i="23" s="1"/>
  <c r="I55" i="23" s="1"/>
  <c r="G123" i="37" s="1"/>
  <c r="K123" i="37" s="1"/>
  <c r="J54" i="23"/>
  <c r="L5" i="23" s="1"/>
  <c r="M5" i="23" s="1"/>
  <c r="C56" i="23"/>
  <c r="G122" i="28"/>
  <c r="AD5" i="23"/>
  <c r="AE5" i="23" s="1"/>
  <c r="V54" i="23" l="1"/>
  <c r="X5" i="23" s="1"/>
  <c r="Y5" i="23" s="1"/>
  <c r="G122" i="39"/>
  <c r="K122" i="39" s="1"/>
  <c r="K236" i="39" s="1"/>
  <c r="P54" i="23"/>
  <c r="R5" i="23" s="1"/>
  <c r="S5" i="23" s="1"/>
  <c r="G122" i="38"/>
  <c r="K122" i="38" s="1"/>
  <c r="K236" i="38" s="1"/>
  <c r="K236" i="24"/>
  <c r="L236" i="24" s="1"/>
  <c r="M236" i="24" s="1"/>
  <c r="L122" i="24"/>
  <c r="M122" i="24" s="1"/>
  <c r="C57" i="23"/>
  <c r="G125" i="19" s="1"/>
  <c r="K125" i="19" s="1"/>
  <c r="G124" i="19"/>
  <c r="K124" i="19" s="1"/>
  <c r="G122" i="27"/>
  <c r="K122" i="27" s="1"/>
  <c r="W54" i="23"/>
  <c r="V6" i="23" s="1"/>
  <c r="W6" i="23" s="1"/>
  <c r="U55" i="23" s="1"/>
  <c r="G122" i="25"/>
  <c r="K122" i="25" s="1"/>
  <c r="Q54" i="23"/>
  <c r="P6" i="23" s="1"/>
  <c r="Q6" i="23" s="1"/>
  <c r="O55" i="23" s="1"/>
  <c r="G123" i="24"/>
  <c r="K123" i="24" s="1"/>
  <c r="L123" i="24" s="1"/>
  <c r="M123" i="24" s="1"/>
  <c r="I56" i="23"/>
  <c r="G124" i="37" s="1"/>
  <c r="K124" i="37" s="1"/>
  <c r="AB6" i="23"/>
  <c r="AC6" i="23" s="1"/>
  <c r="AA55" i="23" s="1"/>
  <c r="N236" i="27" l="1"/>
  <c r="L236" i="39"/>
  <c r="M236" i="39" s="1"/>
  <c r="G123" i="27"/>
  <c r="K123" i="27" s="1"/>
  <c r="L123" i="27" s="1"/>
  <c r="M123" i="27" s="1"/>
  <c r="G123" i="39"/>
  <c r="K123" i="39" s="1"/>
  <c r="G123" i="25"/>
  <c r="K123" i="25" s="1"/>
  <c r="L123" i="25" s="1"/>
  <c r="M123" i="25" s="1"/>
  <c r="G123" i="38"/>
  <c r="K123" i="38" s="1"/>
  <c r="L236" i="38"/>
  <c r="M236" i="38" s="1"/>
  <c r="N236" i="25"/>
  <c r="K236" i="27"/>
  <c r="L122" i="27"/>
  <c r="M122" i="27" s="1"/>
  <c r="K236" i="25"/>
  <c r="L122" i="25"/>
  <c r="M122" i="25" s="1"/>
  <c r="O236" i="24"/>
  <c r="C58" i="23"/>
  <c r="G126" i="19" s="1"/>
  <c r="K126" i="19" s="1"/>
  <c r="L236" i="25"/>
  <c r="M236" i="25" s="1"/>
  <c r="L236" i="27"/>
  <c r="M236" i="27" s="1"/>
  <c r="I57" i="23"/>
  <c r="G125" i="37" s="1"/>
  <c r="K125" i="37" s="1"/>
  <c r="G124" i="24"/>
  <c r="K124" i="24" s="1"/>
  <c r="L124" i="24" s="1"/>
  <c r="M124" i="24" s="1"/>
  <c r="AA56" i="23"/>
  <c r="AA57" i="23" s="1"/>
  <c r="AA58" i="23" s="1"/>
  <c r="AA59" i="23" s="1"/>
  <c r="AA60" i="23" s="1"/>
  <c r="AA61" i="23" s="1"/>
  <c r="AA62" i="23" s="1"/>
  <c r="AA63" i="23" s="1"/>
  <c r="AA64" i="23" s="1"/>
  <c r="AA65" i="23" s="1"/>
  <c r="AA66" i="23" s="1"/>
  <c r="G123" i="28"/>
  <c r="U56" i="23"/>
  <c r="G124" i="39" s="1"/>
  <c r="K124" i="39" s="1"/>
  <c r="O56" i="23"/>
  <c r="G124" i="38" s="1"/>
  <c r="K124" i="38" s="1"/>
  <c r="O236" i="27" l="1"/>
  <c r="O236" i="25"/>
  <c r="C59" i="23"/>
  <c r="G127" i="19" s="1"/>
  <c r="K127" i="19" s="1"/>
  <c r="O57" i="23"/>
  <c r="G125" i="38" s="1"/>
  <c r="K125" i="38" s="1"/>
  <c r="G124" i="25"/>
  <c r="K124" i="25" s="1"/>
  <c r="L124" i="25" s="1"/>
  <c r="M124" i="25" s="1"/>
  <c r="U57" i="23"/>
  <c r="G125" i="39" s="1"/>
  <c r="K125" i="39" s="1"/>
  <c r="G124" i="27"/>
  <c r="K124" i="27" s="1"/>
  <c r="L124" i="27" s="1"/>
  <c r="M124" i="27" s="1"/>
  <c r="I58" i="23"/>
  <c r="G126" i="37" s="1"/>
  <c r="K126" i="37" s="1"/>
  <c r="G125" i="24"/>
  <c r="K125" i="24" s="1"/>
  <c r="L125" i="24" s="1"/>
  <c r="M125" i="24" s="1"/>
  <c r="AB66" i="23"/>
  <c r="AC66" i="23"/>
  <c r="G124" i="28"/>
  <c r="G125" i="28"/>
  <c r="C60" i="23" l="1"/>
  <c r="G128" i="19" s="1"/>
  <c r="K128" i="19" s="1"/>
  <c r="O58" i="23"/>
  <c r="G126" i="38" s="1"/>
  <c r="K126" i="38" s="1"/>
  <c r="G125" i="25"/>
  <c r="K125" i="25" s="1"/>
  <c r="L125" i="25" s="1"/>
  <c r="M125" i="25" s="1"/>
  <c r="U58" i="23"/>
  <c r="G126" i="39" s="1"/>
  <c r="K126" i="39" s="1"/>
  <c r="G125" i="27"/>
  <c r="K125" i="27" s="1"/>
  <c r="L125" i="27" s="1"/>
  <c r="M125" i="27" s="1"/>
  <c r="I59" i="23"/>
  <c r="G127" i="37" s="1"/>
  <c r="K127" i="37" s="1"/>
  <c r="G126" i="24"/>
  <c r="K126" i="24" s="1"/>
  <c r="L126" i="24" s="1"/>
  <c r="M126" i="24" s="1"/>
  <c r="G126" i="28"/>
  <c r="C61" i="23" l="1"/>
  <c r="G129" i="19" s="1"/>
  <c r="K129" i="19" s="1"/>
  <c r="U59" i="23"/>
  <c r="G127" i="39" s="1"/>
  <c r="K127" i="39" s="1"/>
  <c r="G126" i="27"/>
  <c r="K126" i="27" s="1"/>
  <c r="L126" i="27" s="1"/>
  <c r="M126" i="27" s="1"/>
  <c r="O59" i="23"/>
  <c r="G127" i="38" s="1"/>
  <c r="K127" i="38" s="1"/>
  <c r="G126" i="25"/>
  <c r="K126" i="25" s="1"/>
  <c r="L126" i="25" s="1"/>
  <c r="M126" i="25" s="1"/>
  <c r="I60" i="23"/>
  <c r="G128" i="37" s="1"/>
  <c r="K128" i="37" s="1"/>
  <c r="G127" i="24"/>
  <c r="K127" i="24" s="1"/>
  <c r="L127" i="24" s="1"/>
  <c r="M127" i="24" s="1"/>
  <c r="G127" i="28"/>
  <c r="C62" i="23" l="1"/>
  <c r="G130" i="19" s="1"/>
  <c r="K130" i="19" s="1"/>
  <c r="O60" i="23"/>
  <c r="G128" i="38" s="1"/>
  <c r="K128" i="38" s="1"/>
  <c r="G127" i="25"/>
  <c r="K127" i="25" s="1"/>
  <c r="L127" i="25" s="1"/>
  <c r="M127" i="25" s="1"/>
  <c r="U60" i="23"/>
  <c r="G128" i="39" s="1"/>
  <c r="K128" i="39" s="1"/>
  <c r="G127" i="27"/>
  <c r="K127" i="27" s="1"/>
  <c r="L127" i="27" s="1"/>
  <c r="M127" i="27" s="1"/>
  <c r="I61" i="23"/>
  <c r="G129" i="37" s="1"/>
  <c r="K129" i="37" s="1"/>
  <c r="G128" i="24"/>
  <c r="K128" i="24" s="1"/>
  <c r="L128" i="24" s="1"/>
  <c r="M128" i="24" s="1"/>
  <c r="G128" i="28"/>
  <c r="C63" i="23" l="1"/>
  <c r="G131" i="19" s="1"/>
  <c r="K131" i="19" s="1"/>
  <c r="O61" i="23"/>
  <c r="G129" i="38" s="1"/>
  <c r="K129" i="38" s="1"/>
  <c r="G128" i="25"/>
  <c r="K128" i="25" s="1"/>
  <c r="L128" i="25" s="1"/>
  <c r="M128" i="25" s="1"/>
  <c r="U61" i="23"/>
  <c r="G129" i="39" s="1"/>
  <c r="K129" i="39" s="1"/>
  <c r="G128" i="27"/>
  <c r="K128" i="27" s="1"/>
  <c r="L128" i="27" s="1"/>
  <c r="M128" i="27" s="1"/>
  <c r="I62" i="23"/>
  <c r="G130" i="37" s="1"/>
  <c r="K130" i="37" s="1"/>
  <c r="G129" i="24"/>
  <c r="K129" i="24" s="1"/>
  <c r="L129" i="24" s="1"/>
  <c r="M129" i="24" s="1"/>
  <c r="G129" i="28"/>
  <c r="C64" i="23" l="1"/>
  <c r="G132" i="19" s="1"/>
  <c r="K132" i="19" s="1"/>
  <c r="U62" i="23"/>
  <c r="G130" i="39" s="1"/>
  <c r="K130" i="39" s="1"/>
  <c r="G129" i="27"/>
  <c r="K129" i="27" s="1"/>
  <c r="L129" i="27" s="1"/>
  <c r="M129" i="27" s="1"/>
  <c r="O62" i="23"/>
  <c r="G130" i="38" s="1"/>
  <c r="K130" i="38" s="1"/>
  <c r="G129" i="25"/>
  <c r="K129" i="25" s="1"/>
  <c r="L129" i="25" s="1"/>
  <c r="M129" i="25" s="1"/>
  <c r="I63" i="23"/>
  <c r="G131" i="37" s="1"/>
  <c r="K131" i="37" s="1"/>
  <c r="G130" i="24"/>
  <c r="K130" i="24" s="1"/>
  <c r="L130" i="24" s="1"/>
  <c r="M130" i="24" s="1"/>
  <c r="G130" i="28"/>
  <c r="C65" i="23" l="1"/>
  <c r="G133" i="19" s="1"/>
  <c r="K133" i="19" s="1"/>
  <c r="U63" i="23"/>
  <c r="G131" i="39" s="1"/>
  <c r="K131" i="39" s="1"/>
  <c r="G130" i="27"/>
  <c r="K130" i="27" s="1"/>
  <c r="L130" i="27" s="1"/>
  <c r="M130" i="27" s="1"/>
  <c r="O63" i="23"/>
  <c r="G131" i="38" s="1"/>
  <c r="K131" i="38" s="1"/>
  <c r="G130" i="25"/>
  <c r="K130" i="25" s="1"/>
  <c r="L130" i="25" s="1"/>
  <c r="M130" i="25" s="1"/>
  <c r="I64" i="23"/>
  <c r="G132" i="37" s="1"/>
  <c r="K132" i="37" s="1"/>
  <c r="G131" i="24"/>
  <c r="K131" i="24" s="1"/>
  <c r="L131" i="24" s="1"/>
  <c r="M131" i="24" s="1"/>
  <c r="G131" i="28"/>
  <c r="C66" i="23" l="1"/>
  <c r="G134" i="19" s="1"/>
  <c r="K134" i="19" s="1"/>
  <c r="K237" i="19" s="1"/>
  <c r="U64" i="23"/>
  <c r="G132" i="39" s="1"/>
  <c r="K132" i="39" s="1"/>
  <c r="G131" i="27"/>
  <c r="K131" i="27" s="1"/>
  <c r="L131" i="27" s="1"/>
  <c r="M131" i="27" s="1"/>
  <c r="O64" i="23"/>
  <c r="G132" i="38" s="1"/>
  <c r="K132" i="38" s="1"/>
  <c r="G131" i="25"/>
  <c r="K131" i="25" s="1"/>
  <c r="L131" i="25" s="1"/>
  <c r="M131" i="25" s="1"/>
  <c r="I65" i="23"/>
  <c r="G133" i="37" s="1"/>
  <c r="K133" i="37" s="1"/>
  <c r="G132" i="24"/>
  <c r="K132" i="24" s="1"/>
  <c r="L132" i="24" s="1"/>
  <c r="M132" i="24" s="1"/>
  <c r="G132" i="28"/>
  <c r="E66" i="23" l="1"/>
  <c r="D7" i="23" s="1"/>
  <c r="E7" i="23" s="1"/>
  <c r="C67" i="23" s="1"/>
  <c r="G135" i="19" s="1"/>
  <c r="K135" i="19" s="1"/>
  <c r="D66" i="23"/>
  <c r="F6" i="23" s="1"/>
  <c r="G6" i="23" s="1"/>
  <c r="U65" i="23"/>
  <c r="G133" i="39" s="1"/>
  <c r="K133" i="39" s="1"/>
  <c r="G132" i="27"/>
  <c r="K132" i="27" s="1"/>
  <c r="L132" i="27" s="1"/>
  <c r="M132" i="27" s="1"/>
  <c r="O65" i="23"/>
  <c r="G133" i="38" s="1"/>
  <c r="K133" i="38" s="1"/>
  <c r="G132" i="25"/>
  <c r="K132" i="25" s="1"/>
  <c r="L132" i="25" s="1"/>
  <c r="M132" i="25" s="1"/>
  <c r="I66" i="23"/>
  <c r="G134" i="37" s="1"/>
  <c r="K134" i="37" s="1"/>
  <c r="K237" i="37" s="1"/>
  <c r="G133" i="24"/>
  <c r="K133" i="24" s="1"/>
  <c r="L133" i="24" s="1"/>
  <c r="M133" i="24" s="1"/>
  <c r="L237" i="19"/>
  <c r="M237" i="19" s="1"/>
  <c r="G133" i="28"/>
  <c r="L237" i="37" l="1"/>
  <c r="M237" i="37" s="1"/>
  <c r="N237" i="24"/>
  <c r="U66" i="23"/>
  <c r="G134" i="39" s="1"/>
  <c r="K134" i="39" s="1"/>
  <c r="K237" i="39" s="1"/>
  <c r="G133" i="27"/>
  <c r="K133" i="27" s="1"/>
  <c r="L133" i="27" s="1"/>
  <c r="M133" i="27" s="1"/>
  <c r="O66" i="23"/>
  <c r="G134" i="38" s="1"/>
  <c r="K134" i="38" s="1"/>
  <c r="K237" i="38" s="1"/>
  <c r="G133" i="25"/>
  <c r="K133" i="25" s="1"/>
  <c r="L133" i="25" s="1"/>
  <c r="M133" i="25" s="1"/>
  <c r="G134" i="24"/>
  <c r="K134" i="24" s="1"/>
  <c r="K66" i="23"/>
  <c r="J7" i="23" s="1"/>
  <c r="K7" i="23" s="1"/>
  <c r="I67" i="23" s="1"/>
  <c r="G135" i="37" s="1"/>
  <c r="K135" i="37" s="1"/>
  <c r="J66" i="23"/>
  <c r="L6" i="23" s="1"/>
  <c r="M6" i="23" s="1"/>
  <c r="C68" i="23"/>
  <c r="G136" i="19" s="1"/>
  <c r="K136" i="19" s="1"/>
  <c r="G134" i="28"/>
  <c r="AD6" i="23"/>
  <c r="AE6" i="23" s="1"/>
  <c r="N237" i="27" l="1"/>
  <c r="L237" i="39"/>
  <c r="M237" i="39" s="1"/>
  <c r="N237" i="25"/>
  <c r="L237" i="38"/>
  <c r="M237" i="38" s="1"/>
  <c r="K237" i="24"/>
  <c r="L134" i="24"/>
  <c r="M134" i="24" s="1"/>
  <c r="G134" i="27"/>
  <c r="K134" i="27" s="1"/>
  <c r="W66" i="23"/>
  <c r="V7" i="23" s="1"/>
  <c r="W7" i="23" s="1"/>
  <c r="U67" i="23" s="1"/>
  <c r="V66" i="23"/>
  <c r="X6" i="23" s="1"/>
  <c r="Y6" i="23" s="1"/>
  <c r="G134" i="25"/>
  <c r="K134" i="25" s="1"/>
  <c r="Q66" i="23"/>
  <c r="P7" i="23" s="1"/>
  <c r="Q7" i="23" s="1"/>
  <c r="O67" i="23" s="1"/>
  <c r="P66" i="23"/>
  <c r="R6" i="23" s="1"/>
  <c r="S6" i="23" s="1"/>
  <c r="G135" i="24"/>
  <c r="K135" i="24" s="1"/>
  <c r="L135" i="24" s="1"/>
  <c r="M135" i="24" s="1"/>
  <c r="I68" i="23"/>
  <c r="G136" i="37" s="1"/>
  <c r="K136" i="37" s="1"/>
  <c r="AB7" i="23"/>
  <c r="AC7" i="23" s="1"/>
  <c r="AA67" i="23" s="1"/>
  <c r="C69" i="23"/>
  <c r="G135" i="27" l="1"/>
  <c r="K135" i="27" s="1"/>
  <c r="L135" i="27" s="1"/>
  <c r="M135" i="27" s="1"/>
  <c r="G135" i="39"/>
  <c r="K135" i="39" s="1"/>
  <c r="G135" i="25"/>
  <c r="K135" i="25" s="1"/>
  <c r="L135" i="25" s="1"/>
  <c r="M135" i="25" s="1"/>
  <c r="G135" i="38"/>
  <c r="K135" i="38" s="1"/>
  <c r="K237" i="27"/>
  <c r="L237" i="27" s="1"/>
  <c r="M237" i="27" s="1"/>
  <c r="L134" i="27"/>
  <c r="M134" i="27" s="1"/>
  <c r="K237" i="25"/>
  <c r="L134" i="25"/>
  <c r="M134" i="25" s="1"/>
  <c r="O237" i="24"/>
  <c r="L237" i="24"/>
  <c r="M237" i="24" s="1"/>
  <c r="C70" i="23"/>
  <c r="G138" i="19" s="1"/>
  <c r="K138" i="19" s="1"/>
  <c r="G137" i="19"/>
  <c r="K137" i="19" s="1"/>
  <c r="I69" i="23"/>
  <c r="G137" i="37" s="1"/>
  <c r="K137" i="37" s="1"/>
  <c r="G136" i="24"/>
  <c r="K136" i="24" s="1"/>
  <c r="L136" i="24" s="1"/>
  <c r="M136" i="24" s="1"/>
  <c r="AA68" i="23"/>
  <c r="AA69" i="23" s="1"/>
  <c r="AA70" i="23" s="1"/>
  <c r="AA71" i="23" s="1"/>
  <c r="AA72" i="23" s="1"/>
  <c r="AA73" i="23" s="1"/>
  <c r="AA74" i="23" s="1"/>
  <c r="AA75" i="23" s="1"/>
  <c r="AA76" i="23" s="1"/>
  <c r="AA77" i="23" s="1"/>
  <c r="AA78" i="23" s="1"/>
  <c r="G135" i="28"/>
  <c r="U68" i="23"/>
  <c r="G136" i="39" s="1"/>
  <c r="K136" i="39" s="1"/>
  <c r="O68" i="23"/>
  <c r="G136" i="38" s="1"/>
  <c r="K136" i="38" s="1"/>
  <c r="O237" i="27" l="1"/>
  <c r="O237" i="25"/>
  <c r="L237" i="25"/>
  <c r="M237" i="25" s="1"/>
  <c r="O69" i="23"/>
  <c r="G137" i="38" s="1"/>
  <c r="K137" i="38" s="1"/>
  <c r="G136" i="25"/>
  <c r="K136" i="25" s="1"/>
  <c r="L136" i="25" s="1"/>
  <c r="M136" i="25" s="1"/>
  <c r="U69" i="23"/>
  <c r="G137" i="39" s="1"/>
  <c r="K137" i="39" s="1"/>
  <c r="G136" i="27"/>
  <c r="K136" i="27" s="1"/>
  <c r="L136" i="27" s="1"/>
  <c r="M136" i="27" s="1"/>
  <c r="C71" i="23"/>
  <c r="G139" i="19" s="1"/>
  <c r="K139" i="19" s="1"/>
  <c r="I70" i="23"/>
  <c r="G138" i="37" s="1"/>
  <c r="K138" i="37" s="1"/>
  <c r="G137" i="24"/>
  <c r="K137" i="24" s="1"/>
  <c r="L137" i="24" s="1"/>
  <c r="M137" i="24" s="1"/>
  <c r="G136" i="28"/>
  <c r="AB78" i="23"/>
  <c r="AC78" i="23"/>
  <c r="G137" i="28"/>
  <c r="O70" i="23" l="1"/>
  <c r="G138" i="38" s="1"/>
  <c r="K138" i="38" s="1"/>
  <c r="G137" i="25"/>
  <c r="K137" i="25" s="1"/>
  <c r="L137" i="25" s="1"/>
  <c r="M137" i="25" s="1"/>
  <c r="C72" i="23"/>
  <c r="G140" i="19" s="1"/>
  <c r="K140" i="19" s="1"/>
  <c r="U70" i="23"/>
  <c r="G138" i="39" s="1"/>
  <c r="K138" i="39" s="1"/>
  <c r="G137" i="27"/>
  <c r="K137" i="27" s="1"/>
  <c r="L137" i="27" s="1"/>
  <c r="M137" i="27" s="1"/>
  <c r="I71" i="23"/>
  <c r="G139" i="37" s="1"/>
  <c r="K139" i="37" s="1"/>
  <c r="G138" i="24"/>
  <c r="K138" i="24" s="1"/>
  <c r="L138" i="24" s="1"/>
  <c r="M138" i="24" s="1"/>
  <c r="G138" i="28"/>
  <c r="C73" i="23" l="1"/>
  <c r="G141" i="19" s="1"/>
  <c r="K141" i="19" s="1"/>
  <c r="U71" i="23"/>
  <c r="G139" i="39" s="1"/>
  <c r="K139" i="39" s="1"/>
  <c r="G138" i="27"/>
  <c r="K138" i="27" s="1"/>
  <c r="L138" i="27" s="1"/>
  <c r="M138" i="27" s="1"/>
  <c r="O71" i="23"/>
  <c r="G139" i="38" s="1"/>
  <c r="K139" i="38" s="1"/>
  <c r="G138" i="25"/>
  <c r="K138" i="25" s="1"/>
  <c r="L138" i="25" s="1"/>
  <c r="M138" i="25" s="1"/>
  <c r="I72" i="23"/>
  <c r="G140" i="37" s="1"/>
  <c r="K140" i="37" s="1"/>
  <c r="G139" i="24"/>
  <c r="K139" i="24" s="1"/>
  <c r="L139" i="24" s="1"/>
  <c r="M139" i="24" s="1"/>
  <c r="G139" i="28"/>
  <c r="C74" i="23" l="1"/>
  <c r="G142" i="19" s="1"/>
  <c r="K142" i="19" s="1"/>
  <c r="O72" i="23"/>
  <c r="G140" i="38" s="1"/>
  <c r="K140" i="38" s="1"/>
  <c r="G139" i="25"/>
  <c r="K139" i="25" s="1"/>
  <c r="L139" i="25" s="1"/>
  <c r="M139" i="25" s="1"/>
  <c r="U72" i="23"/>
  <c r="G140" i="39" s="1"/>
  <c r="K140" i="39" s="1"/>
  <c r="G139" i="27"/>
  <c r="K139" i="27" s="1"/>
  <c r="L139" i="27" s="1"/>
  <c r="M139" i="27" s="1"/>
  <c r="I73" i="23"/>
  <c r="G141" i="37" s="1"/>
  <c r="K141" i="37" s="1"/>
  <c r="G140" i="24"/>
  <c r="K140" i="24" s="1"/>
  <c r="L140" i="24" s="1"/>
  <c r="M140" i="24" s="1"/>
  <c r="G140" i="28"/>
  <c r="C75" i="23" l="1"/>
  <c r="G143" i="19" s="1"/>
  <c r="K143" i="19" s="1"/>
  <c r="U73" i="23"/>
  <c r="G141" i="39" s="1"/>
  <c r="K141" i="39" s="1"/>
  <c r="G140" i="27"/>
  <c r="K140" i="27" s="1"/>
  <c r="L140" i="27" s="1"/>
  <c r="M140" i="27" s="1"/>
  <c r="O73" i="23"/>
  <c r="G141" i="38" s="1"/>
  <c r="K141" i="38" s="1"/>
  <c r="G140" i="25"/>
  <c r="K140" i="25" s="1"/>
  <c r="L140" i="25" s="1"/>
  <c r="M140" i="25" s="1"/>
  <c r="I74" i="23"/>
  <c r="G142" i="37" s="1"/>
  <c r="K142" i="37" s="1"/>
  <c r="G141" i="24"/>
  <c r="K141" i="24" s="1"/>
  <c r="L141" i="24" s="1"/>
  <c r="M141" i="24" s="1"/>
  <c r="G141" i="28"/>
  <c r="C76" i="23" l="1"/>
  <c r="G144" i="19" s="1"/>
  <c r="K144" i="19" s="1"/>
  <c r="U74" i="23"/>
  <c r="G142" i="39" s="1"/>
  <c r="K142" i="39" s="1"/>
  <c r="G141" i="27"/>
  <c r="K141" i="27" s="1"/>
  <c r="L141" i="27" s="1"/>
  <c r="M141" i="27" s="1"/>
  <c r="O74" i="23"/>
  <c r="G142" i="38" s="1"/>
  <c r="K142" i="38" s="1"/>
  <c r="G141" i="25"/>
  <c r="K141" i="25" s="1"/>
  <c r="L141" i="25" s="1"/>
  <c r="M141" i="25" s="1"/>
  <c r="I75" i="23"/>
  <c r="G143" i="37" s="1"/>
  <c r="K143" i="37" s="1"/>
  <c r="G142" i="24"/>
  <c r="K142" i="24" s="1"/>
  <c r="L142" i="24" s="1"/>
  <c r="M142" i="24" s="1"/>
  <c r="G142" i="28"/>
  <c r="C77" i="23" l="1"/>
  <c r="G145" i="19" s="1"/>
  <c r="K145" i="19" s="1"/>
  <c r="U75" i="23"/>
  <c r="G143" i="39" s="1"/>
  <c r="K143" i="39" s="1"/>
  <c r="G142" i="27"/>
  <c r="K142" i="27" s="1"/>
  <c r="L142" i="27" s="1"/>
  <c r="M142" i="27" s="1"/>
  <c r="O75" i="23"/>
  <c r="G143" i="38" s="1"/>
  <c r="K143" i="38" s="1"/>
  <c r="G142" i="25"/>
  <c r="K142" i="25" s="1"/>
  <c r="L142" i="25" s="1"/>
  <c r="M142" i="25" s="1"/>
  <c r="I76" i="23"/>
  <c r="G144" i="37" s="1"/>
  <c r="K144" i="37" s="1"/>
  <c r="G143" i="24"/>
  <c r="K143" i="24" s="1"/>
  <c r="L143" i="24" s="1"/>
  <c r="M143" i="24" s="1"/>
  <c r="G143" i="28"/>
  <c r="C78" i="23" l="1"/>
  <c r="G146" i="19" s="1"/>
  <c r="K146" i="19" s="1"/>
  <c r="K238" i="19" s="1"/>
  <c r="U76" i="23"/>
  <c r="G144" i="39" s="1"/>
  <c r="K144" i="39" s="1"/>
  <c r="G143" i="27"/>
  <c r="K143" i="27" s="1"/>
  <c r="L143" i="27" s="1"/>
  <c r="M143" i="27" s="1"/>
  <c r="O76" i="23"/>
  <c r="G144" i="38" s="1"/>
  <c r="K144" i="38" s="1"/>
  <c r="G143" i="25"/>
  <c r="K143" i="25" s="1"/>
  <c r="L143" i="25" s="1"/>
  <c r="M143" i="25" s="1"/>
  <c r="I77" i="23"/>
  <c r="G145" i="37" s="1"/>
  <c r="K145" i="37" s="1"/>
  <c r="G144" i="24"/>
  <c r="K144" i="24" s="1"/>
  <c r="L144" i="24" s="1"/>
  <c r="M144" i="24" s="1"/>
  <c r="G144" i="28"/>
  <c r="E78" i="23" l="1"/>
  <c r="D8" i="23" s="1"/>
  <c r="E8" i="23" s="1"/>
  <c r="C79" i="23" s="1"/>
  <c r="G147" i="19" s="1"/>
  <c r="K147" i="19" s="1"/>
  <c r="D78" i="23"/>
  <c r="F7" i="23" s="1"/>
  <c r="G7" i="23" s="1"/>
  <c r="U77" i="23"/>
  <c r="G145" i="39" s="1"/>
  <c r="K145" i="39" s="1"/>
  <c r="G144" i="27"/>
  <c r="K144" i="27" s="1"/>
  <c r="L144" i="27" s="1"/>
  <c r="M144" i="27" s="1"/>
  <c r="O77" i="23"/>
  <c r="G145" i="38" s="1"/>
  <c r="K145" i="38" s="1"/>
  <c r="G144" i="25"/>
  <c r="K144" i="25" s="1"/>
  <c r="L144" i="25" s="1"/>
  <c r="M144" i="25" s="1"/>
  <c r="I78" i="23"/>
  <c r="G146" i="37" s="1"/>
  <c r="K146" i="37" s="1"/>
  <c r="K238" i="37" s="1"/>
  <c r="G145" i="24"/>
  <c r="K145" i="24" s="1"/>
  <c r="L145" i="24" s="1"/>
  <c r="M145" i="24" s="1"/>
  <c r="L238" i="19"/>
  <c r="M238" i="19" s="1"/>
  <c r="G145" i="28"/>
  <c r="N238" i="24" l="1"/>
  <c r="L238" i="37"/>
  <c r="M238" i="37" s="1"/>
  <c r="O78" i="23"/>
  <c r="G146" i="38" s="1"/>
  <c r="K146" i="38" s="1"/>
  <c r="K238" i="38" s="1"/>
  <c r="G145" i="25"/>
  <c r="K145" i="25" s="1"/>
  <c r="L145" i="25" s="1"/>
  <c r="M145" i="25" s="1"/>
  <c r="U78" i="23"/>
  <c r="G146" i="39" s="1"/>
  <c r="K146" i="39" s="1"/>
  <c r="K238" i="39" s="1"/>
  <c r="G145" i="27"/>
  <c r="K145" i="27" s="1"/>
  <c r="L145" i="27" s="1"/>
  <c r="M145" i="27" s="1"/>
  <c r="G146" i="24"/>
  <c r="K146" i="24" s="1"/>
  <c r="K78" i="23"/>
  <c r="J8" i="23" s="1"/>
  <c r="K8" i="23" s="1"/>
  <c r="I79" i="23" s="1"/>
  <c r="G147" i="37" s="1"/>
  <c r="K147" i="37" s="1"/>
  <c r="J78" i="23"/>
  <c r="L7" i="23" s="1"/>
  <c r="M7" i="23" s="1"/>
  <c r="C80" i="23"/>
  <c r="G148" i="19" s="1"/>
  <c r="K148" i="19" s="1"/>
  <c r="G146" i="28"/>
  <c r="AD7" i="23"/>
  <c r="AE7" i="23" s="1"/>
  <c r="L238" i="39" l="1"/>
  <c r="M238" i="39" s="1"/>
  <c r="N238" i="27"/>
  <c r="L238" i="38"/>
  <c r="M238" i="38" s="1"/>
  <c r="N238" i="25"/>
  <c r="K238" i="24"/>
  <c r="L146" i="24"/>
  <c r="M146" i="24" s="1"/>
  <c r="G146" i="25"/>
  <c r="K146" i="25" s="1"/>
  <c r="Q78" i="23"/>
  <c r="P8" i="23" s="1"/>
  <c r="Q8" i="23" s="1"/>
  <c r="O79" i="23" s="1"/>
  <c r="P78" i="23"/>
  <c r="R7" i="23" s="1"/>
  <c r="S7" i="23" s="1"/>
  <c r="G146" i="27"/>
  <c r="K146" i="27" s="1"/>
  <c r="L146" i="27" s="1"/>
  <c r="M146" i="27" s="1"/>
  <c r="W78" i="23"/>
  <c r="V8" i="23" s="1"/>
  <c r="W8" i="23" s="1"/>
  <c r="U79" i="23" s="1"/>
  <c r="V78" i="23"/>
  <c r="X7" i="23" s="1"/>
  <c r="Y7" i="23" s="1"/>
  <c r="G147" i="24"/>
  <c r="K147" i="24" s="1"/>
  <c r="L147" i="24" s="1"/>
  <c r="M147" i="24" s="1"/>
  <c r="I80" i="23"/>
  <c r="G148" i="37" s="1"/>
  <c r="K148" i="37" s="1"/>
  <c r="AB8" i="23"/>
  <c r="AC8" i="23" s="1"/>
  <c r="AA79" i="23" s="1"/>
  <c r="C81" i="23"/>
  <c r="G147" i="27" l="1"/>
  <c r="K147" i="27" s="1"/>
  <c r="L147" i="27" s="1"/>
  <c r="M147" i="27" s="1"/>
  <c r="G147" i="39"/>
  <c r="K147" i="39" s="1"/>
  <c r="G147" i="25"/>
  <c r="K147" i="25" s="1"/>
  <c r="L147" i="25" s="1"/>
  <c r="M147" i="25" s="1"/>
  <c r="G147" i="38"/>
  <c r="K147" i="38" s="1"/>
  <c r="K238" i="27"/>
  <c r="O238" i="27" s="1"/>
  <c r="K238" i="25"/>
  <c r="L146" i="25"/>
  <c r="M146" i="25" s="1"/>
  <c r="O238" i="24"/>
  <c r="L238" i="24"/>
  <c r="M238" i="24" s="1"/>
  <c r="C82" i="23"/>
  <c r="G150" i="19" s="1"/>
  <c r="K150" i="19" s="1"/>
  <c r="G149" i="19"/>
  <c r="K149" i="19" s="1"/>
  <c r="I81" i="23"/>
  <c r="G149" i="37" s="1"/>
  <c r="K149" i="37" s="1"/>
  <c r="G148" i="24"/>
  <c r="K148" i="24" s="1"/>
  <c r="L148" i="24" s="1"/>
  <c r="M148" i="24" s="1"/>
  <c r="AA80" i="23"/>
  <c r="AA81" i="23" s="1"/>
  <c r="AA82" i="23" s="1"/>
  <c r="AA83" i="23" s="1"/>
  <c r="AA84" i="23" s="1"/>
  <c r="AA85" i="23" s="1"/>
  <c r="AA86" i="23" s="1"/>
  <c r="AA87" i="23" s="1"/>
  <c r="AA88" i="23" s="1"/>
  <c r="AA89" i="23" s="1"/>
  <c r="AA90" i="23" s="1"/>
  <c r="G147" i="28"/>
  <c r="U80" i="23"/>
  <c r="G148" i="39" s="1"/>
  <c r="K148" i="39" s="1"/>
  <c r="O80" i="23"/>
  <c r="G148" i="38" s="1"/>
  <c r="K148" i="38" s="1"/>
  <c r="L238" i="27" l="1"/>
  <c r="M238" i="27" s="1"/>
  <c r="O238" i="25"/>
  <c r="L238" i="25"/>
  <c r="M238" i="25" s="1"/>
  <c r="O81" i="23"/>
  <c r="G149" i="38" s="1"/>
  <c r="K149" i="38" s="1"/>
  <c r="G148" i="25"/>
  <c r="K148" i="25" s="1"/>
  <c r="L148" i="25" s="1"/>
  <c r="M148" i="25" s="1"/>
  <c r="U81" i="23"/>
  <c r="G149" i="39" s="1"/>
  <c r="K149" i="39" s="1"/>
  <c r="G148" i="27"/>
  <c r="K148" i="27" s="1"/>
  <c r="L148" i="27" s="1"/>
  <c r="M148" i="27" s="1"/>
  <c r="C83" i="23"/>
  <c r="G151" i="19" s="1"/>
  <c r="K151" i="19" s="1"/>
  <c r="I82" i="23"/>
  <c r="G150" i="37" s="1"/>
  <c r="K150" i="37" s="1"/>
  <c r="G149" i="24"/>
  <c r="K149" i="24" s="1"/>
  <c r="L149" i="24" s="1"/>
  <c r="M149" i="24" s="1"/>
  <c r="AB90" i="23"/>
  <c r="AC90" i="23"/>
  <c r="G148" i="28"/>
  <c r="G149" i="28"/>
  <c r="O82" i="23" l="1"/>
  <c r="G150" i="38" s="1"/>
  <c r="K150" i="38" s="1"/>
  <c r="G149" i="25"/>
  <c r="K149" i="25" s="1"/>
  <c r="L149" i="25" s="1"/>
  <c r="M149" i="25" s="1"/>
  <c r="C84" i="23"/>
  <c r="G152" i="19" s="1"/>
  <c r="K152" i="19" s="1"/>
  <c r="U82" i="23"/>
  <c r="G150" i="39" s="1"/>
  <c r="K150" i="39" s="1"/>
  <c r="G149" i="27"/>
  <c r="K149" i="27" s="1"/>
  <c r="L149" i="27" s="1"/>
  <c r="M149" i="27" s="1"/>
  <c r="I83" i="23"/>
  <c r="G151" i="37" s="1"/>
  <c r="K151" i="37" s="1"/>
  <c r="G150" i="24"/>
  <c r="K150" i="24" s="1"/>
  <c r="L150" i="24" s="1"/>
  <c r="M150" i="24" s="1"/>
  <c r="G150" i="28"/>
  <c r="C85" i="23" l="1"/>
  <c r="G153" i="19" s="1"/>
  <c r="K153" i="19" s="1"/>
  <c r="O83" i="23"/>
  <c r="G151" i="38" s="1"/>
  <c r="K151" i="38" s="1"/>
  <c r="G150" i="25"/>
  <c r="K150" i="25" s="1"/>
  <c r="L150" i="25" s="1"/>
  <c r="M150" i="25" s="1"/>
  <c r="U83" i="23"/>
  <c r="G151" i="39" s="1"/>
  <c r="K151" i="39" s="1"/>
  <c r="G150" i="27"/>
  <c r="K150" i="27" s="1"/>
  <c r="L150" i="27" s="1"/>
  <c r="M150" i="27" s="1"/>
  <c r="I84" i="23"/>
  <c r="G152" i="37" s="1"/>
  <c r="K152" i="37" s="1"/>
  <c r="G151" i="24"/>
  <c r="K151" i="24" s="1"/>
  <c r="L151" i="24" s="1"/>
  <c r="M151" i="24" s="1"/>
  <c r="G151" i="28"/>
  <c r="C86" i="23" l="1"/>
  <c r="G154" i="19" s="1"/>
  <c r="K154" i="19" s="1"/>
  <c r="O84" i="23"/>
  <c r="G152" i="38" s="1"/>
  <c r="K152" i="38" s="1"/>
  <c r="G151" i="25"/>
  <c r="K151" i="25" s="1"/>
  <c r="L151" i="25" s="1"/>
  <c r="M151" i="25" s="1"/>
  <c r="U84" i="23"/>
  <c r="G152" i="39" s="1"/>
  <c r="K152" i="39" s="1"/>
  <c r="G151" i="27"/>
  <c r="K151" i="27" s="1"/>
  <c r="L151" i="27" s="1"/>
  <c r="M151" i="27" s="1"/>
  <c r="I85" i="23"/>
  <c r="G153" i="37" s="1"/>
  <c r="K153" i="37" s="1"/>
  <c r="G152" i="24"/>
  <c r="K152" i="24" s="1"/>
  <c r="L152" i="24" s="1"/>
  <c r="M152" i="24" s="1"/>
  <c r="G152" i="28"/>
  <c r="C87" i="23" l="1"/>
  <c r="G155" i="19" s="1"/>
  <c r="K155" i="19" s="1"/>
  <c r="O85" i="23"/>
  <c r="G153" i="38" s="1"/>
  <c r="K153" i="38" s="1"/>
  <c r="G152" i="25"/>
  <c r="K152" i="25" s="1"/>
  <c r="L152" i="25" s="1"/>
  <c r="M152" i="25" s="1"/>
  <c r="U85" i="23"/>
  <c r="G153" i="39" s="1"/>
  <c r="K153" i="39" s="1"/>
  <c r="G152" i="27"/>
  <c r="K152" i="27" s="1"/>
  <c r="L152" i="27" s="1"/>
  <c r="M152" i="27" s="1"/>
  <c r="I86" i="23"/>
  <c r="G154" i="37" s="1"/>
  <c r="K154" i="37" s="1"/>
  <c r="G153" i="24"/>
  <c r="K153" i="24" s="1"/>
  <c r="L153" i="24" s="1"/>
  <c r="M153" i="24" s="1"/>
  <c r="G153" i="28"/>
  <c r="C88" i="23" l="1"/>
  <c r="G156" i="19" s="1"/>
  <c r="K156" i="19" s="1"/>
  <c r="O86" i="23"/>
  <c r="G154" i="38" s="1"/>
  <c r="K154" i="38" s="1"/>
  <c r="G153" i="25"/>
  <c r="K153" i="25" s="1"/>
  <c r="L153" i="25" s="1"/>
  <c r="M153" i="25" s="1"/>
  <c r="U86" i="23"/>
  <c r="G154" i="39" s="1"/>
  <c r="K154" i="39" s="1"/>
  <c r="G153" i="27"/>
  <c r="K153" i="27" s="1"/>
  <c r="L153" i="27" s="1"/>
  <c r="M153" i="27" s="1"/>
  <c r="I87" i="23"/>
  <c r="G155" i="37" s="1"/>
  <c r="K155" i="37" s="1"/>
  <c r="G154" i="24"/>
  <c r="K154" i="24" s="1"/>
  <c r="L154" i="24" s="1"/>
  <c r="M154" i="24" s="1"/>
  <c r="G154" i="28"/>
  <c r="C89" i="23" l="1"/>
  <c r="G157" i="19" s="1"/>
  <c r="K157" i="19" s="1"/>
  <c r="O87" i="23"/>
  <c r="G155" i="38" s="1"/>
  <c r="K155" i="38" s="1"/>
  <c r="G154" i="25"/>
  <c r="K154" i="25" s="1"/>
  <c r="L154" i="25" s="1"/>
  <c r="M154" i="25" s="1"/>
  <c r="U87" i="23"/>
  <c r="G155" i="39" s="1"/>
  <c r="K155" i="39" s="1"/>
  <c r="G154" i="27"/>
  <c r="K154" i="27" s="1"/>
  <c r="L154" i="27" s="1"/>
  <c r="M154" i="27" s="1"/>
  <c r="I88" i="23"/>
  <c r="G156" i="37" s="1"/>
  <c r="K156" i="37" s="1"/>
  <c r="G155" i="24"/>
  <c r="K155" i="24" s="1"/>
  <c r="L155" i="24" s="1"/>
  <c r="M155" i="24" s="1"/>
  <c r="G155" i="28"/>
  <c r="C90" i="23" l="1"/>
  <c r="G158" i="19" s="1"/>
  <c r="K158" i="19" s="1"/>
  <c r="K239" i="19" s="1"/>
  <c r="O88" i="23"/>
  <c r="G156" i="38" s="1"/>
  <c r="K156" i="38" s="1"/>
  <c r="G155" i="25"/>
  <c r="K155" i="25" s="1"/>
  <c r="L155" i="25" s="1"/>
  <c r="M155" i="25" s="1"/>
  <c r="U88" i="23"/>
  <c r="G156" i="39" s="1"/>
  <c r="K156" i="39" s="1"/>
  <c r="G155" i="27"/>
  <c r="K155" i="27" s="1"/>
  <c r="L155" i="27" s="1"/>
  <c r="M155" i="27" s="1"/>
  <c r="I89" i="23"/>
  <c r="G157" i="37" s="1"/>
  <c r="K157" i="37" s="1"/>
  <c r="G156" i="24"/>
  <c r="K156" i="24" s="1"/>
  <c r="L156" i="24" s="1"/>
  <c r="M156" i="24" s="1"/>
  <c r="G156" i="28"/>
  <c r="E90" i="23" l="1"/>
  <c r="D9" i="23" s="1"/>
  <c r="D90" i="23"/>
  <c r="F8" i="23" s="1"/>
  <c r="G8" i="23" s="1"/>
  <c r="O89" i="23"/>
  <c r="G157" i="38" s="1"/>
  <c r="K157" i="38" s="1"/>
  <c r="G156" i="25"/>
  <c r="K156" i="25" s="1"/>
  <c r="L156" i="25" s="1"/>
  <c r="M156" i="25" s="1"/>
  <c r="U89" i="23"/>
  <c r="G157" i="39" s="1"/>
  <c r="K157" i="39" s="1"/>
  <c r="G156" i="27"/>
  <c r="K156" i="27" s="1"/>
  <c r="L156" i="27" s="1"/>
  <c r="M156" i="27" s="1"/>
  <c r="I90" i="23"/>
  <c r="G158" i="37" s="1"/>
  <c r="K158" i="37" s="1"/>
  <c r="K239" i="37" s="1"/>
  <c r="G157" i="24"/>
  <c r="K157" i="24" s="1"/>
  <c r="L157" i="24" s="1"/>
  <c r="M157" i="24" s="1"/>
  <c r="L239" i="19"/>
  <c r="M239" i="19" s="1"/>
  <c r="G157" i="28"/>
  <c r="L239" i="37" l="1"/>
  <c r="M239" i="37" s="1"/>
  <c r="N239" i="24"/>
  <c r="O90" i="23"/>
  <c r="G158" i="38" s="1"/>
  <c r="K158" i="38" s="1"/>
  <c r="K239" i="38" s="1"/>
  <c r="G157" i="25"/>
  <c r="K157" i="25" s="1"/>
  <c r="L157" i="25" s="1"/>
  <c r="M157" i="25" s="1"/>
  <c r="U90" i="23"/>
  <c r="G158" i="39" s="1"/>
  <c r="K158" i="39" s="1"/>
  <c r="K239" i="39" s="1"/>
  <c r="G157" i="27"/>
  <c r="K157" i="27" s="1"/>
  <c r="L157" i="27" s="1"/>
  <c r="M157" i="27" s="1"/>
  <c r="G158" i="24"/>
  <c r="K158" i="24" s="1"/>
  <c r="K90" i="23"/>
  <c r="J9" i="23" s="1"/>
  <c r="K9" i="23" s="1"/>
  <c r="I91" i="23" s="1"/>
  <c r="G159" i="37" s="1"/>
  <c r="K159" i="37" s="1"/>
  <c r="J90" i="23"/>
  <c r="L8" i="23" s="1"/>
  <c r="M8" i="23" s="1"/>
  <c r="G158" i="28"/>
  <c r="AD8" i="23"/>
  <c r="AE8" i="23" s="1"/>
  <c r="L239" i="38" l="1"/>
  <c r="M239" i="38" s="1"/>
  <c r="N239" i="25"/>
  <c r="N239" i="27"/>
  <c r="L239" i="39"/>
  <c r="M239" i="39" s="1"/>
  <c r="K239" i="24"/>
  <c r="L158" i="24"/>
  <c r="M158" i="24" s="1"/>
  <c r="G158" i="25"/>
  <c r="K158" i="25" s="1"/>
  <c r="Q90" i="23"/>
  <c r="P9" i="23" s="1"/>
  <c r="Q9" i="23" s="1"/>
  <c r="O91" i="23" s="1"/>
  <c r="P90" i="23"/>
  <c r="R8" i="23" s="1"/>
  <c r="S8" i="23" s="1"/>
  <c r="G158" i="27"/>
  <c r="K158" i="27" s="1"/>
  <c r="W90" i="23"/>
  <c r="V9" i="23" s="1"/>
  <c r="W9" i="23" s="1"/>
  <c r="U91" i="23" s="1"/>
  <c r="V90" i="23"/>
  <c r="X8" i="23" s="1"/>
  <c r="Y8" i="23" s="1"/>
  <c r="G159" i="24"/>
  <c r="K159" i="24" s="1"/>
  <c r="L159" i="24" s="1"/>
  <c r="M159" i="24" s="1"/>
  <c r="I92" i="23"/>
  <c r="G160" i="37" s="1"/>
  <c r="K160" i="37" s="1"/>
  <c r="AB9" i="23"/>
  <c r="AC9" i="23" s="1"/>
  <c r="AA91" i="23" s="1"/>
  <c r="G159" i="25" l="1"/>
  <c r="K159" i="25" s="1"/>
  <c r="L159" i="25" s="1"/>
  <c r="M159" i="25" s="1"/>
  <c r="G159" i="38"/>
  <c r="K159" i="38" s="1"/>
  <c r="G159" i="27"/>
  <c r="K159" i="27" s="1"/>
  <c r="L159" i="27" s="1"/>
  <c r="M159" i="27" s="1"/>
  <c r="G159" i="39"/>
  <c r="K159" i="39" s="1"/>
  <c r="K239" i="27"/>
  <c r="L158" i="27"/>
  <c r="M158" i="27" s="1"/>
  <c r="K239" i="25"/>
  <c r="L158" i="25"/>
  <c r="M158" i="25" s="1"/>
  <c r="L239" i="24"/>
  <c r="M239" i="24" s="1"/>
  <c r="O239" i="24"/>
  <c r="I93" i="23"/>
  <c r="G161" i="37" s="1"/>
  <c r="K161" i="37" s="1"/>
  <c r="G160" i="24"/>
  <c r="K160" i="24" s="1"/>
  <c r="L160" i="24" s="1"/>
  <c r="M160" i="24" s="1"/>
  <c r="AA92" i="23"/>
  <c r="AA93" i="23" s="1"/>
  <c r="AA94" i="23" s="1"/>
  <c r="AA95" i="23" s="1"/>
  <c r="AA96" i="23" s="1"/>
  <c r="AA97" i="23" s="1"/>
  <c r="AA98" i="23" s="1"/>
  <c r="AA99" i="23" s="1"/>
  <c r="AA100" i="23" s="1"/>
  <c r="AA101" i="23" s="1"/>
  <c r="AA102" i="23" s="1"/>
  <c r="G159" i="28"/>
  <c r="U92" i="23"/>
  <c r="G160" i="39" s="1"/>
  <c r="K160" i="39" s="1"/>
  <c r="O92" i="23"/>
  <c r="G160" i="38" s="1"/>
  <c r="K160" i="38" s="1"/>
  <c r="L239" i="27" l="1"/>
  <c r="M239" i="27" s="1"/>
  <c r="O239" i="27"/>
  <c r="O239" i="25"/>
  <c r="L239" i="25"/>
  <c r="M239" i="25" s="1"/>
  <c r="O93" i="23"/>
  <c r="G161" i="38" s="1"/>
  <c r="K161" i="38" s="1"/>
  <c r="G160" i="25"/>
  <c r="K160" i="25" s="1"/>
  <c r="L160" i="25" s="1"/>
  <c r="M160" i="25" s="1"/>
  <c r="U93" i="23"/>
  <c r="G161" i="39" s="1"/>
  <c r="K161" i="39" s="1"/>
  <c r="G160" i="27"/>
  <c r="K160" i="27" s="1"/>
  <c r="L160" i="27" s="1"/>
  <c r="M160" i="27" s="1"/>
  <c r="I94" i="23"/>
  <c r="G162" i="37" s="1"/>
  <c r="K162" i="37" s="1"/>
  <c r="G161" i="24"/>
  <c r="K161" i="24" s="1"/>
  <c r="L161" i="24" s="1"/>
  <c r="M161" i="24" s="1"/>
  <c r="G160" i="28"/>
  <c r="AB102" i="23"/>
  <c r="AC102" i="23"/>
  <c r="G161" i="28"/>
  <c r="O94" i="23" l="1"/>
  <c r="G162" i="38" s="1"/>
  <c r="K162" i="38" s="1"/>
  <c r="G161" i="25"/>
  <c r="K161" i="25" s="1"/>
  <c r="L161" i="25" s="1"/>
  <c r="M161" i="25" s="1"/>
  <c r="U94" i="23"/>
  <c r="G162" i="39" s="1"/>
  <c r="K162" i="39" s="1"/>
  <c r="G161" i="27"/>
  <c r="K161" i="27" s="1"/>
  <c r="L161" i="27" s="1"/>
  <c r="M161" i="27" s="1"/>
  <c r="I95" i="23"/>
  <c r="G163" i="37" s="1"/>
  <c r="K163" i="37" s="1"/>
  <c r="G162" i="24"/>
  <c r="K162" i="24" s="1"/>
  <c r="L162" i="24" s="1"/>
  <c r="M162" i="24" s="1"/>
  <c r="G162" i="28"/>
  <c r="O95" i="23" l="1"/>
  <c r="G163" i="38" s="1"/>
  <c r="K163" i="38" s="1"/>
  <c r="G162" i="25"/>
  <c r="K162" i="25" s="1"/>
  <c r="L162" i="25" s="1"/>
  <c r="M162" i="25" s="1"/>
  <c r="U95" i="23"/>
  <c r="G163" i="39" s="1"/>
  <c r="K163" i="39" s="1"/>
  <c r="G162" i="27"/>
  <c r="K162" i="27" s="1"/>
  <c r="L162" i="27" s="1"/>
  <c r="M162" i="27" s="1"/>
  <c r="I96" i="23"/>
  <c r="G164" i="37" s="1"/>
  <c r="K164" i="37" s="1"/>
  <c r="G163" i="24"/>
  <c r="K163" i="24" s="1"/>
  <c r="L163" i="24" s="1"/>
  <c r="M163" i="24" s="1"/>
  <c r="G163" i="28"/>
  <c r="U96" i="23" l="1"/>
  <c r="G164" i="39" s="1"/>
  <c r="K164" i="39" s="1"/>
  <c r="G163" i="27"/>
  <c r="K163" i="27" s="1"/>
  <c r="L163" i="27" s="1"/>
  <c r="M163" i="27" s="1"/>
  <c r="O96" i="23"/>
  <c r="G164" i="38" s="1"/>
  <c r="K164" i="38" s="1"/>
  <c r="G163" i="25"/>
  <c r="K163" i="25" s="1"/>
  <c r="L163" i="25" s="1"/>
  <c r="M163" i="25" s="1"/>
  <c r="I97" i="23"/>
  <c r="G165" i="37" s="1"/>
  <c r="K165" i="37" s="1"/>
  <c r="G164" i="24"/>
  <c r="K164" i="24" s="1"/>
  <c r="L164" i="24" s="1"/>
  <c r="M164" i="24" s="1"/>
  <c r="G164" i="28"/>
  <c r="U97" i="23" l="1"/>
  <c r="G165" i="39" s="1"/>
  <c r="K165" i="39" s="1"/>
  <c r="G164" i="27"/>
  <c r="K164" i="27" s="1"/>
  <c r="L164" i="27" s="1"/>
  <c r="M164" i="27" s="1"/>
  <c r="O97" i="23"/>
  <c r="G165" i="38" s="1"/>
  <c r="K165" i="38" s="1"/>
  <c r="G164" i="25"/>
  <c r="K164" i="25" s="1"/>
  <c r="L164" i="25" s="1"/>
  <c r="M164" i="25" s="1"/>
  <c r="I98" i="23"/>
  <c r="G166" i="37" s="1"/>
  <c r="K166" i="37" s="1"/>
  <c r="G165" i="24"/>
  <c r="K165" i="24" s="1"/>
  <c r="L165" i="24" s="1"/>
  <c r="M165" i="24" s="1"/>
  <c r="G165" i="28"/>
  <c r="U98" i="23" l="1"/>
  <c r="G166" i="39" s="1"/>
  <c r="K166" i="39" s="1"/>
  <c r="G165" i="27"/>
  <c r="K165" i="27" s="1"/>
  <c r="L165" i="27" s="1"/>
  <c r="M165" i="27" s="1"/>
  <c r="O98" i="23"/>
  <c r="G166" i="38" s="1"/>
  <c r="K166" i="38" s="1"/>
  <c r="G165" i="25"/>
  <c r="K165" i="25" s="1"/>
  <c r="L165" i="25" s="1"/>
  <c r="M165" i="25" s="1"/>
  <c r="I99" i="23"/>
  <c r="G167" i="37" s="1"/>
  <c r="K167" i="37" s="1"/>
  <c r="G166" i="24"/>
  <c r="K166" i="24" s="1"/>
  <c r="L166" i="24" s="1"/>
  <c r="M166" i="24" s="1"/>
  <c r="G166" i="28"/>
  <c r="U99" i="23" l="1"/>
  <c r="G167" i="39" s="1"/>
  <c r="K167" i="39" s="1"/>
  <c r="G166" i="27"/>
  <c r="K166" i="27" s="1"/>
  <c r="L166" i="27" s="1"/>
  <c r="M166" i="27" s="1"/>
  <c r="O99" i="23"/>
  <c r="G167" i="38" s="1"/>
  <c r="K167" i="38" s="1"/>
  <c r="G166" i="25"/>
  <c r="K166" i="25" s="1"/>
  <c r="L166" i="25" s="1"/>
  <c r="M166" i="25" s="1"/>
  <c r="I100" i="23"/>
  <c r="G168" i="37" s="1"/>
  <c r="K168" i="37" s="1"/>
  <c r="G167" i="24"/>
  <c r="K167" i="24" s="1"/>
  <c r="L167" i="24" s="1"/>
  <c r="M167" i="24" s="1"/>
  <c r="G167" i="28"/>
  <c r="U100" i="23" l="1"/>
  <c r="G168" i="39" s="1"/>
  <c r="K168" i="39" s="1"/>
  <c r="G167" i="27"/>
  <c r="K167" i="27" s="1"/>
  <c r="L167" i="27" s="1"/>
  <c r="M167" i="27" s="1"/>
  <c r="O100" i="23"/>
  <c r="G168" i="38" s="1"/>
  <c r="K168" i="38" s="1"/>
  <c r="G167" i="25"/>
  <c r="K167" i="25" s="1"/>
  <c r="L167" i="25" s="1"/>
  <c r="M167" i="25" s="1"/>
  <c r="I101" i="23"/>
  <c r="G169" i="37" s="1"/>
  <c r="K169" i="37" s="1"/>
  <c r="G168" i="24"/>
  <c r="K168" i="24" s="1"/>
  <c r="L168" i="24" s="1"/>
  <c r="M168" i="24" s="1"/>
  <c r="G168" i="28"/>
  <c r="U101" i="23" l="1"/>
  <c r="G169" i="39" s="1"/>
  <c r="K169" i="39" s="1"/>
  <c r="G168" i="27"/>
  <c r="K168" i="27" s="1"/>
  <c r="L168" i="27" s="1"/>
  <c r="M168" i="27" s="1"/>
  <c r="O101" i="23"/>
  <c r="G169" i="38" s="1"/>
  <c r="K169" i="38" s="1"/>
  <c r="G168" i="25"/>
  <c r="K168" i="25" s="1"/>
  <c r="L168" i="25" s="1"/>
  <c r="M168" i="25" s="1"/>
  <c r="I102" i="23"/>
  <c r="G170" i="37" s="1"/>
  <c r="K170" i="37" s="1"/>
  <c r="K240" i="37" s="1"/>
  <c r="G169" i="24"/>
  <c r="K169" i="24" s="1"/>
  <c r="L169" i="24" s="1"/>
  <c r="M169" i="24" s="1"/>
  <c r="G169" i="28"/>
  <c r="N240" i="24" l="1"/>
  <c r="L240" i="37"/>
  <c r="M240" i="37" s="1"/>
  <c r="U102" i="23"/>
  <c r="G170" i="39" s="1"/>
  <c r="K170" i="39" s="1"/>
  <c r="K240" i="39" s="1"/>
  <c r="G169" i="27"/>
  <c r="K169" i="27" s="1"/>
  <c r="L169" i="27" s="1"/>
  <c r="M169" i="27" s="1"/>
  <c r="O102" i="23"/>
  <c r="G170" i="38" s="1"/>
  <c r="K170" i="38" s="1"/>
  <c r="K240" i="38" s="1"/>
  <c r="G169" i="25"/>
  <c r="K169" i="25" s="1"/>
  <c r="L169" i="25" s="1"/>
  <c r="M169" i="25" s="1"/>
  <c r="G170" i="24"/>
  <c r="K170" i="24" s="1"/>
  <c r="K102" i="23"/>
  <c r="J10" i="23" s="1"/>
  <c r="K10" i="23" s="1"/>
  <c r="I103" i="23" s="1"/>
  <c r="G171" i="37" s="1"/>
  <c r="K171" i="37" s="1"/>
  <c r="J102" i="23"/>
  <c r="L9" i="23" s="1"/>
  <c r="M9" i="23" s="1"/>
  <c r="G170" i="28"/>
  <c r="AD9" i="23"/>
  <c r="AE9" i="23" s="1"/>
  <c r="L240" i="39" l="1"/>
  <c r="M240" i="39" s="1"/>
  <c r="N240" i="27"/>
  <c r="L240" i="38"/>
  <c r="M240" i="38" s="1"/>
  <c r="N240" i="25"/>
  <c r="K240" i="24"/>
  <c r="L170" i="24"/>
  <c r="M170" i="24" s="1"/>
  <c r="G170" i="27"/>
  <c r="K170" i="27" s="1"/>
  <c r="W102" i="23"/>
  <c r="V10" i="23" s="1"/>
  <c r="W10" i="23" s="1"/>
  <c r="U103" i="23" s="1"/>
  <c r="V102" i="23"/>
  <c r="X9" i="23" s="1"/>
  <c r="Y9" i="23" s="1"/>
  <c r="G170" i="25"/>
  <c r="K170" i="25" s="1"/>
  <c r="Q102" i="23"/>
  <c r="P10" i="23" s="1"/>
  <c r="Q10" i="23" s="1"/>
  <c r="O103" i="23" s="1"/>
  <c r="P102" i="23"/>
  <c r="R9" i="23" s="1"/>
  <c r="S9" i="23" s="1"/>
  <c r="G171" i="24"/>
  <c r="K171" i="24" s="1"/>
  <c r="L171" i="24" s="1"/>
  <c r="M171" i="24" s="1"/>
  <c r="I104" i="23"/>
  <c r="G172" i="37" s="1"/>
  <c r="K172" i="37" s="1"/>
  <c r="AB10" i="23"/>
  <c r="AC10" i="23" s="1"/>
  <c r="AA103" i="23" s="1"/>
  <c r="G171" i="27" l="1"/>
  <c r="K171" i="27" s="1"/>
  <c r="L171" i="27" s="1"/>
  <c r="M171" i="27" s="1"/>
  <c r="G171" i="39"/>
  <c r="K171" i="39" s="1"/>
  <c r="G171" i="25"/>
  <c r="K171" i="25" s="1"/>
  <c r="L171" i="25" s="1"/>
  <c r="M171" i="25" s="1"/>
  <c r="G171" i="38"/>
  <c r="K171" i="38" s="1"/>
  <c r="K240" i="27"/>
  <c r="L170" i="27"/>
  <c r="M170" i="27" s="1"/>
  <c r="K240" i="25"/>
  <c r="L170" i="25"/>
  <c r="M170" i="25" s="1"/>
  <c r="L240" i="24"/>
  <c r="M240" i="24" s="1"/>
  <c r="O240" i="24"/>
  <c r="I105" i="23"/>
  <c r="G173" i="37" s="1"/>
  <c r="K173" i="37" s="1"/>
  <c r="G172" i="24"/>
  <c r="K172" i="24" s="1"/>
  <c r="L172" i="24" s="1"/>
  <c r="M172" i="24" s="1"/>
  <c r="AA104" i="23"/>
  <c r="AA105" i="23" s="1"/>
  <c r="AA106" i="23" s="1"/>
  <c r="AA107" i="23" s="1"/>
  <c r="AA108" i="23" s="1"/>
  <c r="AA109" i="23" s="1"/>
  <c r="AA110" i="23" s="1"/>
  <c r="AA111" i="23" s="1"/>
  <c r="AA112" i="23" s="1"/>
  <c r="AA113" i="23" s="1"/>
  <c r="AA114" i="23" s="1"/>
  <c r="G171" i="28"/>
  <c r="U104" i="23"/>
  <c r="G172" i="39" s="1"/>
  <c r="K172" i="39" s="1"/>
  <c r="O104" i="23"/>
  <c r="G172" i="38" s="1"/>
  <c r="K172" i="38" s="1"/>
  <c r="L240" i="27" l="1"/>
  <c r="M240" i="27" s="1"/>
  <c r="O240" i="27"/>
  <c r="L240" i="25"/>
  <c r="M240" i="25" s="1"/>
  <c r="O240" i="25"/>
  <c r="O105" i="23"/>
  <c r="G173" i="38" s="1"/>
  <c r="K173" i="38" s="1"/>
  <c r="G172" i="25"/>
  <c r="K172" i="25" s="1"/>
  <c r="L172" i="25" s="1"/>
  <c r="M172" i="25" s="1"/>
  <c r="U105" i="23"/>
  <c r="G173" i="39" s="1"/>
  <c r="K173" i="39" s="1"/>
  <c r="G172" i="27"/>
  <c r="K172" i="27" s="1"/>
  <c r="L172" i="27" s="1"/>
  <c r="M172" i="27" s="1"/>
  <c r="G172" i="28"/>
  <c r="I106" i="23"/>
  <c r="G174" i="37" s="1"/>
  <c r="K174" i="37" s="1"/>
  <c r="G173" i="24"/>
  <c r="K173" i="24" s="1"/>
  <c r="L173" i="24" s="1"/>
  <c r="M173" i="24" s="1"/>
  <c r="AB114" i="23"/>
  <c r="AC114" i="23"/>
  <c r="G173" i="28"/>
  <c r="O106" i="23" l="1"/>
  <c r="G174" i="38" s="1"/>
  <c r="K174" i="38" s="1"/>
  <c r="G173" i="25"/>
  <c r="K173" i="25" s="1"/>
  <c r="L173" i="25" s="1"/>
  <c r="M173" i="25" s="1"/>
  <c r="U106" i="23"/>
  <c r="G174" i="39" s="1"/>
  <c r="K174" i="39" s="1"/>
  <c r="G173" i="27"/>
  <c r="K173" i="27" s="1"/>
  <c r="L173" i="27" s="1"/>
  <c r="M173" i="27" s="1"/>
  <c r="I107" i="23"/>
  <c r="G175" i="37" s="1"/>
  <c r="K175" i="37" s="1"/>
  <c r="G174" i="24"/>
  <c r="K174" i="24" s="1"/>
  <c r="L174" i="24" s="1"/>
  <c r="M174" i="24" s="1"/>
  <c r="G174" i="28"/>
  <c r="O107" i="23" l="1"/>
  <c r="G175" i="38" s="1"/>
  <c r="K175" i="38" s="1"/>
  <c r="G174" i="25"/>
  <c r="K174" i="25" s="1"/>
  <c r="L174" i="25" s="1"/>
  <c r="M174" i="25" s="1"/>
  <c r="U107" i="23"/>
  <c r="G175" i="39" s="1"/>
  <c r="K175" i="39" s="1"/>
  <c r="G174" i="27"/>
  <c r="K174" i="27" s="1"/>
  <c r="L174" i="27" s="1"/>
  <c r="M174" i="27" s="1"/>
  <c r="I108" i="23"/>
  <c r="G176" i="37" s="1"/>
  <c r="K176" i="37" s="1"/>
  <c r="G175" i="24"/>
  <c r="K175" i="24" s="1"/>
  <c r="L175" i="24" s="1"/>
  <c r="M175" i="24" s="1"/>
  <c r="G175" i="28"/>
  <c r="O108" i="23" l="1"/>
  <c r="G176" i="38" s="1"/>
  <c r="K176" i="38" s="1"/>
  <c r="G175" i="25"/>
  <c r="K175" i="25" s="1"/>
  <c r="L175" i="25" s="1"/>
  <c r="M175" i="25" s="1"/>
  <c r="U108" i="23"/>
  <c r="G176" i="39" s="1"/>
  <c r="K176" i="39" s="1"/>
  <c r="G175" i="27"/>
  <c r="K175" i="27" s="1"/>
  <c r="L175" i="27" s="1"/>
  <c r="M175" i="27" s="1"/>
  <c r="I109" i="23"/>
  <c r="G177" i="37" s="1"/>
  <c r="K177" i="37" s="1"/>
  <c r="G176" i="24"/>
  <c r="K176" i="24" s="1"/>
  <c r="L176" i="24" s="1"/>
  <c r="M176" i="24" s="1"/>
  <c r="G176" i="28"/>
  <c r="O109" i="23" l="1"/>
  <c r="G177" i="38" s="1"/>
  <c r="K177" i="38" s="1"/>
  <c r="G176" i="25"/>
  <c r="K176" i="25" s="1"/>
  <c r="L176" i="25" s="1"/>
  <c r="M176" i="25" s="1"/>
  <c r="U109" i="23"/>
  <c r="G177" i="39" s="1"/>
  <c r="K177" i="39" s="1"/>
  <c r="G176" i="27"/>
  <c r="K176" i="27" s="1"/>
  <c r="L176" i="27" s="1"/>
  <c r="M176" i="27" s="1"/>
  <c r="I110" i="23"/>
  <c r="G178" i="37" s="1"/>
  <c r="K178" i="37" s="1"/>
  <c r="G177" i="24"/>
  <c r="K177" i="24" s="1"/>
  <c r="L177" i="24" s="1"/>
  <c r="M177" i="24" s="1"/>
  <c r="G177" i="28"/>
  <c r="O110" i="23" l="1"/>
  <c r="G178" i="38" s="1"/>
  <c r="K178" i="38" s="1"/>
  <c r="G177" i="25"/>
  <c r="K177" i="25" s="1"/>
  <c r="L177" i="25" s="1"/>
  <c r="M177" i="25" s="1"/>
  <c r="U110" i="23"/>
  <c r="G178" i="39" s="1"/>
  <c r="K178" i="39" s="1"/>
  <c r="G177" i="27"/>
  <c r="K177" i="27" s="1"/>
  <c r="L177" i="27" s="1"/>
  <c r="M177" i="27" s="1"/>
  <c r="I111" i="23"/>
  <c r="G179" i="37" s="1"/>
  <c r="K179" i="37" s="1"/>
  <c r="G178" i="24"/>
  <c r="K178" i="24" s="1"/>
  <c r="L178" i="24" s="1"/>
  <c r="M178" i="24" s="1"/>
  <c r="G178" i="28"/>
  <c r="O111" i="23" l="1"/>
  <c r="G179" i="38" s="1"/>
  <c r="K179" i="38" s="1"/>
  <c r="G178" i="25"/>
  <c r="K178" i="25" s="1"/>
  <c r="L178" i="25" s="1"/>
  <c r="M178" i="25" s="1"/>
  <c r="U111" i="23"/>
  <c r="G179" i="39" s="1"/>
  <c r="K179" i="39" s="1"/>
  <c r="G178" i="27"/>
  <c r="K178" i="27" s="1"/>
  <c r="L178" i="27" s="1"/>
  <c r="M178" i="27" s="1"/>
  <c r="I112" i="23"/>
  <c r="G180" i="37" s="1"/>
  <c r="K180" i="37" s="1"/>
  <c r="G179" i="24"/>
  <c r="K179" i="24" s="1"/>
  <c r="L179" i="24" s="1"/>
  <c r="M179" i="24" s="1"/>
  <c r="G179" i="28"/>
  <c r="O112" i="23" l="1"/>
  <c r="G180" i="38" s="1"/>
  <c r="K180" i="38" s="1"/>
  <c r="G179" i="25"/>
  <c r="K179" i="25" s="1"/>
  <c r="L179" i="25" s="1"/>
  <c r="M179" i="25" s="1"/>
  <c r="U112" i="23"/>
  <c r="G180" i="39" s="1"/>
  <c r="K180" i="39" s="1"/>
  <c r="G179" i="27"/>
  <c r="K179" i="27" s="1"/>
  <c r="L179" i="27" s="1"/>
  <c r="M179" i="27" s="1"/>
  <c r="I113" i="23"/>
  <c r="G181" i="37" s="1"/>
  <c r="K181" i="37" s="1"/>
  <c r="G180" i="24"/>
  <c r="K180" i="24" s="1"/>
  <c r="L180" i="24" s="1"/>
  <c r="M180" i="24" s="1"/>
  <c r="G180" i="28"/>
  <c r="O113" i="23" l="1"/>
  <c r="G181" i="38" s="1"/>
  <c r="K181" i="38" s="1"/>
  <c r="G180" i="25"/>
  <c r="K180" i="25" s="1"/>
  <c r="L180" i="25" s="1"/>
  <c r="M180" i="25" s="1"/>
  <c r="U113" i="23"/>
  <c r="G181" i="39" s="1"/>
  <c r="K181" i="39" s="1"/>
  <c r="G180" i="27"/>
  <c r="K180" i="27" s="1"/>
  <c r="L180" i="27" s="1"/>
  <c r="M180" i="27" s="1"/>
  <c r="I114" i="23"/>
  <c r="G182" i="37" s="1"/>
  <c r="K182" i="37" s="1"/>
  <c r="K241" i="37" s="1"/>
  <c r="G181" i="24"/>
  <c r="K181" i="24" s="1"/>
  <c r="L181" i="24" s="1"/>
  <c r="M181" i="24" s="1"/>
  <c r="G181" i="28"/>
  <c r="L241" i="37" l="1"/>
  <c r="M241" i="37" s="1"/>
  <c r="N241" i="24"/>
  <c r="U114" i="23"/>
  <c r="G182" i="39" s="1"/>
  <c r="K182" i="39" s="1"/>
  <c r="K241" i="39" s="1"/>
  <c r="G181" i="27"/>
  <c r="K181" i="27" s="1"/>
  <c r="L181" i="27" s="1"/>
  <c r="M181" i="27" s="1"/>
  <c r="O114" i="23"/>
  <c r="G182" i="38" s="1"/>
  <c r="K182" i="38" s="1"/>
  <c r="K241" i="38" s="1"/>
  <c r="G181" i="25"/>
  <c r="K181" i="25" s="1"/>
  <c r="L181" i="25" s="1"/>
  <c r="M181" i="25" s="1"/>
  <c r="G182" i="24"/>
  <c r="K182" i="24" s="1"/>
  <c r="K114" i="23"/>
  <c r="J11" i="23" s="1"/>
  <c r="K11" i="23" s="1"/>
  <c r="I115" i="23" s="1"/>
  <c r="G183" i="37" s="1"/>
  <c r="K183" i="37" s="1"/>
  <c r="J114" i="23"/>
  <c r="L10" i="23" s="1"/>
  <c r="M10" i="23" s="1"/>
  <c r="G182" i="28"/>
  <c r="AB11" i="23"/>
  <c r="AC11" i="23" s="1"/>
  <c r="AA115" i="23" s="1"/>
  <c r="G183" i="28" s="1"/>
  <c r="AD10" i="23"/>
  <c r="AE10" i="23" s="1"/>
  <c r="N241" i="27" l="1"/>
  <c r="L241" i="39"/>
  <c r="M241" i="39" s="1"/>
  <c r="L241" i="38"/>
  <c r="M241" i="38" s="1"/>
  <c r="N241" i="25"/>
  <c r="K241" i="24"/>
  <c r="L182" i="24"/>
  <c r="M182" i="24" s="1"/>
  <c r="G182" i="27"/>
  <c r="K182" i="27" s="1"/>
  <c r="L182" i="27" s="1"/>
  <c r="M182" i="27" s="1"/>
  <c r="W114" i="23"/>
  <c r="V11" i="23" s="1"/>
  <c r="W11" i="23" s="1"/>
  <c r="U115" i="23" s="1"/>
  <c r="G183" i="39" s="1"/>
  <c r="K183" i="39" s="1"/>
  <c r="V114" i="23"/>
  <c r="X10" i="23" s="1"/>
  <c r="Y10" i="23" s="1"/>
  <c r="G182" i="25"/>
  <c r="K182" i="25" s="1"/>
  <c r="Q114" i="23"/>
  <c r="P11" i="23" s="1"/>
  <c r="Q11" i="23" s="1"/>
  <c r="O115" i="23" s="1"/>
  <c r="G183" i="38" s="1"/>
  <c r="K183" i="38" s="1"/>
  <c r="P114" i="23"/>
  <c r="R10" i="23" s="1"/>
  <c r="S10" i="23" s="1"/>
  <c r="G183" i="24"/>
  <c r="K183" i="24" s="1"/>
  <c r="L183" i="24" s="1"/>
  <c r="M183" i="24" s="1"/>
  <c r="I116" i="23"/>
  <c r="G184" i="37" s="1"/>
  <c r="K184" i="37" s="1"/>
  <c r="AA116" i="23"/>
  <c r="K241" i="25" l="1"/>
  <c r="L182" i="25"/>
  <c r="M182" i="25" s="1"/>
  <c r="L241" i="24"/>
  <c r="M241" i="24" s="1"/>
  <c r="O241" i="24"/>
  <c r="AA117" i="23"/>
  <c r="G184" i="28"/>
  <c r="G183" i="25"/>
  <c r="K183" i="25" s="1"/>
  <c r="L183" i="25" s="1"/>
  <c r="M183" i="25" s="1"/>
  <c r="O116" i="23"/>
  <c r="G184" i="38" s="1"/>
  <c r="K184" i="38" s="1"/>
  <c r="G183" i="27"/>
  <c r="K183" i="27" s="1"/>
  <c r="L183" i="27" s="1"/>
  <c r="M183" i="27" s="1"/>
  <c r="U116" i="23"/>
  <c r="G184" i="39" s="1"/>
  <c r="K184" i="39" s="1"/>
  <c r="I117" i="23"/>
  <c r="G185" i="37" s="1"/>
  <c r="K185" i="37" s="1"/>
  <c r="G184" i="24"/>
  <c r="K184" i="24" s="1"/>
  <c r="L184" i="24" s="1"/>
  <c r="M184" i="24" s="1"/>
  <c r="K241" i="27"/>
  <c r="O241" i="27" l="1"/>
  <c r="L241" i="25"/>
  <c r="M241" i="25" s="1"/>
  <c r="O241" i="25"/>
  <c r="O117" i="23"/>
  <c r="G185" i="38" s="1"/>
  <c r="K185" i="38" s="1"/>
  <c r="G184" i="25"/>
  <c r="K184" i="25" s="1"/>
  <c r="L184" i="25" s="1"/>
  <c r="M184" i="25" s="1"/>
  <c r="U117" i="23"/>
  <c r="G185" i="39" s="1"/>
  <c r="K185" i="39" s="1"/>
  <c r="G184" i="27"/>
  <c r="K184" i="27" s="1"/>
  <c r="L184" i="27" s="1"/>
  <c r="M184" i="27" s="1"/>
  <c r="AA118" i="23"/>
  <c r="G185" i="28"/>
  <c r="L241" i="27"/>
  <c r="M241" i="27" s="1"/>
  <c r="I118" i="23"/>
  <c r="G186" i="37" s="1"/>
  <c r="K186" i="37" s="1"/>
  <c r="G185" i="24"/>
  <c r="K185" i="24" s="1"/>
  <c r="L185" i="24" s="1"/>
  <c r="M185" i="24" s="1"/>
  <c r="O118" i="23" l="1"/>
  <c r="G186" i="38" s="1"/>
  <c r="K186" i="38" s="1"/>
  <c r="G185" i="25"/>
  <c r="K185" i="25" s="1"/>
  <c r="L185" i="25" s="1"/>
  <c r="M185" i="25" s="1"/>
  <c r="AA119" i="23"/>
  <c r="G186" i="28"/>
  <c r="U118" i="23"/>
  <c r="G186" i="39" s="1"/>
  <c r="K186" i="39" s="1"/>
  <c r="G185" i="27"/>
  <c r="K185" i="27" s="1"/>
  <c r="L185" i="27" s="1"/>
  <c r="M185" i="27" s="1"/>
  <c r="I119" i="23"/>
  <c r="G187" i="37" s="1"/>
  <c r="K187" i="37" s="1"/>
  <c r="G186" i="24"/>
  <c r="K186" i="24" s="1"/>
  <c r="L186" i="24" s="1"/>
  <c r="M186" i="24" s="1"/>
  <c r="O119" i="23" l="1"/>
  <c r="G187" i="38" s="1"/>
  <c r="K187" i="38" s="1"/>
  <c r="G186" i="25"/>
  <c r="K186" i="25" s="1"/>
  <c r="L186" i="25" s="1"/>
  <c r="M186" i="25" s="1"/>
  <c r="AA120" i="23"/>
  <c r="G187" i="28"/>
  <c r="U119" i="23"/>
  <c r="G187" i="39" s="1"/>
  <c r="K187" i="39" s="1"/>
  <c r="G186" i="27"/>
  <c r="K186" i="27" s="1"/>
  <c r="L186" i="27" s="1"/>
  <c r="M186" i="27" s="1"/>
  <c r="I120" i="23"/>
  <c r="G188" i="37" s="1"/>
  <c r="K188" i="37" s="1"/>
  <c r="G187" i="24"/>
  <c r="K187" i="24" s="1"/>
  <c r="L187" i="24" s="1"/>
  <c r="M187" i="24" s="1"/>
  <c r="O120" i="23" l="1"/>
  <c r="G188" i="38" s="1"/>
  <c r="K188" i="38" s="1"/>
  <c r="G187" i="25"/>
  <c r="K187" i="25" s="1"/>
  <c r="L187" i="25" s="1"/>
  <c r="M187" i="25" s="1"/>
  <c r="AA121" i="23"/>
  <c r="G188" i="28"/>
  <c r="U120" i="23"/>
  <c r="G188" i="39" s="1"/>
  <c r="K188" i="39" s="1"/>
  <c r="G187" i="27"/>
  <c r="K187" i="27" s="1"/>
  <c r="L187" i="27" s="1"/>
  <c r="M187" i="27" s="1"/>
  <c r="I121" i="23"/>
  <c r="G189" i="37" s="1"/>
  <c r="K189" i="37" s="1"/>
  <c r="G188" i="24"/>
  <c r="K188" i="24" s="1"/>
  <c r="L188" i="24" s="1"/>
  <c r="M188" i="24" s="1"/>
  <c r="U121" i="23" l="1"/>
  <c r="G189" i="39" s="1"/>
  <c r="K189" i="39" s="1"/>
  <c r="G188" i="27"/>
  <c r="K188" i="27" s="1"/>
  <c r="L188" i="27" s="1"/>
  <c r="M188" i="27" s="1"/>
  <c r="AA122" i="23"/>
  <c r="G189" i="28"/>
  <c r="O121" i="23"/>
  <c r="G189" i="38" s="1"/>
  <c r="K189" i="38" s="1"/>
  <c r="G188" i="25"/>
  <c r="K188" i="25" s="1"/>
  <c r="L188" i="25" s="1"/>
  <c r="M188" i="25" s="1"/>
  <c r="I122" i="23"/>
  <c r="G190" i="37" s="1"/>
  <c r="K190" i="37" s="1"/>
  <c r="G189" i="24"/>
  <c r="K189" i="24" s="1"/>
  <c r="L189" i="24" s="1"/>
  <c r="M189" i="24" s="1"/>
  <c r="O122" i="23" l="1"/>
  <c r="G190" i="38" s="1"/>
  <c r="K190" i="38" s="1"/>
  <c r="G189" i="25"/>
  <c r="K189" i="25" s="1"/>
  <c r="L189" i="25" s="1"/>
  <c r="M189" i="25" s="1"/>
  <c r="AA123" i="23"/>
  <c r="G190" i="28"/>
  <c r="U122" i="23"/>
  <c r="G190" i="39" s="1"/>
  <c r="K190" i="39" s="1"/>
  <c r="G189" i="27"/>
  <c r="K189" i="27" s="1"/>
  <c r="L189" i="27" s="1"/>
  <c r="M189" i="27" s="1"/>
  <c r="I123" i="23"/>
  <c r="G191" i="37" s="1"/>
  <c r="K191" i="37" s="1"/>
  <c r="G190" i="24"/>
  <c r="K190" i="24" s="1"/>
  <c r="L190" i="24" s="1"/>
  <c r="M190" i="24" s="1"/>
  <c r="O123" i="23" l="1"/>
  <c r="G191" i="38" s="1"/>
  <c r="K191" i="38" s="1"/>
  <c r="G190" i="25"/>
  <c r="K190" i="25" s="1"/>
  <c r="L190" i="25" s="1"/>
  <c r="M190" i="25" s="1"/>
  <c r="U123" i="23"/>
  <c r="G191" i="39" s="1"/>
  <c r="K191" i="39" s="1"/>
  <c r="G190" i="27"/>
  <c r="K190" i="27" s="1"/>
  <c r="L190" i="27" s="1"/>
  <c r="M190" i="27" s="1"/>
  <c r="AA124" i="23"/>
  <c r="G191" i="28"/>
  <c r="I124" i="23"/>
  <c r="G192" i="37" s="1"/>
  <c r="K192" i="37" s="1"/>
  <c r="G191" i="24"/>
  <c r="K191" i="24" s="1"/>
  <c r="L191" i="24" s="1"/>
  <c r="M191" i="24" s="1"/>
  <c r="U124" i="23" l="1"/>
  <c r="G192" i="39" s="1"/>
  <c r="K192" i="39" s="1"/>
  <c r="G191" i="27"/>
  <c r="K191" i="27" s="1"/>
  <c r="L191" i="27" s="1"/>
  <c r="M191" i="27" s="1"/>
  <c r="AA125" i="23"/>
  <c r="G192" i="28"/>
  <c r="O124" i="23"/>
  <c r="G192" i="38" s="1"/>
  <c r="K192" i="38" s="1"/>
  <c r="G191" i="25"/>
  <c r="K191" i="25" s="1"/>
  <c r="L191" i="25" s="1"/>
  <c r="M191" i="25" s="1"/>
  <c r="I125" i="23"/>
  <c r="G193" i="37" s="1"/>
  <c r="K193" i="37" s="1"/>
  <c r="G192" i="24"/>
  <c r="K192" i="24" s="1"/>
  <c r="L192" i="24" s="1"/>
  <c r="M192" i="24" s="1"/>
  <c r="AA126" i="23" l="1"/>
  <c r="G193" i="28"/>
  <c r="O125" i="23"/>
  <c r="G193" i="38" s="1"/>
  <c r="K193" i="38" s="1"/>
  <c r="G192" i="25"/>
  <c r="K192" i="25" s="1"/>
  <c r="L192" i="25" s="1"/>
  <c r="M192" i="25" s="1"/>
  <c r="U125" i="23"/>
  <c r="G193" i="39" s="1"/>
  <c r="K193" i="39" s="1"/>
  <c r="G192" i="27"/>
  <c r="K192" i="27" s="1"/>
  <c r="L192" i="27" s="1"/>
  <c r="M192" i="27" s="1"/>
  <c r="I126" i="23"/>
  <c r="G194" i="37" s="1"/>
  <c r="K194" i="37" s="1"/>
  <c r="K242" i="37" s="1"/>
  <c r="G193" i="24"/>
  <c r="K193" i="24" s="1"/>
  <c r="L193" i="24" s="1"/>
  <c r="M193" i="24" s="1"/>
  <c r="E9" i="23"/>
  <c r="C91" i="23" s="1"/>
  <c r="G159" i="19" s="1"/>
  <c r="K159" i="19" s="1"/>
  <c r="N242" i="24" l="1"/>
  <c r="L242" i="37"/>
  <c r="M242" i="37" s="1"/>
  <c r="U126" i="23"/>
  <c r="G194" i="39" s="1"/>
  <c r="K194" i="39" s="1"/>
  <c r="K242" i="39" s="1"/>
  <c r="G193" i="27"/>
  <c r="K193" i="27" s="1"/>
  <c r="L193" i="27" s="1"/>
  <c r="M193" i="27" s="1"/>
  <c r="G194" i="28"/>
  <c r="AC126" i="23"/>
  <c r="AB12" i="23" s="1"/>
  <c r="AC12" i="23" s="1"/>
  <c r="AA127" i="23" s="1"/>
  <c r="AB126" i="23"/>
  <c r="AD11" i="23" s="1"/>
  <c r="AE11" i="23" s="1"/>
  <c r="O126" i="23"/>
  <c r="G194" i="38" s="1"/>
  <c r="K194" i="38" s="1"/>
  <c r="K242" i="38" s="1"/>
  <c r="G193" i="25"/>
  <c r="K193" i="25" s="1"/>
  <c r="L193" i="25" s="1"/>
  <c r="M193" i="25" s="1"/>
  <c r="G194" i="24"/>
  <c r="K194" i="24" s="1"/>
  <c r="K126" i="23"/>
  <c r="J126" i="23"/>
  <c r="C92" i="23"/>
  <c r="G160" i="19" s="1"/>
  <c r="K160" i="19" s="1"/>
  <c r="N242" i="27" l="1"/>
  <c r="L242" i="39"/>
  <c r="M242" i="39" s="1"/>
  <c r="L242" i="38"/>
  <c r="M242" i="38" s="1"/>
  <c r="N242" i="25"/>
  <c r="K242" i="24"/>
  <c r="L194" i="24"/>
  <c r="M194" i="24" s="1"/>
  <c r="G195" i="28"/>
  <c r="AA128" i="23"/>
  <c r="G194" i="25"/>
  <c r="K194" i="25" s="1"/>
  <c r="Q126" i="23"/>
  <c r="P12" i="23" s="1"/>
  <c r="Q12" i="23" s="1"/>
  <c r="O127" i="23" s="1"/>
  <c r="G195" i="38" s="1"/>
  <c r="K195" i="38" s="1"/>
  <c r="P126" i="23"/>
  <c r="R11" i="23" s="1"/>
  <c r="S11" i="23" s="1"/>
  <c r="G194" i="27"/>
  <c r="K194" i="27" s="1"/>
  <c r="W126" i="23"/>
  <c r="V12" i="23" s="1"/>
  <c r="W12" i="23" s="1"/>
  <c r="U127" i="23" s="1"/>
  <c r="G195" i="39" s="1"/>
  <c r="K195" i="39" s="1"/>
  <c r="V126" i="23"/>
  <c r="X11" i="23" s="1"/>
  <c r="Y11" i="23" s="1"/>
  <c r="C93" i="23"/>
  <c r="K242" i="27" l="1"/>
  <c r="L194" i="27"/>
  <c r="M194" i="27" s="1"/>
  <c r="K242" i="25"/>
  <c r="L194" i="25"/>
  <c r="M194" i="25" s="1"/>
  <c r="L242" i="24"/>
  <c r="M242" i="24" s="1"/>
  <c r="O242" i="24"/>
  <c r="AA129" i="23"/>
  <c r="G196" i="28"/>
  <c r="G195" i="25"/>
  <c r="K195" i="25" s="1"/>
  <c r="L195" i="25" s="1"/>
  <c r="M195" i="25" s="1"/>
  <c r="O128" i="23"/>
  <c r="G196" i="38" s="1"/>
  <c r="K196" i="38" s="1"/>
  <c r="G195" i="27"/>
  <c r="K195" i="27" s="1"/>
  <c r="L195" i="27" s="1"/>
  <c r="M195" i="27" s="1"/>
  <c r="U128" i="23"/>
  <c r="G196" i="39" s="1"/>
  <c r="K196" i="39" s="1"/>
  <c r="C94" i="23"/>
  <c r="G162" i="19" s="1"/>
  <c r="K162" i="19" s="1"/>
  <c r="G161" i="19"/>
  <c r="K161" i="19" s="1"/>
  <c r="O242" i="27" l="1"/>
  <c r="L242" i="27"/>
  <c r="M242" i="27" s="1"/>
  <c r="L242" i="25"/>
  <c r="M242" i="25" s="1"/>
  <c r="O242" i="25"/>
  <c r="C95" i="23"/>
  <c r="G163" i="19" s="1"/>
  <c r="K163" i="19" s="1"/>
  <c r="AA130" i="23"/>
  <c r="G197" i="28"/>
  <c r="O129" i="23"/>
  <c r="G197" i="38" s="1"/>
  <c r="K197" i="38" s="1"/>
  <c r="G196" i="25"/>
  <c r="K196" i="25" s="1"/>
  <c r="L196" i="25" s="1"/>
  <c r="M196" i="25" s="1"/>
  <c r="U129" i="23"/>
  <c r="G197" i="39" s="1"/>
  <c r="K197" i="39" s="1"/>
  <c r="G196" i="27"/>
  <c r="K196" i="27" s="1"/>
  <c r="L196" i="27" s="1"/>
  <c r="M196" i="27" s="1"/>
  <c r="C96" i="23" l="1"/>
  <c r="G164" i="19" s="1"/>
  <c r="K164" i="19" s="1"/>
  <c r="O130" i="23"/>
  <c r="G198" i="38" s="1"/>
  <c r="K198" i="38" s="1"/>
  <c r="G197" i="25"/>
  <c r="K197" i="25" s="1"/>
  <c r="L197" i="25" s="1"/>
  <c r="M197" i="25" s="1"/>
  <c r="U130" i="23"/>
  <c r="G198" i="39" s="1"/>
  <c r="K198" i="39" s="1"/>
  <c r="G197" i="27"/>
  <c r="K197" i="27" s="1"/>
  <c r="L197" i="27" s="1"/>
  <c r="M197" i="27" s="1"/>
  <c r="AA131" i="23"/>
  <c r="G198" i="28"/>
  <c r="C97" i="23" l="1"/>
  <c r="G165" i="19" s="1"/>
  <c r="K165" i="19" s="1"/>
  <c r="O131" i="23"/>
  <c r="G199" i="38" s="1"/>
  <c r="K199" i="38" s="1"/>
  <c r="G198" i="25"/>
  <c r="K198" i="25" s="1"/>
  <c r="L198" i="25" s="1"/>
  <c r="M198" i="25" s="1"/>
  <c r="U131" i="23"/>
  <c r="G199" i="39" s="1"/>
  <c r="K199" i="39" s="1"/>
  <c r="G198" i="27"/>
  <c r="K198" i="27" s="1"/>
  <c r="L198" i="27" s="1"/>
  <c r="M198" i="27" s="1"/>
  <c r="AA132" i="23"/>
  <c r="G199" i="28"/>
  <c r="C98" i="23" l="1"/>
  <c r="G166" i="19" s="1"/>
  <c r="K166" i="19" s="1"/>
  <c r="U132" i="23"/>
  <c r="G200" i="39" s="1"/>
  <c r="K200" i="39" s="1"/>
  <c r="G199" i="27"/>
  <c r="K199" i="27" s="1"/>
  <c r="L199" i="27" s="1"/>
  <c r="M199" i="27" s="1"/>
  <c r="AA133" i="23"/>
  <c r="G200" i="28"/>
  <c r="O132" i="23"/>
  <c r="G200" i="38" s="1"/>
  <c r="K200" i="38" s="1"/>
  <c r="G199" i="25"/>
  <c r="K199" i="25" s="1"/>
  <c r="L199" i="25" s="1"/>
  <c r="M199" i="25" s="1"/>
  <c r="C99" i="23" l="1"/>
  <c r="G167" i="19" s="1"/>
  <c r="K167" i="19" s="1"/>
  <c r="U133" i="23"/>
  <c r="G201" i="39" s="1"/>
  <c r="K201" i="39" s="1"/>
  <c r="G200" i="27"/>
  <c r="K200" i="27" s="1"/>
  <c r="L200" i="27" s="1"/>
  <c r="M200" i="27" s="1"/>
  <c r="AA134" i="23"/>
  <c r="G201" i="28"/>
  <c r="O133" i="23"/>
  <c r="G201" i="38" s="1"/>
  <c r="K201" i="38" s="1"/>
  <c r="G200" i="25"/>
  <c r="K200" i="25" s="1"/>
  <c r="L200" i="25" s="1"/>
  <c r="M200" i="25" s="1"/>
  <c r="C100" i="23" l="1"/>
  <c r="G168" i="19" s="1"/>
  <c r="K168" i="19" s="1"/>
  <c r="U134" i="23"/>
  <c r="G202" i="39" s="1"/>
  <c r="K202" i="39" s="1"/>
  <c r="G201" i="27"/>
  <c r="K201" i="27" s="1"/>
  <c r="L201" i="27" s="1"/>
  <c r="M201" i="27" s="1"/>
  <c r="O134" i="23"/>
  <c r="G202" i="38" s="1"/>
  <c r="K202" i="38" s="1"/>
  <c r="G201" i="25"/>
  <c r="K201" i="25" s="1"/>
  <c r="L201" i="25" s="1"/>
  <c r="M201" i="25" s="1"/>
  <c r="AA135" i="23"/>
  <c r="G202" i="28"/>
  <c r="C101" i="23" l="1"/>
  <c r="G169" i="19" s="1"/>
  <c r="K169" i="19" s="1"/>
  <c r="AA136" i="23"/>
  <c r="G203" i="28"/>
  <c r="U135" i="23"/>
  <c r="G203" i="39" s="1"/>
  <c r="K203" i="39" s="1"/>
  <c r="G202" i="27"/>
  <c r="K202" i="27" s="1"/>
  <c r="L202" i="27" s="1"/>
  <c r="M202" i="27" s="1"/>
  <c r="O135" i="23"/>
  <c r="G203" i="38" s="1"/>
  <c r="K203" i="38" s="1"/>
  <c r="G202" i="25"/>
  <c r="K202" i="25" s="1"/>
  <c r="L202" i="25" s="1"/>
  <c r="M202" i="25" s="1"/>
  <c r="C102" i="23" l="1"/>
  <c r="G170" i="19" s="1"/>
  <c r="K170" i="19" s="1"/>
  <c r="K240" i="19" s="1"/>
  <c r="L240" i="19" s="1"/>
  <c r="M240" i="19" s="1"/>
  <c r="O136" i="23"/>
  <c r="G204" i="38" s="1"/>
  <c r="K204" i="38" s="1"/>
  <c r="G203" i="25"/>
  <c r="K203" i="25" s="1"/>
  <c r="L203" i="25" s="1"/>
  <c r="M203" i="25" s="1"/>
  <c r="AA137" i="23"/>
  <c r="G204" i="28"/>
  <c r="U136" i="23"/>
  <c r="G204" i="39" s="1"/>
  <c r="K204" i="39" s="1"/>
  <c r="G203" i="27"/>
  <c r="K203" i="27" s="1"/>
  <c r="L203" i="27" s="1"/>
  <c r="M203" i="27" s="1"/>
  <c r="D102" i="23" l="1"/>
  <c r="F9" i="23" s="1"/>
  <c r="G9" i="23" s="1"/>
  <c r="E102" i="23"/>
  <c r="D10" i="23" s="1"/>
  <c r="E10" i="23" s="1"/>
  <c r="C103" i="23" s="1"/>
  <c r="G171" i="19" s="1"/>
  <c r="K171" i="19" s="1"/>
  <c r="U137" i="23"/>
  <c r="G205" i="39" s="1"/>
  <c r="K205" i="39" s="1"/>
  <c r="G204" i="27"/>
  <c r="K204" i="27" s="1"/>
  <c r="L204" i="27" s="1"/>
  <c r="M204" i="27" s="1"/>
  <c r="O137" i="23"/>
  <c r="G205" i="38" s="1"/>
  <c r="K205" i="38" s="1"/>
  <c r="G204" i="25"/>
  <c r="K204" i="25" s="1"/>
  <c r="L204" i="25" s="1"/>
  <c r="M204" i="25" s="1"/>
  <c r="AA138" i="23"/>
  <c r="G205" i="28"/>
  <c r="C104" i="23" l="1"/>
  <c r="G172" i="19" s="1"/>
  <c r="K172" i="19" s="1"/>
  <c r="G206" i="28"/>
  <c r="AC138" i="23"/>
  <c r="AB13" i="23" s="1"/>
  <c r="AC13" i="23" s="1"/>
  <c r="AA139" i="23" s="1"/>
  <c r="AB138" i="23"/>
  <c r="AD12" i="23" s="1"/>
  <c r="AE12" i="23" s="1"/>
  <c r="O138" i="23"/>
  <c r="G206" i="38" s="1"/>
  <c r="K206" i="38" s="1"/>
  <c r="K243" i="38" s="1"/>
  <c r="G205" i="25"/>
  <c r="K205" i="25" s="1"/>
  <c r="L205" i="25" s="1"/>
  <c r="M205" i="25" s="1"/>
  <c r="U138" i="23"/>
  <c r="G206" i="39" s="1"/>
  <c r="K206" i="39" s="1"/>
  <c r="K243" i="39" s="1"/>
  <c r="G205" i="27"/>
  <c r="K205" i="27" s="1"/>
  <c r="L205" i="27" s="1"/>
  <c r="M205" i="27" s="1"/>
  <c r="C105" i="23"/>
  <c r="G173" i="19" s="1"/>
  <c r="K173" i="19" s="1"/>
  <c r="N243" i="27" l="1"/>
  <c r="L243" i="39"/>
  <c r="M243" i="39" s="1"/>
  <c r="K247" i="39"/>
  <c r="L247" i="39" s="1"/>
  <c r="L243" i="38"/>
  <c r="M243" i="38" s="1"/>
  <c r="N243" i="25"/>
  <c r="K247" i="38"/>
  <c r="L247" i="38" s="1"/>
  <c r="G207" i="28"/>
  <c r="AA140" i="23"/>
  <c r="G206" i="27"/>
  <c r="K206" i="27" s="1"/>
  <c r="W138" i="23"/>
  <c r="V13" i="23" s="1"/>
  <c r="W13" i="23" s="1"/>
  <c r="U139" i="23" s="1"/>
  <c r="G207" i="39" s="1"/>
  <c r="K207" i="39" s="1"/>
  <c r="V138" i="23"/>
  <c r="X12" i="23" s="1"/>
  <c r="Y12" i="23" s="1"/>
  <c r="G206" i="25"/>
  <c r="K206" i="25" s="1"/>
  <c r="Q138" i="23"/>
  <c r="P13" i="23" s="1"/>
  <c r="Q13" i="23" s="1"/>
  <c r="O139" i="23" s="1"/>
  <c r="G207" i="38" s="1"/>
  <c r="K207" i="38" s="1"/>
  <c r="P138" i="23"/>
  <c r="R12" i="23" s="1"/>
  <c r="S12" i="23" s="1"/>
  <c r="C106" i="23"/>
  <c r="G174" i="19" s="1"/>
  <c r="K174" i="19" s="1"/>
  <c r="K243" i="27" l="1"/>
  <c r="L243" i="27" s="1"/>
  <c r="M243" i="27" s="1"/>
  <c r="L206" i="27"/>
  <c r="M206" i="27" s="1"/>
  <c r="M207" i="27" s="1"/>
  <c r="K243" i="25"/>
  <c r="L243" i="25" s="1"/>
  <c r="M243" i="25" s="1"/>
  <c r="L206" i="25"/>
  <c r="M206" i="25" s="1"/>
  <c r="M207" i="25" s="1"/>
  <c r="G207" i="27"/>
  <c r="K207" i="27" s="1"/>
  <c r="U140" i="23"/>
  <c r="G208" i="39" s="1"/>
  <c r="K208" i="39" s="1"/>
  <c r="G207" i="25"/>
  <c r="K207" i="25" s="1"/>
  <c r="O140" i="23"/>
  <c r="G208" i="38" s="1"/>
  <c r="K208" i="38" s="1"/>
  <c r="AA141" i="23"/>
  <c r="G208" i="28"/>
  <c r="C107" i="23"/>
  <c r="G175" i="19" s="1"/>
  <c r="K175" i="19" s="1"/>
  <c r="K247" i="27" l="1"/>
  <c r="L247" i="27" s="1"/>
  <c r="O243" i="27"/>
  <c r="K247" i="25"/>
  <c r="L247" i="25" s="1"/>
  <c r="O243" i="25"/>
  <c r="AA142" i="23"/>
  <c r="G209" i="28"/>
  <c r="O141" i="23"/>
  <c r="G209" i="38" s="1"/>
  <c r="K209" i="38" s="1"/>
  <c r="G208" i="25"/>
  <c r="K208" i="25" s="1"/>
  <c r="U141" i="23"/>
  <c r="G209" i="39" s="1"/>
  <c r="K209" i="39" s="1"/>
  <c r="G208" i="27"/>
  <c r="K208" i="27" s="1"/>
  <c r="C108" i="23"/>
  <c r="G176" i="19" s="1"/>
  <c r="K176" i="19" s="1"/>
  <c r="U142" i="23" l="1"/>
  <c r="G210" i="39" s="1"/>
  <c r="K210" i="39" s="1"/>
  <c r="G209" i="27"/>
  <c r="K209" i="27" s="1"/>
  <c r="AA143" i="23"/>
  <c r="G210" i="28"/>
  <c r="O142" i="23"/>
  <c r="G210" i="38" s="1"/>
  <c r="K210" i="38" s="1"/>
  <c r="G209" i="25"/>
  <c r="K209" i="25" s="1"/>
  <c r="C109" i="23"/>
  <c r="G177" i="19" s="1"/>
  <c r="K177" i="19" s="1"/>
  <c r="O143" i="23" l="1"/>
  <c r="G211" i="38" s="1"/>
  <c r="K211" i="38" s="1"/>
  <c r="G210" i="25"/>
  <c r="K210" i="25" s="1"/>
  <c r="U143" i="23"/>
  <c r="G211" i="39" s="1"/>
  <c r="K211" i="39" s="1"/>
  <c r="G210" i="27"/>
  <c r="K210" i="27" s="1"/>
  <c r="AA144" i="23"/>
  <c r="G211" i="28"/>
  <c r="C110" i="23"/>
  <c r="G178" i="19" s="1"/>
  <c r="K178" i="19" s="1"/>
  <c r="U144" i="23" l="1"/>
  <c r="G212" i="39" s="1"/>
  <c r="K212" i="39" s="1"/>
  <c r="G211" i="27"/>
  <c r="K211" i="27" s="1"/>
  <c r="AA145" i="23"/>
  <c r="G212" i="28"/>
  <c r="O144" i="23"/>
  <c r="G212" i="38" s="1"/>
  <c r="K212" i="38" s="1"/>
  <c r="G211" i="25"/>
  <c r="K211" i="25" s="1"/>
  <c r="C111" i="23"/>
  <c r="G179" i="19" s="1"/>
  <c r="K179" i="19" s="1"/>
  <c r="U145" i="23" l="1"/>
  <c r="G213" i="39" s="1"/>
  <c r="K213" i="39" s="1"/>
  <c r="G212" i="27"/>
  <c r="K212" i="27" s="1"/>
  <c r="O145" i="23"/>
  <c r="G213" i="38" s="1"/>
  <c r="K213" i="38" s="1"/>
  <c r="G212" i="25"/>
  <c r="K212" i="25" s="1"/>
  <c r="AA146" i="23"/>
  <c r="G213" i="28"/>
  <c r="C112" i="23"/>
  <c r="G180" i="19" s="1"/>
  <c r="K180" i="19" s="1"/>
  <c r="U146" i="23" l="1"/>
  <c r="G214" i="39" s="1"/>
  <c r="K214" i="39" s="1"/>
  <c r="G213" i="27"/>
  <c r="K213" i="27" s="1"/>
  <c r="O146" i="23"/>
  <c r="G214" i="38" s="1"/>
  <c r="K214" i="38" s="1"/>
  <c r="G213" i="25"/>
  <c r="K213" i="25" s="1"/>
  <c r="AA147" i="23"/>
  <c r="G214" i="28"/>
  <c r="C113" i="23"/>
  <c r="G181" i="19" s="1"/>
  <c r="K181" i="19" s="1"/>
  <c r="U147" i="23" l="1"/>
  <c r="G215" i="39" s="1"/>
  <c r="K215" i="39" s="1"/>
  <c r="G214" i="27"/>
  <c r="K214" i="27" s="1"/>
  <c r="O147" i="23"/>
  <c r="G215" i="38" s="1"/>
  <c r="K215" i="38" s="1"/>
  <c r="G214" i="25"/>
  <c r="K214" i="25" s="1"/>
  <c r="AA148" i="23"/>
  <c r="G215" i="28"/>
  <c r="C114" i="23"/>
  <c r="G182" i="19" s="1"/>
  <c r="K182" i="19" s="1"/>
  <c r="K241" i="19" s="1"/>
  <c r="L241" i="19" s="1"/>
  <c r="M241" i="19" s="1"/>
  <c r="O148" i="23" l="1"/>
  <c r="G216" i="38" s="1"/>
  <c r="K216" i="38" s="1"/>
  <c r="G215" i="25"/>
  <c r="K215" i="25" s="1"/>
  <c r="AA149" i="23"/>
  <c r="G216" i="28"/>
  <c r="U148" i="23"/>
  <c r="G216" i="39" s="1"/>
  <c r="K216" i="39" s="1"/>
  <c r="G215" i="27"/>
  <c r="K215" i="27" s="1"/>
  <c r="E114" i="23"/>
  <c r="D11" i="23" s="1"/>
  <c r="E11" i="23" s="1"/>
  <c r="C115" i="23" s="1"/>
  <c r="D114" i="23"/>
  <c r="F10" i="23" s="1"/>
  <c r="G10" i="23" s="1"/>
  <c r="C116" i="23" l="1"/>
  <c r="G183" i="19"/>
  <c r="K183" i="19" s="1"/>
  <c r="AA150" i="23"/>
  <c r="G217" i="28"/>
  <c r="U149" i="23"/>
  <c r="G217" i="39" s="1"/>
  <c r="K217" i="39" s="1"/>
  <c r="G216" i="27"/>
  <c r="K216" i="27" s="1"/>
  <c r="O149" i="23"/>
  <c r="G217" i="38" s="1"/>
  <c r="K217" i="38" s="1"/>
  <c r="G216" i="25"/>
  <c r="K216" i="25" s="1"/>
  <c r="K231" i="19"/>
  <c r="U150" i="23" l="1"/>
  <c r="G218" i="39" s="1"/>
  <c r="K218" i="39" s="1"/>
  <c r="K244" i="39" s="1"/>
  <c r="N244" i="27" s="1"/>
  <c r="G217" i="27"/>
  <c r="K217" i="27" s="1"/>
  <c r="C117" i="23"/>
  <c r="G184" i="19"/>
  <c r="K184" i="19" s="1"/>
  <c r="O150" i="23"/>
  <c r="G218" i="38" s="1"/>
  <c r="K218" i="38" s="1"/>
  <c r="K244" i="38" s="1"/>
  <c r="N244" i="25" s="1"/>
  <c r="G217" i="25"/>
  <c r="K217" i="25" s="1"/>
  <c r="G218" i="28"/>
  <c r="AC150" i="23"/>
  <c r="AB14" i="23" s="1"/>
  <c r="AC14" i="23" s="1"/>
  <c r="AA151" i="23" s="1"/>
  <c r="AB150" i="23"/>
  <c r="AD13" i="23" s="1"/>
  <c r="AE13" i="23" s="1"/>
  <c r="L11" i="23"/>
  <c r="M11" i="23" s="1"/>
  <c r="K250" i="19"/>
  <c r="L250" i="19" s="1"/>
  <c r="C118" i="23" l="1"/>
  <c r="G185" i="19"/>
  <c r="K185" i="19" s="1"/>
  <c r="G218" i="25"/>
  <c r="K218" i="25" s="1"/>
  <c r="K244" i="25" s="1"/>
  <c r="Q150" i="23"/>
  <c r="P14" i="23" s="1"/>
  <c r="Q14" i="23" s="1"/>
  <c r="O151" i="23" s="1"/>
  <c r="G219" i="38" s="1"/>
  <c r="P150" i="23"/>
  <c r="R13" i="23" s="1"/>
  <c r="S13" i="23" s="1"/>
  <c r="G218" i="27"/>
  <c r="K218" i="27" s="1"/>
  <c r="K244" i="27" s="1"/>
  <c r="W150" i="23"/>
  <c r="V14" i="23" s="1"/>
  <c r="W14" i="23" s="1"/>
  <c r="U151" i="23" s="1"/>
  <c r="G219" i="39" s="1"/>
  <c r="V150" i="23"/>
  <c r="X13" i="23" s="1"/>
  <c r="Y13" i="23" s="1"/>
  <c r="G219" i="28"/>
  <c r="AA152" i="23"/>
  <c r="J12" i="23"/>
  <c r="K12" i="23" s="1"/>
  <c r="I127" i="23" s="1"/>
  <c r="G255" i="38" l="1"/>
  <c r="K255" i="38" s="1"/>
  <c r="K219" i="38"/>
  <c r="G255" i="39"/>
  <c r="K255" i="39" s="1"/>
  <c r="K219" i="39"/>
  <c r="G195" i="24"/>
  <c r="K195" i="24" s="1"/>
  <c r="L195" i="24" s="1"/>
  <c r="M195" i="24" s="1"/>
  <c r="G195" i="37"/>
  <c r="K195" i="37" s="1"/>
  <c r="J47" i="9"/>
  <c r="J60" i="9" s="1"/>
  <c r="L19" i="11" s="1"/>
  <c r="I47" i="9"/>
  <c r="I60" i="9" s="1"/>
  <c r="L15" i="11" s="1"/>
  <c r="G219" i="27"/>
  <c r="U152" i="23"/>
  <c r="G220" i="39" s="1"/>
  <c r="AA153" i="23"/>
  <c r="G220" i="28"/>
  <c r="C119" i="23"/>
  <c r="G186" i="19"/>
  <c r="K186" i="19" s="1"/>
  <c r="G219" i="25"/>
  <c r="O152" i="23"/>
  <c r="G220" i="38" s="1"/>
  <c r="I128" i="23"/>
  <c r="G196" i="37" s="1"/>
  <c r="K196" i="37" s="1"/>
  <c r="G256" i="39" l="1"/>
  <c r="K256" i="39" s="1"/>
  <c r="K220" i="39"/>
  <c r="G256" i="38"/>
  <c r="K256" i="38" s="1"/>
  <c r="K220" i="38"/>
  <c r="B12" i="18"/>
  <c r="O153" i="23"/>
  <c r="G221" i="38" s="1"/>
  <c r="G220" i="25"/>
  <c r="C120" i="23"/>
  <c r="G187" i="19"/>
  <c r="K187" i="19" s="1"/>
  <c r="G255" i="25"/>
  <c r="K255" i="25" s="1"/>
  <c r="K219" i="25"/>
  <c r="AA154" i="23"/>
  <c r="G221" i="28"/>
  <c r="U153" i="23"/>
  <c r="G221" i="39" s="1"/>
  <c r="G220" i="27"/>
  <c r="G255" i="27"/>
  <c r="K255" i="27" s="1"/>
  <c r="K219" i="27"/>
  <c r="I129" i="23"/>
  <c r="G197" i="37" s="1"/>
  <c r="K197" i="37" s="1"/>
  <c r="G196" i="24"/>
  <c r="K196" i="24" s="1"/>
  <c r="L196" i="24" s="1"/>
  <c r="M196" i="24" s="1"/>
  <c r="G257" i="39" l="1"/>
  <c r="K257" i="39" s="1"/>
  <c r="K221" i="39"/>
  <c r="G257" i="38"/>
  <c r="K257" i="38" s="1"/>
  <c r="K221" i="38"/>
  <c r="G12" i="18"/>
  <c r="L54" i="11" s="1"/>
  <c r="L20" i="11"/>
  <c r="L49" i="11"/>
  <c r="G256" i="27"/>
  <c r="K256" i="27" s="1"/>
  <c r="K220" i="27"/>
  <c r="AA155" i="23"/>
  <c r="G222" i="28"/>
  <c r="U154" i="23"/>
  <c r="G222" i="39" s="1"/>
  <c r="G221" i="27"/>
  <c r="C121" i="23"/>
  <c r="G188" i="19"/>
  <c r="K188" i="19" s="1"/>
  <c r="G256" i="25"/>
  <c r="K256" i="25" s="1"/>
  <c r="K220" i="25"/>
  <c r="O154" i="23"/>
  <c r="G222" i="38" s="1"/>
  <c r="G221" i="25"/>
  <c r="I130" i="23"/>
  <c r="G198" i="37" s="1"/>
  <c r="K198" i="37" s="1"/>
  <c r="G197" i="24"/>
  <c r="K197" i="24" s="1"/>
  <c r="L197" i="24" s="1"/>
  <c r="M197" i="24" s="1"/>
  <c r="G258" i="38" l="1"/>
  <c r="K258" i="38" s="1"/>
  <c r="K222" i="38"/>
  <c r="G258" i="39"/>
  <c r="K258" i="39" s="1"/>
  <c r="K222" i="39"/>
  <c r="L59" i="11"/>
  <c r="AA156" i="23"/>
  <c r="G223" i="28"/>
  <c r="G257" i="25"/>
  <c r="K257" i="25" s="1"/>
  <c r="K221" i="25"/>
  <c r="G257" i="27"/>
  <c r="K257" i="27" s="1"/>
  <c r="K221" i="27"/>
  <c r="O155" i="23"/>
  <c r="G223" i="38" s="1"/>
  <c r="G222" i="25"/>
  <c r="U155" i="23"/>
  <c r="G223" i="39" s="1"/>
  <c r="G222" i="27"/>
  <c r="C122" i="23"/>
  <c r="G189" i="19"/>
  <c r="K189" i="19" s="1"/>
  <c r="I131" i="23"/>
  <c r="G199" i="37" s="1"/>
  <c r="K199" i="37" s="1"/>
  <c r="G198" i="24"/>
  <c r="K198" i="24" s="1"/>
  <c r="L198" i="24" s="1"/>
  <c r="M198" i="24" s="1"/>
  <c r="G259" i="39" l="1"/>
  <c r="K259" i="39" s="1"/>
  <c r="K223" i="39"/>
  <c r="G259" i="38"/>
  <c r="K259" i="38" s="1"/>
  <c r="K223" i="38"/>
  <c r="AA157" i="23"/>
  <c r="G224" i="28"/>
  <c r="C123" i="23"/>
  <c r="G190" i="19"/>
  <c r="K190" i="19" s="1"/>
  <c r="G258" i="25"/>
  <c r="K258" i="25" s="1"/>
  <c r="K222" i="25"/>
  <c r="G258" i="27"/>
  <c r="K258" i="27" s="1"/>
  <c r="K222" i="27"/>
  <c r="O156" i="23"/>
  <c r="G224" i="38" s="1"/>
  <c r="G223" i="25"/>
  <c r="U156" i="23"/>
  <c r="G224" i="39" s="1"/>
  <c r="G223" i="27"/>
  <c r="I132" i="23"/>
  <c r="G200" i="37" s="1"/>
  <c r="K200" i="37" s="1"/>
  <c r="G199" i="24"/>
  <c r="K199" i="24" s="1"/>
  <c r="L199" i="24" s="1"/>
  <c r="M199" i="24" s="1"/>
  <c r="G260" i="38" l="1"/>
  <c r="K260" i="38" s="1"/>
  <c r="K224" i="38"/>
  <c r="G260" i="39"/>
  <c r="K260" i="39" s="1"/>
  <c r="K224" i="39"/>
  <c r="U157" i="23"/>
  <c r="G225" i="39" s="1"/>
  <c r="G224" i="27"/>
  <c r="AA158" i="23"/>
  <c r="G225" i="28"/>
  <c r="C124" i="23"/>
  <c r="G191" i="19"/>
  <c r="K191" i="19" s="1"/>
  <c r="G259" i="25"/>
  <c r="K259" i="25" s="1"/>
  <c r="K223" i="25"/>
  <c r="G259" i="27"/>
  <c r="K259" i="27" s="1"/>
  <c r="K223" i="27"/>
  <c r="O157" i="23"/>
  <c r="G225" i="38" s="1"/>
  <c r="G224" i="25"/>
  <c r="I133" i="23"/>
  <c r="G201" i="37" s="1"/>
  <c r="K201" i="37" s="1"/>
  <c r="G200" i="24"/>
  <c r="K200" i="24" s="1"/>
  <c r="L200" i="24" s="1"/>
  <c r="M200" i="24" s="1"/>
  <c r="G261" i="38" l="1"/>
  <c r="K261" i="38" s="1"/>
  <c r="K225" i="38"/>
  <c r="G261" i="39"/>
  <c r="K261" i="39" s="1"/>
  <c r="K225" i="39"/>
  <c r="AA159" i="23"/>
  <c r="G226" i="28"/>
  <c r="G260" i="25"/>
  <c r="K260" i="25" s="1"/>
  <c r="K224" i="25"/>
  <c r="G260" i="27"/>
  <c r="K260" i="27" s="1"/>
  <c r="K224" i="27"/>
  <c r="O158" i="23"/>
  <c r="G226" i="38" s="1"/>
  <c r="G225" i="25"/>
  <c r="C125" i="23"/>
  <c r="G192" i="19"/>
  <c r="K192" i="19" s="1"/>
  <c r="U158" i="23"/>
  <c r="G226" i="39" s="1"/>
  <c r="G225" i="27"/>
  <c r="I134" i="23"/>
  <c r="G202" i="37" s="1"/>
  <c r="K202" i="37" s="1"/>
  <c r="G201" i="24"/>
  <c r="K201" i="24" s="1"/>
  <c r="L201" i="24" s="1"/>
  <c r="M201" i="24" s="1"/>
  <c r="G262" i="39" l="1"/>
  <c r="K262" i="39" s="1"/>
  <c r="K226" i="39"/>
  <c r="G262" i="38"/>
  <c r="K262" i="38" s="1"/>
  <c r="K226" i="38"/>
  <c r="U159" i="23"/>
  <c r="G227" i="39" s="1"/>
  <c r="G226" i="27"/>
  <c r="G261" i="25"/>
  <c r="K261" i="25" s="1"/>
  <c r="K225" i="25"/>
  <c r="O159" i="23"/>
  <c r="G227" i="38" s="1"/>
  <c r="G226" i="25"/>
  <c r="G261" i="27"/>
  <c r="K261" i="27" s="1"/>
  <c r="K225" i="27"/>
  <c r="C126" i="23"/>
  <c r="G193" i="19"/>
  <c r="K193" i="19" s="1"/>
  <c r="AA160" i="23"/>
  <c r="G227" i="28"/>
  <c r="I135" i="23"/>
  <c r="G203" i="37" s="1"/>
  <c r="K203" i="37" s="1"/>
  <c r="G202" i="24"/>
  <c r="K202" i="24" s="1"/>
  <c r="L202" i="24" s="1"/>
  <c r="M202" i="24" s="1"/>
  <c r="G263" i="38" l="1"/>
  <c r="K263" i="38" s="1"/>
  <c r="K227" i="38"/>
  <c r="G263" i="39"/>
  <c r="K263" i="39" s="1"/>
  <c r="K227" i="39"/>
  <c r="G194" i="19"/>
  <c r="K194" i="19" s="1"/>
  <c r="K242" i="19" s="1"/>
  <c r="L242" i="19" s="1"/>
  <c r="M242" i="19" s="1"/>
  <c r="E126" i="23"/>
  <c r="D12" i="23" s="1"/>
  <c r="E12" i="23" s="1"/>
  <c r="C127" i="23" s="1"/>
  <c r="D126" i="23"/>
  <c r="F11" i="23" s="1"/>
  <c r="G11" i="23" s="1"/>
  <c r="G262" i="25"/>
  <c r="K262" i="25" s="1"/>
  <c r="K226" i="25"/>
  <c r="O160" i="23"/>
  <c r="G228" i="38" s="1"/>
  <c r="G227" i="25"/>
  <c r="G262" i="27"/>
  <c r="K262" i="27" s="1"/>
  <c r="K226" i="27"/>
  <c r="AA161" i="23"/>
  <c r="G228" i="28"/>
  <c r="U160" i="23"/>
  <c r="G228" i="39" s="1"/>
  <c r="G227" i="27"/>
  <c r="I136" i="23"/>
  <c r="G204" i="37" s="1"/>
  <c r="K204" i="37" s="1"/>
  <c r="G203" i="24"/>
  <c r="K203" i="24" s="1"/>
  <c r="L203" i="24" s="1"/>
  <c r="M203" i="24" s="1"/>
  <c r="G264" i="39" l="1"/>
  <c r="K264" i="39" s="1"/>
  <c r="K228" i="39"/>
  <c r="G264" i="38"/>
  <c r="K264" i="38" s="1"/>
  <c r="K228" i="38"/>
  <c r="U161" i="23"/>
  <c r="G229" i="39" s="1"/>
  <c r="G228" i="27"/>
  <c r="G263" i="25"/>
  <c r="K263" i="25" s="1"/>
  <c r="K227" i="25"/>
  <c r="AA162" i="23"/>
  <c r="G229" i="28"/>
  <c r="O161" i="23"/>
  <c r="G229" i="38" s="1"/>
  <c r="G228" i="25"/>
  <c r="C128" i="23"/>
  <c r="G195" i="19"/>
  <c r="K195" i="19" s="1"/>
  <c r="G263" i="27"/>
  <c r="K263" i="27" s="1"/>
  <c r="K227" i="27"/>
  <c r="I137" i="23"/>
  <c r="G205" i="37" s="1"/>
  <c r="K205" i="37" s="1"/>
  <c r="G204" i="24"/>
  <c r="K204" i="24" s="1"/>
  <c r="L204" i="24" s="1"/>
  <c r="M204" i="24" s="1"/>
  <c r="G265" i="38" l="1"/>
  <c r="K265" i="38" s="1"/>
  <c r="K229" i="38"/>
  <c r="G265" i="39"/>
  <c r="K265" i="39" s="1"/>
  <c r="K229" i="39"/>
  <c r="G264" i="25"/>
  <c r="K264" i="25" s="1"/>
  <c r="K228" i="25"/>
  <c r="O162" i="23"/>
  <c r="G230" i="38" s="1"/>
  <c r="G229" i="25"/>
  <c r="G264" i="27"/>
  <c r="K264" i="27" s="1"/>
  <c r="K228" i="27"/>
  <c r="C129" i="23"/>
  <c r="G196" i="19"/>
  <c r="K196" i="19" s="1"/>
  <c r="AC162" i="23"/>
  <c r="G230" i="28"/>
  <c r="AB162" i="23"/>
  <c r="AD14" i="23" s="1"/>
  <c r="AE14" i="23" s="1"/>
  <c r="U162" i="23"/>
  <c r="G230" i="39" s="1"/>
  <c r="G229" i="27"/>
  <c r="I138" i="23"/>
  <c r="G206" i="37" s="1"/>
  <c r="K206" i="37" s="1"/>
  <c r="K243" i="37" s="1"/>
  <c r="G205" i="24"/>
  <c r="K205" i="24" s="1"/>
  <c r="L205" i="24" s="1"/>
  <c r="M205" i="24" s="1"/>
  <c r="K230" i="39" l="1"/>
  <c r="G266" i="39"/>
  <c r="K266" i="39" s="1"/>
  <c r="L266" i="39" s="1"/>
  <c r="G266" i="38"/>
  <c r="K266" i="38" s="1"/>
  <c r="L266" i="38" s="1"/>
  <c r="K230" i="38"/>
  <c r="L243" i="37"/>
  <c r="M243" i="37" s="1"/>
  <c r="N243" i="24"/>
  <c r="K247" i="37"/>
  <c r="L247" i="37" s="1"/>
  <c r="C130" i="23"/>
  <c r="G197" i="19"/>
  <c r="K197" i="19" s="1"/>
  <c r="G265" i="25"/>
  <c r="K265" i="25" s="1"/>
  <c r="K229" i="25"/>
  <c r="Q162" i="23"/>
  <c r="G230" i="25"/>
  <c r="G232" i="25" s="1"/>
  <c r="P162" i="23"/>
  <c r="R14" i="23" s="1"/>
  <c r="S14" i="23" s="1"/>
  <c r="G265" i="27"/>
  <c r="K265" i="27" s="1"/>
  <c r="K229" i="27"/>
  <c r="W162" i="23"/>
  <c r="G230" i="27"/>
  <c r="G232" i="27" s="1"/>
  <c r="V162" i="23"/>
  <c r="X14" i="23" s="1"/>
  <c r="Y14" i="23" s="1"/>
  <c r="G206" i="24"/>
  <c r="K206" i="24" s="1"/>
  <c r="K138" i="23"/>
  <c r="J13" i="23" s="1"/>
  <c r="K13" i="23" s="1"/>
  <c r="I139" i="23" s="1"/>
  <c r="G207" i="37" s="1"/>
  <c r="K207" i="37" s="1"/>
  <c r="J138" i="23"/>
  <c r="L12" i="23" s="1"/>
  <c r="M12" i="23" s="1"/>
  <c r="K232" i="39" l="1"/>
  <c r="K245" i="39"/>
  <c r="K232" i="38"/>
  <c r="K245" i="38"/>
  <c r="K243" i="24"/>
  <c r="L206" i="24"/>
  <c r="M206" i="24" s="1"/>
  <c r="M207" i="24" s="1"/>
  <c r="G266" i="25"/>
  <c r="K266" i="25" s="1"/>
  <c r="L266" i="25" s="1"/>
  <c r="K230" i="25"/>
  <c r="C131" i="23"/>
  <c r="G198" i="19"/>
  <c r="K198" i="19" s="1"/>
  <c r="G266" i="27"/>
  <c r="K266" i="27" s="1"/>
  <c r="L266" i="27" s="1"/>
  <c r="K230" i="27"/>
  <c r="G207" i="24"/>
  <c r="K207" i="24" s="1"/>
  <c r="I140" i="23"/>
  <c r="G208" i="37" s="1"/>
  <c r="K208" i="37" s="1"/>
  <c r="N245" i="25" l="1"/>
  <c r="K249" i="38"/>
  <c r="L249" i="38" s="1"/>
  <c r="N245" i="27"/>
  <c r="K249" i="39"/>
  <c r="L249" i="39" s="1"/>
  <c r="O243" i="24"/>
  <c r="K247" i="24"/>
  <c r="L247" i="24" s="1"/>
  <c r="L243" i="24"/>
  <c r="M243" i="24" s="1"/>
  <c r="C132" i="23"/>
  <c r="G199" i="19"/>
  <c r="K199" i="19" s="1"/>
  <c r="K232" i="27"/>
  <c r="K245" i="27"/>
  <c r="K232" i="25"/>
  <c r="K245" i="25"/>
  <c r="I141" i="23"/>
  <c r="G209" i="37" s="1"/>
  <c r="K209" i="37" s="1"/>
  <c r="G208" i="24"/>
  <c r="K208" i="24" s="1"/>
  <c r="I48" i="9" l="1"/>
  <c r="K249" i="25"/>
  <c r="L249" i="25" s="1"/>
  <c r="K249" i="27"/>
  <c r="L249" i="27" s="1"/>
  <c r="J48" i="9"/>
  <c r="J61" i="9" s="1"/>
  <c r="C133" i="23"/>
  <c r="G200" i="19"/>
  <c r="K200" i="19" s="1"/>
  <c r="I142" i="23"/>
  <c r="G210" i="37" s="1"/>
  <c r="K210" i="37" s="1"/>
  <c r="G209" i="24"/>
  <c r="K209" i="24" s="1"/>
  <c r="I61" i="9" l="1"/>
  <c r="M15" i="11" s="1"/>
  <c r="C134" i="23"/>
  <c r="G201" i="19"/>
  <c r="K201" i="19" s="1"/>
  <c r="B13" i="18"/>
  <c r="M19" i="11"/>
  <c r="I143" i="23"/>
  <c r="G211" i="37" s="1"/>
  <c r="K211" i="37" s="1"/>
  <c r="G210" i="24"/>
  <c r="K210" i="24" s="1"/>
  <c r="G13" i="18" l="1"/>
  <c r="M54" i="11" s="1"/>
  <c r="M20" i="11"/>
  <c r="C135" i="23"/>
  <c r="G202" i="19"/>
  <c r="K202" i="19" s="1"/>
  <c r="I144" i="23"/>
  <c r="G212" i="37" s="1"/>
  <c r="K212" i="37" s="1"/>
  <c r="G211" i="24"/>
  <c r="K211" i="24" s="1"/>
  <c r="M49" i="11" l="1"/>
  <c r="C136" i="23"/>
  <c r="G203" i="19"/>
  <c r="K203" i="19" s="1"/>
  <c r="I145" i="23"/>
  <c r="G213" i="37" s="1"/>
  <c r="K213" i="37" s="1"/>
  <c r="G212" i="24"/>
  <c r="K212" i="24" s="1"/>
  <c r="M59" i="11" l="1"/>
  <c r="C137" i="23"/>
  <c r="G204" i="19"/>
  <c r="K204" i="19" s="1"/>
  <c r="I146" i="23"/>
  <c r="G214" i="37" s="1"/>
  <c r="K214" i="37" s="1"/>
  <c r="G213" i="24"/>
  <c r="K213" i="24" s="1"/>
  <c r="C138" i="23" l="1"/>
  <c r="G205" i="19"/>
  <c r="K205" i="19" s="1"/>
  <c r="I147" i="23"/>
  <c r="G215" i="37" s="1"/>
  <c r="K215" i="37" s="1"/>
  <c r="G214" i="24"/>
  <c r="K214" i="24" s="1"/>
  <c r="G206" i="19" l="1"/>
  <c r="K206" i="19" s="1"/>
  <c r="K243" i="19" s="1"/>
  <c r="E138" i="23"/>
  <c r="D13" i="23" s="1"/>
  <c r="E13" i="23" s="1"/>
  <c r="C139" i="23" s="1"/>
  <c r="D138" i="23"/>
  <c r="F12" i="23" s="1"/>
  <c r="G12" i="23" s="1"/>
  <c r="I148" i="23"/>
  <c r="G216" i="37" s="1"/>
  <c r="K216" i="37" s="1"/>
  <c r="G215" i="24"/>
  <c r="K215" i="24" s="1"/>
  <c r="C140" i="23" l="1"/>
  <c r="G207" i="19"/>
  <c r="K207" i="19" s="1"/>
  <c r="L243" i="19"/>
  <c r="M243" i="19" s="1"/>
  <c r="K248" i="19"/>
  <c r="L248" i="19" s="1"/>
  <c r="I149" i="23"/>
  <c r="G217" i="37" s="1"/>
  <c r="K217" i="37" s="1"/>
  <c r="G216" i="24"/>
  <c r="K216" i="24" s="1"/>
  <c r="C141" i="23" l="1"/>
  <c r="G208" i="19"/>
  <c r="K208" i="19" s="1"/>
  <c r="I150" i="23"/>
  <c r="G218" i="37" s="1"/>
  <c r="K218" i="37" s="1"/>
  <c r="K244" i="37" s="1"/>
  <c r="N244" i="24" s="1"/>
  <c r="G217" i="24"/>
  <c r="K217" i="24" s="1"/>
  <c r="C142" i="23" l="1"/>
  <c r="G209" i="19"/>
  <c r="K209" i="19" s="1"/>
  <c r="G218" i="24"/>
  <c r="K218" i="24" s="1"/>
  <c r="K244" i="24" s="1"/>
  <c r="K150" i="23"/>
  <c r="J14" i="23" s="1"/>
  <c r="K14" i="23" s="1"/>
  <c r="I151" i="23" s="1"/>
  <c r="G219" i="37" s="1"/>
  <c r="J150" i="23"/>
  <c r="L13" i="23" s="1"/>
  <c r="M13" i="23" s="1"/>
  <c r="G255" i="37" l="1"/>
  <c r="K255" i="37" s="1"/>
  <c r="K219" i="37"/>
  <c r="H47" i="9"/>
  <c r="P47" i="9" s="1"/>
  <c r="L4" i="11" s="1"/>
  <c r="C143" i="23"/>
  <c r="G210" i="19"/>
  <c r="K210" i="19" s="1"/>
  <c r="G219" i="24"/>
  <c r="I152" i="23"/>
  <c r="G220" i="37" s="1"/>
  <c r="H60" i="9" l="1"/>
  <c r="P60" i="9" s="1"/>
  <c r="G256" i="37"/>
  <c r="K256" i="37" s="1"/>
  <c r="K220" i="37"/>
  <c r="L6" i="11"/>
  <c r="C144" i="23"/>
  <c r="G211" i="19"/>
  <c r="K211" i="19" s="1"/>
  <c r="K219" i="24"/>
  <c r="G255" i="24"/>
  <c r="K255" i="24" s="1"/>
  <c r="L11" i="11"/>
  <c r="I153" i="23"/>
  <c r="G221" i="37" s="1"/>
  <c r="G220" i="24"/>
  <c r="G257" i="37" l="1"/>
  <c r="K257" i="37" s="1"/>
  <c r="K221" i="37"/>
  <c r="L48" i="11"/>
  <c r="L53" i="11"/>
  <c r="Q60" i="9"/>
  <c r="K220" i="24"/>
  <c r="G256" i="24"/>
  <c r="K256" i="24" s="1"/>
  <c r="C145" i="23"/>
  <c r="G212" i="19"/>
  <c r="K212" i="19" s="1"/>
  <c r="I154" i="23"/>
  <c r="G222" i="37" s="1"/>
  <c r="G221" i="24"/>
  <c r="G258" i="37" l="1"/>
  <c r="K258" i="37" s="1"/>
  <c r="K222" i="37"/>
  <c r="L58" i="11"/>
  <c r="K221" i="24"/>
  <c r="G257" i="24"/>
  <c r="K257" i="24" s="1"/>
  <c r="C146" i="23"/>
  <c r="G213" i="19"/>
  <c r="K213" i="19" s="1"/>
  <c r="I155" i="23"/>
  <c r="G223" i="37" s="1"/>
  <c r="G222" i="24"/>
  <c r="G259" i="37" l="1"/>
  <c r="K259" i="37" s="1"/>
  <c r="K223" i="37"/>
  <c r="C147" i="23"/>
  <c r="G214" i="19"/>
  <c r="K214" i="19" s="1"/>
  <c r="K222" i="24"/>
  <c r="G258" i="24"/>
  <c r="K258" i="24" s="1"/>
  <c r="I156" i="23"/>
  <c r="G224" i="37" s="1"/>
  <c r="G223" i="24"/>
  <c r="G260" i="37" l="1"/>
  <c r="K260" i="37" s="1"/>
  <c r="K224" i="37"/>
  <c r="C148" i="23"/>
  <c r="G215" i="19"/>
  <c r="K215" i="19" s="1"/>
  <c r="K223" i="24"/>
  <c r="G259" i="24"/>
  <c r="K259" i="24" s="1"/>
  <c r="I157" i="23"/>
  <c r="G225" i="37" s="1"/>
  <c r="G224" i="24"/>
  <c r="G261" i="37" l="1"/>
  <c r="K261" i="37" s="1"/>
  <c r="K225" i="37"/>
  <c r="C149" i="23"/>
  <c r="G216" i="19"/>
  <c r="K216" i="19" s="1"/>
  <c r="K224" i="24"/>
  <c r="G260" i="24"/>
  <c r="K260" i="24" s="1"/>
  <c r="I158" i="23"/>
  <c r="G226" i="37" s="1"/>
  <c r="G225" i="24"/>
  <c r="G262" i="37" l="1"/>
  <c r="K262" i="37" s="1"/>
  <c r="K226" i="37"/>
  <c r="C150" i="23"/>
  <c r="G217" i="19"/>
  <c r="K217" i="19" s="1"/>
  <c r="K225" i="24"/>
  <c r="G261" i="24"/>
  <c r="K261" i="24" s="1"/>
  <c r="I159" i="23"/>
  <c r="G227" i="37" s="1"/>
  <c r="G226" i="24"/>
  <c r="G263" i="37" l="1"/>
  <c r="K263" i="37" s="1"/>
  <c r="K227" i="37"/>
  <c r="K226" i="24"/>
  <c r="G262" i="24"/>
  <c r="K262" i="24" s="1"/>
  <c r="G218" i="19"/>
  <c r="K218" i="19" s="1"/>
  <c r="K244" i="19" s="1"/>
  <c r="E150" i="23"/>
  <c r="D14" i="23" s="1"/>
  <c r="E14" i="23" s="1"/>
  <c r="C151" i="23" s="1"/>
  <c r="D150" i="23"/>
  <c r="F13" i="23" s="1"/>
  <c r="G13" i="23" s="1"/>
  <c r="I160" i="23"/>
  <c r="G228" i="37" s="1"/>
  <c r="G227" i="24"/>
  <c r="G264" i="37" l="1"/>
  <c r="K264" i="37" s="1"/>
  <c r="K228" i="37"/>
  <c r="C152" i="23"/>
  <c r="G219" i="19"/>
  <c r="K219" i="19" s="1"/>
  <c r="K227" i="24"/>
  <c r="G263" i="24"/>
  <c r="K263" i="24" s="1"/>
  <c r="I161" i="23"/>
  <c r="G229" i="37" s="1"/>
  <c r="G228" i="24"/>
  <c r="G265" i="37" l="1"/>
  <c r="K265" i="37" s="1"/>
  <c r="K229" i="37"/>
  <c r="C153" i="23"/>
  <c r="G220" i="19"/>
  <c r="K220" i="19" s="1"/>
  <c r="K228" i="24"/>
  <c r="G264" i="24"/>
  <c r="K264" i="24" s="1"/>
  <c r="I162" i="23"/>
  <c r="G230" i="37" s="1"/>
  <c r="G229" i="24"/>
  <c r="G266" i="37" l="1"/>
  <c r="K266" i="37" s="1"/>
  <c r="L266" i="37" s="1"/>
  <c r="K230" i="37"/>
  <c r="K229" i="24"/>
  <c r="G265" i="24"/>
  <c r="K265" i="24" s="1"/>
  <c r="C154" i="23"/>
  <c r="G221" i="19"/>
  <c r="K221" i="19" s="1"/>
  <c r="K162" i="23"/>
  <c r="G230" i="24"/>
  <c r="G232" i="24" s="1"/>
  <c r="J162" i="23"/>
  <c r="L14" i="23" s="1"/>
  <c r="M14" i="23" s="1"/>
  <c r="K232" i="37" l="1"/>
  <c r="K245" i="37"/>
  <c r="C155" i="23"/>
  <c r="G222" i="19"/>
  <c r="K222" i="19" s="1"/>
  <c r="K230" i="24"/>
  <c r="K232" i="24" s="1"/>
  <c r="G266" i="24"/>
  <c r="K266" i="24" s="1"/>
  <c r="L266" i="24" s="1"/>
  <c r="K249" i="37" l="1"/>
  <c r="L249" i="37" s="1"/>
  <c r="N245" i="24"/>
  <c r="C156" i="23"/>
  <c r="G223" i="19"/>
  <c r="K223" i="19" s="1"/>
  <c r="K245" i="24"/>
  <c r="C157" i="23" l="1"/>
  <c r="G224" i="19"/>
  <c r="K224" i="19" s="1"/>
  <c r="K249" i="24"/>
  <c r="L249" i="24" s="1"/>
  <c r="H48" i="9"/>
  <c r="H61" i="9" l="1"/>
  <c r="P61" i="9" s="1"/>
  <c r="P48" i="9"/>
  <c r="M4" i="11" s="1"/>
  <c r="C158" i="23"/>
  <c r="G225" i="19"/>
  <c r="K225" i="19" s="1"/>
  <c r="M6" i="11" l="1"/>
  <c r="Q61" i="9"/>
  <c r="C159" i="23"/>
  <c r="G226" i="19"/>
  <c r="K226" i="19" s="1"/>
  <c r="M53" i="11"/>
  <c r="M11" i="11"/>
  <c r="M48" i="11" l="1"/>
  <c r="C160" i="23"/>
  <c r="G227" i="19"/>
  <c r="K227" i="19" s="1"/>
  <c r="M58" i="11" l="1"/>
  <c r="C161" i="23"/>
  <c r="G228" i="19"/>
  <c r="K228" i="19" s="1"/>
  <c r="C162" i="23" l="1"/>
  <c r="G229" i="19"/>
  <c r="K229" i="19" s="1"/>
  <c r="G230" i="19" l="1"/>
  <c r="K230" i="19" s="1"/>
  <c r="K245" i="19" s="1"/>
  <c r="E162" i="23"/>
  <c r="D162" i="23"/>
  <c r="F14" i="23" s="1"/>
  <c r="G14" i="23" s="1"/>
  <c r="B54" i="11" l="1"/>
  <c r="B59" i="11" s="1"/>
</calcChain>
</file>

<file path=xl/comments1.xml><?xml version="1.0" encoding="utf-8"?>
<comments xmlns="http://schemas.openxmlformats.org/spreadsheetml/2006/main">
  <authors>
    <author>Bruce Bacon</author>
  </authors>
  <commentList>
    <comment ref="K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The 2015 actual results for this class only had the savvngs from PSUI for a few days in December 2015 since PSUI did not start until late in December. This means the full year actual savings are not in 2015 but they are assumed to persist into 2017 therefore this adjustment is used.</t>
        </r>
      </text>
    </comment>
    <comment ref="M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It assumed the 2015 actual results for this class only have the actual 2015 saviings for half a year consistent with the half year rule.
</t>
        </r>
      </text>
    </comment>
  </commentList>
</comments>
</file>

<file path=xl/sharedStrings.xml><?xml version="1.0" encoding="utf-8"?>
<sst xmlns="http://schemas.openxmlformats.org/spreadsheetml/2006/main" count="1428" uniqueCount="315">
  <si>
    <t>Purchased</t>
  </si>
  <si>
    <t>Heating Degree Days</t>
  </si>
  <si>
    <t>Cooling Degree Days</t>
  </si>
  <si>
    <t>Number of Days in Month</t>
  </si>
  <si>
    <t>Ontario Real GDP Monthly %</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</si>
  <si>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</si>
  <si>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</si>
  <si>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</si>
  <si>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</si>
  <si>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</si>
  <si>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</si>
  <si>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</si>
  <si>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</si>
  <si>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</si>
  <si>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</si>
  <si>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</si>
  <si>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</si>
  <si>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</si>
  <si>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</si>
  <si>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</si>
  <si>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</si>
  <si>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</si>
  <si>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</si>
  <si>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</si>
  <si>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</si>
  <si>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</si>
  <si>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</si>
  <si>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</si>
  <si>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</si>
  <si>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</si>
  <si>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</si>
  <si>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</si>
  <si>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</si>
  <si>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</si>
  <si>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</si>
  <si>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</si>
  <si>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 xml:space="preserve">Growth Rate in Customer Numbers </t>
  </si>
  <si>
    <t xml:space="preserve">  Customers</t>
  </si>
  <si>
    <t xml:space="preserve">  kWh</t>
  </si>
  <si>
    <t xml:space="preserve">  kW</t>
  </si>
  <si>
    <t xml:space="preserve">2006 Actual </t>
  </si>
  <si>
    <t xml:space="preserve">2007 Actual </t>
  </si>
  <si>
    <t xml:space="preserve">  kW from applicable classes</t>
  </si>
  <si>
    <t xml:space="preserve">  Customer/Connections</t>
  </si>
  <si>
    <t>By Class</t>
  </si>
  <si>
    <t>Used</t>
  </si>
  <si>
    <t>kW/kWh</t>
  </si>
  <si>
    <t>Check totals above sould be zero</t>
  </si>
  <si>
    <t>2008 Actual</t>
  </si>
  <si>
    <t>Number of Customers</t>
  </si>
  <si>
    <t xml:space="preserve">2009 Actual </t>
  </si>
  <si>
    <t xml:space="preserve">  Connections</t>
  </si>
  <si>
    <t>Total of Above</t>
  </si>
  <si>
    <t>Total from Model</t>
  </si>
  <si>
    <t>Check should all be zero</t>
  </si>
  <si>
    <t xml:space="preserve">2010 Actual </t>
  </si>
  <si>
    <t>CDM Activity</t>
  </si>
  <si>
    <t xml:space="preserve">2011 Actual </t>
  </si>
  <si>
    <t>Number of Peak Hours</t>
  </si>
  <si>
    <t>Increase over previous year</t>
  </si>
  <si>
    <t>Check</t>
  </si>
  <si>
    <t>Jan</t>
  </si>
  <si>
    <t>Feb</t>
  </si>
  <si>
    <t>Mar</t>
  </si>
  <si>
    <t>Apr</t>
  </si>
  <si>
    <t>May</t>
  </si>
  <si>
    <t>Jun</t>
  </si>
  <si>
    <t>Jul</t>
  </si>
  <si>
    <t>Aug</t>
  </si>
  <si>
    <t>Sep</t>
  </si>
  <si>
    <t>Oct</t>
  </si>
  <si>
    <t>Nov</t>
  </si>
  <si>
    <t>CDM Activity Variable</t>
  </si>
  <si>
    <t>Dec</t>
  </si>
  <si>
    <t xml:space="preserve">Residential </t>
  </si>
  <si>
    <t>Sentinel Lights</t>
  </si>
  <si>
    <t>Not Used</t>
  </si>
  <si>
    <t>Consumed</t>
  </si>
  <si>
    <t>Predicted Consumed</t>
  </si>
  <si>
    <t>GS &lt; 50 kW</t>
  </si>
  <si>
    <t>GS &gt; 50 kW</t>
  </si>
  <si>
    <t>#</t>
  </si>
  <si>
    <t>Initiative Name</t>
  </si>
  <si>
    <t>Program Name</t>
  </si>
  <si>
    <t>Program Year</t>
  </si>
  <si>
    <t>Secondary Refrigerator Retirement Pilot</t>
  </si>
  <si>
    <t>Consumer</t>
  </si>
  <si>
    <t>Cool &amp; Hot Savings Rebate</t>
  </si>
  <si>
    <t>Every Kilowatt Counts</t>
  </si>
  <si>
    <t>Demand Response 1</t>
  </si>
  <si>
    <t>Business, Industrial</t>
  </si>
  <si>
    <t>Great Refrigerator Roundup</t>
  </si>
  <si>
    <t>Consumer, Business</t>
  </si>
  <si>
    <t>Summer Savings</t>
  </si>
  <si>
    <t>Aboriginal</t>
  </si>
  <si>
    <t>Consumer Low-Income</t>
  </si>
  <si>
    <t>Social Housing Pilot</t>
  </si>
  <si>
    <t>Energy Efficiency Assistance for Houses Pilot</t>
  </si>
  <si>
    <t>Electricity Retrofit Incentive</t>
  </si>
  <si>
    <t>Business</t>
  </si>
  <si>
    <t>Cool Savings Rebate</t>
  </si>
  <si>
    <t>Every Kilowatt Counts Power Savings Event</t>
  </si>
  <si>
    <t>Summer Sweepstakes</t>
  </si>
  <si>
    <t>High Performance New Construction</t>
  </si>
  <si>
    <t>Power Savings Blitz</t>
  </si>
  <si>
    <t>Demand Response 3</t>
  </si>
  <si>
    <t>Multi-Family Energy Efficiency Rebates</t>
  </si>
  <si>
    <t>Consumer, Consumer Low-Income</t>
  </si>
  <si>
    <t>Demand Response 2</t>
  </si>
  <si>
    <t>LDC Custom - Thunder Bay Hydro - Phantom Load</t>
  </si>
  <si>
    <t>Res</t>
  </si>
  <si>
    <t>GS &gt; 1000</t>
  </si>
  <si>
    <t>GS &gt; 1000kW</t>
  </si>
  <si>
    <t>2006 to 2010</t>
  </si>
  <si>
    <t>Subtotal</t>
  </si>
  <si>
    <t>All Years</t>
  </si>
  <si>
    <t>Total Residential CDM Results</t>
  </si>
  <si>
    <t>Total GS &lt; 50 kW CDM Results</t>
  </si>
  <si>
    <t>Total GS &gt; 50 kW CDM Results</t>
  </si>
  <si>
    <t>Total GS &gt; 1000 kW CDM Results</t>
  </si>
  <si>
    <t>kWh</t>
  </si>
  <si>
    <t>Summary of Degree Day Information</t>
  </si>
  <si>
    <t>Station Name</t>
  </si>
  <si>
    <t>TORONTO LESTER B. PEARSON INT'L A</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</si>
  <si>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</si>
  <si>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</si>
  <si>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</si>
  <si>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</si>
  <si>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</si>
  <si>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</si>
  <si>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</si>
  <si>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</si>
  <si>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</si>
  <si>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</si>
  <si>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</si>
  <si>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</si>
  <si>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</si>
  <si>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</si>
  <si>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</si>
  <si>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</si>
  <si>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 xml:space="preserve"> </t>
  </si>
  <si>
    <t>General Service
 &lt; 50 kW</t>
  </si>
  <si>
    <t>General Service
 &gt; 50 to 999 kW</t>
  </si>
  <si>
    <t>20 year trend</t>
  </si>
  <si>
    <t>Internal Table: 2011 CDM Program Results and Related Persistence (before adjustments)</t>
  </si>
  <si>
    <t>Actual Results</t>
  </si>
  <si>
    <t>Persistence of 2011 results</t>
  </si>
  <si>
    <t>2011 Results</t>
  </si>
  <si>
    <t>Peak Demand Savings (kW)</t>
  </si>
  <si>
    <t>Energy Savings (kWh)</t>
  </si>
  <si>
    <t>Consumer Program</t>
  </si>
  <si>
    <t>Appliance Retirement</t>
  </si>
  <si>
    <t>RS</t>
  </si>
  <si>
    <t>Appliance Exchange</t>
  </si>
  <si>
    <t>HVAC Incentives</t>
  </si>
  <si>
    <t>Conservation Instant Coupon Booklet</t>
  </si>
  <si>
    <t>Bi-Annual Retailer Event</t>
  </si>
  <si>
    <t>Retailer Co-op</t>
  </si>
  <si>
    <t>Residential Demand Response</t>
  </si>
  <si>
    <t>Residential Demand Response (IHD)</t>
  </si>
  <si>
    <t>Residential New Construction</t>
  </si>
  <si>
    <t>Consumer Program Total</t>
  </si>
  <si>
    <t>Business Program</t>
  </si>
  <si>
    <t>Retrofit</t>
  </si>
  <si>
    <t>GS &lt; 50</t>
  </si>
  <si>
    <t>GS 50-999</t>
  </si>
  <si>
    <t>ST</t>
  </si>
  <si>
    <t>Direct Install Lighting</t>
  </si>
  <si>
    <t>Building Commissioning</t>
  </si>
  <si>
    <t>New Construction</t>
  </si>
  <si>
    <t>Energy Audit</t>
  </si>
  <si>
    <t>Small Commercial Demand Response</t>
  </si>
  <si>
    <t>Small Commercial Demand Response (IHD)</t>
  </si>
  <si>
    <t>Business Program Total</t>
  </si>
  <si>
    <t>Industrial Program</t>
  </si>
  <si>
    <t>Process &amp; System Upgrades</t>
  </si>
  <si>
    <t>Monitoring &amp; Targeting</t>
  </si>
  <si>
    <t>Energy Manager</t>
  </si>
  <si>
    <t>Industrial Program Total</t>
  </si>
  <si>
    <t>Home Assistance Program</t>
  </si>
  <si>
    <t>Home Assistance Program Total</t>
  </si>
  <si>
    <t>Aboriginal Program</t>
  </si>
  <si>
    <t>Aboriginal Program Total</t>
  </si>
  <si>
    <t>Pre-2011 Programs completed in 2011</t>
  </si>
  <si>
    <t>Electricity Retrofit Incentive Program</t>
  </si>
  <si>
    <t>Toronto Comprehensive</t>
  </si>
  <si>
    <t>Multifamily Energy Efficiency Rebates</t>
  </si>
  <si>
    <t>LDC Custom Programs</t>
  </si>
  <si>
    <t>Pre-2011 Programs completed in 2011 Total</t>
  </si>
  <si>
    <t>Other</t>
  </si>
  <si>
    <t>Program Enabled Savings</t>
  </si>
  <si>
    <t>Time-of-Use Savings</t>
  </si>
  <si>
    <t>Exc. RS shift only</t>
  </si>
  <si>
    <t>LDC Pilots</t>
  </si>
  <si>
    <t>Other Total</t>
  </si>
  <si>
    <t>Note 1: Report based on IESO Final 2014 CDM program results.</t>
  </si>
  <si>
    <t>Note 2: Persistence of 2011 results into future years provided by IESO.</t>
  </si>
  <si>
    <t>Note 3: Retrofit results apply to more than one rate class and an estimate of the split by rate class was made based on specific information, when available</t>
  </si>
  <si>
    <t>Note 4: Persistence is based on net incremental and program-to-date contributions to IESO reported targets. Some program results do not persist</t>
  </si>
  <si>
    <t xml:space="preserve">                 into future years and others persist equally into future years.  Changes in persistence are recorded in the year identified in the IESO report.</t>
  </si>
  <si>
    <t>Table A - 2:  2011 CDM Program Adjustments and Related Persistence</t>
  </si>
  <si>
    <t>2011 Adjustments</t>
  </si>
  <si>
    <t>Note 1: Report based on IESO Final 2014 program adjustment results.</t>
  </si>
  <si>
    <t>Note 2: Persistence of 2011 adjustments into future years provided by IESO.</t>
  </si>
  <si>
    <t>Note 3: IESO reduced 2011 persistence in 2014, which has been estimated 50/50 in Appliance Retirement and Direct Lighting.</t>
  </si>
  <si>
    <t>Note 4: Retrofit adjustments apply to more than one rate class and an estimate of the split by rate class was made based on specific information, when available.</t>
  </si>
  <si>
    <t>Note 4: Persistence is based on net incremental and program-to-date adjustments to the IESO reported targets. Some program adjustment results do not persist</t>
  </si>
  <si>
    <t xml:space="preserve">                 into future years and others persist equally into future years.  Changes in persistence adjustments are recorded in the year identified in the IESO report.</t>
  </si>
  <si>
    <t>Internal Table: 2012 CDM Program Results and Related Persistence (before adjustments)</t>
  </si>
  <si>
    <t>Persistence of 2012 results</t>
  </si>
  <si>
    <t>2012 Results</t>
  </si>
  <si>
    <t>Note 1: Report based on IESO Final 2014 program results.</t>
  </si>
  <si>
    <t>Note 2: Persistence of 2012 results into future years provided by IESO.</t>
  </si>
  <si>
    <t>Note 3: IESO removed Demand Response 3 persistence in 2013 &amp; 2014.</t>
  </si>
  <si>
    <t>Note 4: Retrofit results apply to more than one rate class and an estimate of the split by rate class was made based on specific information, when available.</t>
  </si>
  <si>
    <t>Table B - 2: 2012 CDM Program Adjustments and Related Persistence</t>
  </si>
  <si>
    <t>2012 Adjustments</t>
  </si>
  <si>
    <t>Note 2: Persistence of 2012 adjustments into future years provided by IESO.</t>
  </si>
  <si>
    <t>Note 3: IESO reduced 2012 persistence in 2014, which has been estimated in Direct Lighting Install.</t>
  </si>
  <si>
    <t>Note 5: IESO adjustment of 7,298 kWh allocated to direct lighting install.</t>
  </si>
  <si>
    <t>Internal Table: 2013 CDM Program Results and Related Persistence (before adjustments)</t>
  </si>
  <si>
    <t>Persistence of 2013 results</t>
  </si>
  <si>
    <t>2013 Results</t>
  </si>
  <si>
    <t>Note 1: Report based on IESO Final 2014 program results</t>
  </si>
  <si>
    <t>Note 2: Persistence of 2013 results into future years provided by IESO</t>
  </si>
  <si>
    <t>Note 3: IESO removed Demand Response 3 persistence in 2014</t>
  </si>
  <si>
    <t>Note 4: Retrofit results apply to more than one rate class and an estimate of the split by rate class was made based on specific information, when available</t>
  </si>
  <si>
    <t xml:space="preserve">                 into future years and others persist equally into future years.  Changes in persistence are recorded in the year identified in the IESO report</t>
  </si>
  <si>
    <t>Table C - 2: 2013 CDM Program Adjustments and Related Persistence</t>
  </si>
  <si>
    <t>2013 Adjustments</t>
  </si>
  <si>
    <t>Note 2: Persistence of 2013 adjustments into future years provided by IESO.</t>
  </si>
  <si>
    <t>Note 3: IESO reduced 2013 persistence in Home Assistance Program in 2014 and further persistence estimated 50/50 in Appliance Retirement and Direct Lighting in 2014.</t>
  </si>
  <si>
    <t>Note 5: IESO reduced 2013 persistence in 2014, which has been estimated 50/50 in Appliance Retirement and Direct Lighting.</t>
  </si>
  <si>
    <t>Internal Table: 2014 CDM Program Results</t>
  </si>
  <si>
    <t>2014 Results</t>
  </si>
  <si>
    <t>Note 2: Retrofit results apply to more than one rate class and an estimate of the split by rate class was made based on specific information, when available.</t>
  </si>
  <si>
    <t>Note 3: TOU kW not included in calculation of savings, as it represents a shift in Demand only.</t>
  </si>
  <si>
    <t>Internal Table: 2011-2014 CDM Net Program Results (includes persistence and adjustments)</t>
  </si>
  <si>
    <t>Net Peak Demand Savings (kW)</t>
  </si>
  <si>
    <t>Net Energy Savings (kWh)</t>
  </si>
  <si>
    <t>Further OEB Adjustments that did not persist</t>
  </si>
  <si>
    <t>2011 Persist</t>
  </si>
  <si>
    <t>2012 Persist</t>
  </si>
  <si>
    <t>2013 Persist</t>
  </si>
  <si>
    <t>into 2014</t>
  </si>
  <si>
    <t>into 14</t>
  </si>
  <si>
    <t>General Service &lt;50 kW</t>
  </si>
  <si>
    <t>GS&lt;50</t>
  </si>
  <si>
    <t>Direct Lighting GS&lt; 50</t>
  </si>
  <si>
    <t>General Service &gt; 50 to 999 kW</t>
  </si>
  <si>
    <t>General Service &gt; 1000kW</t>
  </si>
  <si>
    <t>Unmetered Loads</t>
  </si>
  <si>
    <t>Source:  Settlement Agreement - EB-2012-0167, Pg 21 of 79</t>
  </si>
  <si>
    <t>Streetlights</t>
  </si>
  <si>
    <t>Home Appliance  RS</t>
  </si>
  <si>
    <t>IESO removed persistance 51  KW - placed into 2014 GS&lt;50 cell M97</t>
  </si>
  <si>
    <t>IESO removed Persistance  21  KW - placed into 2014 GS&lt;50 cell M93</t>
  </si>
  <si>
    <t>2011 to 2014</t>
  </si>
  <si>
    <t>Street Light</t>
  </si>
  <si>
    <t>Total 2006 to 2015 Annual CDM Results (Net) with Persistence</t>
  </si>
  <si>
    <t>Half year applies to first year programs</t>
  </si>
  <si>
    <t>Total to 2015</t>
  </si>
  <si>
    <t>Class Specific before CDM</t>
  </si>
  <si>
    <t>CDM Full Year</t>
  </si>
  <si>
    <t>CDM Adjustment for half year rule</t>
  </si>
  <si>
    <t>Class Specific after CDM</t>
  </si>
  <si>
    <t xml:space="preserve">2012 Actual </t>
  </si>
  <si>
    <t xml:space="preserve">2013 Actual </t>
  </si>
  <si>
    <t xml:space="preserve">2014 Actual </t>
  </si>
  <si>
    <t xml:space="preserve">2015 Actual </t>
  </si>
  <si>
    <t>2016 Weather Normal</t>
  </si>
  <si>
    <t>2017 Weather Normal</t>
  </si>
  <si>
    <t>Billed kWh Before CDM</t>
  </si>
  <si>
    <t>CDM Adjustment</t>
  </si>
  <si>
    <t>Billed kWh After CDM</t>
  </si>
  <si>
    <t>Thunder Bay Hydro Load Forecast for 2017 Rate Application</t>
  </si>
  <si>
    <t>Large User</t>
  </si>
  <si>
    <t>RAPPORT DÉTAILLÉ</t>
  </si>
  <si>
    <t>Statistiques de la régression</t>
  </si>
  <si>
    <t>Coefficient de détermination multiple</t>
  </si>
  <si>
    <t>Coefficient de détermination R^2</t>
  </si>
  <si>
    <t>Erreur-type</t>
  </si>
  <si>
    <t>ANALYSE DE VARIANCE</t>
  </si>
  <si>
    <t>Régression</t>
  </si>
  <si>
    <t>Résidus</t>
  </si>
  <si>
    <t>Constante</t>
  </si>
  <si>
    <t>Degré de liberté</t>
  </si>
  <si>
    <t>Somme des carrés</t>
  </si>
  <si>
    <t>Moyenne des carrés</t>
  </si>
  <si>
    <t>Valeur critique de F</t>
  </si>
  <si>
    <t>Statistique t</t>
  </si>
  <si>
    <t>Probabilité</t>
  </si>
  <si>
    <t>Limite inférieure pour seuil de confiance = 95%</t>
  </si>
  <si>
    <t>Limite supérieure pour seuil de confiance = 95%</t>
  </si>
  <si>
    <t>Limite inférieure pour seuil de confiance =  95.0%</t>
  </si>
  <si>
    <t>Limite supérieure pour seuil de confiance =  95.0%</t>
  </si>
  <si>
    <t>Variable X 1</t>
  </si>
  <si>
    <t>Variable X 2</t>
  </si>
  <si>
    <t>Variable X 3</t>
  </si>
  <si>
    <t>Variable X 4</t>
  </si>
  <si>
    <t>Variable X 5</t>
  </si>
  <si>
    <t>Variable X 6</t>
  </si>
  <si>
    <t>Variable X 7</t>
  </si>
  <si>
    <t>Variable X 8</t>
  </si>
  <si>
    <t>Street Lighting</t>
  </si>
  <si>
    <t>Sentinel Lighting</t>
  </si>
  <si>
    <t>12 NCP</t>
  </si>
  <si>
    <t>1 NCP</t>
  </si>
  <si>
    <t>4 NCP</t>
  </si>
  <si>
    <t>Weather Normal</t>
  </si>
  <si>
    <t>Weather Noraml Factor</t>
  </si>
  <si>
    <t>% Variance (ABS)</t>
  </si>
  <si>
    <t>Unmetered Scattered Load</t>
  </si>
  <si>
    <t>General Service 
&gt; 1000 kW</t>
  </si>
  <si>
    <t>Last Updated Version: June 3rd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</si>
</sst>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quot;$&quot;* #,##0.00_);_(&quot;$&quot;* \(#,##0.00\);_(&quot;$&quot;* &quot;-&quot;??_);_(@_)"/>
    <numFmt numFmtId="167" formatCode="_(* #,##0.00_);_(* \(#,##0.00\);_(* &quot;-&quot;??_);_(@_)"/>
    <numFmt numFmtId="168" formatCode="0.0%"/>
    <numFmt numFmtId="169" formatCode="#,##0;\(#,##0\)"/>
    <numFmt numFmtId="170" formatCode="0.0000"/>
    <numFmt numFmtId="171" formatCode="#,##0.0000"/>
    <numFmt numFmtId="172" formatCode="0.0000%"/>
    <numFmt numFmtId="173" formatCode="#,##0.0"/>
    <numFmt numFmtId="174" formatCode="_(* #,##0_);_(* \(#,##0\);_(* &quot;-&quot;??_);_(@_)"/>
    <numFmt numFmtId="175" formatCode="0.0"/>
    <numFmt numFmtId="176" formatCode="_-* #,##0_-;\-* #,##0_-;_-* &quot;-&quot;??_-;_-@_-"/>
    <numFmt numFmtId="177" formatCode="#,##0.000;\-#,##0.000"/>
    <numFmt numFmtId="178" formatCode="#,##0.000"/>
    <numFmt numFmtId="179" formatCode="#,##0.00000"/>
    <numFmt numFmtId="180" formatCode="#,##0.000000"/>
    <numFmt numFmtId="181" formatCode="#,##0.0_);\(#,##0.0\)"/>
    <numFmt numFmtId="182" formatCode="&quot;$&quot;_(#,##0.00_);&quot;$&quot;\(#,##0.00\)"/>
    <numFmt numFmtId="183" formatCode="_(* #,##0.0_);_(* \(#,##0.0\);_(* &quot;-&quot;??_);_(@_)"/>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 #,##0_);[Red]\(\¥\ #,##0\)"/>
    <numFmt numFmtId="201" formatCode="0.000000"/>
    <numFmt numFmtId="202" formatCode="[&gt;1]&quot;10Q: &quot;0&quot; qtrs&quot;;&quot;10Q: &quot;0&quot; qtr&quot;"/>
    <numFmt numFmtId="203" formatCode="0.0%;[Red]\(0.0%\)"/>
    <numFmt numFmtId="204" formatCode="#,##0.0\ \ \ _);\(#,##0.0\)\ \ "/>
    <numFmt numFmtId="205" formatCode="#,##0.00;[Red]\(#,##0.00\)"/>
    <numFmt numFmtId="206" formatCode="_-* #,##0.00\ _F_-;\-* #,##0.00\ _F_-;_-* &quot;-&quot;??\ _F_-;_-@_-"/>
    <numFmt numFmtId="207" formatCode="m\-d\-yy"/>
    <numFmt numFmtId="208" formatCode="&quot;£&quot;#,##0.00_);[Red]\(&quot;£&quot;#,##0.00\)"/>
    <numFmt numFmtId="209" formatCode="0.0_)"/>
    <numFmt numFmtId="210" formatCode="m/yy"/>
    <numFmt numFmtId="211" formatCode="#,###.0#"/>
    <numFmt numFmtId="212" formatCode="#,###.#"/>
    <numFmt numFmtId="213" formatCode="&quot;$&quot;#,##0.00"/>
    <numFmt numFmtId="214" formatCode="0000\ \-\ 0000"/>
    <numFmt numFmtId="215" formatCode="[Red][&gt;0.0000001]\+#,##0.?#;[Red][&lt;-0.0000001]\-#,##0.?#;[Green]&quot;=  &quot;"/>
    <numFmt numFmtId="216" formatCode="#.#######\x"/>
    <numFmt numFmtId="217" formatCode="0.00000E+00"/>
    <numFmt numFmtId="218" formatCode="_(* #,##0.0_);_(* \(#,##0.0\);_(* &quot;-&quot;_);_(@_)"/>
    <numFmt numFmtId="219" formatCode="_-* #,##0.00\ _D_M_-;\-* #,##0.00\ _D_M_-;_-* &quot;-&quot;??\ _D_M_-;_-@_-"/>
    <numFmt numFmtId="220" formatCode="#,##0_%_);\(#,##0\)_%;#,##0_%_);@_%_)"/>
    <numFmt numFmtId="221" formatCode="#,##0.00_%_);\(#,##0.00\)_%;**;@_%_)"/>
    <numFmt numFmtId="222" formatCode="0.000\x"/>
    <numFmt numFmtId="223" formatCode="&quot;$&quot;#,##0.00_);[Red]\(&quot;$&quot;#,##0.00\);&quot;--  &quot;;_(@_)"/>
    <numFmt numFmtId="224" formatCode="_(&quot;$&quot;* #,##0.0_);_(&quot;$&quot;* \(#,##0.0\);_(&quot;$&quot;* &quot;-&quot;_);_(@_)"/>
    <numFmt numFmtId="225" formatCode="_(&quot;$&quot;* #,##0_);_(&quot;$&quot;* \(#,##0\);_(&quot;$&quot;* &quot;-&quot;??_);_(@_)"/>
    <numFmt numFmtId="226" formatCode="&quot;$&quot;#,##0.00_%_);\(&quot;$&quot;#,##0.00\)_%;**;@_%_)"/>
    <numFmt numFmtId="227" formatCode="&quot;$&quot;#,##0.00_%_);\(&quot;$&quot;#,##0.00\)_%;&quot;$&quot;###0.00_%_);@_%_)"/>
    <numFmt numFmtId="228" formatCode="_(\§\ #,##0.00_);[Red]\(\§\ #,##0.00\);&quot; - &quot;_0_0;_(@_)"/>
    <numFmt numFmtId="229" formatCode="###0.00_)"/>
    <numFmt numFmtId="230" formatCode="mmm\-dd\-yyyy"/>
    <numFmt numFmtId="231" formatCode="mmm\-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_);[Red]\(#,##0.0\);&quot;--  &quot;"/>
    <numFmt numFmtId="255" formatCode="0.00_)"/>
    <numFmt numFmtId="256" formatCode="#,##0.000_);[Red]\(#,##0.000\)"/>
    <numFmt numFmtId="257" formatCode="0_);\(0\)"/>
    <numFmt numFmtId="258" formatCode="#,##0.00&quot;x&quot;_);[Red]\(#,##0.00&quot;x&quot;\)"/>
    <numFmt numFmtId="259" formatCode="#,##0_);\(#,##0\);&quot;-  &quot;"/>
    <numFmt numFmtId="260" formatCode="#,##0.0_);\(#,##0.0\);&quot;-  &quot;"/>
    <numFmt numFmtId="261" formatCode="#,##0.0_);\(#,##0.0\);\-_)"/>
    <numFmt numFmtId="262" formatCode="0.00000000"/>
    <numFmt numFmtId="263" formatCode="#,##0.0%_);[Red]\(#,##0.0%\)"/>
    <numFmt numFmtId="264" formatCode="#,##0.00%_);[Red]\(#,##0.00%\)"/>
    <numFmt numFmtId="265" formatCode="0.0%_);\(0.0%\);&quot;-  &quot;"/>
    <numFmt numFmtId="266" formatCode="#,##0.0\%_);\(#,##0.0\%\);#,##0.0\%_);@_%_)"/>
    <numFmt numFmtId="267" formatCode="mm/dd/yy"/>
    <numFmt numFmtId="268" formatCode="0.00\ ;\-0.00\ ;&quot;- &quot;"/>
    <numFmt numFmtId="269" formatCode="#,##0\ ;[Red]\(#,##0\);\ \-\ "/>
    <numFmt numFmtId="270" formatCode="#,##0.00_);\(#,##0.00\);#,##0.00_);@_)"/>
    <numFmt numFmtId="271" formatCode="[White]General"/>
    <numFmt numFmtId="272" formatCode="#,###.##"/>
    <numFmt numFmtId="273" formatCode="&quot;$&quot;#,##0.000000_);[Red]\(&quot;$&quot;#,##0.000000\)"/>
    <numFmt numFmtId="274" formatCode="&quot;Table &quot;0"/>
    <numFmt numFmtId="275" formatCode="_(General_)"/>
    <numFmt numFmtId="276" formatCode="0.00\ "/>
    <numFmt numFmtId="277" formatCode="_-&quot;L.&quot;\ * #,##0.00_-;\-&quot;L.&quot;\ * #,##0.00_-;_-&quot;L.&quot;\ * &quot;-&quot;??_-;_-@_-"/>
    <numFmt numFmtId="278" formatCode="0_%_);\(0\)_%;0_%_);@_%_)"/>
    <numFmt numFmtId="279" formatCode="0,000\x"/>
    <numFmt numFmtId="280" formatCode="yyyy&quot;A&quot;"/>
    <numFmt numFmtId="281" formatCode="_-* #,##0\ _D_M_-;\-* #,##0\ _D_M_-;_-* &quot;-&quot;\ _D_M_-;_-@_-"/>
    <numFmt numFmtId="282" formatCode="&quot;@ &quot;0.00"/>
    <numFmt numFmtId="283" formatCode="&quot;Yes&quot;_%_);&quot;Error&quot;_%_);&quot;No&quot;_%_);&quot;--&quot;_%_)"/>
    <numFmt numFmtId="284" formatCode="[$-1009]d\-mmm\-yy;@"/>
    <numFmt numFmtId="290" formatCode="0.000"/>
    <numFmt numFmtId="293" formatCode="&quot;$&quot;#,##0.0000_);[Red]\(&quot;$&quot;#,##0.0000\)"/>
    <numFmt numFmtId="294" formatCode="&quot;$&quot;#,##0.00000_);[Red]\(&quot;$&quot;#,##0.00000\)"/>
  </numFmts>
  <fonts count="194">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Times New Roman"/>
      <family val="1"/>
    </font>
    <font>
      <sz val="11"/>
      <name val="Arial"/>
      <family val="2"/>
    </font>
    <font>
      <sz val="12"/>
      <name val="Arial"/>
      <family val="2"/>
    </font>
    <font>
      <i/>
      <sz val="8"/>
      <name val="Arial"/>
      <family val="2"/>
    </font>
    <font>
      <b/>
      <u/>
      <sz val="8"/>
      <name val="Arial"/>
      <family val="2"/>
    </font>
    <font>
      <b/>
      <sz val="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Arial"/>
      <family val="2"/>
    </font>
    <font>
      <sz val="11"/>
      <color theme="1"/>
      <name val="Arial"/>
      <family val="2"/>
    </font>
    <font>
      <b/>
      <sz val="11"/>
      <color theme="1"/>
      <name val="Arial"/>
      <family val="2"/>
    </font>
    <font>
      <b/>
      <sz val="14"/>
      <color theme="1"/>
      <name val="Arial"/>
      <family val="2"/>
    </font>
    <font>
      <sz val="12"/>
      <color theme="1"/>
      <name val="Arial"/>
      <family val="2"/>
    </font>
    <font>
      <b/>
      <sz val="10"/>
      <color theme="1"/>
      <name val="Arial"/>
      <family val="2"/>
    </font>
    <font>
      <sz val="10"/>
      <color rgb="FFFA7D00"/>
      <name val="Arial"/>
      <family val="2"/>
    </font>
    <font>
      <b/>
      <sz val="14"/>
      <name val="Arial"/>
      <family val="2"/>
    </font>
    <font>
      <b/>
      <sz val="11"/>
      <color theme="0"/>
      <name val="Arial"/>
      <family val="2"/>
    </font>
    <font>
      <sz val="10"/>
      <color theme="1"/>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Frutiger 45 Light"/>
      <family val="2"/>
    </font>
    <font>
      <sz val="12"/>
      <name val="Times New Roman"/>
      <family val="1"/>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b/>
      <sz val="11"/>
      <color indexed="9"/>
      <name val="Calibri"/>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10"/>
      <color indexed="8"/>
      <name val="Arial"/>
      <family val="2"/>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indexed="23"/>
      <name val="Calibri"/>
      <family val="2"/>
    </font>
    <font>
      <i/>
      <sz val="11"/>
      <color rgb="FF7F7F7F"/>
      <name val="Arial"/>
      <family val="2"/>
    </font>
    <font>
      <sz val="14"/>
      <color indexed="32"/>
      <name val="Times New Roman"/>
      <family val="1"/>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sz val="11"/>
      <color indexed="6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indexed="52"/>
      <name val="Calibri"/>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2"/>
      <color theme="1"/>
      <name val="Calibri"/>
      <family val="2"/>
    </font>
    <font>
      <u/>
      <sz val="8"/>
      <color indexed="8"/>
      <name val="Arial"/>
      <family val="2"/>
    </font>
    <font>
      <sz val="16"/>
      <name val="WarburgLogo"/>
      <family val="1"/>
    </font>
    <font>
      <sz val="11"/>
      <color indexed="10"/>
      <name val="Calibri"/>
      <family val="2"/>
    </font>
    <font>
      <sz val="11"/>
      <color rgb="FFFF0000"/>
      <name val="Arial"/>
      <family val="2"/>
    </font>
    <font>
      <sz val="8"/>
      <color indexed="12"/>
      <name val="Times New Roman"/>
      <family val="1"/>
    </font>
    <font>
      <sz val="9"/>
      <color indexed="81"/>
      <name val="Tahoma"/>
      <family val="2"/>
    </font>
    <font>
      <b/>
      <sz val="9"/>
      <color indexed="81"/>
      <name val="Tahoma"/>
      <family val="2"/>
    </font>
    <font>
      <b/>
      <sz val="10"/>
      <color rgb="FFFA7D00"/>
      <name val="Arial"/>
      <family val="2"/>
    </font>
    <font>
      <b/>
      <sz val="9"/>
      <color theme="1"/>
      <name val="Arial"/>
      <family val="2"/>
    </font>
    <font>
      <sz val="9"/>
      <color theme="1"/>
      <name val="Arial"/>
      <family val="2"/>
    </font>
    <font>
      <sz val="16"/>
      <color theme="1"/>
      <name val="Calibri"/>
      <family val="2"/>
      <scheme val="minor"/>
    </font>
  </fonts>
  <fills count="9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26"/>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00B0F0"/>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18">
    <xf numFmtId="0" fontId="0" fillId="0" borderId="0"/>
    <xf numFmtId="167" fontId="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1" fillId="0" borderId="0" applyFont="0" applyFill="0" applyBorder="0" applyAlignment="0" applyProtection="0"/>
    <xf numFmtId="167" fontId="3" fillId="0" borderId="0" applyFont="0" applyFill="0" applyBorder="0" applyAlignment="0" applyProtection="0"/>
    <xf numFmtId="167" fontId="11"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3" fontId="4" fillId="0" borderId="0" applyFont="0" applyFill="0" applyBorder="0" applyAlignment="0" applyProtection="0"/>
    <xf numFmtId="166" fontId="3" fillId="0" borderId="0" applyFont="0" applyFill="0" applyBorder="0" applyAlignment="0" applyProtection="0"/>
    <xf numFmtId="164"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11" fillId="0" borderId="0"/>
    <xf numFmtId="0" fontId="4" fillId="0" borderId="0"/>
    <xf numFmtId="0" fontId="17" fillId="0" borderId="0"/>
    <xf numFmtId="0" fontId="11" fillId="0" borderId="0"/>
    <xf numFmtId="0" fontId="4" fillId="0" borderId="0"/>
    <xf numFmtId="0" fontId="11" fillId="0" borderId="0"/>
    <xf numFmtId="9" fontId="4" fillId="0" borderId="0" applyFont="0" applyFill="0" applyBorder="0" applyAlignment="0" applyProtection="0"/>
    <xf numFmtId="9" fontId="11" fillId="0" borderId="0" applyFont="0" applyFill="0" applyBorder="0" applyAlignment="0" applyProtection="0"/>
    <xf numFmtId="0" fontId="2" fillId="21" borderId="0" applyNumberFormat="0" applyBorder="0" applyAlignment="0" applyProtection="0"/>
    <xf numFmtId="0" fontId="2" fillId="0" borderId="0"/>
    <xf numFmtId="0" fontId="27" fillId="0" borderId="18" applyNumberFormat="0" applyFill="0" applyAlignment="0" applyProtection="0"/>
    <xf numFmtId="9" fontId="2" fillId="0" borderId="0" applyFont="0" applyFill="0" applyBorder="0" applyAlignment="0" applyProtection="0"/>
    <xf numFmtId="9" fontId="43" fillId="0" borderId="0">
      <alignment horizontal="right"/>
    </xf>
    <xf numFmtId="5" fontId="44" fillId="0" borderId="0" applyFont="0" applyFill="0" applyBorder="0" applyAlignment="0" applyProtection="0"/>
    <xf numFmtId="8" fontId="44" fillId="0" borderId="0" applyFont="0" applyFill="0" applyBorder="0" applyAlignment="0" applyProtection="0"/>
    <xf numFmtId="9" fontId="44" fillId="0" borderId="0" applyFont="0" applyFill="0" applyBorder="0" applyAlignment="0" applyProtection="0"/>
    <xf numFmtId="10" fontId="44" fillId="0" borderId="0" applyFont="0" applyFill="0" applyBorder="0" applyAlignment="0" applyProtection="0"/>
    <xf numFmtId="0" fontId="4" fillId="39" borderId="37" applyNumberFormat="0">
      <alignment horizontal="centerContinuous" vertical="center" wrapText="1"/>
    </xf>
    <xf numFmtId="0" fontId="4" fillId="39" borderId="37" applyNumberFormat="0">
      <alignment horizontal="centerContinuous" vertical="center" wrapText="1"/>
    </xf>
    <xf numFmtId="0" fontId="4" fillId="39" borderId="37" applyNumberFormat="0">
      <alignment horizontal="centerContinuous" vertical="center" wrapText="1"/>
    </xf>
    <xf numFmtId="0" fontId="4" fillId="40" borderId="37" applyNumberFormat="0">
      <alignment horizontal="left" vertical="center"/>
    </xf>
    <xf numFmtId="0" fontId="4" fillId="40" borderId="37" applyNumberFormat="0">
      <alignment horizontal="left" vertical="center"/>
    </xf>
    <xf numFmtId="0" fontId="4" fillId="40" borderId="37" applyNumberFormat="0">
      <alignment horizontal="left" vertical="center"/>
    </xf>
    <xf numFmtId="43" fontId="45" fillId="0" borderId="0" applyFont="0" applyFill="0" applyBorder="0" applyAlignment="0" applyProtection="0"/>
    <xf numFmtId="0" fontId="4" fillId="0" borderId="0"/>
    <xf numFmtId="0" fontId="4" fillId="0" borderId="0" applyFont="0" applyFill="0" applyBorder="0" applyAlignment="0" applyProtection="0"/>
    <xf numFmtId="181" fontId="4" fillId="0" borderId="0" applyFont="0" applyFill="0" applyBorder="0" applyAlignment="0" applyProtection="0"/>
    <xf numFmtId="0" fontId="46" fillId="0" borderId="0"/>
    <xf numFmtId="0" fontId="47"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11" fillId="0" borderId="0" applyFont="0" applyFill="0" applyBorder="0" applyAlignment="0" applyProtection="0"/>
    <xf numFmtId="185" fontId="11" fillId="0" borderId="0" applyFont="0" applyFill="0" applyBorder="0" applyAlignment="0" applyProtection="0"/>
    <xf numFmtId="39" fontId="4" fillId="0" borderId="0" applyFont="0" applyFill="0" applyBorder="0" applyAlignment="0" applyProtection="0"/>
    <xf numFmtId="0" fontId="46" fillId="0" borderId="0"/>
    <xf numFmtId="0" fontId="4" fillId="0" borderId="0">
      <alignment vertical="top"/>
    </xf>
    <xf numFmtId="9" fontId="47" fillId="0" borderId="0">
      <alignment horizontal="right"/>
    </xf>
    <xf numFmtId="0" fontId="48" fillId="0" borderId="0" applyNumberFormat="0" applyFill="0">
      <alignment horizontal="left" vertical="center" wrapText="1"/>
    </xf>
    <xf numFmtId="186" fontId="4" fillId="0" borderId="0" applyFont="0" applyFill="0" applyBorder="0" applyAlignment="0" applyProtection="0"/>
    <xf numFmtId="187" fontId="11" fillId="0" borderId="0" applyFont="0" applyFill="0" applyBorder="0" applyAlignment="0" applyProtection="0"/>
    <xf numFmtId="188" fontId="11" fillId="0" borderId="0" applyFont="0" applyFill="0" applyBorder="0" applyAlignment="0" applyProtection="0"/>
    <xf numFmtId="189" fontId="11" fillId="0" borderId="0" applyFont="0" applyFill="0" applyBorder="0" applyAlignment="0" applyProtection="0"/>
    <xf numFmtId="190" fontId="1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3" fontId="4" fillId="0" borderId="0" applyFont="0" applyFill="0" applyBorder="0" applyProtection="0">
      <alignment horizontal="right"/>
    </xf>
    <xf numFmtId="194" fontId="11" fillId="0" borderId="0" applyFont="0" applyFill="0" applyBorder="0" applyAlignment="0" applyProtection="0"/>
    <xf numFmtId="41" fontId="11" fillId="0" borderId="0" applyFont="0" applyFill="0" applyBorder="0" applyAlignment="0" applyProtection="0"/>
    <xf numFmtId="195" fontId="4" fillId="0" borderId="0" applyFont="0" applyFill="0" applyBorder="0" applyAlignment="0" applyProtection="0"/>
    <xf numFmtId="170" fontId="4" fillId="0" borderId="0" applyFont="0" applyFill="0" applyBorder="0" applyAlignment="0" applyProtection="0"/>
    <xf numFmtId="196" fontId="11" fillId="0" borderId="0" applyFont="0" applyFill="0" applyBorder="0" applyAlignment="0" applyProtection="0"/>
    <xf numFmtId="196" fontId="4" fillId="0" borderId="0" applyFont="0" applyFill="0" applyBorder="0" applyAlignment="0" applyProtection="0"/>
    <xf numFmtId="197" fontId="4" fillId="0" borderId="0" applyFont="0" applyFill="0" applyBorder="0" applyAlignment="0" applyProtection="0"/>
    <xf numFmtId="198" fontId="4" fillId="0" borderId="0" applyFont="0" applyFill="0" applyBorder="0" applyAlignment="0" applyProtection="0"/>
    <xf numFmtId="199" fontId="4" fillId="0" borderId="0" applyFont="0" applyFill="0" applyBorder="0" applyAlignment="0" applyProtection="0"/>
    <xf numFmtId="0" fontId="4" fillId="0" borderId="0"/>
    <xf numFmtId="0" fontId="4" fillId="0" borderId="0"/>
    <xf numFmtId="0" fontId="49" fillId="0" borderId="0" applyFont="0" applyFill="0" applyBorder="0" applyAlignment="0" applyProtection="0"/>
    <xf numFmtId="200" fontId="49" fillId="0" borderId="0" applyFont="0" applyFill="0" applyBorder="0" applyAlignment="0" applyProtection="0"/>
    <xf numFmtId="0" fontId="11" fillId="0" borderId="0" applyNumberFormat="0" applyFill="0" applyBorder="0" applyAlignment="0" applyProtection="0"/>
    <xf numFmtId="201" fontId="48" fillId="0" borderId="0" applyNumberFormat="0" applyFill="0">
      <alignment horizontal="left" vertical="center" wrapText="1"/>
    </xf>
    <xf numFmtId="0" fontId="48" fillId="41" borderId="0" applyFont="0" applyFill="0" applyProtection="0"/>
    <xf numFmtId="181" fontId="4" fillId="0" borderId="0"/>
    <xf numFmtId="202" fontId="16" fillId="0" borderId="0" applyFill="0" applyBorder="0" applyAlignment="0" applyProtection="0">
      <alignment horizontal="right"/>
    </xf>
    <xf numFmtId="0" fontId="3" fillId="42" borderId="0" applyNumberFormat="0" applyBorder="0" applyAlignment="0" applyProtection="0"/>
    <xf numFmtId="0" fontId="2" fillId="12" borderId="0" applyNumberFormat="0" applyBorder="0" applyAlignment="0" applyProtection="0"/>
    <xf numFmtId="0" fontId="34"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4" fillId="12" borderId="0" applyNumberFormat="0" applyBorder="0" applyAlignment="0" applyProtection="0"/>
    <xf numFmtId="0" fontId="2"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50"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 fillId="43"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5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 fillId="44"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5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 fillId="45"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5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46"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5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 fillId="47"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 fillId="48" borderId="0" applyNumberFormat="0" applyBorder="0" applyAlignment="0" applyProtection="0"/>
    <xf numFmtId="0" fontId="2" fillId="13" borderId="0" applyNumberFormat="0" applyBorder="0" applyAlignment="0" applyProtection="0"/>
    <xf numFmtId="0" fontId="34"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4" fillId="13" borderId="0" applyNumberFormat="0" applyBorder="0" applyAlignment="0" applyProtection="0"/>
    <xf numFmtId="0" fontId="2"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5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 fillId="49" borderId="0" applyNumberFormat="0" applyBorder="0" applyAlignment="0" applyProtection="0"/>
    <xf numFmtId="0" fontId="2" fillId="17" borderId="0" applyNumberFormat="0" applyBorder="0" applyAlignment="0" applyProtection="0"/>
    <xf numFmtId="0" fontId="34"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4" fillId="17" borderId="0" applyNumberFormat="0" applyBorder="0" applyAlignment="0" applyProtection="0"/>
    <xf numFmtId="0" fontId="2"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5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50" borderId="0" applyNumberFormat="0" applyBorder="0" applyAlignment="0" applyProtection="0"/>
    <xf numFmtId="0" fontId="2" fillId="21" borderId="0" applyNumberFormat="0" applyBorder="0" applyAlignment="0" applyProtection="0"/>
    <xf numFmtId="0" fontId="34"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4" fillId="21" borderId="0" applyNumberFormat="0" applyBorder="0" applyAlignment="0" applyProtection="0"/>
    <xf numFmtId="0" fontId="2"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5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45" borderId="0" applyNumberFormat="0" applyBorder="0" applyAlignment="0" applyProtection="0"/>
    <xf numFmtId="0" fontId="2" fillId="25" borderId="0" applyNumberFormat="0" applyBorder="0" applyAlignment="0" applyProtection="0"/>
    <xf numFmtId="0" fontId="34"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34" fillId="25" borderId="0" applyNumberFormat="0" applyBorder="0" applyAlignment="0" applyProtection="0"/>
    <xf numFmtId="0" fontId="2"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5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3" fillId="48" borderId="0" applyNumberFormat="0" applyBorder="0" applyAlignment="0" applyProtection="0"/>
    <xf numFmtId="0" fontId="2" fillId="29" borderId="0" applyNumberFormat="0" applyBorder="0" applyAlignment="0" applyProtection="0"/>
    <xf numFmtId="0" fontId="34"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34" fillId="29" borderId="0" applyNumberFormat="0" applyBorder="0" applyAlignment="0" applyProtection="0"/>
    <xf numFmtId="0" fontId="2"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5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3" fillId="51" borderId="0" applyNumberFormat="0" applyBorder="0" applyAlignment="0" applyProtection="0"/>
    <xf numFmtId="0" fontId="2" fillId="33" borderId="0" applyNumberFormat="0" applyBorder="0" applyAlignment="0" applyProtection="0"/>
    <xf numFmtId="0" fontId="34"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34" fillId="33" borderId="0" applyNumberFormat="0" applyBorder="0" applyAlignment="0" applyProtection="0"/>
    <xf numFmtId="0" fontId="2"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5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1" fillId="52"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32" fillId="14" borderId="0" applyNumberFormat="0" applyBorder="0" applyAlignment="0" applyProtection="0"/>
    <xf numFmtId="0" fontId="51" fillId="49"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32" fillId="18" borderId="0" applyNumberFormat="0" applyBorder="0" applyAlignment="0" applyProtection="0"/>
    <xf numFmtId="0" fontId="51" fillId="50"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32" fillId="22" borderId="0" applyNumberFormat="0" applyBorder="0" applyAlignment="0" applyProtection="0"/>
    <xf numFmtId="0" fontId="51" fillId="53"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32" fillId="26" borderId="0" applyNumberFormat="0" applyBorder="0" applyAlignment="0" applyProtection="0"/>
    <xf numFmtId="0" fontId="51" fillId="54"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32" fillId="30" borderId="0" applyNumberFormat="0" applyBorder="0" applyAlignment="0" applyProtection="0"/>
    <xf numFmtId="0" fontId="51" fillId="55"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32" fillId="34" borderId="0" applyNumberFormat="0" applyBorder="0" applyAlignment="0" applyProtection="0"/>
    <xf numFmtId="203" fontId="4" fillId="0" borderId="38">
      <alignment horizontal="right"/>
    </xf>
    <xf numFmtId="0" fontId="51" fillId="56"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32" fillId="11" borderId="0" applyNumberFormat="0" applyBorder="0" applyAlignment="0" applyProtection="0"/>
    <xf numFmtId="0" fontId="51" fillId="57"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32" fillId="15" borderId="0" applyNumberFormat="0" applyBorder="0" applyAlignment="0" applyProtection="0"/>
    <xf numFmtId="0" fontId="51" fillId="58"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32" fillId="19" borderId="0" applyNumberFormat="0" applyBorder="0" applyAlignment="0" applyProtection="0"/>
    <xf numFmtId="0" fontId="51" fillId="5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32" fillId="23" borderId="0" applyNumberFormat="0" applyBorder="0" applyAlignment="0" applyProtection="0"/>
    <xf numFmtId="0" fontId="51" fillId="54"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32" fillId="27" borderId="0" applyNumberFormat="0" applyBorder="0" applyAlignment="0" applyProtection="0"/>
    <xf numFmtId="0" fontId="51" fillId="59"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32" fillId="31" borderId="0" applyNumberFormat="0" applyBorder="0" applyAlignment="0" applyProtection="0"/>
    <xf numFmtId="42" fontId="53" fillId="0" borderId="0" applyFont="0"/>
    <xf numFmtId="42" fontId="53" fillId="0" borderId="29" applyFont="0"/>
    <xf numFmtId="41" fontId="53" fillId="0" borderId="0" applyFont="0"/>
    <xf numFmtId="204" fontId="54" fillId="0" borderId="38">
      <alignment horizontal="right"/>
    </xf>
    <xf numFmtId="204" fontId="54" fillId="0" borderId="38" applyFill="0">
      <alignment horizontal="right"/>
    </xf>
    <xf numFmtId="205" fontId="4" fillId="0" borderId="38">
      <alignment horizontal="right"/>
    </xf>
    <xf numFmtId="3" fontId="4" fillId="0" borderId="38" applyFill="0">
      <alignment horizontal="right"/>
    </xf>
    <xf numFmtId="206" fontId="54" fillId="0" borderId="38" applyFill="0">
      <alignment horizontal="right"/>
    </xf>
    <xf numFmtId="3" fontId="55" fillId="0" borderId="38" applyFill="0">
      <alignment horizontal="right"/>
    </xf>
    <xf numFmtId="207" fontId="7" fillId="60" borderId="39">
      <alignment horizontal="center" vertical="center"/>
    </xf>
    <xf numFmtId="0" fontId="4" fillId="0" borderId="0"/>
    <xf numFmtId="181" fontId="56" fillId="0" borderId="0"/>
    <xf numFmtId="0" fontId="4" fillId="0" borderId="0"/>
    <xf numFmtId="208" fontId="4" fillId="0" borderId="38">
      <alignment horizontal="right"/>
      <protection locked="0"/>
    </xf>
    <xf numFmtId="6" fontId="54" fillId="0" borderId="38" applyNumberFormat="0" applyFont="0" applyBorder="0" applyProtection="0">
      <alignment horizontal="right"/>
    </xf>
    <xf numFmtId="209" fontId="57" fillId="61" borderId="40"/>
    <xf numFmtId="209" fontId="57" fillId="61" borderId="40"/>
    <xf numFmtId="209" fontId="57" fillId="61" borderId="40"/>
    <xf numFmtId="0" fontId="4" fillId="0" borderId="0" applyNumberFormat="0" applyFill="0" applyBorder="0" applyAlignment="0" applyProtection="0"/>
    <xf numFmtId="0" fontId="13" fillId="0" borderId="0" applyNumberFormat="0" applyFill="0" applyBorder="0" applyAlignment="0" applyProtection="0"/>
    <xf numFmtId="0" fontId="58" fillId="0" borderId="0"/>
    <xf numFmtId="0" fontId="59" fillId="43"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22" fillId="5" borderId="0" applyNumberFormat="0" applyBorder="0" applyAlignment="0" applyProtection="0"/>
    <xf numFmtId="1" fontId="61" fillId="62" borderId="34" applyNumberFormat="0" applyBorder="0" applyAlignment="0">
      <alignment horizontal="center" vertical="top" wrapText="1"/>
      <protection hidden="1"/>
    </xf>
    <xf numFmtId="0" fontId="62" fillId="63" borderId="0"/>
    <xf numFmtId="0" fontId="63" fillId="0" borderId="0" applyAlignment="0"/>
    <xf numFmtId="0" fontId="64" fillId="0" borderId="5" applyNumberFormat="0" applyFill="0" applyAlignment="0" applyProtection="0"/>
    <xf numFmtId="0" fontId="55" fillId="0" borderId="2" applyNumberFormat="0" applyFont="0" applyFill="0" applyAlignment="0" applyProtection="0"/>
    <xf numFmtId="0" fontId="65" fillId="0" borderId="41" applyNumberFormat="0" applyFont="0" applyFill="0" applyAlignment="0" applyProtection="0">
      <alignment horizontal="centerContinuous"/>
    </xf>
    <xf numFmtId="0" fontId="44" fillId="0" borderId="5" applyNumberFormat="0" applyFont="0" applyFill="0" applyAlignment="0" applyProtection="0"/>
    <xf numFmtId="0" fontId="44" fillId="0" borderId="34" applyNumberFormat="0" applyFont="0" applyFill="0" applyAlignment="0" applyProtection="0"/>
    <xf numFmtId="0" fontId="44" fillId="0" borderId="9" applyNumberFormat="0" applyFont="0" applyFill="0" applyAlignment="0" applyProtection="0"/>
    <xf numFmtId="0" fontId="44" fillId="0" borderId="12" applyNumberFormat="0" applyFont="0" applyFill="0" applyAlignment="0" applyProtection="0"/>
    <xf numFmtId="0" fontId="44" fillId="0" borderId="12" applyNumberFormat="0" applyFont="0" applyFill="0" applyAlignment="0" applyProtection="0"/>
    <xf numFmtId="0" fontId="44" fillId="0" borderId="12" applyNumberFormat="0" applyFont="0" applyFill="0" applyAlignment="0" applyProtection="0"/>
    <xf numFmtId="210" fontId="4" fillId="0" borderId="0" applyFont="0" applyFill="0" applyBorder="0" applyAlignment="0" applyProtection="0"/>
    <xf numFmtId="0" fontId="11" fillId="0" borderId="0">
      <alignment horizontal="right"/>
    </xf>
    <xf numFmtId="0" fontId="49" fillId="0" borderId="0" applyFont="0" applyFill="0" applyBorder="0" applyAlignment="0" applyProtection="0"/>
    <xf numFmtId="211" fontId="11" fillId="0" borderId="0" applyFill="0" applyBorder="0" applyAlignment="0"/>
    <xf numFmtId="212" fontId="11" fillId="0" borderId="0" applyFill="0" applyBorder="0" applyAlignment="0"/>
    <xf numFmtId="213" fontId="11" fillId="0" borderId="0" applyFill="0" applyBorder="0" applyAlignment="0"/>
    <xf numFmtId="214" fontId="11" fillId="0" borderId="0" applyFill="0" applyBorder="0" applyAlignment="0"/>
    <xf numFmtId="213" fontId="4" fillId="0" borderId="0" applyFill="0" applyBorder="0" applyAlignment="0"/>
    <xf numFmtId="211" fontId="11" fillId="0" borderId="0" applyFill="0" applyBorder="0" applyAlignment="0"/>
    <xf numFmtId="214" fontId="4" fillId="0" borderId="0" applyFill="0" applyBorder="0" applyAlignment="0"/>
    <xf numFmtId="212" fontId="11" fillId="0" borderId="0" applyFill="0" applyBorder="0" applyAlignment="0"/>
    <xf numFmtId="0" fontId="66" fillId="64" borderId="37" applyNumberFormat="0" applyAlignment="0" applyProtection="0"/>
    <xf numFmtId="0" fontId="66" fillId="64" borderId="37" applyNumberFormat="0" applyAlignment="0" applyProtection="0"/>
    <xf numFmtId="0" fontId="66" fillId="64" borderId="37" applyNumberFormat="0" applyAlignment="0" applyProtection="0"/>
    <xf numFmtId="0" fontId="66" fillId="64" borderId="37" applyNumberFormat="0" applyAlignment="0" applyProtection="0"/>
    <xf numFmtId="0" fontId="67" fillId="8" borderId="16" applyNumberFormat="0" applyAlignment="0" applyProtection="0"/>
    <xf numFmtId="0" fontId="66" fillId="64" borderId="37" applyNumberFormat="0" applyAlignment="0" applyProtection="0"/>
    <xf numFmtId="0" fontId="66" fillId="64" borderId="37" applyNumberFormat="0" applyAlignment="0" applyProtection="0"/>
    <xf numFmtId="0" fontId="67" fillId="8" borderId="16" applyNumberFormat="0" applyAlignment="0" applyProtection="0"/>
    <xf numFmtId="0" fontId="67" fillId="8" borderId="16" applyNumberFormat="0" applyAlignment="0" applyProtection="0"/>
    <xf numFmtId="0" fontId="67" fillId="8" borderId="16" applyNumberFormat="0" applyAlignment="0" applyProtection="0"/>
    <xf numFmtId="0" fontId="67" fillId="8" borderId="16" applyNumberFormat="0" applyAlignment="0" applyProtection="0"/>
    <xf numFmtId="0" fontId="67" fillId="8" borderId="16" applyNumberFormat="0" applyAlignment="0" applyProtection="0"/>
    <xf numFmtId="0" fontId="67" fillId="8" borderId="16" applyNumberFormat="0" applyAlignment="0" applyProtection="0"/>
    <xf numFmtId="0" fontId="26" fillId="8" borderId="16" applyNumberFormat="0" applyAlignment="0" applyProtection="0"/>
    <xf numFmtId="181" fontId="55" fillId="65" borderId="0" applyNumberFormat="0" applyFont="0" applyBorder="0" applyAlignment="0">
      <alignment horizontal="left"/>
    </xf>
    <xf numFmtId="215" fontId="4" fillId="0" borderId="0" applyFont="0" applyFill="0" applyBorder="0" applyProtection="0">
      <alignment horizontal="center" vertical="center"/>
    </xf>
    <xf numFmtId="0" fontId="68" fillId="66" borderId="42" applyNumberFormat="0" applyAlignment="0" applyProtection="0"/>
    <xf numFmtId="0" fontId="41" fillId="9" borderId="19" applyNumberFormat="0" applyAlignment="0" applyProtection="0"/>
    <xf numFmtId="0" fontId="41" fillId="9" borderId="19" applyNumberFormat="0" applyAlignment="0" applyProtection="0"/>
    <xf numFmtId="0" fontId="41" fillId="9" borderId="19" applyNumberFormat="0" applyAlignment="0" applyProtection="0"/>
    <xf numFmtId="0" fontId="41" fillId="9" borderId="19" applyNumberFormat="0" applyAlignment="0" applyProtection="0"/>
    <xf numFmtId="0" fontId="41" fillId="9" borderId="19" applyNumberFormat="0" applyAlignment="0" applyProtection="0"/>
    <xf numFmtId="0" fontId="41" fillId="9" borderId="19" applyNumberFormat="0" applyAlignment="0" applyProtection="0"/>
    <xf numFmtId="0" fontId="41" fillId="9" borderId="19" applyNumberFormat="0" applyAlignment="0" applyProtection="0"/>
    <xf numFmtId="0" fontId="28" fillId="9" borderId="19" applyNumberFormat="0" applyAlignment="0" applyProtection="0"/>
    <xf numFmtId="216" fontId="4" fillId="0" borderId="0" applyNumberFormat="0" applyFont="0" applyFill="0" applyAlignment="0" applyProtection="0"/>
    <xf numFmtId="0" fontId="64" fillId="0" borderId="5" applyNumberFormat="0" applyFill="0" applyProtection="0">
      <alignment horizontal="left" vertical="center"/>
    </xf>
    <xf numFmtId="0" fontId="69" fillId="0" borderId="0">
      <alignment horizontal="center" wrapText="1"/>
      <protection hidden="1"/>
    </xf>
    <xf numFmtId="0" fontId="70" fillId="0" borderId="0">
      <alignment horizontal="right"/>
    </xf>
    <xf numFmtId="175" fontId="16" fillId="0" borderId="0" applyBorder="0">
      <alignment horizontal="right"/>
    </xf>
    <xf numFmtId="175" fontId="16" fillId="0" borderId="2" applyAlignment="0">
      <alignment horizontal="right"/>
    </xf>
    <xf numFmtId="217" fontId="11" fillId="0" borderId="0"/>
    <xf numFmtId="217" fontId="11" fillId="0" borderId="0"/>
    <xf numFmtId="217" fontId="11" fillId="0" borderId="0"/>
    <xf numFmtId="217" fontId="11" fillId="0" borderId="0"/>
    <xf numFmtId="217" fontId="11" fillId="0" borderId="0"/>
    <xf numFmtId="217" fontId="11" fillId="0" borderId="0"/>
    <xf numFmtId="217" fontId="11" fillId="0" borderId="0"/>
    <xf numFmtId="217" fontId="11" fillId="0" borderId="0"/>
    <xf numFmtId="41" fontId="71" fillId="0" borderId="0" applyFont="0" applyBorder="0">
      <alignment horizontal="right"/>
    </xf>
    <xf numFmtId="211" fontId="11" fillId="0" borderId="0" applyFont="0" applyFill="0" applyBorder="0" applyAlignment="0" applyProtection="0"/>
    <xf numFmtId="218" fontId="4" fillId="0" borderId="0" applyFont="0"/>
    <xf numFmtId="0" fontId="72" fillId="0" borderId="0" applyFont="0" applyFill="0" applyBorder="0" applyProtection="0">
      <alignment horizontal="right"/>
    </xf>
    <xf numFmtId="0" fontId="72" fillId="0" borderId="0" applyFont="0" applyFill="0" applyBorder="0" applyProtection="0">
      <alignment horizontal="right"/>
    </xf>
    <xf numFmtId="170" fontId="4" fillId="0" borderId="0" applyFont="0" applyFill="0" applyBorder="0" applyAlignment="0" applyProtection="0">
      <alignment horizontal="right"/>
    </xf>
    <xf numFmtId="219" fontId="4" fillId="0" borderId="0" applyFont="0" applyFill="0" applyBorder="0" applyAlignment="0" applyProtection="0"/>
    <xf numFmtId="220" fontId="73" fillId="0" borderId="0" applyFont="0" applyFill="0" applyBorder="0" applyAlignment="0" applyProtection="0">
      <alignment horizontal="right"/>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43" fontId="4" fillId="0" borderId="0" applyFont="0" applyFill="0" applyBorder="0" applyAlignment="0" applyProtection="0"/>
    <xf numFmtId="43" fontId="74" fillId="0" borderId="0" applyFont="0" applyFill="0" applyBorder="0" applyAlignment="0" applyProtection="0"/>
    <xf numFmtId="43" fontId="75" fillId="0" borderId="0" applyFont="0" applyFill="0" applyBorder="0" applyAlignment="0" applyProtection="0"/>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174" fontId="4" fillId="0" borderId="0" applyFont="0" applyFill="0" applyBorder="0" applyAlignment="0" applyProtection="0">
      <alignment horizontal="right"/>
    </xf>
    <xf numFmtId="43" fontId="69" fillId="0" borderId="0" applyFont="0" applyFill="0" applyBorder="0" applyAlignment="0" applyProtection="0"/>
    <xf numFmtId="43" fontId="7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21" fontId="7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7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5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1" fontId="78" fillId="0" borderId="0"/>
    <xf numFmtId="0" fontId="79" fillId="0" borderId="0"/>
    <xf numFmtId="0" fontId="80" fillId="67" borderId="0">
      <alignment horizontal="center" vertical="center" wrapText="1"/>
    </xf>
    <xf numFmtId="222" fontId="4" fillId="0" borderId="0" applyFill="0" applyBorder="0">
      <alignment horizontal="right"/>
      <protection locked="0"/>
    </xf>
    <xf numFmtId="223" fontId="10" fillId="0" borderId="43" applyFont="0" applyFill="0" applyBorder="0" applyAlignment="0" applyProtection="0"/>
    <xf numFmtId="212" fontId="11" fillId="0" borderId="0" applyFont="0" applyFill="0" applyBorder="0" applyAlignment="0" applyProtection="0"/>
    <xf numFmtId="224" fontId="81" fillId="0" borderId="0">
      <alignment horizontal="right"/>
    </xf>
    <xf numFmtId="8" fontId="82" fillId="0" borderId="44">
      <protection locked="0"/>
    </xf>
    <xf numFmtId="8" fontId="82" fillId="0" borderId="44">
      <protection locked="0"/>
    </xf>
    <xf numFmtId="8" fontId="82" fillId="0" borderId="44">
      <protection locked="0"/>
    </xf>
    <xf numFmtId="0" fontId="72" fillId="0" borderId="0" applyFont="0" applyFill="0" applyBorder="0" applyProtection="0">
      <alignment horizontal="right"/>
    </xf>
    <xf numFmtId="191" fontId="4" fillId="0" borderId="0" applyFont="0" applyFill="0" applyBorder="0" applyAlignment="0" applyProtection="0">
      <alignment horizontal="right"/>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5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3" fillId="0" borderId="0" applyFont="0" applyFill="0" applyBorder="0" applyAlignment="0" applyProtection="0"/>
    <xf numFmtId="44" fontId="76" fillId="0" borderId="0" applyFont="0" applyFill="0" applyBorder="0" applyAlignment="0" applyProtection="0"/>
    <xf numFmtId="44" fontId="13" fillId="0" borderId="0" applyFont="0" applyFill="0" applyBorder="0" applyAlignment="0" applyProtection="0"/>
    <xf numFmtId="44" fontId="77"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44" fontId="4"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225" fontId="4" fillId="0" borderId="0" applyFont="0" applyFill="0" applyBorder="0" applyAlignment="0" applyProtection="0">
      <alignment horizontal="right"/>
    </xf>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226" fontId="8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7" fillId="0" borderId="0" applyFont="0" applyFill="0" applyBorder="0" applyAlignment="0" applyProtection="0"/>
    <xf numFmtId="44" fontId="7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6"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7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27" fontId="11" fillId="0" borderId="0" applyFont="0" applyFill="0" applyBorder="0" applyProtection="0">
      <alignment horizontal="right"/>
    </xf>
    <xf numFmtId="228" fontId="54" fillId="0" borderId="0" applyFont="0" applyFill="0" applyBorder="0" applyAlignment="0" applyProtection="0">
      <alignment vertical="center"/>
    </xf>
    <xf numFmtId="0" fontId="69" fillId="0" borderId="0" applyFont="0" applyFill="0" applyBorder="0" applyAlignment="0">
      <protection locked="0"/>
    </xf>
    <xf numFmtId="0" fontId="49" fillId="0" borderId="0" applyFont="0" applyFill="0" applyBorder="0" applyAlignment="0" applyProtection="0"/>
    <xf numFmtId="229" fontId="85" fillId="0" borderId="45" applyNumberFormat="0" applyFill="0">
      <alignment horizontal="right"/>
    </xf>
    <xf numFmtId="229" fontId="85" fillId="0" borderId="45" applyNumberFormat="0" applyFill="0">
      <alignment horizontal="right"/>
    </xf>
    <xf numFmtId="1" fontId="86" fillId="0" borderId="0"/>
    <xf numFmtId="230" fontId="10" fillId="0" borderId="0" applyFont="0" applyFill="0" applyBorder="0" applyAlignment="0" applyProtection="0"/>
    <xf numFmtId="230" fontId="10" fillId="0" borderId="0" applyFont="0" applyFill="0" applyBorder="0" applyAlignment="0" applyProtection="0"/>
    <xf numFmtId="231" fontId="43" fillId="63" borderId="6" applyFont="0" applyFill="0" applyBorder="0" applyAlignment="0" applyProtection="0"/>
    <xf numFmtId="232" fontId="16" fillId="0" borderId="5" applyFont="0" applyFill="0" applyBorder="0" applyAlignment="0" applyProtection="0"/>
    <xf numFmtId="182" fontId="4" fillId="0" borderId="0" applyFont="0" applyFill="0" applyBorder="0" applyAlignment="0" applyProtection="0"/>
    <xf numFmtId="233" fontId="73" fillId="0" borderId="0" applyFont="0" applyFill="0" applyBorder="0" applyAlignment="0" applyProtection="0"/>
    <xf numFmtId="0" fontId="73" fillId="0" borderId="0" applyFont="0" applyFill="0" applyBorder="0" applyAlignment="0" applyProtection="0"/>
    <xf numFmtId="14" fontId="83" fillId="0" borderId="0" applyFill="0" applyBorder="0" applyAlignment="0"/>
    <xf numFmtId="0" fontId="4" fillId="0" borderId="0">
      <alignment horizontal="left" vertical="top"/>
    </xf>
    <xf numFmtId="42" fontId="87" fillId="0" borderId="0"/>
    <xf numFmtId="0" fontId="10" fillId="0" borderId="0"/>
    <xf numFmtId="41" fontId="4" fillId="0" borderId="0" applyFont="0" applyFill="0" applyBorder="0" applyAlignment="0" applyProtection="0"/>
    <xf numFmtId="43" fontId="4" fillId="0" borderId="0" applyFont="0" applyFill="0" applyBorder="0" applyAlignment="0" applyProtection="0"/>
    <xf numFmtId="0" fontId="88" fillId="0" borderId="0">
      <protection locked="0"/>
    </xf>
    <xf numFmtId="0" fontId="4" fillId="0" borderId="0"/>
    <xf numFmtId="42" fontId="11" fillId="0" borderId="0"/>
    <xf numFmtId="175" fontId="4" fillId="0" borderId="46" applyNumberFormat="0" applyFont="0" applyFill="0" applyAlignment="0" applyProtection="0"/>
    <xf numFmtId="175" fontId="4" fillId="0" borderId="46" applyNumberFormat="0" applyFont="0" applyFill="0" applyAlignment="0" applyProtection="0"/>
    <xf numFmtId="175" fontId="4" fillId="0" borderId="46" applyNumberFormat="0" applyFont="0" applyFill="0" applyAlignment="0" applyProtection="0"/>
    <xf numFmtId="42" fontId="89" fillId="0" borderId="0" applyFill="0" applyBorder="0" applyAlignment="0" applyProtection="0"/>
    <xf numFmtId="1" fontId="55" fillId="0" borderId="0"/>
    <xf numFmtId="234" fontId="90" fillId="0" borderId="0">
      <protection locked="0"/>
    </xf>
    <xf numFmtId="234" fontId="90" fillId="0" borderId="0">
      <protection locked="0"/>
    </xf>
    <xf numFmtId="211" fontId="11" fillId="0" borderId="0" applyFill="0" applyBorder="0" applyAlignment="0"/>
    <xf numFmtId="212" fontId="11" fillId="0" borderId="0" applyFill="0" applyBorder="0" applyAlignment="0"/>
    <xf numFmtId="211" fontId="11" fillId="0" borderId="0" applyFill="0" applyBorder="0" applyAlignment="0"/>
    <xf numFmtId="214" fontId="4" fillId="0" borderId="0" applyFill="0" applyBorder="0" applyAlignment="0"/>
    <xf numFmtId="212" fontId="11" fillId="0" borderId="0" applyFill="0" applyBorder="0" applyAlignment="0"/>
    <xf numFmtId="235" fontId="47" fillId="0" borderId="0" applyFon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30" fillId="0" borderId="0" applyNumberFormat="0" applyFill="0" applyBorder="0" applyAlignment="0" applyProtection="0"/>
    <xf numFmtId="236" fontId="69" fillId="68" borderId="34">
      <alignment horizontal="left"/>
    </xf>
    <xf numFmtId="1" fontId="93" fillId="69" borderId="11" applyNumberFormat="0" applyBorder="0" applyAlignment="0">
      <alignment horizontal="centerContinuous" vertical="center"/>
      <protection locked="0"/>
    </xf>
    <xf numFmtId="1" fontId="93" fillId="69" borderId="11" applyNumberFormat="0" applyBorder="0" applyAlignment="0">
      <alignment horizontal="centerContinuous" vertical="center"/>
      <protection locked="0"/>
    </xf>
    <xf numFmtId="1" fontId="93" fillId="69" borderId="11" applyNumberFormat="0" applyBorder="0" applyAlignment="0">
      <alignment horizontal="centerContinuous" vertical="center"/>
      <protection locked="0"/>
    </xf>
    <xf numFmtId="237" fontId="4" fillId="0" borderId="0">
      <protection locked="0"/>
    </xf>
    <xf numFmtId="216" fontId="4" fillId="0" borderId="0">
      <protection locked="0"/>
    </xf>
    <xf numFmtId="0" fontId="94" fillId="0" borderId="0" applyFill="0" applyBorder="0" applyProtection="0">
      <alignment horizontal="left"/>
    </xf>
    <xf numFmtId="0" fontId="95" fillId="4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21" fillId="4" borderId="0" applyNumberFormat="0" applyBorder="0" applyAlignment="0" applyProtection="0"/>
    <xf numFmtId="38" fontId="10" fillId="70" borderId="0" applyNumberFormat="0" applyBorder="0" applyAlignment="0" applyProtection="0"/>
    <xf numFmtId="0" fontId="97" fillId="0" borderId="0" applyNumberFormat="0">
      <alignment horizontal="right"/>
    </xf>
    <xf numFmtId="0" fontId="4" fillId="0" borderId="0"/>
    <xf numFmtId="0" fontId="4" fillId="0" borderId="0"/>
    <xf numFmtId="0" fontId="4" fillId="0" borderId="0"/>
    <xf numFmtId="0" fontId="4" fillId="0" borderId="0"/>
    <xf numFmtId="168" fontId="4" fillId="71" borderId="1" applyNumberFormat="0" applyFont="0" applyBorder="0" applyAlignment="0" applyProtection="0"/>
    <xf numFmtId="186" fontId="4" fillId="0" borderId="0" applyFont="0" applyFill="0" applyBorder="0" applyAlignment="0" applyProtection="0">
      <alignment horizontal="right"/>
    </xf>
    <xf numFmtId="181" fontId="98" fillId="71" borderId="0" applyNumberFormat="0" applyFont="0" applyAlignment="0"/>
    <xf numFmtId="0" fontId="99" fillId="0" borderId="0" applyProtection="0">
      <alignment horizontal="right"/>
    </xf>
    <xf numFmtId="0" fontId="8" fillId="0" borderId="23" applyNumberFormat="0" applyAlignment="0" applyProtection="0">
      <alignment horizontal="left" vertical="center"/>
    </xf>
    <xf numFmtId="0" fontId="8" fillId="0" borderId="4">
      <alignment horizontal="left" vertical="center"/>
    </xf>
    <xf numFmtId="49" fontId="100" fillId="0" borderId="0">
      <alignment horizontal="centerContinuous"/>
    </xf>
    <xf numFmtId="0" fontId="101" fillId="0" borderId="47"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8" fillId="0" borderId="13" applyNumberFormat="0" applyFill="0" applyAlignment="0" applyProtection="0"/>
    <xf numFmtId="0" fontId="102" fillId="0" borderId="0" applyNumberFormat="0" applyFill="0" applyBorder="0" applyAlignment="0" applyProtection="0"/>
    <xf numFmtId="0" fontId="103" fillId="0" borderId="48" applyNumberFormat="0" applyFill="0" applyAlignment="0" applyProtection="0"/>
    <xf numFmtId="0" fontId="104" fillId="0" borderId="0" applyProtection="0">
      <alignment horizontal="left"/>
    </xf>
    <xf numFmtId="0" fontId="104" fillId="0" borderId="0" applyProtection="0">
      <alignment horizontal="left"/>
    </xf>
    <xf numFmtId="0" fontId="104" fillId="0" borderId="0" applyProtection="0">
      <alignment horizontal="left"/>
    </xf>
    <xf numFmtId="0" fontId="104" fillId="0" borderId="0" applyProtection="0">
      <alignment horizontal="left"/>
    </xf>
    <xf numFmtId="0" fontId="19" fillId="0" borderId="14" applyNumberFormat="0" applyFill="0" applyAlignment="0" applyProtection="0"/>
    <xf numFmtId="0" fontId="104" fillId="0" borderId="0" applyProtection="0">
      <alignment horizontal="left"/>
    </xf>
    <xf numFmtId="0" fontId="105" fillId="0" borderId="49" applyNumberFormat="0" applyFill="0" applyAlignment="0" applyProtection="0"/>
    <xf numFmtId="0" fontId="106" fillId="0" borderId="0" applyProtection="0">
      <alignment horizontal="left"/>
    </xf>
    <xf numFmtId="0" fontId="106" fillId="0" borderId="0" applyProtection="0">
      <alignment horizontal="left"/>
    </xf>
    <xf numFmtId="0" fontId="106" fillId="0" borderId="0" applyProtection="0">
      <alignment horizontal="left"/>
    </xf>
    <xf numFmtId="0" fontId="106" fillId="0" borderId="0" applyProtection="0">
      <alignment horizontal="left"/>
    </xf>
    <xf numFmtId="0" fontId="107" fillId="0" borderId="15" applyNumberFormat="0" applyFill="0" applyAlignment="0" applyProtection="0"/>
    <xf numFmtId="0" fontId="20" fillId="0" borderId="15" applyNumberFormat="0" applyFill="0" applyAlignment="0" applyProtection="0"/>
    <xf numFmtId="0" fontId="106" fillId="0" borderId="0" applyProtection="0">
      <alignment horizontal="left"/>
    </xf>
    <xf numFmtId="0" fontId="105" fillId="0" borderId="0" applyNumberFormat="0" applyFill="0" applyBorder="0" applyAlignment="0" applyProtection="0"/>
    <xf numFmtId="0" fontId="20" fillId="0" borderId="0" applyNumberFormat="0" applyFill="0" applyBorder="0" applyAlignment="0" applyProtection="0"/>
    <xf numFmtId="0" fontId="108" fillId="0" borderId="0"/>
    <xf numFmtId="0" fontId="58" fillId="0" borderId="0"/>
    <xf numFmtId="238" fontId="53" fillId="0" borderId="0">
      <alignment horizontal="centerContinuous"/>
    </xf>
    <xf numFmtId="0" fontId="109" fillId="0" borderId="50" applyNumberFormat="0" applyFill="0" applyBorder="0" applyAlignment="0" applyProtection="0">
      <alignment horizontal="left"/>
    </xf>
    <xf numFmtId="238" fontId="53" fillId="0" borderId="51">
      <alignment horizontal="center"/>
    </xf>
    <xf numFmtId="0" fontId="4" fillId="0" borderId="0" applyNumberFormat="0" applyFill="0" applyBorder="0" applyProtection="0">
      <alignment wrapText="1"/>
    </xf>
    <xf numFmtId="0" fontId="4" fillId="0" borderId="0" applyNumberFormat="0" applyFill="0" applyBorder="0" applyProtection="0">
      <alignment horizontal="justify" vertical="top" wrapText="1"/>
    </xf>
    <xf numFmtId="0" fontId="110" fillId="0" borderId="52">
      <alignment horizontal="left" vertical="center"/>
    </xf>
    <xf numFmtId="0" fontId="110" fillId="72" borderId="0">
      <alignment horizontal="centerContinuous" wrapText="1"/>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0" borderId="0" applyNumberFormat="0" applyFill="0" applyBorder="0" applyAlignment="0" applyProtection="0"/>
    <xf numFmtId="0" fontId="112" fillId="0" borderId="0" applyNumberFormat="0" applyFill="0" applyBorder="0" applyAlignment="0" applyProtection="0">
      <alignment vertical="top"/>
      <protection locked="0"/>
    </xf>
    <xf numFmtId="0" fontId="115" fillId="0" borderId="0" applyNumberFormat="0" applyFill="0" applyBorder="0" applyAlignment="0" applyProtection="0"/>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39" fontId="11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lignment horizontal="right"/>
    </xf>
    <xf numFmtId="10" fontId="10" fillId="63" borderId="1" applyNumberFormat="0" applyBorder="0" applyAlignment="0" applyProtection="0"/>
    <xf numFmtId="0" fontId="117" fillId="47" borderId="37" applyNumberFormat="0" applyAlignment="0" applyProtection="0"/>
    <xf numFmtId="0" fontId="117" fillId="47" borderId="37" applyNumberFormat="0" applyAlignment="0" applyProtection="0"/>
    <xf numFmtId="0" fontId="117" fillId="47" borderId="37" applyNumberFormat="0" applyAlignment="0" applyProtection="0"/>
    <xf numFmtId="0" fontId="117" fillId="47" borderId="37" applyNumberFormat="0" applyAlignment="0" applyProtection="0"/>
    <xf numFmtId="0" fontId="118" fillId="7" borderId="16" applyNumberFormat="0" applyAlignment="0" applyProtection="0"/>
    <xf numFmtId="0" fontId="117" fillId="47" borderId="37" applyNumberFormat="0" applyAlignment="0" applyProtection="0"/>
    <xf numFmtId="0" fontId="117" fillId="47" borderId="37" applyNumberFormat="0" applyAlignment="0" applyProtection="0"/>
    <xf numFmtId="0" fontId="118" fillId="7" borderId="16" applyNumberFormat="0" applyAlignment="0" applyProtection="0"/>
    <xf numFmtId="0" fontId="118" fillId="7" borderId="16" applyNumberFormat="0" applyAlignment="0" applyProtection="0"/>
    <xf numFmtId="0" fontId="118" fillId="7" borderId="16" applyNumberFormat="0" applyAlignment="0" applyProtection="0"/>
    <xf numFmtId="0" fontId="118" fillId="7" borderId="16" applyNumberFormat="0" applyAlignment="0" applyProtection="0"/>
    <xf numFmtId="0" fontId="118" fillId="7" borderId="16" applyNumberFormat="0" applyAlignment="0" applyProtection="0"/>
    <xf numFmtId="0" fontId="118" fillId="7" borderId="16" applyNumberFormat="0" applyAlignment="0" applyProtection="0"/>
    <xf numFmtId="0" fontId="24" fillId="7" borderId="16" applyNumberFormat="0" applyAlignment="0" applyProtection="0"/>
    <xf numFmtId="240" fontId="69" fillId="0" borderId="0" applyNumberFormat="0" applyFill="0" applyBorder="0" applyAlignment="0" applyProtection="0"/>
    <xf numFmtId="0" fontId="4" fillId="0" borderId="0" applyNumberFormat="0" applyFill="0" applyBorder="0" applyAlignment="0">
      <protection locked="0"/>
    </xf>
    <xf numFmtId="0" fontId="119" fillId="63" borderId="0" applyNumberFormat="0" applyFont="0" applyBorder="0" applyAlignment="0">
      <alignment horizontal="right"/>
      <protection locked="0"/>
    </xf>
    <xf numFmtId="0" fontId="120" fillId="73" borderId="0" applyNumberFormat="0" applyFont="0" applyBorder="0" applyAlignment="0">
      <alignment horizontal="right" vertical="top"/>
      <protection locked="0"/>
    </xf>
    <xf numFmtId="241" fontId="4" fillId="63" borderId="53" applyNumberFormat="0" applyFont="0" applyBorder="0" applyAlignment="0">
      <alignment horizontal="right" vertical="center"/>
      <protection locked="0"/>
    </xf>
    <xf numFmtId="0" fontId="120" fillId="73" borderId="0" applyNumberFormat="0" applyFont="0" applyBorder="0" applyAlignment="0">
      <alignment horizontal="right" vertical="top"/>
      <protection locked="0"/>
    </xf>
    <xf numFmtId="0" fontId="69" fillId="0" borderId="0" applyFill="0" applyBorder="0">
      <alignment horizontal="right"/>
      <protection locked="0"/>
    </xf>
    <xf numFmtId="242" fontId="121" fillId="0" borderId="54" applyFont="0" applyFill="0" applyBorder="0" applyAlignment="0" applyProtection="0"/>
    <xf numFmtId="243" fontId="4" fillId="0" borderId="0" applyFill="0" applyBorder="0">
      <alignment horizontal="right"/>
      <protection locked="0"/>
    </xf>
    <xf numFmtId="0" fontId="122" fillId="0" borderId="0" applyFill="0" applyBorder="0"/>
    <xf numFmtId="0" fontId="123" fillId="74" borderId="55">
      <alignment horizontal="left" vertical="center" wrapText="1"/>
    </xf>
    <xf numFmtId="0" fontId="123" fillId="74" borderId="55">
      <alignment horizontal="left" vertical="center" wrapText="1"/>
    </xf>
    <xf numFmtId="0" fontId="123" fillId="74" borderId="55">
      <alignment horizontal="left" vertical="center" wrapText="1"/>
    </xf>
    <xf numFmtId="0" fontId="49" fillId="0" borderId="0" applyNumberFormat="0" applyFill="0" applyBorder="0" applyProtection="0">
      <alignment horizontal="left" vertical="center"/>
    </xf>
    <xf numFmtId="0" fontId="124"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 fillId="75" borderId="0" applyNumberFormat="0" applyFont="0" applyBorder="0" applyProtection="0"/>
    <xf numFmtId="2" fontId="125" fillId="0" borderId="5"/>
    <xf numFmtId="211" fontId="11" fillId="0" borderId="0" applyFill="0" applyBorder="0" applyAlignment="0"/>
    <xf numFmtId="212" fontId="11" fillId="0" borderId="0" applyFill="0" applyBorder="0" applyAlignment="0"/>
    <xf numFmtId="211" fontId="11" fillId="0" borderId="0" applyFill="0" applyBorder="0" applyAlignment="0"/>
    <xf numFmtId="214" fontId="4" fillId="0" borderId="0" applyFill="0" applyBorder="0" applyAlignment="0"/>
    <xf numFmtId="212" fontId="11" fillId="0" borderId="0" applyFill="0" applyBorder="0" applyAlignment="0"/>
    <xf numFmtId="0" fontId="126" fillId="0" borderId="56"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0" fontId="127" fillId="0" borderId="18" applyNumberFormat="0" applyFill="0" applyAlignment="0" applyProtection="0"/>
    <xf numFmtId="14" fontId="16" fillId="0" borderId="5" applyFont="0" applyFill="0" applyBorder="0" applyAlignment="0" applyProtection="0"/>
    <xf numFmtId="3" fontId="4" fillId="0" borderId="0"/>
    <xf numFmtId="1" fontId="128" fillId="0" borderId="0"/>
    <xf numFmtId="244" fontId="129" fillId="76" borderId="0" applyBorder="0" applyAlignment="0">
      <alignment horizontal="right"/>
    </xf>
    <xf numFmtId="41"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6" fontId="2" fillId="0" borderId="0" applyFont="0" applyFill="0" applyBorder="0" applyAlignment="0" applyProtection="0"/>
    <xf numFmtId="247" fontId="4" fillId="0" borderId="0" applyFont="0" applyFill="0" applyBorder="0" applyAlignment="0" applyProtection="0"/>
    <xf numFmtId="14" fontId="44" fillId="0" borderId="0" applyFont="0" applyFill="0" applyBorder="0" applyAlignment="0" applyProtection="0"/>
    <xf numFmtId="3" fontId="49" fillId="0" borderId="0"/>
    <xf numFmtId="3" fontId="49" fillId="0" borderId="0"/>
    <xf numFmtId="0" fontId="4" fillId="0" borderId="0" applyFont="0" applyFill="0" applyBorder="0" applyAlignment="0" applyProtection="0"/>
    <xf numFmtId="0" fontId="4" fillId="0" borderId="0" applyFont="0" applyFill="0" applyBorder="0" applyAlignment="0" applyProtection="0"/>
    <xf numFmtId="248" fontId="4" fillId="0" borderId="0" applyFont="0" applyFill="0" applyBorder="0" applyAlignment="0" applyProtection="0"/>
    <xf numFmtId="249" fontId="2" fillId="0" borderId="0" applyFont="0" applyFill="0" applyBorder="0" applyAlignment="0" applyProtection="0"/>
    <xf numFmtId="250" fontId="4" fillId="0" borderId="0" applyFont="0" applyFill="0" applyBorder="0" applyAlignment="0" applyProtection="0"/>
    <xf numFmtId="251" fontId="4" fillId="0" borderId="0">
      <protection locked="0"/>
    </xf>
    <xf numFmtId="232" fontId="10" fillId="63" borderId="0">
      <alignment horizontal="center"/>
    </xf>
    <xf numFmtId="252" fontId="73" fillId="0" borderId="0" applyFont="0" applyFill="0" applyBorder="0" applyProtection="0">
      <alignment horizontal="right"/>
    </xf>
    <xf numFmtId="253" fontId="4" fillId="0" borderId="0" applyFont="0" applyFill="0" applyBorder="0" applyAlignment="0" applyProtection="0"/>
    <xf numFmtId="183" fontId="4" fillId="0" borderId="0" applyFont="0" applyFill="0" applyBorder="0" applyAlignment="0" applyProtection="0"/>
    <xf numFmtId="0" fontId="72" fillId="0" borderId="0" applyFont="0" applyFill="0" applyBorder="0" applyProtection="0">
      <alignment horizontal="right"/>
    </xf>
    <xf numFmtId="0" fontId="72" fillId="0" borderId="0" applyFont="0" applyFill="0" applyBorder="0" applyProtection="0">
      <alignment horizontal="right"/>
    </xf>
    <xf numFmtId="0" fontId="72" fillId="0" borderId="0" applyFont="0" applyFill="0" applyBorder="0" applyProtection="0">
      <alignment horizontal="right"/>
    </xf>
    <xf numFmtId="0" fontId="4" fillId="0" borderId="0" applyFont="0" applyFill="0" applyBorder="0" applyProtection="0">
      <alignment horizontal="right"/>
    </xf>
    <xf numFmtId="175" fontId="4" fillId="0" borderId="0" applyFont="0" applyFill="0" applyBorder="0" applyProtection="0">
      <alignment horizontal="right"/>
    </xf>
    <xf numFmtId="0" fontId="4" fillId="0" borderId="26" applyBorder="0" applyAlignment="0" applyProtection="0">
      <alignment horizontal="center"/>
    </xf>
    <xf numFmtId="0" fontId="130" fillId="73"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23" fillId="6" borderId="0" applyNumberFormat="0" applyBorder="0" applyAlignment="0" applyProtection="0"/>
    <xf numFmtId="0" fontId="63" fillId="0" borderId="0"/>
    <xf numFmtId="241" fontId="54" fillId="0" borderId="0" applyNumberFormat="0" applyFont="0" applyFill="0" applyBorder="0" applyAlignment="0" applyProtection="0">
      <alignment vertical="center"/>
    </xf>
    <xf numFmtId="37" fontId="132" fillId="0" borderId="0"/>
    <xf numFmtId="0" fontId="133" fillId="0" borderId="0"/>
    <xf numFmtId="0" fontId="81" fillId="77" borderId="0" applyNumberFormat="0" applyBorder="0" applyAlignment="0">
      <alignment horizontal="right"/>
      <protection hidden="1"/>
    </xf>
    <xf numFmtId="241" fontId="134" fillId="0" borderId="0" applyNumberFormat="0" applyFill="0" applyBorder="0" applyAlignment="0" applyProtection="0">
      <alignment vertical="center"/>
    </xf>
    <xf numFmtId="1" fontId="49" fillId="0" borderId="0"/>
    <xf numFmtId="254" fontId="10" fillId="0" borderId="0" applyFont="0" applyFill="0" applyBorder="0" applyAlignment="0" applyProtection="0">
      <alignment horizontal="right"/>
    </xf>
    <xf numFmtId="255" fontId="135" fillId="0" borderId="0"/>
    <xf numFmtId="37" fontId="43" fillId="78" borderId="0" applyFont="0" applyFill="0" applyBorder="0" applyAlignment="0" applyProtection="0"/>
    <xf numFmtId="234" fontId="4" fillId="0" borderId="0" applyFont="0" applyFill="0" applyBorder="0" applyAlignment="0"/>
    <xf numFmtId="256" fontId="10" fillId="0" borderId="0" applyFont="0" applyFill="0" applyBorder="0" applyAlignment="0"/>
    <xf numFmtId="257" fontId="10" fillId="0" borderId="0" applyFont="0" applyFill="0" applyBorder="0" applyAlignment="0"/>
    <xf numFmtId="256" fontId="10" fillId="0" borderId="0" applyFont="0" applyFill="0" applyBorder="0" applyAlignment="0"/>
    <xf numFmtId="0" fontId="3" fillId="0" borderId="0"/>
    <xf numFmtId="0" fontId="4" fillId="0" borderId="0"/>
    <xf numFmtId="0" fontId="4" fillId="0" borderId="0"/>
    <xf numFmtId="0" fontId="4" fillId="0" borderId="0"/>
    <xf numFmtId="0" fontId="4" fillId="0" borderId="0"/>
    <xf numFmtId="0" fontId="69" fillId="0" borderId="0"/>
    <xf numFmtId="0" fontId="2" fillId="0" borderId="0"/>
    <xf numFmtId="0" fontId="37" fillId="0" borderId="0"/>
    <xf numFmtId="0" fontId="2" fillId="0" borderId="0"/>
    <xf numFmtId="0" fontId="4" fillId="0" borderId="0"/>
    <xf numFmtId="0" fontId="2" fillId="0" borderId="0"/>
    <xf numFmtId="0" fontId="2" fillId="0" borderId="0"/>
    <xf numFmtId="0" fontId="2" fillId="0" borderId="0"/>
    <xf numFmtId="0" fontId="69" fillId="0" borderId="0"/>
    <xf numFmtId="0" fontId="4" fillId="0" borderId="0"/>
    <xf numFmtId="0" fontId="69" fillId="0" borderId="0"/>
    <xf numFmtId="0" fontId="2" fillId="0" borderId="0"/>
    <xf numFmtId="0" fontId="2" fillId="0" borderId="0"/>
    <xf numFmtId="0" fontId="2" fillId="0" borderId="0"/>
    <xf numFmtId="0" fontId="2" fillId="0" borderId="0"/>
    <xf numFmtId="0" fontId="69" fillId="0" borderId="0"/>
    <xf numFmtId="0" fontId="83" fillId="0" borderId="0">
      <alignment vertical="top"/>
    </xf>
    <xf numFmtId="0" fontId="83" fillId="0" borderId="0">
      <alignment vertical="top"/>
    </xf>
    <xf numFmtId="0" fontId="69" fillId="0" borderId="0"/>
    <xf numFmtId="0" fontId="4" fillId="0" borderId="0"/>
    <xf numFmtId="0" fontId="4" fillId="0" borderId="0"/>
    <xf numFmtId="0" fontId="69" fillId="0" borderId="0"/>
    <xf numFmtId="0" fontId="4" fillId="0" borderId="0"/>
    <xf numFmtId="0" fontId="4" fillId="0" borderId="0"/>
    <xf numFmtId="0" fontId="4" fillId="0" borderId="0"/>
    <xf numFmtId="0" fontId="4" fillId="0" borderId="0"/>
    <xf numFmtId="0" fontId="69" fillId="0" borderId="0"/>
    <xf numFmtId="0" fontId="4" fillId="0" borderId="0"/>
    <xf numFmtId="0" fontId="4" fillId="0" borderId="0"/>
    <xf numFmtId="0" fontId="69" fillId="0" borderId="0"/>
    <xf numFmtId="0" fontId="2" fillId="0" borderId="0"/>
    <xf numFmtId="0" fontId="69" fillId="0" borderId="0"/>
    <xf numFmtId="0" fontId="69" fillId="0" borderId="0"/>
    <xf numFmtId="254" fontId="10" fillId="0" borderId="0" applyFont="0" applyFill="0" applyBorder="0" applyAlignment="0" applyProtection="0">
      <alignment horizontal="right"/>
    </xf>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0" fontId="42" fillId="0" borderId="0"/>
    <xf numFmtId="0" fontId="4" fillId="0" borderId="0"/>
    <xf numFmtId="0" fontId="4" fillId="0" borderId="0"/>
    <xf numFmtId="0" fontId="42" fillId="0" borderId="0"/>
    <xf numFmtId="0" fontId="69" fillId="0" borderId="0"/>
    <xf numFmtId="0" fontId="4" fillId="0" borderId="0"/>
    <xf numFmtId="0" fontId="4" fillId="0" borderId="0"/>
    <xf numFmtId="0" fontId="69" fillId="0" borderId="0"/>
    <xf numFmtId="0" fontId="69" fillId="0" borderId="0"/>
    <xf numFmtId="239" fontId="4" fillId="0" borderId="0"/>
    <xf numFmtId="0" fontId="42"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0" fontId="2" fillId="0" borderId="0"/>
    <xf numFmtId="0" fontId="2" fillId="0" borderId="0"/>
    <xf numFmtId="0" fontId="2"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13" fillId="0" borderId="0"/>
    <xf numFmtId="239" fontId="4" fillId="0" borderId="0"/>
    <xf numFmtId="0" fontId="4" fillId="0" borderId="0"/>
    <xf numFmtId="0" fontId="69"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4" fillId="0" borderId="0"/>
    <xf numFmtId="0" fontId="4" fillId="0" borderId="0"/>
    <xf numFmtId="0" fontId="4" fillId="0" borderId="0"/>
    <xf numFmtId="239" fontId="4" fillId="0" borderId="0"/>
    <xf numFmtId="0" fontId="4" fillId="0" borderId="0"/>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97" fillId="0" borderId="0"/>
    <xf numFmtId="239" fontId="4" fillId="0" borderId="0"/>
    <xf numFmtId="0" fontId="69"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0" fontId="69" fillId="0" borderId="0"/>
    <xf numFmtId="0" fontId="69" fillId="0" borderId="0"/>
    <xf numFmtId="0" fontId="69" fillId="0" borderId="0"/>
    <xf numFmtId="0" fontId="69"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54" fontId="10" fillId="0" borderId="0" applyFont="0" applyFill="0" applyBorder="0" applyAlignment="0" applyProtection="0">
      <alignment horizontal="right"/>
    </xf>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4" fillId="0" borderId="0"/>
    <xf numFmtId="0" fontId="97" fillId="0" borderId="0"/>
    <xf numFmtId="0" fontId="4" fillId="0" borderId="0"/>
    <xf numFmtId="0" fontId="76" fillId="0" borderId="0"/>
    <xf numFmtId="0" fontId="76" fillId="0" borderId="0"/>
    <xf numFmtId="0" fontId="69" fillId="0" borderId="0"/>
    <xf numFmtId="0" fontId="6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13" fillId="0" borderId="0"/>
    <xf numFmtId="0" fontId="69" fillId="0" borderId="0"/>
    <xf numFmtId="0" fontId="76" fillId="0" borderId="0"/>
    <xf numFmtId="0" fontId="76" fillId="0" borderId="0"/>
    <xf numFmtId="0" fontId="69" fillId="0" borderId="0"/>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6" fillId="0" borderId="0"/>
    <xf numFmtId="0" fontId="4" fillId="0" borderId="0"/>
    <xf numFmtId="0" fontId="69" fillId="0" borderId="0"/>
    <xf numFmtId="0" fontId="4" fillId="0" borderId="0"/>
    <xf numFmtId="0" fontId="76" fillId="0" borderId="0"/>
    <xf numFmtId="0" fontId="4" fillId="0" borderId="0"/>
    <xf numFmtId="0" fontId="4" fillId="0" borderId="0"/>
    <xf numFmtId="0" fontId="76" fillId="0" borderId="0"/>
    <xf numFmtId="0" fontId="4" fillId="0" borderId="0"/>
    <xf numFmtId="0" fontId="4" fillId="0" borderId="0"/>
    <xf numFmtId="0" fontId="4" fillId="0" borderId="0"/>
    <xf numFmtId="0" fontId="4" fillId="0" borderId="0"/>
    <xf numFmtId="0" fontId="4" fillId="0" borderId="0"/>
    <xf numFmtId="0" fontId="76" fillId="0" borderId="0"/>
    <xf numFmtId="0" fontId="97" fillId="0" borderId="0"/>
    <xf numFmtId="0" fontId="69" fillId="0" borderId="0"/>
    <xf numFmtId="0" fontId="76" fillId="0" borderId="0"/>
    <xf numFmtId="0" fontId="4" fillId="0" borderId="0"/>
    <xf numFmtId="0" fontId="4" fillId="0" borderId="0"/>
    <xf numFmtId="0" fontId="13" fillId="0" borderId="0"/>
    <xf numFmtId="0" fontId="69" fillId="0" borderId="0"/>
    <xf numFmtId="0" fontId="69" fillId="0" borderId="0"/>
    <xf numFmtId="0" fontId="69" fillId="0" borderId="0"/>
    <xf numFmtId="0" fontId="69"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0" fontId="69" fillId="0" borderId="0"/>
    <xf numFmtId="239" fontId="4" fillId="0" borderId="0"/>
    <xf numFmtId="0" fontId="69"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0" fontId="69" fillId="0" borderId="0"/>
    <xf numFmtId="0" fontId="69" fillId="0" borderId="0"/>
    <xf numFmtId="254" fontId="10" fillId="0" borderId="0" applyFont="0" applyFill="0" applyBorder="0" applyAlignment="0" applyProtection="0">
      <alignment horizontal="right"/>
    </xf>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36" fillId="0" borderId="0"/>
    <xf numFmtId="0" fontId="136" fillId="0" borderId="0"/>
    <xf numFmtId="0" fontId="69" fillId="0" borderId="0"/>
    <xf numFmtId="239" fontId="4" fillId="0" borderId="0"/>
    <xf numFmtId="0" fontId="13"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4" fillId="0" borderId="0"/>
    <xf numFmtId="0" fontId="4" fillId="0" borderId="0"/>
    <xf numFmtId="0" fontId="4" fillId="0" borderId="0"/>
    <xf numFmtId="0" fontId="4" fillId="0" borderId="0"/>
    <xf numFmtId="239" fontId="4" fillId="0" borderId="0"/>
    <xf numFmtId="0" fontId="76" fillId="0" borderId="0"/>
    <xf numFmtId="0" fontId="2" fillId="0" borderId="0"/>
    <xf numFmtId="0" fontId="76" fillId="0" borderId="0"/>
    <xf numFmtId="0" fontId="69" fillId="0" borderId="0"/>
    <xf numFmtId="239"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39"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39"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39"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39" fontId="4" fillId="0" borderId="0"/>
    <xf numFmtId="0" fontId="69" fillId="0" borderId="0"/>
    <xf numFmtId="0" fontId="2" fillId="0" borderId="0"/>
    <xf numFmtId="0" fontId="2" fillId="0" borderId="0"/>
    <xf numFmtId="0" fontId="2" fillId="0" borderId="0"/>
    <xf numFmtId="239" fontId="4" fillId="0" borderId="0"/>
    <xf numFmtId="0" fontId="69" fillId="0" borderId="0"/>
    <xf numFmtId="239" fontId="4" fillId="0" borderId="0"/>
    <xf numFmtId="0" fontId="69" fillId="0" borderId="0"/>
    <xf numFmtId="0" fontId="2" fillId="0" borderId="0"/>
    <xf numFmtId="0" fontId="2" fillId="0" borderId="0"/>
    <xf numFmtId="0" fontId="2" fillId="0" borderId="0"/>
    <xf numFmtId="239" fontId="4" fillId="0" borderId="0"/>
    <xf numFmtId="0" fontId="69" fillId="0" borderId="0"/>
    <xf numFmtId="0" fontId="2" fillId="0" borderId="0"/>
    <xf numFmtId="239" fontId="4" fillId="0" borderId="0"/>
    <xf numFmtId="0" fontId="69" fillId="0" borderId="0"/>
    <xf numFmtId="239" fontId="4" fillId="0" borderId="0"/>
    <xf numFmtId="0" fontId="4" fillId="0" borderId="0"/>
    <xf numFmtId="0" fontId="4" fillId="0" borderId="0"/>
    <xf numFmtId="0" fontId="4" fillId="0" borderId="0"/>
    <xf numFmtId="0" fontId="4" fillId="0" borderId="0"/>
    <xf numFmtId="0" fontId="4" fillId="0" borderId="0"/>
    <xf numFmtId="239" fontId="4" fillId="0" borderId="0"/>
    <xf numFmtId="0" fontId="4" fillId="0" borderId="0"/>
    <xf numFmtId="0" fontId="69" fillId="0" borderId="0"/>
    <xf numFmtId="0" fontId="4" fillId="0" borderId="0"/>
    <xf numFmtId="239" fontId="4" fillId="0" borderId="0"/>
    <xf numFmtId="0" fontId="4" fillId="0" borderId="0"/>
    <xf numFmtId="239" fontId="4" fillId="0" borderId="0"/>
    <xf numFmtId="0" fontId="4" fillId="0" borderId="0"/>
    <xf numFmtId="239" fontId="4" fillId="0" borderId="0"/>
    <xf numFmtId="0" fontId="2"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4" fillId="0" borderId="0"/>
    <xf numFmtId="239" fontId="4" fillId="0" borderId="0"/>
    <xf numFmtId="0"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54" fontId="10" fillId="0" borderId="0" applyFont="0" applyFill="0" applyBorder="0" applyAlignment="0" applyProtection="0">
      <alignment horizontal="right"/>
    </xf>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0" fontId="42" fillId="0" borderId="0"/>
    <xf numFmtId="0" fontId="4" fillId="0" borderId="0">
      <alignment wrapText="1"/>
    </xf>
    <xf numFmtId="0" fontId="4" fillId="0" borderId="0">
      <alignment wrapText="1"/>
    </xf>
    <xf numFmtId="0" fontId="13"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4" fillId="0" borderId="0"/>
    <xf numFmtId="239" fontId="4" fillId="0" borderId="0"/>
    <xf numFmtId="0" fontId="2" fillId="0" borderId="0"/>
    <xf numFmtId="0" fontId="4" fillId="0" borderId="0"/>
    <xf numFmtId="0" fontId="2" fillId="0" borderId="0"/>
    <xf numFmtId="0" fontId="69" fillId="0" borderId="0"/>
    <xf numFmtId="239" fontId="4" fillId="0" borderId="0"/>
    <xf numFmtId="0" fontId="69" fillId="0" borderId="0"/>
    <xf numFmtId="239" fontId="4" fillId="0" borderId="0"/>
    <xf numFmtId="0" fontId="4" fillId="0" borderId="0"/>
    <xf numFmtId="0" fontId="2" fillId="0" borderId="0"/>
    <xf numFmtId="0" fontId="2" fillId="0" borderId="0"/>
    <xf numFmtId="0" fontId="2"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4" fillId="0" borderId="0"/>
    <xf numFmtId="239" fontId="4" fillId="0" borderId="0"/>
    <xf numFmtId="0" fontId="4" fillId="0" borderId="0"/>
    <xf numFmtId="239" fontId="4" fillId="0" borderId="0"/>
    <xf numFmtId="0" fontId="4" fillId="0" borderId="0"/>
    <xf numFmtId="239" fontId="4" fillId="0" borderId="0"/>
    <xf numFmtId="0" fontId="4" fillId="0" borderId="0"/>
    <xf numFmtId="239" fontId="4" fillId="0" borderId="0"/>
    <xf numFmtId="0" fontId="4" fillId="0" borderId="0"/>
    <xf numFmtId="239" fontId="4" fillId="0" borderId="0"/>
    <xf numFmtId="0"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39"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254" fontId="10" fillId="0" borderId="0" applyFont="0" applyFill="0" applyBorder="0" applyAlignment="0" applyProtection="0">
      <alignment horizontal="right"/>
    </xf>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0" fontId="4" fillId="0" borderId="0">
      <alignment wrapText="1"/>
    </xf>
    <xf numFmtId="0" fontId="34" fillId="0" borderId="0"/>
    <xf numFmtId="0" fontId="34" fillId="0" borderId="0"/>
    <xf numFmtId="0" fontId="4" fillId="0" borderId="0">
      <alignment wrapText="1"/>
    </xf>
    <xf numFmtId="0" fontId="4" fillId="0" borderId="0">
      <alignment wrapText="1"/>
    </xf>
    <xf numFmtId="0" fontId="4" fillId="0" borderId="0">
      <alignment wrapText="1"/>
    </xf>
    <xf numFmtId="0" fontId="34" fillId="0" borderId="0"/>
    <xf numFmtId="0" fontId="3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2" fillId="0" borderId="0"/>
    <xf numFmtId="239" fontId="4" fillId="0" borderId="0"/>
    <xf numFmtId="0" fontId="4" fillId="0" borderId="0">
      <alignment wrapText="1"/>
    </xf>
    <xf numFmtId="0" fontId="69" fillId="0" borderId="0"/>
    <xf numFmtId="0" fontId="4" fillId="0" borderId="0">
      <alignment wrapText="1"/>
    </xf>
    <xf numFmtId="0" fontId="69" fillId="0" borderId="0"/>
    <xf numFmtId="239" fontId="4" fillId="0" borderId="0"/>
    <xf numFmtId="0" fontId="69" fillId="0" borderId="0"/>
    <xf numFmtId="0" fontId="2" fillId="0" borderId="0"/>
    <xf numFmtId="0" fontId="2" fillId="0" borderId="0"/>
    <xf numFmtId="0" fontId="2" fillId="0" borderId="0"/>
    <xf numFmtId="239" fontId="4" fillId="0" borderId="0"/>
    <xf numFmtId="0" fontId="69" fillId="0" borderId="0"/>
    <xf numFmtId="0" fontId="2" fillId="0" borderId="0"/>
    <xf numFmtId="0" fontId="2" fillId="0" borderId="0"/>
    <xf numFmtId="0" fontId="2"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69" fillId="0" borderId="0"/>
    <xf numFmtId="239" fontId="4" fillId="0" borderId="0"/>
    <xf numFmtId="0" fontId="4" fillId="0" borderId="0">
      <alignment wrapText="1"/>
    </xf>
    <xf numFmtId="239" fontId="4" fillId="0" borderId="0"/>
    <xf numFmtId="0" fontId="4" fillId="0" borderId="0">
      <alignment wrapText="1"/>
    </xf>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69"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239"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54" fontId="10" fillId="0" borderId="0" applyFont="0" applyFill="0" applyBorder="0" applyAlignment="0" applyProtection="0">
      <alignment horizontal="right"/>
    </xf>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4" fillId="0" borderId="0"/>
    <xf numFmtId="0" fontId="4" fillId="0" borderId="0"/>
    <xf numFmtId="0" fontId="42" fillId="0" borderId="0"/>
    <xf numFmtId="0" fontId="83"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4" fillId="0" borderId="0"/>
    <xf numFmtId="0" fontId="4" fillId="0" borderId="0"/>
    <xf numFmtId="0" fontId="4" fillId="0" borderId="0"/>
    <xf numFmtId="0" fontId="4" fillId="0" borderId="0"/>
    <xf numFmtId="0" fontId="4" fillId="0" borderId="0"/>
    <xf numFmtId="0" fontId="83" fillId="0" borderId="0"/>
    <xf numFmtId="0" fontId="83" fillId="0" borderId="0"/>
    <xf numFmtId="239" fontId="4" fillId="0" borderId="0"/>
    <xf numFmtId="0" fontId="69" fillId="0" borderId="0"/>
    <xf numFmtId="0" fontId="69" fillId="0" borderId="0"/>
    <xf numFmtId="0" fontId="69" fillId="0" borderId="0"/>
    <xf numFmtId="0" fontId="69" fillId="0" borderId="0"/>
    <xf numFmtId="0" fontId="69"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76" fillId="0" borderId="0"/>
    <xf numFmtId="0" fontId="4" fillId="0" borderId="0"/>
    <xf numFmtId="254" fontId="10" fillId="0" borderId="0" applyFont="0" applyFill="0" applyBorder="0" applyAlignment="0" applyProtection="0">
      <alignment horizontal="right"/>
    </xf>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2" fillId="0" borderId="0"/>
    <xf numFmtId="0" fontId="69"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2" fillId="0" borderId="0"/>
    <xf numFmtId="0" fontId="2" fillId="0" borderId="0"/>
    <xf numFmtId="0" fontId="2" fillId="0" borderId="0"/>
    <xf numFmtId="0" fontId="69" fillId="0" borderId="0"/>
    <xf numFmtId="0" fontId="2" fillId="0" borderId="0"/>
    <xf numFmtId="0" fontId="69" fillId="0" borderId="0"/>
    <xf numFmtId="0" fontId="69" fillId="0" borderId="0"/>
    <xf numFmtId="0" fontId="69" fillId="0" borderId="0"/>
    <xf numFmtId="0" fontId="69" fillId="0" borderId="0"/>
    <xf numFmtId="0" fontId="69" fillId="0" borderId="0"/>
    <xf numFmtId="0" fontId="4" fillId="0" borderId="0"/>
    <xf numFmtId="0" fontId="69"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4" fillId="0" borderId="0"/>
    <xf numFmtId="0" fontId="2" fillId="0" borderId="0"/>
    <xf numFmtId="0" fontId="4" fillId="0" borderId="0"/>
    <xf numFmtId="0" fontId="2" fillId="0" borderId="0"/>
    <xf numFmtId="0" fontId="2" fillId="0" borderId="0"/>
    <xf numFmtId="0" fontId="2" fillId="0" borderId="0"/>
    <xf numFmtId="0" fontId="69" fillId="0" borderId="0"/>
    <xf numFmtId="0" fontId="137" fillId="0" borderId="0"/>
    <xf numFmtId="0" fontId="4" fillId="0" borderId="0"/>
    <xf numFmtId="0" fontId="138" fillId="0" borderId="0"/>
    <xf numFmtId="258" fontId="10" fillId="0" borderId="0" applyFont="0" applyFill="0" applyBorder="0" applyAlignment="0" applyProtection="0"/>
    <xf numFmtId="0" fontId="3" fillId="79" borderId="57"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3" fillId="79" borderId="57" applyNumberFormat="0" applyFont="0" applyAlignment="0" applyProtection="0"/>
    <xf numFmtId="0" fontId="3" fillId="79" borderId="57" applyNumberFormat="0" applyFont="0" applyAlignment="0" applyProtection="0"/>
    <xf numFmtId="0" fontId="3" fillId="79" borderId="57" applyNumberFormat="0" applyFont="0" applyAlignment="0" applyProtection="0"/>
    <xf numFmtId="0" fontId="139" fillId="10" borderId="20" applyNumberFormat="0" applyFont="0" applyAlignment="0" applyProtection="0"/>
    <xf numFmtId="0" fontId="34" fillId="10" borderId="20" applyNumberFormat="0" applyFont="0" applyAlignment="0" applyProtection="0"/>
    <xf numFmtId="0" fontId="2" fillId="10" borderId="20" applyNumberFormat="0" applyFont="0" applyAlignment="0" applyProtection="0"/>
    <xf numFmtId="0" fontId="34" fillId="10" borderId="20" applyNumberFormat="0" applyFont="0" applyAlignment="0" applyProtection="0"/>
    <xf numFmtId="0" fontId="2" fillId="10" borderId="20" applyNumberFormat="0" applyFont="0" applyAlignment="0" applyProtection="0"/>
    <xf numFmtId="0" fontId="3" fillId="79" borderId="57" applyNumberFormat="0" applyFont="0" applyAlignment="0" applyProtection="0"/>
    <xf numFmtId="0" fontId="3" fillId="79" borderId="57" applyNumberFormat="0" applyFont="0" applyAlignment="0" applyProtection="0"/>
    <xf numFmtId="0" fontId="139" fillId="10" borderId="20" applyNumberFormat="0" applyFont="0" applyAlignment="0" applyProtection="0"/>
    <xf numFmtId="0" fontId="2" fillId="10" borderId="20" applyNumberFormat="0" applyFont="0" applyAlignment="0" applyProtection="0"/>
    <xf numFmtId="0" fontId="139" fillId="10" borderId="20" applyNumberFormat="0" applyFont="0" applyAlignment="0" applyProtection="0"/>
    <xf numFmtId="0" fontId="139" fillId="10" borderId="20" applyNumberFormat="0" applyFont="0" applyAlignment="0" applyProtection="0"/>
    <xf numFmtId="0" fontId="139" fillId="10" borderId="20" applyNumberFormat="0" applyFont="0" applyAlignment="0" applyProtection="0"/>
    <xf numFmtId="0" fontId="139" fillId="10" borderId="20" applyNumberFormat="0" applyFont="0" applyAlignment="0" applyProtection="0"/>
    <xf numFmtId="0" fontId="139" fillId="10" borderId="20" applyNumberFormat="0" applyFont="0" applyAlignment="0" applyProtection="0"/>
    <xf numFmtId="0" fontId="139" fillId="10" borderId="20"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50"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0" fontId="2" fillId="10" borderId="20" applyNumberFormat="0" applyFont="0" applyAlignment="0" applyProtection="0"/>
    <xf numFmtId="259" fontId="140" fillId="0" borderId="0" applyBorder="0" applyProtection="0">
      <alignment horizontal="right"/>
    </xf>
    <xf numFmtId="259" fontId="141" fillId="80" borderId="0" applyBorder="0" applyProtection="0">
      <alignment horizontal="right"/>
    </xf>
    <xf numFmtId="259" fontId="142" fillId="0" borderId="4" applyBorder="0"/>
    <xf numFmtId="259" fontId="143" fillId="0" borderId="0" applyBorder="0" applyProtection="0">
      <alignment horizontal="right"/>
    </xf>
    <xf numFmtId="260" fontId="143" fillId="0" borderId="0" applyBorder="0" applyProtection="0">
      <alignment horizontal="right"/>
    </xf>
    <xf numFmtId="260" fontId="144" fillId="80" borderId="0" applyProtection="0">
      <alignment horizontal="right"/>
    </xf>
    <xf numFmtId="37" fontId="48" fillId="0" borderId="0" applyFill="0" applyBorder="0" applyProtection="0">
      <alignment horizontal="right"/>
    </xf>
    <xf numFmtId="192" fontId="43" fillId="0" borderId="0" applyFont="0" applyFill="0" applyBorder="0" applyProtection="0">
      <alignment horizontal="right"/>
    </xf>
    <xf numFmtId="261" fontId="140" fillId="0" borderId="0" applyFill="0" applyBorder="0" applyProtection="0"/>
    <xf numFmtId="0" fontId="62" fillId="63" borderId="0">
      <alignment horizontal="right"/>
    </xf>
    <xf numFmtId="0" fontId="4" fillId="0" borderId="0">
      <alignment horizontal="right"/>
    </xf>
    <xf numFmtId="0" fontId="145" fillId="64" borderId="58" applyNumberFormat="0" applyAlignment="0" applyProtection="0"/>
    <xf numFmtId="0" fontId="145" fillId="64" borderId="58" applyNumberFormat="0" applyAlignment="0" applyProtection="0"/>
    <xf numFmtId="0" fontId="145" fillId="64" borderId="58" applyNumberFormat="0" applyAlignment="0" applyProtection="0"/>
    <xf numFmtId="0" fontId="145" fillId="64" borderId="58" applyNumberFormat="0" applyAlignment="0" applyProtection="0"/>
    <xf numFmtId="0" fontId="146" fillId="8" borderId="17" applyNumberFormat="0" applyAlignment="0" applyProtection="0"/>
    <xf numFmtId="0" fontId="145" fillId="64" borderId="58" applyNumberFormat="0" applyAlignment="0" applyProtection="0"/>
    <xf numFmtId="0" fontId="145" fillId="64" borderId="58" applyNumberFormat="0" applyAlignment="0" applyProtection="0"/>
    <xf numFmtId="0" fontId="146" fillId="8" borderId="17" applyNumberFormat="0" applyAlignment="0" applyProtection="0"/>
    <xf numFmtId="0" fontId="146" fillId="8" borderId="17" applyNumberFormat="0" applyAlignment="0" applyProtection="0"/>
    <xf numFmtId="0" fontId="146" fillId="8" borderId="17" applyNumberFormat="0" applyAlignment="0" applyProtection="0"/>
    <xf numFmtId="0" fontId="146" fillId="8" borderId="17" applyNumberFormat="0" applyAlignment="0" applyProtection="0"/>
    <xf numFmtId="0" fontId="146" fillId="8" borderId="17" applyNumberFormat="0" applyAlignment="0" applyProtection="0"/>
    <xf numFmtId="0" fontId="146" fillId="8" borderId="17" applyNumberFormat="0" applyAlignment="0" applyProtection="0"/>
    <xf numFmtId="0" fontId="25" fillId="8" borderId="17" applyNumberFormat="0" applyAlignment="0" applyProtection="0"/>
    <xf numFmtId="0" fontId="147" fillId="0" borderId="0" applyProtection="0">
      <alignment horizontal="left"/>
    </xf>
    <xf numFmtId="0" fontId="147" fillId="0" borderId="0" applyFill="0" applyBorder="0" applyProtection="0">
      <alignment horizontal="left"/>
    </xf>
    <xf numFmtId="0" fontId="148" fillId="0" borderId="0" applyFill="0" applyBorder="0" applyProtection="0">
      <alignment horizontal="left"/>
    </xf>
    <xf numFmtId="1" fontId="149" fillId="0" borderId="0" applyProtection="0">
      <alignment horizontal="right" vertical="center"/>
    </xf>
    <xf numFmtId="241" fontId="150" fillId="0" borderId="5">
      <alignment vertical="center"/>
    </xf>
    <xf numFmtId="2" fontId="55" fillId="0" borderId="0"/>
    <xf numFmtId="168" fontId="151" fillId="0" borderId="0" applyFill="0" applyBorder="0" applyAlignment="0" applyProtection="0"/>
    <xf numFmtId="213" fontId="4" fillId="0" borderId="0" applyFont="0" applyFill="0" applyBorder="0" applyAlignment="0" applyProtection="0"/>
    <xf numFmtId="262" fontId="11" fillId="0" borderId="0" applyFont="0" applyFill="0" applyBorder="0" applyAlignment="0" applyProtection="0"/>
    <xf numFmtId="263" fontId="14" fillId="63" borderId="1" applyFill="0" applyBorder="0" applyAlignment="0" applyProtection="0">
      <alignment horizontal="right"/>
      <protection locked="0"/>
    </xf>
    <xf numFmtId="264" fontId="14" fillId="70" borderId="0" applyFill="0" applyBorder="0" applyAlignment="0" applyProtection="0">
      <protection hidden="1"/>
    </xf>
    <xf numFmtId="10" fontId="4" fillId="0" borderId="0" applyFont="0" applyFill="0" applyBorder="0" applyAlignment="0" applyProtection="0"/>
    <xf numFmtId="10" fontId="4" fillId="0" borderId="0" applyFont="0" applyFill="0" applyBorder="0" applyAlignment="0" applyProtection="0"/>
    <xf numFmtId="265" fontId="140" fillId="0" borderId="0" applyBorder="0" applyProtection="0">
      <alignment horizontal="right"/>
    </xf>
    <xf numFmtId="265" fontId="141" fillId="80" borderId="0" applyProtection="0">
      <alignment horizontal="right"/>
    </xf>
    <xf numFmtId="265" fontId="143" fillId="0" borderId="0" applyFont="0" applyBorder="0" applyProtection="0">
      <alignment horizontal="right"/>
    </xf>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8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66" fontId="55" fillId="0" borderId="0" applyFont="0" applyFill="0" applyBorder="0" applyProtection="0">
      <alignment horizontal="right"/>
    </xf>
    <xf numFmtId="9" fontId="4" fillId="0" borderId="0"/>
    <xf numFmtId="267" fontId="4" fillId="0" borderId="0" applyFill="0" applyBorder="0">
      <alignment horizontal="right"/>
      <protection locked="0"/>
    </xf>
    <xf numFmtId="1" fontId="49" fillId="0" borderId="0"/>
    <xf numFmtId="251" fontId="4" fillId="0" borderId="0">
      <protection locked="0"/>
    </xf>
    <xf numFmtId="168" fontId="4" fillId="0" borderId="0" applyFont="0" applyFill="0" applyBorder="0" applyAlignment="0" applyProtection="0"/>
    <xf numFmtId="211" fontId="11" fillId="0" borderId="0" applyFill="0" applyBorder="0" applyAlignment="0"/>
    <xf numFmtId="212" fontId="11" fillId="0" borderId="0" applyFill="0" applyBorder="0" applyAlignment="0"/>
    <xf numFmtId="211" fontId="11" fillId="0" borderId="0" applyFill="0" applyBorder="0" applyAlignment="0"/>
    <xf numFmtId="214" fontId="4" fillId="0" borderId="0" applyFill="0" applyBorder="0" applyAlignment="0"/>
    <xf numFmtId="212" fontId="11" fillId="0" borderId="0" applyFill="0" applyBorder="0" applyAlignment="0"/>
    <xf numFmtId="10" fontId="55" fillId="0" borderId="0"/>
    <xf numFmtId="10" fontId="55" fillId="74" borderId="0"/>
    <xf numFmtId="9" fontId="55" fillId="0" borderId="0" applyFont="0" applyFill="0" applyBorder="0" applyAlignment="0" applyProtection="0"/>
    <xf numFmtId="175" fontId="83" fillId="0" borderId="0"/>
    <xf numFmtId="268" fontId="152" fillId="70" borderId="0" applyBorder="0" applyAlignment="0">
      <protection hidden="1"/>
    </xf>
    <xf numFmtId="1" fontId="152" fillId="70" borderId="0">
      <alignment horizontal="center"/>
    </xf>
    <xf numFmtId="0" fontId="69" fillId="0" borderId="0" applyNumberFormat="0" applyFont="0" applyFill="0" applyBorder="0" applyAlignment="0" applyProtection="0">
      <alignment horizontal="left"/>
    </xf>
    <xf numFmtId="15" fontId="69" fillId="0" borderId="0" applyFont="0" applyFill="0" applyBorder="0" applyAlignment="0" applyProtection="0"/>
    <xf numFmtId="4" fontId="69" fillId="0" borderId="0" applyFont="0" applyFill="0" applyBorder="0" applyAlignment="0" applyProtection="0"/>
    <xf numFmtId="0" fontId="123" fillId="0" borderId="2">
      <alignment horizontal="center"/>
    </xf>
    <xf numFmtId="3" fontId="69" fillId="0" borderId="0" applyFont="0" applyFill="0" applyBorder="0" applyAlignment="0" applyProtection="0"/>
    <xf numFmtId="0" fontId="69" fillId="81" borderId="0" applyNumberFormat="0" applyFont="0" applyBorder="0" applyAlignment="0" applyProtection="0"/>
    <xf numFmtId="0" fontId="69" fillId="0" borderId="0">
      <alignment horizontal="right"/>
      <protection locked="0"/>
    </xf>
    <xf numFmtId="234" fontId="153" fillId="0" borderId="0" applyNumberFormat="0" applyFill="0" applyBorder="0" applyAlignment="0" applyProtection="0">
      <alignment horizontal="left"/>
    </xf>
    <xf numFmtId="0" fontId="154" fillId="68" borderId="0"/>
    <xf numFmtId="0" fontId="49" fillId="0" borderId="0" applyNumberFormat="0" applyFill="0" applyBorder="0" applyProtection="0">
      <alignment horizontal="right" vertical="center"/>
    </xf>
    <xf numFmtId="0" fontId="155" fillId="0" borderId="59">
      <alignment vertical="center"/>
    </xf>
    <xf numFmtId="171" fontId="4" fillId="0" borderId="0" applyFill="0" applyBorder="0">
      <alignment horizontal="right"/>
      <protection hidden="1"/>
    </xf>
    <xf numFmtId="0" fontId="156" fillId="67" borderId="1">
      <alignment horizontal="center" vertical="center" wrapText="1"/>
      <protection hidden="1"/>
    </xf>
    <xf numFmtId="0" fontId="69" fillId="82" borderId="60"/>
    <xf numFmtId="0" fontId="11" fillId="83" borderId="0" applyNumberFormat="0" applyFont="0" applyBorder="0" applyAlignment="0" applyProtection="0"/>
    <xf numFmtId="42" fontId="157" fillId="0" borderId="0" applyFill="0" applyBorder="0" applyAlignment="0" applyProtection="0"/>
    <xf numFmtId="41" fontId="158" fillId="0" borderId="0"/>
    <xf numFmtId="0" fontId="10" fillId="0" borderId="0"/>
    <xf numFmtId="0" fontId="159" fillId="0" borderId="0">
      <alignment horizontal="right"/>
    </xf>
    <xf numFmtId="0" fontId="86" fillId="0" borderId="0">
      <alignment horizontal="left"/>
    </xf>
    <xf numFmtId="168" fontId="160" fillId="0" borderId="51"/>
    <xf numFmtId="269" fontId="54" fillId="76" borderId="0" applyFont="0" applyBorder="0"/>
    <xf numFmtId="201" fontId="48" fillId="0" borderId="0" applyNumberFormat="0" applyFill="0">
      <alignment horizontal="left" vertical="center" wrapText="1"/>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4" fillId="0" borderId="0">
      <alignment vertical="top"/>
    </xf>
    <xf numFmtId="41" fontId="4" fillId="0" borderId="0" applyFont="0" applyFill="0" applyBorder="0" applyAlignment="0" applyProtection="0"/>
    <xf numFmtId="0" fontId="81" fillId="0" borderId="0">
      <alignment vertical="top"/>
    </xf>
    <xf numFmtId="0" fontId="11" fillId="0" borderId="0">
      <alignment vertical="top"/>
    </xf>
    <xf numFmtId="0" fontId="11"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1"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1"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4" fontId="4" fillId="0" borderId="0" applyFont="0" applyFill="0" applyBorder="0" applyAlignment="0" applyProtection="0"/>
    <xf numFmtId="0" fontId="11"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61" fillId="83" borderId="1" applyNumberFormat="0" applyProtection="0">
      <alignment horizontal="center" vertical="center"/>
    </xf>
    <xf numFmtId="0" fontId="11" fillId="0" borderId="0">
      <alignment vertical="top"/>
    </xf>
    <xf numFmtId="0" fontId="7" fillId="83" borderId="1" applyNumberFormat="0" applyProtection="0">
      <alignment horizontal="center" vertical="center"/>
    </xf>
    <xf numFmtId="0" fontId="11" fillId="0" borderId="0">
      <alignment vertical="top"/>
    </xf>
    <xf numFmtId="0" fontId="11" fillId="0" borderId="0">
      <alignment vertical="top"/>
    </xf>
    <xf numFmtId="0" fontId="40" fillId="0" borderId="0" applyNumberFormat="0" applyFill="0" applyBorder="0" applyAlignment="0" applyProtection="0"/>
    <xf numFmtId="0" fontId="4" fillId="41" borderId="1" applyNumberFormat="0" applyProtection="0">
      <alignment horizontal="left" vertical="center"/>
    </xf>
    <xf numFmtId="0" fontId="4" fillId="41" borderId="1" applyNumberFormat="0" applyProtection="0">
      <alignment horizontal="left" vertical="center"/>
    </xf>
    <xf numFmtId="0" fontId="11" fillId="0" borderId="0">
      <alignment vertical="top"/>
    </xf>
    <xf numFmtId="0" fontId="7" fillId="39" borderId="1" applyNumberFormat="0" applyProtection="0">
      <alignment horizontal="left" vertical="center" wrapText="1"/>
    </xf>
    <xf numFmtId="0" fontId="11" fillId="0" borderId="0">
      <alignment vertical="top"/>
    </xf>
    <xf numFmtId="0" fontId="11" fillId="0" borderId="0">
      <alignment vertical="top"/>
    </xf>
    <xf numFmtId="0" fontId="8" fillId="0" borderId="0" applyNumberFormat="0" applyFill="0" applyBorder="0" applyAlignment="0" applyProtection="0"/>
    <xf numFmtId="0" fontId="4" fillId="41" borderId="1" applyNumberFormat="0" applyProtection="0">
      <alignment horizontal="left" vertical="center" wrapText="1"/>
    </xf>
    <xf numFmtId="0" fontId="4" fillId="41" borderId="1" applyNumberFormat="0" applyProtection="0">
      <alignment horizontal="left" vertical="center" wrapText="1"/>
    </xf>
    <xf numFmtId="0" fontId="11" fillId="0" borderId="0">
      <alignment vertical="top"/>
    </xf>
    <xf numFmtId="0" fontId="7" fillId="39" borderId="1" applyNumberFormat="0" applyProtection="0">
      <alignment horizontal="left" vertical="center" wrapText="1"/>
    </xf>
    <xf numFmtId="0" fontId="11" fillId="0" borderId="0">
      <alignment vertical="top"/>
    </xf>
    <xf numFmtId="0" fontId="11" fillId="0" borderId="0">
      <alignment vertical="top"/>
    </xf>
    <xf numFmtId="0" fontId="162" fillId="84" borderId="0" applyNumberFormat="0" applyBorder="0" applyAlignment="0" applyProtection="0"/>
    <xf numFmtId="0" fontId="11" fillId="0" borderId="0">
      <alignment vertical="top"/>
    </xf>
    <xf numFmtId="0" fontId="11" fillId="0" borderId="0">
      <alignment vertical="top"/>
    </xf>
    <xf numFmtId="0" fontId="11" fillId="0" borderId="0">
      <alignment vertical="top"/>
    </xf>
    <xf numFmtId="43" fontId="47"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185" fontId="4"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44" fontId="4"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270" fontId="55"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270" fontId="55"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83" fillId="0" borderId="0" applyNumberFormat="0" applyBorder="0" applyAlignment="0"/>
    <xf numFmtId="0" fontId="163" fillId="0" borderId="0" applyNumberFormat="0" applyBorder="0" applyAlignment="0"/>
    <xf numFmtId="0" fontId="164" fillId="0" borderId="0" applyNumberFormat="0" applyBorder="0" applyAlignment="0"/>
    <xf numFmtId="0" fontId="64" fillId="0" borderId="0" applyNumberFormat="0" applyFill="0" applyBorder="0" applyProtection="0">
      <alignment horizontal="left" vertical="center"/>
    </xf>
    <xf numFmtId="0" fontId="64" fillId="0" borderId="4" applyNumberFormat="0" applyFill="0" applyProtection="0">
      <alignment horizontal="left" vertical="center"/>
    </xf>
    <xf numFmtId="271" fontId="54" fillId="85" borderId="0" applyNumberFormat="0" applyFont="0" applyBorder="0">
      <alignment horizontal="center" vertical="center"/>
      <protection locked="0"/>
    </xf>
    <xf numFmtId="9" fontId="4" fillId="0" borderId="0"/>
    <xf numFmtId="0" fontId="65" fillId="0" borderId="0" applyFill="0" applyBorder="0" applyProtection="0">
      <alignment horizontal="center" vertical="center"/>
    </xf>
    <xf numFmtId="0" fontId="165" fillId="0" borderId="0" applyBorder="0" applyProtection="0">
      <alignment vertical="center"/>
    </xf>
    <xf numFmtId="175" fontId="4" fillId="0" borderId="5" applyBorder="0" applyProtection="0">
      <alignment horizontal="right" vertical="center"/>
    </xf>
    <xf numFmtId="0" fontId="166" fillId="86" borderId="0" applyBorder="0" applyProtection="0">
      <alignment horizontal="centerContinuous" vertical="center"/>
    </xf>
    <xf numFmtId="0" fontId="166" fillId="84" borderId="5" applyBorder="0" applyProtection="0">
      <alignment horizontal="centerContinuous" vertical="center"/>
    </xf>
    <xf numFmtId="0" fontId="167" fillId="0" borderId="0"/>
    <xf numFmtId="0" fontId="65" fillId="0" borderId="0" applyFill="0" applyBorder="0" applyProtection="0"/>
    <xf numFmtId="0" fontId="138" fillId="0" borderId="0"/>
    <xf numFmtId="0" fontId="168" fillId="0" borderId="0" applyFill="0" applyBorder="0" applyProtection="0">
      <alignment horizontal="left"/>
    </xf>
    <xf numFmtId="0" fontId="169" fillId="0" borderId="0" applyFill="0" applyBorder="0" applyProtection="0">
      <alignment horizontal="left" vertical="top"/>
    </xf>
    <xf numFmtId="0" fontId="170" fillId="0" borderId="0">
      <alignment horizontal="centerContinuous"/>
    </xf>
    <xf numFmtId="241" fontId="4" fillId="41" borderId="61" applyNumberFormat="0" applyAlignment="0">
      <alignment vertical="center"/>
    </xf>
    <xf numFmtId="241" fontId="171" fillId="87" borderId="62" applyNumberFormat="0" applyBorder="0" applyAlignment="0" applyProtection="0">
      <alignment vertical="center"/>
    </xf>
    <xf numFmtId="241" fontId="171" fillId="87" borderId="62" applyNumberFormat="0" applyBorder="0" applyAlignment="0" applyProtection="0">
      <alignment vertical="center"/>
    </xf>
    <xf numFmtId="241" fontId="171" fillId="87" borderId="62" applyNumberFormat="0" applyBorder="0" applyAlignment="0" applyProtection="0">
      <alignment vertical="center"/>
    </xf>
    <xf numFmtId="241" fontId="4" fillId="41" borderId="61" applyNumberFormat="0" applyProtection="0">
      <alignment horizontal="centerContinuous" vertical="center"/>
    </xf>
    <xf numFmtId="241" fontId="172" fillId="88" borderId="0" applyNumberFormat="0" applyBorder="0" applyAlignment="0" applyProtection="0">
      <alignment vertical="center"/>
    </xf>
    <xf numFmtId="241" fontId="4" fillId="87" borderId="0" applyBorder="0" applyAlignment="0" applyProtection="0">
      <alignment vertical="center"/>
    </xf>
    <xf numFmtId="49" fontId="48" fillId="0" borderId="5">
      <alignment vertical="center"/>
    </xf>
    <xf numFmtId="0" fontId="173" fillId="0" borderId="0"/>
    <xf numFmtId="0" fontId="174" fillId="0" borderId="0"/>
    <xf numFmtId="49" fontId="83" fillId="0" borderId="0" applyFill="0" applyBorder="0" applyAlignment="0"/>
    <xf numFmtId="272" fontId="11" fillId="0" borderId="0" applyFill="0" applyBorder="0" applyAlignment="0"/>
    <xf numFmtId="273" fontId="11" fillId="0" borderId="0" applyFill="0" applyBorder="0" applyAlignment="0"/>
    <xf numFmtId="0" fontId="44" fillId="0" borderId="0" applyNumberFormat="0" applyFont="0" applyFill="0" applyBorder="0" applyProtection="0">
      <alignment horizontal="left" vertical="top" wrapText="1"/>
    </xf>
    <xf numFmtId="18" fontId="10" fillId="0" borderId="0" applyFill="0" applyBorder="0" applyAlignment="0" applyProtection="0"/>
    <xf numFmtId="0" fontId="11" fillId="0" borderId="0" applyNumberFormat="0" applyFill="0" applyBorder="0" applyAlignment="0" applyProtection="0"/>
    <xf numFmtId="0" fontId="49" fillId="0" borderId="0" applyNumberFormat="0" applyFill="0" applyBorder="0" applyAlignment="0" applyProtection="0"/>
    <xf numFmtId="40" fontId="175" fillId="0" borderId="0"/>
    <xf numFmtId="0" fontId="176" fillId="0" borderId="0" applyNumberFormat="0" applyFill="0" applyBorder="0" applyAlignment="0" applyProtection="0"/>
    <xf numFmtId="0" fontId="177" fillId="0" borderId="0" applyNumberFormat="0" applyBorder="0" applyAlignment="0" applyProtection="0"/>
    <xf numFmtId="0" fontId="177" fillId="0" borderId="0" applyNumberFormat="0" applyBorder="0" applyAlignment="0" applyProtection="0"/>
    <xf numFmtId="274" fontId="178" fillId="84" borderId="0" applyNumberFormat="0" applyProtection="0">
      <alignment horizontal="left" vertical="center"/>
    </xf>
    <xf numFmtId="0" fontId="179" fillId="0" borderId="0" applyNumberFormat="0" applyProtection="0">
      <alignment horizontal="left" vertical="center"/>
    </xf>
    <xf numFmtId="0" fontId="180" fillId="0" borderId="0">
      <alignment horizontal="left"/>
    </xf>
    <xf numFmtId="0" fontId="69" fillId="0" borderId="0" applyBorder="0"/>
    <xf numFmtId="1" fontId="11" fillId="72" borderId="0" applyNumberFormat="0" applyFont="0" applyBorder="0" applyProtection="0">
      <alignment horizontal="left"/>
    </xf>
    <xf numFmtId="275" fontId="4" fillId="0" borderId="0" applyNumberFormat="0" applyFill="0" applyBorder="0" applyProtection="0">
      <alignment vertical="top"/>
    </xf>
    <xf numFmtId="0" fontId="181" fillId="0" borderId="63" applyNumberFormat="0" applyFill="0" applyAlignment="0" applyProtection="0"/>
    <xf numFmtId="0" fontId="31" fillId="0" borderId="21" applyNumberFormat="0" applyFill="0" applyAlignment="0" applyProtection="0"/>
    <xf numFmtId="0" fontId="181" fillId="0" borderId="63" applyNumberFormat="0" applyFill="0" applyAlignment="0" applyProtection="0"/>
    <xf numFmtId="0" fontId="181" fillId="0" borderId="63" applyNumberFormat="0" applyFill="0" applyAlignment="0" applyProtection="0"/>
    <xf numFmtId="0" fontId="181" fillId="0" borderId="63" applyNumberFormat="0" applyFill="0" applyAlignment="0" applyProtection="0"/>
    <xf numFmtId="0" fontId="35" fillId="0" borderId="21" applyNumberFormat="0" applyFill="0" applyAlignment="0" applyProtection="0"/>
    <xf numFmtId="0" fontId="181" fillId="0" borderId="63" applyNumberFormat="0" applyFill="0" applyAlignment="0" applyProtection="0"/>
    <xf numFmtId="0" fontId="181" fillId="0" borderId="63"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182" fillId="0" borderId="21" applyNumberFormat="0" applyFill="0" applyAlignment="0" applyProtection="0"/>
    <xf numFmtId="39" fontId="4" fillId="0" borderId="29">
      <protection locked="0"/>
    </xf>
    <xf numFmtId="6" fontId="170" fillId="0" borderId="29" applyFill="0" applyAlignment="0" applyProtection="0"/>
    <xf numFmtId="175" fontId="16" fillId="0" borderId="64"/>
    <xf numFmtId="0" fontId="183" fillId="0" borderId="0">
      <alignment horizontal="fill"/>
    </xf>
    <xf numFmtId="276" fontId="152" fillId="70" borderId="34" applyBorder="0">
      <alignment horizontal="right" vertical="center"/>
      <protection locked="0"/>
    </xf>
    <xf numFmtId="42" fontId="4" fillId="0" borderId="0" applyFont="0" applyFill="0" applyBorder="0" applyAlignment="0" applyProtection="0"/>
    <xf numFmtId="277"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275" fontId="184" fillId="87" borderId="0" applyNumberFormat="0" applyBorder="0" applyProtection="0">
      <alignment horizontal="centerContinuous" vertical="center"/>
    </xf>
    <xf numFmtId="0" fontId="185"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29" fillId="0" borderId="0" applyNumberFormat="0" applyFill="0" applyBorder="0" applyAlignment="0" applyProtection="0"/>
    <xf numFmtId="0" fontId="187" fillId="0" borderId="0"/>
    <xf numFmtId="1" fontId="187" fillId="0" borderId="0"/>
    <xf numFmtId="278" fontId="55" fillId="0" borderId="0" applyFont="0" applyFill="0" applyBorder="0" applyProtection="0">
      <alignment horizontal="right"/>
    </xf>
    <xf numFmtId="279" fontId="4" fillId="0" borderId="0"/>
    <xf numFmtId="280" fontId="140" fillId="0" borderId="0" applyFill="0" applyBorder="0" applyProtection="0"/>
    <xf numFmtId="0" fontId="4" fillId="0" borderId="0">
      <alignment horizontal="center"/>
    </xf>
    <xf numFmtId="281" fontId="48" fillId="0" borderId="5">
      <alignment horizontal="right"/>
    </xf>
    <xf numFmtId="282" fontId="4" fillId="0" borderId="0" applyFont="0" applyFill="0" applyBorder="0" applyAlignment="0" applyProtection="0"/>
    <xf numFmtId="283" fontId="57" fillId="0" borderId="0" applyFont="0" applyFill="0" applyBorder="0" applyProtection="0">
      <alignment horizontal="right"/>
    </xf>
    <xf numFmtId="0" fontId="4" fillId="0" borderId="0"/>
    <xf numFmtId="284" fontId="4" fillId="0" borderId="0"/>
    <xf numFmtId="0" fontId="12" fillId="0" borderId="0"/>
    <xf numFmtId="0" fontId="26" fillId="8" borderId="16" applyNumberFormat="0" applyAlignment="0" applyProtection="0"/>
    <xf numFmtId="0" fontId="28" fillId="9" borderId="19" applyNumberFormat="0" applyAlignment="0" applyProtection="0"/>
    <xf numFmtId="0" fontId="1" fillId="20" borderId="0" applyNumberFormat="0" applyBorder="0" applyAlignment="0" applyProtection="0"/>
  </cellStyleXfs>
  <cellXfs count="323">
    <xf numFmtId="0" fontId="0" fillId="0" borderId="0" xfId="0"/>
    <xf numFmtId="0" fontId="0" fillId="0" borderId="0" xfId="0" applyAlignment="1">
      <alignment horizontal="center"/>
    </xf>
    <xf numFmtId="17" fontId="0" fillId="0" borderId="0" xfId="0" applyNumberFormat="1"/>
    <xf numFmtId="0" fontId="0" fillId="0" borderId="0" xfId="0" applyAlignment="1">
      <alignment horizontal="right"/>
    </xf>
    <xf numFmtId="168" fontId="0" fillId="0" borderId="0" xfId="0" applyNumberFormat="1" applyAlignment="1">
      <alignment horizontal="center"/>
    </xf>
    <xf numFmtId="3" fontId="0" fillId="0" borderId="0" xfId="0" applyNumberFormat="1" applyAlignment="1">
      <alignment horizontal="center"/>
    </xf>
    <xf numFmtId="37" fontId="5" fillId="0" borderId="0" xfId="0" applyNumberFormat="1" applyFont="1" applyAlignment="1">
      <alignment horizontal="center"/>
    </xf>
    <xf numFmtId="3" fontId="5" fillId="0" borderId="0" xfId="0" applyNumberFormat="1" applyFont="1" applyAlignment="1">
      <alignment horizontal="center"/>
    </xf>
    <xf numFmtId="17" fontId="5" fillId="0" borderId="0" xfId="0" applyNumberFormat="1" applyFont="1"/>
    <xf numFmtId="0" fontId="5" fillId="0" borderId="0" xfId="0" applyFont="1"/>
    <xf numFmtId="10" fontId="0" fillId="0" borderId="0" xfId="0" applyNumberFormat="1" applyAlignment="1">
      <alignment horizontal="center"/>
    </xf>
    <xf numFmtId="1" fontId="0" fillId="0" borderId="0" xfId="0" applyNumberFormat="1"/>
    <xf numFmtId="37" fontId="5" fillId="0" borderId="0" xfId="0" applyNumberFormat="1" applyFont="1" applyFill="1" applyAlignment="1">
      <alignment horizontal="center"/>
    </xf>
    <xf numFmtId="0" fontId="7" fillId="0" borderId="0" xfId="0" applyFont="1"/>
    <xf numFmtId="0" fontId="0" fillId="0" borderId="0" xfId="0" applyFill="1" applyAlignment="1">
      <alignment horizontal="center"/>
    </xf>
    <xf numFmtId="170" fontId="0" fillId="0" borderId="0" xfId="0" applyNumberFormat="1" applyAlignment="1">
      <alignment horizontal="center"/>
    </xf>
    <xf numFmtId="171"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3" fontId="0" fillId="0" borderId="0" xfId="0" applyNumberFormat="1" applyAlignment="1">
      <alignment horizontal="center" wrapText="1"/>
    </xf>
    <xf numFmtId="17" fontId="0" fillId="0" borderId="0" xfId="0" applyNumberFormat="1" applyFill="1"/>
    <xf numFmtId="0" fontId="0" fillId="0" borderId="0" xfId="0" applyFill="1"/>
    <xf numFmtId="4" fontId="5" fillId="0" borderId="0" xfId="0" applyNumberFormat="1" applyFont="1" applyFill="1" applyAlignment="1">
      <alignment horizontal="center"/>
    </xf>
    <xf numFmtId="4" fontId="0" fillId="0" borderId="0" xfId="0" applyNumberFormat="1" applyAlignment="1">
      <alignment horizontal="center"/>
    </xf>
    <xf numFmtId="0" fontId="0" fillId="0" borderId="0" xfId="0" applyFill="1" applyBorder="1" applyAlignment="1"/>
    <xf numFmtId="169" fontId="0" fillId="0" borderId="0" xfId="0" applyNumberFormat="1" applyAlignment="1">
      <alignment horizontal="center"/>
    </xf>
    <xf numFmtId="0" fontId="0" fillId="0" borderId="0" xfId="0" applyNumberFormat="1" applyBorder="1"/>
    <xf numFmtId="3" fontId="7" fillId="0" borderId="0" xfId="0" applyNumberFormat="1" applyFont="1"/>
    <xf numFmtId="0" fontId="8" fillId="0" borderId="0" xfId="0" applyFont="1"/>
    <xf numFmtId="37" fontId="0" fillId="0" borderId="0" xfId="0" applyNumberFormat="1" applyAlignment="1">
      <alignment horizontal="center"/>
    </xf>
    <xf numFmtId="0" fontId="0" fillId="0" borderId="0" xfId="0" applyFill="1" applyAlignment="1">
      <alignment horizontal="left"/>
    </xf>
    <xf numFmtId="0" fontId="0" fillId="0" borderId="2" xfId="0" applyFill="1" applyBorder="1" applyAlignment="1"/>
    <xf numFmtId="0" fontId="9" fillId="0" borderId="3" xfId="0" applyFont="1" applyFill="1" applyBorder="1" applyAlignment="1">
      <alignment horizontal="center"/>
    </xf>
    <xf numFmtId="0" fontId="9" fillId="0" borderId="3" xfId="0" applyFont="1" applyFill="1" applyBorder="1" applyAlignment="1">
      <alignment horizontal="centerContinuous"/>
    </xf>
    <xf numFmtId="167" fontId="0" fillId="0" borderId="0" xfId="1" applyFont="1" applyFill="1" applyBorder="1" applyAlignment="1"/>
    <xf numFmtId="167" fontId="0" fillId="0" borderId="2" xfId="1" applyFont="1" applyFill="1" applyBorder="1" applyAlignment="1"/>
    <xf numFmtId="9" fontId="0" fillId="0" borderId="0" xfId="21" applyFont="1" applyFill="1" applyBorder="1" applyAlignment="1"/>
    <xf numFmtId="0" fontId="0" fillId="0" borderId="1" xfId="0" applyBorder="1" applyAlignment="1">
      <alignment horizontal="center"/>
    </xf>
    <xf numFmtId="3" fontId="0" fillId="0" borderId="0" xfId="0" applyNumberFormat="1" applyAlignment="1">
      <alignment wrapText="1"/>
    </xf>
    <xf numFmtId="176" fontId="4" fillId="0" borderId="0" xfId="8" applyNumberFormat="1"/>
    <xf numFmtId="176" fontId="0" fillId="0" borderId="0" xfId="0" applyNumberFormat="1"/>
    <xf numFmtId="1" fontId="5" fillId="0" borderId="0" xfId="0" applyNumberFormat="1" applyFont="1" applyFill="1" applyAlignment="1">
      <alignment horizontal="center"/>
    </xf>
    <xf numFmtId="174" fontId="0" fillId="0" borderId="0" xfId="1" applyNumberFormat="1" applyFont="1" applyFill="1" applyBorder="1" applyAlignment="1"/>
    <xf numFmtId="177" fontId="0" fillId="0" borderId="0" xfId="0" applyNumberFormat="1" applyAlignment="1">
      <alignment horizontal="center"/>
    </xf>
    <xf numFmtId="172" fontId="0" fillId="0" borderId="0" xfId="21" applyNumberFormat="1" applyFont="1" applyAlignment="1">
      <alignment horizontal="center"/>
    </xf>
    <xf numFmtId="3" fontId="0" fillId="0" borderId="0" xfId="0" applyNumberFormat="1"/>
    <xf numFmtId="174" fontId="0" fillId="0" borderId="0" xfId="0" applyNumberFormat="1"/>
    <xf numFmtId="174" fontId="0" fillId="0" borderId="0" xfId="1" applyNumberFormat="1" applyFont="1"/>
    <xf numFmtId="0" fontId="4" fillId="0" borderId="0" xfId="0" applyFont="1"/>
    <xf numFmtId="171" fontId="0" fillId="0" borderId="0" xfId="0" applyNumberFormat="1"/>
    <xf numFmtId="0" fontId="14" fillId="0" borderId="0" xfId="0" applyFont="1"/>
    <xf numFmtId="167" fontId="4" fillId="0" borderId="0" xfId="9" applyFont="1"/>
    <xf numFmtId="0" fontId="15" fillId="0" borderId="0" xfId="0" applyFont="1"/>
    <xf numFmtId="167" fontId="10" fillId="0" borderId="0" xfId="9" applyFont="1"/>
    <xf numFmtId="0" fontId="10" fillId="0" borderId="0" xfId="0" applyFont="1"/>
    <xf numFmtId="167" fontId="16" fillId="0" borderId="0" xfId="9" applyFont="1" applyAlignment="1">
      <alignment horizontal="right"/>
    </xf>
    <xf numFmtId="0" fontId="10" fillId="0" borderId="0" xfId="0" applyFont="1" applyAlignment="1">
      <alignment horizontal="right"/>
    </xf>
    <xf numFmtId="167" fontId="10" fillId="0" borderId="0" xfId="0" applyNumberFormat="1" applyFont="1" applyAlignment="1">
      <alignment horizontal="right"/>
    </xf>
    <xf numFmtId="2" fontId="0" fillId="0" borderId="0" xfId="0" applyNumberFormat="1"/>
    <xf numFmtId="167" fontId="0" fillId="0" borderId="0" xfId="0" applyNumberFormat="1"/>
    <xf numFmtId="3" fontId="4" fillId="0" borderId="0" xfId="0" applyNumberFormat="1" applyFont="1" applyAlignment="1">
      <alignment horizontal="center"/>
    </xf>
    <xf numFmtId="17" fontId="5" fillId="0" borderId="0" xfId="0" applyNumberFormat="1" applyFont="1" applyFill="1"/>
    <xf numFmtId="0" fontId="0" fillId="0" borderId="0" xfId="0" applyAlignment="1">
      <alignment horizontal="center"/>
    </xf>
    <xf numFmtId="0" fontId="0" fillId="0" borderId="0" xfId="0" applyAlignment="1">
      <alignment horizontal="center"/>
    </xf>
    <xf numFmtId="0" fontId="33" fillId="0" borderId="0" xfId="24" applyFont="1"/>
    <xf numFmtId="0" fontId="34" fillId="0" borderId="0" xfId="24" applyFont="1"/>
    <xf numFmtId="0" fontId="34" fillId="35" borderId="0" xfId="24" applyFont="1" applyFill="1"/>
    <xf numFmtId="0" fontId="34" fillId="0" borderId="0" xfId="24" applyFont="1" applyFill="1"/>
    <xf numFmtId="0" fontId="34" fillId="0" borderId="0" xfId="24" applyFont="1" applyBorder="1" applyAlignment="1">
      <alignment vertical="center"/>
    </xf>
    <xf numFmtId="0" fontId="35" fillId="0" borderId="0" xfId="24" applyFont="1" applyBorder="1" applyAlignment="1">
      <alignment horizontal="center" vertical="center"/>
    </xf>
    <xf numFmtId="0" fontId="35" fillId="36" borderId="0" xfId="24" applyFont="1" applyFill="1" applyBorder="1" applyAlignment="1">
      <alignment horizontal="center" vertical="center"/>
    </xf>
    <xf numFmtId="0" fontId="36" fillId="0" borderId="22" xfId="24" applyFont="1" applyBorder="1"/>
    <xf numFmtId="0" fontId="34" fillId="0" borderId="0" xfId="24" applyFont="1" applyBorder="1"/>
    <xf numFmtId="0" fontId="35" fillId="0" borderId="0" xfId="24" applyFont="1" applyBorder="1"/>
    <xf numFmtId="0" fontId="34" fillId="0" borderId="22" xfId="24" applyFont="1" applyBorder="1"/>
    <xf numFmtId="0" fontId="37" fillId="0" borderId="0" xfId="24" applyFont="1" applyAlignment="1">
      <alignment horizontal="center" vertical="center"/>
    </xf>
    <xf numFmtId="0" fontId="38" fillId="0" borderId="1" xfId="24" applyFont="1" applyFill="1" applyBorder="1" applyAlignment="1">
      <alignment horizontal="center" vertical="center" wrapText="1"/>
    </xf>
    <xf numFmtId="0" fontId="38" fillId="35" borderId="1" xfId="24" applyFont="1" applyFill="1" applyBorder="1" applyAlignment="1">
      <alignment horizontal="center" vertical="center" wrapText="1"/>
    </xf>
    <xf numFmtId="0" fontId="34" fillId="0" borderId="2" xfId="24" applyFont="1" applyBorder="1"/>
    <xf numFmtId="3" fontId="7" fillId="0" borderId="23" xfId="24" applyNumberFormat="1" applyFont="1" applyFill="1" applyBorder="1" applyAlignment="1">
      <alignment vertical="center"/>
    </xf>
    <xf numFmtId="3" fontId="7" fillId="0" borderId="2" xfId="24" applyNumberFormat="1" applyFont="1" applyFill="1" applyBorder="1" applyAlignment="1">
      <alignment vertical="center"/>
    </xf>
    <xf numFmtId="0" fontId="12" fillId="0" borderId="2" xfId="24" applyFont="1" applyBorder="1"/>
    <xf numFmtId="0" fontId="34" fillId="0" borderId="22" xfId="24" applyFont="1" applyBorder="1" applyAlignment="1">
      <alignment vertical="center"/>
    </xf>
    <xf numFmtId="3" fontId="4" fillId="0" borderId="24" xfId="23" applyNumberFormat="1" applyFont="1" applyFill="1" applyBorder="1" applyAlignment="1">
      <alignment horizontal="left" vertical="center"/>
    </xf>
    <xf numFmtId="3" fontId="4" fillId="0" borderId="24" xfId="23" applyNumberFormat="1" applyFont="1" applyFill="1" applyBorder="1" applyAlignment="1">
      <alignment horizontal="center" vertical="center"/>
    </xf>
    <xf numFmtId="0" fontId="4" fillId="0" borderId="0" xfId="24" applyFont="1" applyFill="1" applyBorder="1" applyAlignment="1">
      <alignment vertical="center"/>
    </xf>
    <xf numFmtId="3" fontId="4" fillId="0" borderId="25" xfId="23" applyNumberFormat="1" applyFont="1" applyFill="1" applyBorder="1" applyAlignment="1">
      <alignment horizontal="center" vertical="center"/>
    </xf>
    <xf numFmtId="3" fontId="4" fillId="0" borderId="26" xfId="23" applyNumberFormat="1" applyFont="1" applyFill="1" applyBorder="1" applyAlignment="1">
      <alignment horizontal="center" vertical="center"/>
    </xf>
    <xf numFmtId="3" fontId="4" fillId="0" borderId="27" xfId="23" applyNumberFormat="1" applyFont="1" applyFill="1" applyBorder="1" applyAlignment="1">
      <alignment horizontal="left" vertical="center"/>
    </xf>
    <xf numFmtId="3" fontId="7" fillId="0" borderId="7" xfId="24" applyNumberFormat="1" applyFont="1" applyFill="1" applyBorder="1" applyAlignment="1">
      <alignment vertical="center"/>
    </xf>
    <xf numFmtId="3" fontId="7" fillId="0" borderId="4" xfId="24" applyNumberFormat="1" applyFont="1" applyFill="1" applyBorder="1" applyAlignment="1">
      <alignment vertical="center"/>
    </xf>
    <xf numFmtId="3" fontId="7" fillId="0" borderId="4" xfId="24" applyNumberFormat="1" applyFont="1" applyFill="1" applyBorder="1" applyAlignment="1">
      <alignment horizontal="center" vertical="center"/>
    </xf>
    <xf numFmtId="3" fontId="7" fillId="0" borderId="28" xfId="24" applyNumberFormat="1" applyFont="1" applyFill="1" applyBorder="1" applyAlignment="1">
      <alignment horizontal="center" vertical="center"/>
    </xf>
    <xf numFmtId="0" fontId="7" fillId="0" borderId="0" xfId="24" applyFont="1" applyFill="1" applyBorder="1" applyAlignment="1">
      <alignment vertical="center"/>
    </xf>
    <xf numFmtId="0" fontId="34" fillId="0" borderId="4" xfId="24" applyFont="1" applyBorder="1" applyAlignment="1">
      <alignment vertical="center"/>
    </xf>
    <xf numFmtId="3" fontId="34" fillId="35" borderId="4" xfId="24" applyNumberFormat="1" applyFont="1" applyFill="1" applyBorder="1" applyAlignment="1">
      <alignment horizontal="center" vertical="center"/>
    </xf>
    <xf numFmtId="4" fontId="4" fillId="0" borderId="24" xfId="23" applyNumberFormat="1" applyFont="1" applyFill="1" applyBorder="1" applyAlignment="1">
      <alignment horizontal="center" vertical="center"/>
    </xf>
    <xf numFmtId="3" fontId="4" fillId="0" borderId="0" xfId="24" applyNumberFormat="1" applyFont="1" applyFill="1" applyAlignment="1">
      <alignment vertical="center"/>
    </xf>
    <xf numFmtId="0" fontId="34" fillId="0" borderId="0" xfId="24" applyFont="1" applyAlignment="1">
      <alignment vertical="center"/>
    </xf>
    <xf numFmtId="3" fontId="35" fillId="35" borderId="29" xfId="24" applyNumberFormat="1" applyFont="1" applyFill="1" applyBorder="1" applyAlignment="1">
      <alignment horizontal="center" vertical="center"/>
    </xf>
    <xf numFmtId="0" fontId="34" fillId="0" borderId="0" xfId="24" applyFont="1" applyFill="1" applyAlignment="1">
      <alignment vertical="center"/>
    </xf>
    <xf numFmtId="0" fontId="34" fillId="35" borderId="0" xfId="24" applyFont="1" applyFill="1" applyAlignment="1">
      <alignment vertical="center"/>
    </xf>
    <xf numFmtId="179" fontId="4" fillId="0" borderId="24" xfId="23" applyNumberFormat="1" applyFont="1" applyFill="1" applyBorder="1" applyAlignment="1">
      <alignment horizontal="center" vertical="center"/>
    </xf>
    <xf numFmtId="38" fontId="39" fillId="0" borderId="18" xfId="25" applyNumberFormat="1" applyFont="1" applyAlignment="1">
      <alignment horizontal="center"/>
    </xf>
    <xf numFmtId="178" fontId="4" fillId="0" borderId="24" xfId="23" applyNumberFormat="1" applyFont="1" applyFill="1" applyBorder="1" applyAlignment="1">
      <alignment horizontal="center" vertical="center"/>
    </xf>
    <xf numFmtId="3" fontId="34" fillId="35" borderId="0" xfId="24" applyNumberFormat="1" applyFont="1" applyFill="1"/>
    <xf numFmtId="173" fontId="4" fillId="0" borderId="24" xfId="23" applyNumberFormat="1" applyFont="1" applyFill="1" applyBorder="1" applyAlignment="1">
      <alignment horizontal="center" vertical="center"/>
    </xf>
    <xf numFmtId="3" fontId="4" fillId="0" borderId="0" xfId="24" applyNumberFormat="1" applyFont="1" applyFill="1" applyBorder="1" applyAlignment="1">
      <alignment vertical="center"/>
    </xf>
    <xf numFmtId="3" fontId="4" fillId="37" borderId="30" xfId="24" applyNumberFormat="1" applyFont="1" applyFill="1" applyBorder="1" applyAlignment="1">
      <alignment horizontal="center" vertical="center"/>
    </xf>
    <xf numFmtId="3" fontId="4" fillId="0" borderId="30" xfId="24" applyNumberFormat="1" applyFont="1" applyFill="1" applyBorder="1" applyAlignment="1">
      <alignment horizontal="center" vertical="center"/>
    </xf>
    <xf numFmtId="171" fontId="4" fillId="0" borderId="24" xfId="23" applyNumberFormat="1" applyFont="1" applyFill="1" applyBorder="1" applyAlignment="1">
      <alignment horizontal="center" vertical="center"/>
    </xf>
    <xf numFmtId="180" fontId="4" fillId="37" borderId="30" xfId="24" applyNumberFormat="1" applyFont="1" applyFill="1" applyBorder="1" applyAlignment="1">
      <alignment horizontal="center" vertical="center"/>
    </xf>
    <xf numFmtId="3" fontId="4" fillId="37" borderId="31" xfId="24" applyNumberFormat="1" applyFont="1" applyFill="1" applyBorder="1" applyAlignment="1">
      <alignment horizontal="center" vertical="center"/>
    </xf>
    <xf numFmtId="3" fontId="4" fillId="37" borderId="32" xfId="24" applyNumberFormat="1" applyFont="1" applyFill="1" applyBorder="1" applyAlignment="1">
      <alignment horizontal="center" vertical="center"/>
    </xf>
    <xf numFmtId="3" fontId="34" fillId="0" borderId="0" xfId="24" applyNumberFormat="1" applyFont="1"/>
    <xf numFmtId="3" fontId="34" fillId="35" borderId="0" xfId="24" applyNumberFormat="1" applyFont="1" applyFill="1" applyAlignment="1">
      <alignment horizontal="center"/>
    </xf>
    <xf numFmtId="0" fontId="40" fillId="35" borderId="0" xfId="24" applyFont="1" applyFill="1"/>
    <xf numFmtId="0" fontId="41" fillId="35" borderId="0" xfId="24" applyFont="1" applyFill="1"/>
    <xf numFmtId="0" fontId="41" fillId="0" borderId="0" xfId="24" applyFont="1" applyFill="1"/>
    <xf numFmtId="0" fontId="34" fillId="35" borderId="0" xfId="24" applyFont="1" applyFill="1" applyBorder="1" applyAlignment="1">
      <alignment vertical="center"/>
    </xf>
    <xf numFmtId="0" fontId="35" fillId="35" borderId="0" xfId="24" applyFont="1" applyFill="1" applyBorder="1" applyAlignment="1">
      <alignment horizontal="center" vertical="center"/>
    </xf>
    <xf numFmtId="0" fontId="34" fillId="35" borderId="22" xfId="24" applyFont="1" applyFill="1" applyBorder="1"/>
    <xf numFmtId="0" fontId="34" fillId="35" borderId="0" xfId="24" applyFont="1" applyFill="1" applyBorder="1"/>
    <xf numFmtId="0" fontId="37" fillId="35" borderId="0" xfId="24" applyFont="1" applyFill="1" applyAlignment="1">
      <alignment horizontal="center" vertical="center"/>
    </xf>
    <xf numFmtId="0" fontId="34" fillId="35" borderId="2" xfId="24" applyFont="1" applyFill="1" applyBorder="1"/>
    <xf numFmtId="3" fontId="7" fillId="35" borderId="23" xfId="24" applyNumberFormat="1" applyFont="1" applyFill="1" applyBorder="1" applyAlignment="1">
      <alignment vertical="center"/>
    </xf>
    <xf numFmtId="3" fontId="7" fillId="35" borderId="2" xfId="24" applyNumberFormat="1" applyFont="1" applyFill="1" applyBorder="1" applyAlignment="1">
      <alignment vertical="center"/>
    </xf>
    <xf numFmtId="0" fontId="12" fillId="35" borderId="2" xfId="24" applyFont="1" applyFill="1" applyBorder="1"/>
    <xf numFmtId="0" fontId="34" fillId="35" borderId="22" xfId="24" applyFont="1" applyFill="1" applyBorder="1" applyAlignment="1">
      <alignment vertical="center"/>
    </xf>
    <xf numFmtId="3" fontId="4" fillId="35" borderId="24" xfId="23" applyNumberFormat="1" applyFont="1" applyFill="1" applyBorder="1" applyAlignment="1">
      <alignment horizontal="left" vertical="center"/>
    </xf>
    <xf numFmtId="3" fontId="4" fillId="35" borderId="24" xfId="23" applyNumberFormat="1" applyFont="1" applyFill="1" applyBorder="1" applyAlignment="1">
      <alignment horizontal="center" vertical="center"/>
    </xf>
    <xf numFmtId="0" fontId="4" fillId="35" borderId="0" xfId="24" applyFont="1" applyFill="1" applyBorder="1" applyAlignment="1">
      <alignment vertical="center"/>
    </xf>
    <xf numFmtId="3" fontId="4" fillId="35" borderId="27" xfId="23" applyNumberFormat="1" applyFont="1" applyFill="1" applyBorder="1" applyAlignment="1">
      <alignment horizontal="left" vertical="center"/>
    </xf>
    <xf numFmtId="3" fontId="7" fillId="35" borderId="7" xfId="24" applyNumberFormat="1" applyFont="1" applyFill="1" applyBorder="1" applyAlignment="1">
      <alignment vertical="center"/>
    </xf>
    <xf numFmtId="3" fontId="7" fillId="35" borderId="4" xfId="24" applyNumberFormat="1" applyFont="1" applyFill="1" applyBorder="1" applyAlignment="1">
      <alignment vertical="center"/>
    </xf>
    <xf numFmtId="3" fontId="7" fillId="35" borderId="4" xfId="24" applyNumberFormat="1" applyFont="1" applyFill="1" applyBorder="1" applyAlignment="1">
      <alignment horizontal="center" vertical="center"/>
    </xf>
    <xf numFmtId="3" fontId="7" fillId="35" borderId="28" xfId="24" applyNumberFormat="1" applyFont="1" applyFill="1" applyBorder="1" applyAlignment="1">
      <alignment horizontal="center" vertical="center"/>
    </xf>
    <xf numFmtId="0" fontId="7" fillId="35" borderId="0" xfId="24" applyFont="1" applyFill="1" applyBorder="1" applyAlignment="1">
      <alignment vertical="center"/>
    </xf>
    <xf numFmtId="0" fontId="34" fillId="35" borderId="4" xfId="24" applyFont="1" applyFill="1" applyBorder="1" applyAlignment="1">
      <alignment vertical="center"/>
    </xf>
    <xf numFmtId="4" fontId="4" fillId="35" borderId="24" xfId="23" applyNumberFormat="1" applyFont="1" applyFill="1" applyBorder="1" applyAlignment="1">
      <alignment horizontal="center" vertical="center"/>
    </xf>
    <xf numFmtId="4" fontId="4" fillId="35" borderId="0" xfId="24" applyNumberFormat="1" applyFont="1" applyFill="1" applyBorder="1" applyAlignment="1">
      <alignment vertical="center"/>
    </xf>
    <xf numFmtId="3" fontId="4" fillId="35" borderId="0" xfId="24" applyNumberFormat="1" applyFont="1" applyFill="1" applyAlignment="1">
      <alignment vertical="center"/>
    </xf>
    <xf numFmtId="3" fontId="35" fillId="35" borderId="29" xfId="24" applyNumberFormat="1" applyFont="1" applyFill="1" applyBorder="1" applyAlignment="1">
      <alignment horizontal="center"/>
    </xf>
    <xf numFmtId="0" fontId="35" fillId="35" borderId="29" xfId="24" applyFont="1" applyFill="1" applyBorder="1"/>
    <xf numFmtId="0" fontId="36" fillId="35" borderId="0" xfId="24" applyFont="1" applyFill="1"/>
    <xf numFmtId="0" fontId="34" fillId="38" borderId="11" xfId="24" applyFont="1" applyFill="1" applyBorder="1"/>
    <xf numFmtId="0" fontId="34" fillId="38" borderId="12" xfId="24" applyFont="1" applyFill="1" applyBorder="1"/>
    <xf numFmtId="0" fontId="34" fillId="38" borderId="33" xfId="24" applyFont="1" applyFill="1" applyBorder="1" applyAlignment="1">
      <alignment horizontal="center"/>
    </xf>
    <xf numFmtId="0" fontId="34" fillId="38" borderId="34" xfId="24" applyFont="1" applyFill="1" applyBorder="1"/>
    <xf numFmtId="0" fontId="34" fillId="38" borderId="0" xfId="24" applyFont="1" applyFill="1" applyBorder="1"/>
    <xf numFmtId="0" fontId="34" fillId="38" borderId="9" xfId="24" applyFont="1" applyFill="1" applyBorder="1"/>
    <xf numFmtId="0" fontId="34" fillId="38" borderId="9" xfId="24" applyFont="1" applyFill="1" applyBorder="1" applyAlignment="1">
      <alignment horizontal="center"/>
    </xf>
    <xf numFmtId="0" fontId="35" fillId="35" borderId="0" xfId="24" applyFont="1" applyFill="1" applyAlignment="1">
      <alignment horizontal="center"/>
    </xf>
    <xf numFmtId="38" fontId="35" fillId="38" borderId="9" xfId="24" applyNumberFormat="1" applyFont="1" applyFill="1" applyBorder="1" applyAlignment="1">
      <alignment horizontal="center"/>
    </xf>
    <xf numFmtId="0" fontId="35" fillId="38" borderId="34" xfId="24" applyFont="1" applyFill="1" applyBorder="1"/>
    <xf numFmtId="0" fontId="35" fillId="38" borderId="0" xfId="24" applyFont="1" applyFill="1" applyBorder="1"/>
    <xf numFmtId="0" fontId="35" fillId="38" borderId="9" xfId="24" applyFont="1" applyFill="1" applyBorder="1"/>
    <xf numFmtId="0" fontId="42" fillId="35" borderId="1" xfId="24" applyFont="1" applyFill="1" applyBorder="1" applyAlignment="1">
      <alignment horizontal="left"/>
    </xf>
    <xf numFmtId="3" fontId="42" fillId="35" borderId="25" xfId="23" applyNumberFormat="1" applyFont="1" applyFill="1" applyBorder="1" applyAlignment="1">
      <alignment horizontal="center" vertical="center"/>
    </xf>
    <xf numFmtId="9" fontId="34" fillId="35" borderId="0" xfId="26" applyFont="1" applyFill="1" applyAlignment="1">
      <alignment horizontal="left"/>
    </xf>
    <xf numFmtId="0" fontId="34" fillId="38" borderId="34" xfId="24" applyFont="1" applyFill="1" applyBorder="1" applyAlignment="1">
      <alignment horizontal="right"/>
    </xf>
    <xf numFmtId="38" fontId="34" fillId="38" borderId="9" xfId="24" applyNumberFormat="1" applyFont="1" applyFill="1" applyBorder="1" applyAlignment="1">
      <alignment horizontal="center"/>
    </xf>
    <xf numFmtId="0" fontId="34" fillId="38" borderId="0" xfId="24" applyFont="1" applyFill="1" applyBorder="1" applyAlignment="1">
      <alignment horizontal="right"/>
    </xf>
    <xf numFmtId="0" fontId="34" fillId="38" borderId="10" xfId="24" applyFont="1" applyFill="1" applyBorder="1" applyAlignment="1">
      <alignment horizontal="right"/>
    </xf>
    <xf numFmtId="0" fontId="34" fillId="38" borderId="5" xfId="24" applyFont="1" applyFill="1" applyBorder="1"/>
    <xf numFmtId="38" fontId="34" fillId="38" borderId="35" xfId="24" applyNumberFormat="1" applyFont="1" applyFill="1" applyBorder="1" applyAlignment="1">
      <alignment horizontal="center"/>
    </xf>
    <xf numFmtId="0" fontId="34" fillId="38" borderId="0" xfId="24" applyFont="1" applyFill="1"/>
    <xf numFmtId="0" fontId="34" fillId="38" borderId="10" xfId="24" applyFont="1" applyFill="1" applyBorder="1"/>
    <xf numFmtId="0" fontId="34" fillId="38" borderId="35" xfId="24" applyFont="1" applyFill="1" applyBorder="1"/>
    <xf numFmtId="0" fontId="34" fillId="38" borderId="33" xfId="24" applyFont="1" applyFill="1" applyBorder="1"/>
    <xf numFmtId="38" fontId="34" fillId="38" borderId="8" xfId="24" applyNumberFormat="1" applyFont="1" applyFill="1" applyBorder="1" applyAlignment="1">
      <alignment horizontal="center"/>
    </xf>
    <xf numFmtId="3" fontId="38" fillId="35" borderId="36" xfId="23" applyNumberFormat="1" applyFont="1" applyFill="1" applyBorder="1" applyAlignment="1">
      <alignment horizontal="center" vertical="center"/>
    </xf>
    <xf numFmtId="0" fontId="34" fillId="35" borderId="0" xfId="24" applyFont="1" applyFill="1" applyAlignment="1">
      <alignment horizontal="left"/>
    </xf>
    <xf numFmtId="38" fontId="0" fillId="0" borderId="0" xfId="0" applyNumberFormat="1"/>
    <xf numFmtId="43" fontId="0" fillId="0" borderId="0" xfId="0" applyNumberFormat="1"/>
    <xf numFmtId="0" fontId="4" fillId="0" borderId="0" xfId="0" applyFont="1" applyAlignment="1">
      <alignment horizontal="center"/>
    </xf>
    <xf numFmtId="0" fontId="4" fillId="0" borderId="0" xfId="0" applyFont="1" applyFill="1" applyBorder="1" applyAlignment="1">
      <alignment horizontal="center" wrapText="1"/>
    </xf>
    <xf numFmtId="1" fontId="0" fillId="0" borderId="0" xfId="0" applyNumberFormat="1" applyAlignment="1">
      <alignment horizontal="center"/>
    </xf>
    <xf numFmtId="171" fontId="0" fillId="0" borderId="0" xfId="0" applyNumberFormat="1" applyFill="1" applyAlignment="1">
      <alignment horizontal="center"/>
    </xf>
    <xf numFmtId="0" fontId="0" fillId="0" borderId="0" xfId="0" applyAlignment="1">
      <alignment horizontal="center"/>
    </xf>
    <xf numFmtId="3" fontId="0" fillId="0" borderId="1" xfId="0" applyNumberFormat="1" applyBorder="1" applyAlignment="1">
      <alignment horizontal="center"/>
    </xf>
    <xf numFmtId="0" fontId="0" fillId="0" borderId="1" xfId="0" applyBorder="1"/>
    <xf numFmtId="0" fontId="0" fillId="0" borderId="1" xfId="0" applyFill="1" applyBorder="1"/>
    <xf numFmtId="17" fontId="0" fillId="0" borderId="1" xfId="0" applyNumberFormat="1" applyFill="1" applyBorder="1"/>
    <xf numFmtId="37" fontId="5" fillId="0" borderId="1" xfId="0" applyNumberFormat="1" applyFont="1" applyFill="1" applyBorder="1" applyAlignment="1">
      <alignment horizontal="center"/>
    </xf>
    <xf numFmtId="4" fontId="0" fillId="0" borderId="1" xfId="0" applyNumberFormat="1" applyFill="1" applyBorder="1" applyAlignment="1">
      <alignment horizontal="center"/>
    </xf>
    <xf numFmtId="17" fontId="5" fillId="0" borderId="1" xfId="0" applyNumberFormat="1" applyFont="1" applyFill="1" applyBorder="1"/>
    <xf numFmtId="4" fontId="5" fillId="0" borderId="1" xfId="0" applyNumberFormat="1" applyFont="1" applyFill="1" applyBorder="1" applyAlignment="1">
      <alignment horizontal="center"/>
    </xf>
    <xf numFmtId="0" fontId="0" fillId="0" borderId="1" xfId="0" applyFill="1" applyBorder="1" applyAlignment="1">
      <alignment horizontal="center"/>
    </xf>
    <xf numFmtId="3" fontId="0" fillId="0" borderId="1" xfId="0" applyNumberFormat="1" applyFill="1" applyBorder="1" applyAlignment="1">
      <alignment horizontal="center"/>
    </xf>
    <xf numFmtId="1" fontId="5" fillId="0" borderId="1" xfId="0" applyNumberFormat="1" applyFont="1" applyFill="1" applyBorder="1" applyAlignment="1">
      <alignment horizontal="center"/>
    </xf>
    <xf numFmtId="17" fontId="0" fillId="0" borderId="1" xfId="0" applyNumberFormat="1" applyBorder="1"/>
    <xf numFmtId="1" fontId="4" fillId="0" borderId="1" xfId="0" applyNumberFormat="1" applyFont="1" applyBorder="1" applyAlignment="1">
      <alignment horizontal="center" wrapText="1"/>
    </xf>
    <xf numFmtId="37" fontId="4" fillId="0" borderId="1" xfId="0" applyNumberFormat="1" applyFont="1" applyBorder="1" applyAlignment="1">
      <alignment horizontal="center" wrapText="1"/>
    </xf>
    <xf numFmtId="37" fontId="5" fillId="0" borderId="1" xfId="0" applyNumberFormat="1" applyFont="1" applyBorder="1" applyAlignment="1">
      <alignment horizontal="center"/>
    </xf>
    <xf numFmtId="4" fontId="0" fillId="0" borderId="1" xfId="0" applyNumberFormat="1" applyBorder="1" applyAlignment="1">
      <alignment horizontal="center"/>
    </xf>
    <xf numFmtId="17" fontId="5" fillId="0" borderId="1" xfId="0" applyNumberFormat="1" applyFont="1" applyBorder="1"/>
    <xf numFmtId="0" fontId="4" fillId="0" borderId="1" xfId="0" applyFont="1" applyFill="1" applyBorder="1" applyAlignment="1">
      <alignment horizontal="center" wrapText="1"/>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wrapText="1"/>
    </xf>
    <xf numFmtId="0" fontId="0" fillId="0" borderId="0" xfId="0" applyAlignment="1">
      <alignment horizontal="left"/>
    </xf>
    <xf numFmtId="0" fontId="0" fillId="0" borderId="65" xfId="0" applyBorder="1" applyAlignment="1">
      <alignment horizontal="center"/>
    </xf>
    <xf numFmtId="0" fontId="0" fillId="0" borderId="23" xfId="0" applyBorder="1" applyAlignment="1">
      <alignment horizontal="center"/>
    </xf>
    <xf numFmtId="0" fontId="0" fillId="0" borderId="66" xfId="0" applyBorder="1" applyAlignment="1">
      <alignment horizontal="center"/>
    </xf>
    <xf numFmtId="0" fontId="35" fillId="35" borderId="5" xfId="24" applyFont="1" applyFill="1" applyBorder="1" applyAlignment="1">
      <alignment horizontal="center" wrapText="1"/>
    </xf>
    <xf numFmtId="0" fontId="35" fillId="0" borderId="0" xfId="24" applyFont="1" applyBorder="1" applyAlignment="1">
      <alignment horizontal="center" vertical="center"/>
    </xf>
    <xf numFmtId="0" fontId="35" fillId="36" borderId="0" xfId="24" applyFont="1" applyFill="1" applyBorder="1" applyAlignment="1">
      <alignment horizontal="center" vertical="center"/>
    </xf>
    <xf numFmtId="0" fontId="35" fillId="0" borderId="0" xfId="24" applyFont="1" applyBorder="1" applyAlignment="1">
      <alignment horizontal="center"/>
    </xf>
    <xf numFmtId="0" fontId="35" fillId="35" borderId="0" xfId="24" applyFont="1" applyFill="1" applyBorder="1" applyAlignment="1">
      <alignment horizontal="center" vertical="center"/>
    </xf>
    <xf numFmtId="0" fontId="7" fillId="0" borderId="0" xfId="0" applyFont="1" applyFill="1"/>
    <xf numFmtId="0" fontId="0" fillId="0" borderId="0" xfId="0" applyFill="1" applyBorder="1"/>
    <xf numFmtId="0" fontId="40" fillId="0" borderId="0" xfId="0" applyFont="1" applyFill="1" applyBorder="1" applyAlignment="1">
      <alignment horizontal="center" vertical="center" wrapText="1"/>
    </xf>
    <xf numFmtId="0" fontId="7" fillId="0" borderId="0" xfId="0" applyFont="1" applyFill="1" applyBorder="1"/>
    <xf numFmtId="9" fontId="0" fillId="0" borderId="0" xfId="21" applyFont="1" applyFill="1" applyBorder="1"/>
    <xf numFmtId="0" fontId="7" fillId="0"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applyAlignment="1">
      <alignment horizontal="center"/>
    </xf>
    <xf numFmtId="165" fontId="3" fillId="0" borderId="0" xfId="289" applyNumberFormat="1" applyFill="1" applyBorder="1" applyAlignment="1">
      <alignment horizontal="center"/>
    </xf>
    <xf numFmtId="165" fontId="190" fillId="0" borderId="0" xfId="749" applyNumberFormat="1" applyFont="1" applyFill="1" applyBorder="1" applyAlignment="1">
      <alignment horizontal="center"/>
    </xf>
    <xf numFmtId="165" fontId="0" fillId="0" borderId="0" xfId="0" applyNumberFormat="1" applyFill="1" applyBorder="1"/>
    <xf numFmtId="0" fontId="0" fillId="0" borderId="0" xfId="0" quotePrefix="1" applyFill="1" applyBorder="1" applyAlignment="1">
      <alignment horizontal="center"/>
    </xf>
    <xf numFmtId="0" fontId="4" fillId="0" borderId="0" xfId="0" quotePrefix="1" applyFont="1" applyFill="1" applyBorder="1" applyAlignment="1">
      <alignment horizontal="center"/>
    </xf>
    <xf numFmtId="16" fontId="4" fillId="0" borderId="0" xfId="0" quotePrefix="1" applyNumberFormat="1" applyFont="1" applyFill="1" applyBorder="1" applyAlignment="1">
      <alignment horizontal="center"/>
    </xf>
    <xf numFmtId="168" fontId="0" fillId="0" borderId="0" xfId="21" applyNumberFormat="1" applyFont="1" applyFill="1" applyBorder="1"/>
    <xf numFmtId="165" fontId="81" fillId="0" borderId="0" xfId="0" applyNumberFormat="1" applyFont="1" applyFill="1" applyBorder="1" applyAlignment="1">
      <alignment horizontal="right"/>
    </xf>
    <xf numFmtId="293" fontId="81" fillId="0" borderId="0" xfId="0" applyNumberFormat="1" applyFont="1" applyFill="1" applyBorder="1"/>
    <xf numFmtId="0" fontId="81" fillId="0" borderId="0" xfId="0" applyFont="1" applyFill="1" applyBorder="1"/>
    <xf numFmtId="294" fontId="81" fillId="0" borderId="0" xfId="0" applyNumberFormat="1" applyFont="1" applyFill="1" applyBorder="1"/>
    <xf numFmtId="165" fontId="0" fillId="0" borderId="0" xfId="0" applyNumberFormat="1" applyFill="1" applyBorder="1" applyAlignment="1">
      <alignment horizontal="center"/>
    </xf>
    <xf numFmtId="3" fontId="0" fillId="0" borderId="0" xfId="0" applyNumberFormat="1" applyFill="1" applyBorder="1"/>
    <xf numFmtId="165" fontId="4" fillId="0" borderId="0" xfId="0" quotePrefix="1" applyNumberFormat="1" applyFont="1" applyFill="1" applyBorder="1" applyAlignment="1">
      <alignment horizontal="center"/>
    </xf>
    <xf numFmtId="165" fontId="34" fillId="0" borderId="0" xfId="90" applyNumberFormat="1" applyFill="1" applyBorder="1"/>
    <xf numFmtId="0" fontId="4" fillId="0" borderId="0" xfId="0" applyFont="1" applyFill="1" applyBorder="1" applyAlignment="1">
      <alignment horizontal="right"/>
    </xf>
    <xf numFmtId="1" fontId="0" fillId="0" borderId="0" xfId="0" applyNumberFormat="1" applyFill="1" applyBorder="1" applyAlignment="1">
      <alignment horizontal="center"/>
    </xf>
    <xf numFmtId="0" fontId="0" fillId="0" borderId="0" xfId="0" applyFill="1" applyBorder="1" applyAlignment="1">
      <alignment horizontal="center"/>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top"/>
    </xf>
    <xf numFmtId="37" fontId="0" fillId="0" borderId="0" xfId="0" applyNumberFormat="1" applyFill="1" applyBorder="1" applyAlignment="1">
      <alignment horizontal="center"/>
    </xf>
    <xf numFmtId="3" fontId="0" fillId="0" borderId="0" xfId="0" applyNumberFormat="1" applyFill="1" applyBorder="1" applyAlignment="1">
      <alignment horizontal="center"/>
    </xf>
    <xf numFmtId="171" fontId="0" fillId="0" borderId="0" xfId="0" applyNumberFormat="1" applyBorder="1"/>
    <xf numFmtId="167" fontId="0" fillId="0" borderId="0" xfId="1" applyFont="1" applyFill="1" applyBorder="1"/>
    <xf numFmtId="167" fontId="0" fillId="0" borderId="0" xfId="1" applyFont="1" applyBorder="1"/>
    <xf numFmtId="0" fontId="191" fillId="0" borderId="0" xfId="0" applyFont="1" applyFill="1" applyBorder="1" applyAlignment="1">
      <alignment vertical="center"/>
    </xf>
    <xf numFmtId="0" fontId="191" fillId="0" borderId="0" xfId="0" applyFont="1" applyFill="1" applyBorder="1" applyAlignment="1">
      <alignment horizontal="center" vertical="center" wrapText="1"/>
    </xf>
    <xf numFmtId="0" fontId="192" fillId="0" borderId="0" xfId="0" applyFont="1" applyFill="1" applyBorder="1" applyAlignment="1">
      <alignment horizontal="left" vertical="center"/>
    </xf>
    <xf numFmtId="38" fontId="192" fillId="0" borderId="0" xfId="0" applyNumberFormat="1" applyFont="1" applyFill="1" applyBorder="1" applyAlignment="1">
      <alignment horizontal="right" vertical="center"/>
    </xf>
    <xf numFmtId="38" fontId="7" fillId="0" borderId="0" xfId="0" applyNumberFormat="1" applyFont="1" applyFill="1" applyBorder="1"/>
    <xf numFmtId="3" fontId="41" fillId="0" borderId="0" xfId="766" applyNumberFormat="1" applyFill="1" applyBorder="1"/>
    <xf numFmtId="0" fontId="4" fillId="0" borderId="0" xfId="0" applyFont="1" applyFill="1" applyBorder="1"/>
    <xf numFmtId="38" fontId="0" fillId="0" borderId="0" xfId="0" applyNumberFormat="1" applyFill="1" applyBorder="1"/>
    <xf numFmtId="0" fontId="1" fillId="20" borderId="65" xfId="4517" applyBorder="1" applyAlignment="1">
      <alignment horizontal="center" wrapText="1"/>
    </xf>
    <xf numFmtId="0" fontId="1" fillId="20" borderId="23" xfId="4517" applyBorder="1" applyAlignment="1">
      <alignment horizontal="center" wrapText="1"/>
    </xf>
    <xf numFmtId="0" fontId="1" fillId="20" borderId="66" xfId="4517" applyBorder="1" applyAlignment="1">
      <alignment horizontal="center" wrapText="1"/>
    </xf>
    <xf numFmtId="0" fontId="1" fillId="20" borderId="0" xfId="4517" applyAlignment="1">
      <alignment horizontal="center"/>
    </xf>
    <xf numFmtId="0" fontId="193" fillId="20" borderId="0" xfId="4517" applyFont="1" applyAlignment="1">
      <alignment horizontal="center"/>
    </xf>
    <xf numFmtId="3" fontId="28" fillId="9" borderId="19" xfId="4516" applyNumberFormat="1" applyAlignment="1">
      <alignment horizontal="center"/>
    </xf>
    <xf numFmtId="37" fontId="28" fillId="9" borderId="19" xfId="4516" applyNumberFormat="1" applyAlignment="1">
      <alignment horizontal="center"/>
    </xf>
    <xf numFmtId="0" fontId="0" fillId="89" borderId="0" xfId="0" applyFill="1" applyAlignment="1">
      <alignment horizontal="center"/>
    </xf>
    <xf numFmtId="3" fontId="1" fillId="20" borderId="0" xfId="4517" applyNumberFormat="1" applyAlignment="1">
      <alignment horizontal="center"/>
    </xf>
    <xf numFmtId="0" fontId="1" fillId="20" borderId="0" xfId="4517"/>
    <xf numFmtId="3" fontId="1" fillId="20" borderId="1" xfId="4517" applyNumberFormat="1" applyBorder="1" applyAlignment="1">
      <alignment horizontal="center"/>
    </xf>
    <xf numFmtId="0" fontId="1" fillId="20" borderId="1" xfId="4517" applyBorder="1" applyAlignment="1">
      <alignment horizontal="center" wrapText="1"/>
    </xf>
    <xf numFmtId="4" fontId="1" fillId="20" borderId="1" xfId="4517" applyNumberFormat="1" applyBorder="1" applyAlignment="1">
      <alignment horizontal="center" wrapText="1"/>
    </xf>
    <xf numFmtId="2" fontId="10" fillId="38" borderId="0" xfId="0" applyNumberFormat="1" applyFont="1" applyFill="1"/>
    <xf numFmtId="4" fontId="10" fillId="38" borderId="0" xfId="0" applyNumberFormat="1" applyFont="1" applyFill="1"/>
    <xf numFmtId="0" fontId="16" fillId="38" borderId="0" xfId="0" applyFont="1" applyFill="1"/>
    <xf numFmtId="0" fontId="0" fillId="38" borderId="0" xfId="0" applyFill="1"/>
    <xf numFmtId="0" fontId="16" fillId="38" borderId="5" xfId="0" applyFont="1" applyFill="1" applyBorder="1" applyAlignment="1">
      <alignment horizontal="right"/>
    </xf>
    <xf numFmtId="0" fontId="15" fillId="38" borderId="0" xfId="0" applyFont="1" applyFill="1"/>
    <xf numFmtId="0" fontId="7" fillId="38" borderId="0" xfId="0" applyFont="1" applyFill="1"/>
    <xf numFmtId="0" fontId="7" fillId="38" borderId="0" xfId="0" applyFont="1" applyFill="1" applyAlignment="1">
      <alignment horizontal="center"/>
    </xf>
    <xf numFmtId="0" fontId="10" fillId="90" borderId="0" xfId="0" applyFont="1" applyFill="1" applyAlignment="1">
      <alignment horizontal="right"/>
    </xf>
    <xf numFmtId="167" fontId="10" fillId="90" borderId="0" xfId="0" applyNumberFormat="1" applyFont="1" applyFill="1" applyAlignment="1">
      <alignment horizontal="right"/>
    </xf>
    <xf numFmtId="0" fontId="6" fillId="90" borderId="0" xfId="0" applyFont="1" applyFill="1" applyAlignment="1">
      <alignment horizontal="center" wrapText="1"/>
    </xf>
    <xf numFmtId="0" fontId="0" fillId="90" borderId="0" xfId="0" applyFill="1"/>
    <xf numFmtId="3" fontId="0" fillId="90" borderId="0" xfId="0" applyNumberFormat="1" applyFill="1" applyAlignment="1">
      <alignment horizontal="center"/>
    </xf>
    <xf numFmtId="3" fontId="0" fillId="90" borderId="0" xfId="0" applyNumberFormat="1" applyFill="1"/>
    <xf numFmtId="0" fontId="0" fillId="90" borderId="0" xfId="0" applyFill="1" applyAlignment="1">
      <alignment horizontal="center"/>
    </xf>
    <xf numFmtId="0" fontId="2" fillId="16" borderId="0" xfId="135"/>
    <xf numFmtId="3" fontId="2" fillId="16" borderId="0" xfId="135" applyNumberFormat="1" applyAlignment="1">
      <alignment horizontal="center" wrapText="1"/>
    </xf>
    <xf numFmtId="3" fontId="2" fillId="16" borderId="0" xfId="135" applyNumberFormat="1"/>
    <xf numFmtId="3" fontId="1" fillId="20" borderId="0" xfId="4517" applyNumberFormat="1" applyAlignment="1">
      <alignment horizontal="center" wrapText="1"/>
    </xf>
    <xf numFmtId="0" fontId="0" fillId="2" borderId="5" xfId="0" applyFill="1" applyBorder="1" applyAlignment="1">
      <alignment horizontal="center"/>
    </xf>
    <xf numFmtId="3" fontId="4" fillId="0" borderId="1" xfId="1" applyNumberFormat="1" applyBorder="1" applyAlignment="1">
      <alignment horizontal="center"/>
    </xf>
    <xf numFmtId="168" fontId="5" fillId="0" borderId="1" xfId="0" applyNumberFormat="1" applyFont="1" applyBorder="1" applyAlignment="1">
      <alignment horizontal="center"/>
    </xf>
    <xf numFmtId="168" fontId="5" fillId="0" borderId="1" xfId="0" applyNumberFormat="1" applyFont="1" applyFill="1" applyBorder="1" applyAlignment="1">
      <alignment horizontal="center"/>
    </xf>
    <xf numFmtId="37" fontId="0" fillId="0" borderId="1" xfId="0" applyNumberFormat="1" applyBorder="1" applyAlignment="1">
      <alignment horizontal="center"/>
    </xf>
    <xf numFmtId="3" fontId="0" fillId="0" borderId="1" xfId="0" applyNumberFormat="1" applyFill="1" applyBorder="1"/>
    <xf numFmtId="171" fontId="0" fillId="0" borderId="1" xfId="0" applyNumberFormat="1" applyBorder="1" applyAlignment="1">
      <alignment horizontal="center"/>
    </xf>
    <xf numFmtId="169" fontId="0" fillId="0" borderId="1" xfId="0" applyNumberFormat="1" applyBorder="1" applyAlignment="1">
      <alignment horizontal="center"/>
    </xf>
    <xf numFmtId="17" fontId="1" fillId="20" borderId="0" xfId="4517" applyNumberFormat="1"/>
    <xf numFmtId="0" fontId="0" fillId="0" borderId="0" xfId="0" applyFill="1" applyAlignment="1">
      <alignment horizontal="right"/>
    </xf>
    <xf numFmtId="0" fontId="7" fillId="0" borderId="0" xfId="0" applyFont="1" applyFill="1" applyAlignment="1"/>
    <xf numFmtId="168" fontId="0" fillId="0" borderId="0" xfId="0" applyNumberFormat="1" applyFill="1" applyAlignment="1">
      <alignment horizontal="center"/>
    </xf>
    <xf numFmtId="170" fontId="0" fillId="0" borderId="0" xfId="0" applyNumberFormat="1" applyFill="1" applyAlignment="1">
      <alignment horizontal="center"/>
    </xf>
    <xf numFmtId="0" fontId="1" fillId="20" borderId="0" xfId="4517" applyAlignment="1">
      <alignment horizontal="right"/>
    </xf>
    <xf numFmtId="290" fontId="0" fillId="0" borderId="1" xfId="0" applyNumberFormat="1" applyFill="1" applyBorder="1" applyAlignment="1">
      <alignment horizontal="center"/>
    </xf>
    <xf numFmtId="0" fontId="31" fillId="20" borderId="0" xfId="4517" applyFont="1" applyAlignment="1">
      <alignment horizontal="center"/>
    </xf>
    <xf numFmtId="171" fontId="0" fillId="0" borderId="1" xfId="0" applyNumberFormat="1" applyFill="1" applyBorder="1" applyAlignment="1">
      <alignment horizontal="center"/>
    </xf>
    <xf numFmtId="168" fontId="0" fillId="0" borderId="1" xfId="0" applyNumberFormat="1" applyBorder="1" applyAlignment="1">
      <alignment horizontal="center"/>
    </xf>
    <xf numFmtId="0" fontId="0" fillId="0" borderId="1" xfId="0" applyFill="1" applyBorder="1" applyAlignment="1">
      <alignment horizontal="right"/>
    </xf>
    <xf numFmtId="3" fontId="5" fillId="0" borderId="1" xfId="0" applyNumberFormat="1" applyFont="1" applyFill="1" applyBorder="1" applyAlignment="1">
      <alignment horizontal="center"/>
    </xf>
    <xf numFmtId="172" fontId="0" fillId="0" borderId="1" xfId="0" applyNumberFormat="1" applyFill="1" applyBorder="1" applyAlignment="1">
      <alignment horizontal="center"/>
    </xf>
    <xf numFmtId="3" fontId="4" fillId="0" borderId="1" xfId="0" applyNumberFormat="1" applyFont="1" applyFill="1" applyBorder="1" applyAlignment="1">
      <alignment horizontal="center"/>
    </xf>
    <xf numFmtId="9" fontId="0" fillId="0" borderId="0" xfId="0" applyNumberFormat="1" applyFill="1" applyAlignment="1">
      <alignment horizontal="center"/>
    </xf>
    <xf numFmtId="10" fontId="0" fillId="0" borderId="0" xfId="0" applyNumberFormat="1" applyFill="1" applyAlignment="1">
      <alignment horizontal="center"/>
    </xf>
    <xf numFmtId="0" fontId="1" fillId="20" borderId="1" xfId="4517" applyBorder="1" applyAlignment="1">
      <alignment horizontal="right"/>
    </xf>
    <xf numFmtId="0" fontId="7" fillId="90" borderId="0" xfId="0" applyFont="1" applyFill="1"/>
    <xf numFmtId="172" fontId="7" fillId="90" borderId="0" xfId="0" applyNumberFormat="1" applyFont="1" applyFill="1" applyAlignment="1">
      <alignment horizontal="center"/>
    </xf>
    <xf numFmtId="0" fontId="1" fillId="20" borderId="0" xfId="4517" applyAlignment="1">
      <alignment wrapText="1"/>
    </xf>
    <xf numFmtId="176" fontId="4" fillId="0" borderId="1" xfId="8" applyNumberFormat="1" applyBorder="1"/>
    <xf numFmtId="176" fontId="0" fillId="0" borderId="1" xfId="0" applyNumberFormat="1" applyBorder="1"/>
    <xf numFmtId="176" fontId="4" fillId="90" borderId="0" xfId="8" applyNumberFormat="1" applyFill="1"/>
    <xf numFmtId="37" fontId="4" fillId="0" borderId="1" xfId="0" applyNumberFormat="1" applyFont="1" applyBorder="1" applyAlignment="1">
      <alignment horizontal="center"/>
    </xf>
    <xf numFmtId="1" fontId="4" fillId="0" borderId="1" xfId="0" applyNumberFormat="1" applyFont="1" applyFill="1" applyBorder="1" applyAlignment="1">
      <alignment horizontal="center"/>
    </xf>
    <xf numFmtId="177" fontId="5" fillId="0" borderId="1" xfId="0" applyNumberFormat="1" applyFont="1" applyBorder="1" applyAlignment="1">
      <alignment horizontal="center"/>
    </xf>
    <xf numFmtId="170" fontId="0" fillId="0" borderId="1" xfId="0" applyNumberFormat="1" applyBorder="1" applyAlignment="1">
      <alignment horizontal="center"/>
    </xf>
    <xf numFmtId="0" fontId="0" fillId="90" borderId="1" xfId="0" applyFill="1" applyBorder="1"/>
    <xf numFmtId="1" fontId="0" fillId="90" borderId="1" xfId="0" applyNumberFormat="1" applyFill="1" applyBorder="1"/>
    <xf numFmtId="3" fontId="26" fillId="8" borderId="16" xfId="4515" applyNumberFormat="1" applyAlignment="1">
      <alignment horizontal="center"/>
    </xf>
    <xf numFmtId="17" fontId="1" fillId="20" borderId="1" xfId="4517" applyNumberFormat="1" applyBorder="1"/>
    <xf numFmtId="169" fontId="0" fillId="0" borderId="1" xfId="0" applyNumberFormat="1" applyFill="1" applyBorder="1" applyAlignment="1">
      <alignment horizontal="center"/>
    </xf>
  </cellXfs>
  <cellStyles count="4518">
    <cellStyle name="-" xfId="27"/>
    <cellStyle name="$" xfId="28"/>
    <cellStyle name="$ &amp; ¢" xfId="29"/>
    <cellStyle name="%" xfId="30"/>
    <cellStyle name="%.00" xfId="31"/>
    <cellStyle name="(Heading)" xfId="32"/>
    <cellStyle name="(Heading) 2" xfId="33"/>
    <cellStyle name="(Heading) 3" xfId="34"/>
    <cellStyle name="(Lefting)" xfId="35"/>
    <cellStyle name="(Lefting) 2" xfId="36"/>
    <cellStyle name="(Lefting) 3" xfId="37"/>
    <cellStyle name="(z*¯_x000f_°(”,¯?À(¢,¯?Ð(°,¯?à(Â,¯?ð(Ô,¯?" xfId="38"/>
    <cellStyle name="******************************************" xfId="39"/>
    <cellStyle name="_CNMD_Valuation Model_20081212_v2" xfId="40"/>
    <cellStyle name="_Comma" xfId="41"/>
    <cellStyle name="_Comps 4" xfId="42"/>
    <cellStyle name="_Cont Analysis" xfId="43"/>
    <cellStyle name="_Currency" xfId="44"/>
    <cellStyle name="_Currency_Analysis" xfId="45"/>
    <cellStyle name="_Currency_Smartportfolio model" xfId="46"/>
    <cellStyle name="_Currency_Smartportfolio model_DB-merged files" xfId="47"/>
    <cellStyle name="_CurrencySpace" xfId="48"/>
    <cellStyle name="_Gamma Valuation - 8" xfId="49"/>
    <cellStyle name="_ITRN" xfId="50"/>
    <cellStyle name="-_Merger Model 17 Nov 04" xfId="51"/>
    <cellStyle name="_Merger Model_KN&amp;Fzio_v2.30 - Street" xfId="52"/>
    <cellStyle name="_Multiple" xfId="53"/>
    <cellStyle name="_Multiple_Analysis" xfId="54"/>
    <cellStyle name="_Multiple_Analysis_DB-merged files" xfId="55"/>
    <cellStyle name="_Multiple_Smartportfolio model" xfId="56"/>
    <cellStyle name="_Multiple_Smartportfolio model_DB-merged files" xfId="57"/>
    <cellStyle name="_MultipleSpace" xfId="58"/>
    <cellStyle name="_MultipleSpace_Analysis" xfId="59"/>
    <cellStyle name="_MultipleSpace_csc" xfId="60"/>
    <cellStyle name="_MultipleSpace_Smartportfolio model" xfId="61"/>
    <cellStyle name="_MultipleSpace_Smartportfolio model_DB-merged files" xfId="62"/>
    <cellStyle name="_Percent" xfId="63"/>
    <cellStyle name="_Percent_Analysis" xfId="64"/>
    <cellStyle name="_Percent_Smartportfolio model" xfId="65"/>
    <cellStyle name="_Percent_Smartportfolio model_DB-merged files" xfId="66"/>
    <cellStyle name="_PercentSpace" xfId="67"/>
    <cellStyle name="_PercentSpace_Analysis" xfId="68"/>
    <cellStyle name="_PercentSpace_Smartportfolio model" xfId="69"/>
    <cellStyle name="_Sepracor Riders_Clean" xfId="70"/>
    <cellStyle name="_SIAL_Model_5.22.09 v71" xfId="71"/>
    <cellStyle name="£ BP" xfId="72"/>
    <cellStyle name="¥ JY" xfId="73"/>
    <cellStyle name="&lt;9#_x000f_¾Èƒé1ƒÃ_x0002_;M_x0014_}$‹E_x0010_‹_x0004_ˆ…Àt_x001b_Pÿ_x0015_ x¦" xfId="74"/>
    <cellStyle name="=C:\WINNT35\SYSTEM32\COMMAND.COM" xfId="75"/>
    <cellStyle name="0752-93035" xfId="76"/>
    <cellStyle name="1,comma" xfId="77"/>
    <cellStyle name="10Q" xfId="78"/>
    <cellStyle name="20% - Accent1 2" xfId="79"/>
    <cellStyle name="20% - Accent1 2 10" xfId="80"/>
    <cellStyle name="20% - Accent1 2 2" xfId="81"/>
    <cellStyle name="20% - Accent1 2 2 2" xfId="82"/>
    <cellStyle name="20% - Accent1 2 2 3" xfId="83"/>
    <cellStyle name="20% - Accent1 2 3" xfId="84"/>
    <cellStyle name="20% - Accent1 2 3 2" xfId="85"/>
    <cellStyle name="20% - Accent1 2 4" xfId="86"/>
    <cellStyle name="20% - Accent1 2 5" xfId="87"/>
    <cellStyle name="20% - Accent1 2 6" xfId="88"/>
    <cellStyle name="20% - Accent1 2 7" xfId="89"/>
    <cellStyle name="20% - Accent1 2 8" xfId="90"/>
    <cellStyle name="20% - Accent1 2 9" xfId="91"/>
    <cellStyle name="20% - Accent1 3" xfId="92"/>
    <cellStyle name="20% - Accent1 3 2" xfId="93"/>
    <cellStyle name="20% - Accent1 3 2 2" xfId="94"/>
    <cellStyle name="20% - Accent1 3 2 2 2" xfId="95"/>
    <cellStyle name="20% - Accent1 3 2 2 2 2" xfId="96"/>
    <cellStyle name="20% - Accent1 3 2 2 3" xfId="97"/>
    <cellStyle name="20% - Accent1 3 2 3" xfId="98"/>
    <cellStyle name="20% - Accent1 3 2 3 2" xfId="99"/>
    <cellStyle name="20% - Accent1 3 2 4" xfId="100"/>
    <cellStyle name="20% - Accent1 3 3" xfId="101"/>
    <cellStyle name="20% - Accent1 3 3 2" xfId="102"/>
    <cellStyle name="20% - Accent1 3 3 2 2" xfId="103"/>
    <cellStyle name="20% - Accent1 3 3 2 2 2" xfId="104"/>
    <cellStyle name="20% - Accent1 3 3 2 3" xfId="105"/>
    <cellStyle name="20% - Accent1 3 3 3" xfId="106"/>
    <cellStyle name="20% - Accent1 3 3 3 2" xfId="107"/>
    <cellStyle name="20% - Accent1 3 3 4" xfId="108"/>
    <cellStyle name="20% - Accent1 3 4" xfId="109"/>
    <cellStyle name="20% - Accent1 3 4 2" xfId="110"/>
    <cellStyle name="20% - Accent1 3 4 2 2" xfId="111"/>
    <cellStyle name="20% - Accent1 3 4 3" xfId="112"/>
    <cellStyle name="20% - Accent1 3 5" xfId="113"/>
    <cellStyle name="20% - Accent1 3 5 2" xfId="114"/>
    <cellStyle name="20% - Accent1 3 6" xfId="115"/>
    <cellStyle name="20% - Accent1 4" xfId="116"/>
    <cellStyle name="20% - Accent1 5" xfId="117"/>
    <cellStyle name="20% - Accent1 6" xfId="118"/>
    <cellStyle name="20% - Accent1 7" xfId="119"/>
    <cellStyle name="20% - Accent1 8" xfId="120"/>
    <cellStyle name="20% - Accent2 2" xfId="121"/>
    <cellStyle name="20% - Accent2 2 10" xfId="122"/>
    <cellStyle name="20% - Accent2 2 2" xfId="123"/>
    <cellStyle name="20% - Accent2 2 2 2" xfId="124"/>
    <cellStyle name="20% - Accent2 2 2 3" xfId="125"/>
    <cellStyle name="20% - Accent2 2 3" xfId="126"/>
    <cellStyle name="20% - Accent2 2 3 2" xfId="127"/>
    <cellStyle name="20% - Accent2 2 4" xfId="128"/>
    <cellStyle name="20% - Accent2 2 5" xfId="129"/>
    <cellStyle name="20% - Accent2 2 6" xfId="130"/>
    <cellStyle name="20% - Accent2 2 7" xfId="131"/>
    <cellStyle name="20% - Accent2 2 8" xfId="132"/>
    <cellStyle name="20% - Accent2 2 9" xfId="133"/>
    <cellStyle name="20% - Accent2 3" xfId="134"/>
    <cellStyle name="20% - Accent2 3 2" xfId="135"/>
    <cellStyle name="20% - Accent2 3 2 2" xfId="136"/>
    <cellStyle name="20% - Accent2 3 2 2 2" xfId="137"/>
    <cellStyle name="20% - Accent2 3 2 2 2 2" xfId="138"/>
    <cellStyle name="20% - Accent2 3 2 2 3" xfId="139"/>
    <cellStyle name="20% - Accent2 3 2 3" xfId="140"/>
    <cellStyle name="20% - Accent2 3 2 3 2" xfId="141"/>
    <cellStyle name="20% - Accent2 3 2 4" xfId="142"/>
    <cellStyle name="20% - Accent2 3 3" xfId="143"/>
    <cellStyle name="20% - Accent2 3 3 2" xfId="144"/>
    <cellStyle name="20% - Accent2 3 3 2 2" xfId="145"/>
    <cellStyle name="20% - Accent2 3 3 2 2 2" xfId="146"/>
    <cellStyle name="20% - Accent2 3 3 2 3" xfId="147"/>
    <cellStyle name="20% - Accent2 3 3 3" xfId="148"/>
    <cellStyle name="20% - Accent2 3 3 3 2" xfId="149"/>
    <cellStyle name="20% - Accent2 3 3 4" xfId="150"/>
    <cellStyle name="20% - Accent2 3 4" xfId="151"/>
    <cellStyle name="20% - Accent2 3 4 2" xfId="152"/>
    <cellStyle name="20% - Accent2 3 4 2 2" xfId="153"/>
    <cellStyle name="20% - Accent2 3 4 3" xfId="154"/>
    <cellStyle name="20% - Accent2 3 5" xfId="155"/>
    <cellStyle name="20% - Accent2 3 5 2" xfId="156"/>
    <cellStyle name="20% - Accent2 3 6" xfId="157"/>
    <cellStyle name="20% - Accent2 4" xfId="158"/>
    <cellStyle name="20% - Accent2 5" xfId="159"/>
    <cellStyle name="20% - Accent2 6" xfId="160"/>
    <cellStyle name="20% - Accent2 7" xfId="161"/>
    <cellStyle name="20% - Accent2 8" xfId="162"/>
    <cellStyle name="20% - Accent3" xfId="4517" builtinId="38"/>
    <cellStyle name="20% - Accent3 2" xfId="163"/>
    <cellStyle name="20% - Accent3 2 10" xfId="164"/>
    <cellStyle name="20% - Accent3 2 2" xfId="165"/>
    <cellStyle name="20% - Accent3 2 2 2" xfId="166"/>
    <cellStyle name="20% - Accent3 2 2 3" xfId="167"/>
    <cellStyle name="20% - Accent3 2 3" xfId="168"/>
    <cellStyle name="20% - Accent3 2 3 2" xfId="169"/>
    <cellStyle name="20% - Accent3 2 4" xfId="170"/>
    <cellStyle name="20% - Accent3 2 5" xfId="171"/>
    <cellStyle name="20% - Accent3 2 6" xfId="172"/>
    <cellStyle name="20% - Accent3 2 7" xfId="173"/>
    <cellStyle name="20% - Accent3 2 8" xfId="174"/>
    <cellStyle name="20% - Accent3 2 9" xfId="175"/>
    <cellStyle name="20% - Accent3 3" xfId="176"/>
    <cellStyle name="20% - Accent3 3 2" xfId="177"/>
    <cellStyle name="20% - Accent3 3 2 2" xfId="178"/>
    <cellStyle name="20% - Accent3 3 2 2 2" xfId="179"/>
    <cellStyle name="20% - Accent3 3 2 2 2 2" xfId="180"/>
    <cellStyle name="20% - Accent3 3 2 2 3" xfId="181"/>
    <cellStyle name="20% - Accent3 3 2 3" xfId="182"/>
    <cellStyle name="20% - Accent3 3 2 3 2" xfId="183"/>
    <cellStyle name="20% - Accent3 3 2 4" xfId="184"/>
    <cellStyle name="20% - Accent3 3 3" xfId="185"/>
    <cellStyle name="20% - Accent3 3 3 2" xfId="186"/>
    <cellStyle name="20% - Accent3 3 3 2 2" xfId="187"/>
    <cellStyle name="20% - Accent3 3 3 2 2 2" xfId="188"/>
    <cellStyle name="20% - Accent3 3 3 2 3" xfId="189"/>
    <cellStyle name="20% - Accent3 3 3 3" xfId="190"/>
    <cellStyle name="20% - Accent3 3 3 3 2" xfId="191"/>
    <cellStyle name="20% - Accent3 3 3 4" xfId="192"/>
    <cellStyle name="20% - Accent3 3 4" xfId="193"/>
    <cellStyle name="20% - Accent3 3 4 2" xfId="194"/>
    <cellStyle name="20% - Accent3 3 4 2 2" xfId="195"/>
    <cellStyle name="20% - Accent3 3 4 3" xfId="196"/>
    <cellStyle name="20% - Accent3 3 5" xfId="197"/>
    <cellStyle name="20% - Accent3 3 5 2" xfId="198"/>
    <cellStyle name="20% - Accent3 3 6" xfId="199"/>
    <cellStyle name="20% - Accent3 4" xfId="200"/>
    <cellStyle name="20% - Accent3 5" xfId="201"/>
    <cellStyle name="20% - Accent3 6" xfId="202"/>
    <cellStyle name="20% - Accent3 7" xfId="203"/>
    <cellStyle name="20% - Accent3 8" xfId="204"/>
    <cellStyle name="20% - Accent4 2" xfId="205"/>
    <cellStyle name="20% - Accent4 2 10" xfId="206"/>
    <cellStyle name="20% - Accent4 2 2" xfId="207"/>
    <cellStyle name="20% - Accent4 2 2 2" xfId="208"/>
    <cellStyle name="20% - Accent4 2 2 3" xfId="209"/>
    <cellStyle name="20% - Accent4 2 3" xfId="210"/>
    <cellStyle name="20% - Accent4 2 3 2" xfId="211"/>
    <cellStyle name="20% - Accent4 2 4" xfId="212"/>
    <cellStyle name="20% - Accent4 2 5" xfId="213"/>
    <cellStyle name="20% - Accent4 2 6" xfId="214"/>
    <cellStyle name="20% - Accent4 2 7" xfId="215"/>
    <cellStyle name="20% - Accent4 2 8" xfId="216"/>
    <cellStyle name="20% - Accent4 2 9" xfId="217"/>
    <cellStyle name="20% - Accent4 3" xfId="218"/>
    <cellStyle name="20% - Accent4 3 2" xfId="219"/>
    <cellStyle name="20% - Accent4 3 2 2" xfId="220"/>
    <cellStyle name="20% - Accent4 3 2 2 2" xfId="221"/>
    <cellStyle name="20% - Accent4 3 2 2 2 2" xfId="222"/>
    <cellStyle name="20% - Accent4 3 2 2 3" xfId="223"/>
    <cellStyle name="20% - Accent4 3 2 3" xfId="224"/>
    <cellStyle name="20% - Accent4 3 2 3 2" xfId="225"/>
    <cellStyle name="20% - Accent4 3 2 4" xfId="226"/>
    <cellStyle name="20% - Accent4 3 3" xfId="227"/>
    <cellStyle name="20% - Accent4 3 3 2" xfId="228"/>
    <cellStyle name="20% - Accent4 3 3 2 2" xfId="229"/>
    <cellStyle name="20% - Accent4 3 3 2 2 2" xfId="230"/>
    <cellStyle name="20% - Accent4 3 3 2 3" xfId="231"/>
    <cellStyle name="20% - Accent4 3 3 3" xfId="232"/>
    <cellStyle name="20% - Accent4 3 3 3 2" xfId="233"/>
    <cellStyle name="20% - Accent4 3 3 4" xfId="234"/>
    <cellStyle name="20% - Accent4 3 4" xfId="235"/>
    <cellStyle name="20% - Accent4 3 4 2" xfId="236"/>
    <cellStyle name="20% - Accent4 3 4 2 2" xfId="237"/>
    <cellStyle name="20% - Accent4 3 4 3" xfId="238"/>
    <cellStyle name="20% - Accent4 3 5" xfId="239"/>
    <cellStyle name="20% - Accent4 3 5 2" xfId="240"/>
    <cellStyle name="20% - Accent4 3 6" xfId="241"/>
    <cellStyle name="20% - Accent4 4" xfId="242"/>
    <cellStyle name="20% - Accent4 5" xfId="243"/>
    <cellStyle name="20% - Accent4 6" xfId="244"/>
    <cellStyle name="20% - Accent4 7" xfId="245"/>
    <cellStyle name="20% - Accent4 8" xfId="246"/>
    <cellStyle name="20% - Accent5 2" xfId="247"/>
    <cellStyle name="20% - Accent5 2 10" xfId="248"/>
    <cellStyle name="20% - Accent5 2 2" xfId="249"/>
    <cellStyle name="20% - Accent5 2 2 2" xfId="250"/>
    <cellStyle name="20% - Accent5 2 2 3" xfId="251"/>
    <cellStyle name="20% - Accent5 2 3" xfId="252"/>
    <cellStyle name="20% - Accent5 2 3 2" xfId="253"/>
    <cellStyle name="20% - Accent5 2 4" xfId="254"/>
    <cellStyle name="20% - Accent5 2 5" xfId="255"/>
    <cellStyle name="20% - Accent5 2 6" xfId="256"/>
    <cellStyle name="20% - Accent5 2 7" xfId="257"/>
    <cellStyle name="20% - Accent5 2 8" xfId="258"/>
    <cellStyle name="20% - Accent5 2 9" xfId="259"/>
    <cellStyle name="20% - Accent5 3" xfId="260"/>
    <cellStyle name="20% - Accent5 3 2" xfId="261"/>
    <cellStyle name="20% - Accent5 3 2 2" xfId="262"/>
    <cellStyle name="20% - Accent5 3 2 2 2" xfId="263"/>
    <cellStyle name="20% - Accent5 3 2 2 2 2" xfId="264"/>
    <cellStyle name="20% - Accent5 3 2 2 3" xfId="265"/>
    <cellStyle name="20% - Accent5 3 2 3" xfId="266"/>
    <cellStyle name="20% - Accent5 3 2 3 2" xfId="267"/>
    <cellStyle name="20% - Accent5 3 2 4" xfId="268"/>
    <cellStyle name="20% - Accent5 3 3" xfId="269"/>
    <cellStyle name="20% - Accent5 3 3 2" xfId="270"/>
    <cellStyle name="20% - Accent5 3 3 2 2" xfId="271"/>
    <cellStyle name="20% - Accent5 3 3 2 2 2" xfId="272"/>
    <cellStyle name="20% - Accent5 3 3 2 3" xfId="273"/>
    <cellStyle name="20% - Accent5 3 3 3" xfId="274"/>
    <cellStyle name="20% - Accent5 3 3 3 2" xfId="275"/>
    <cellStyle name="20% - Accent5 3 3 4" xfId="276"/>
    <cellStyle name="20% - Accent5 3 4" xfId="277"/>
    <cellStyle name="20% - Accent5 3 4 2" xfId="278"/>
    <cellStyle name="20% - Accent5 3 4 2 2" xfId="279"/>
    <cellStyle name="20% - Accent5 3 4 3" xfId="280"/>
    <cellStyle name="20% - Accent5 3 5" xfId="281"/>
    <cellStyle name="20% - Accent5 3 5 2" xfId="282"/>
    <cellStyle name="20% - Accent5 3 6" xfId="283"/>
    <cellStyle name="20% - Accent5 4" xfId="284"/>
    <cellStyle name="20% - Accent5 5" xfId="285"/>
    <cellStyle name="20% - Accent5 6" xfId="286"/>
    <cellStyle name="20% - Accent5 7" xfId="287"/>
    <cellStyle name="20% - Accent5 8" xfId="288"/>
    <cellStyle name="20% - Accent6 2" xfId="289"/>
    <cellStyle name="20% - Accent6 2 10" xfId="290"/>
    <cellStyle name="20% - Accent6 2 2" xfId="291"/>
    <cellStyle name="20% - Accent6 2 2 2" xfId="292"/>
    <cellStyle name="20% - Accent6 2 2 3" xfId="293"/>
    <cellStyle name="20% - Accent6 2 3" xfId="294"/>
    <cellStyle name="20% - Accent6 2 3 2" xfId="295"/>
    <cellStyle name="20% - Accent6 2 4" xfId="296"/>
    <cellStyle name="20% - Accent6 2 5" xfId="297"/>
    <cellStyle name="20% - Accent6 2 6" xfId="298"/>
    <cellStyle name="20% - Accent6 2 7" xfId="299"/>
    <cellStyle name="20% - Accent6 2 8" xfId="300"/>
    <cellStyle name="20% - Accent6 2 9" xfId="301"/>
    <cellStyle name="20% - Accent6 3" xfId="302"/>
    <cellStyle name="20% - Accent6 3 2" xfId="303"/>
    <cellStyle name="20% - Accent6 3 2 2" xfId="304"/>
    <cellStyle name="20% - Accent6 3 2 2 2" xfId="305"/>
    <cellStyle name="20% - Accent6 3 2 2 2 2" xfId="306"/>
    <cellStyle name="20% - Accent6 3 2 2 3" xfId="307"/>
    <cellStyle name="20% - Accent6 3 2 3" xfId="308"/>
    <cellStyle name="20% - Accent6 3 2 3 2" xfId="309"/>
    <cellStyle name="20% - Accent6 3 2 4" xfId="310"/>
    <cellStyle name="20% - Accent6 3 3" xfId="311"/>
    <cellStyle name="20% - Accent6 3 3 2" xfId="312"/>
    <cellStyle name="20% - Accent6 3 3 2 2" xfId="313"/>
    <cellStyle name="20% - Accent6 3 3 2 2 2" xfId="314"/>
    <cellStyle name="20% - Accent6 3 3 2 3" xfId="315"/>
    <cellStyle name="20% - Accent6 3 3 3" xfId="316"/>
    <cellStyle name="20% - Accent6 3 3 3 2" xfId="317"/>
    <cellStyle name="20% - Accent6 3 3 4" xfId="318"/>
    <cellStyle name="20% - Accent6 3 4" xfId="319"/>
    <cellStyle name="20% - Accent6 3 4 2" xfId="320"/>
    <cellStyle name="20% - Accent6 3 4 2 2" xfId="321"/>
    <cellStyle name="20% - Accent6 3 4 3" xfId="322"/>
    <cellStyle name="20% - Accent6 3 5" xfId="323"/>
    <cellStyle name="20% - Accent6 3 5 2" xfId="324"/>
    <cellStyle name="20% - Accent6 3 6" xfId="325"/>
    <cellStyle name="20% - Accent6 4" xfId="326"/>
    <cellStyle name="20% - Accent6 5" xfId="327"/>
    <cellStyle name="20% - Accent6 6" xfId="328"/>
    <cellStyle name="20% - Accent6 7" xfId="329"/>
    <cellStyle name="20% - Accent6 8" xfId="330"/>
    <cellStyle name="40% - Accent1 2" xfId="331"/>
    <cellStyle name="40% - Accent1 2 10" xfId="332"/>
    <cellStyle name="40% - Accent1 2 2" xfId="333"/>
    <cellStyle name="40% - Accent1 2 2 2" xfId="334"/>
    <cellStyle name="40% - Accent1 2 2 3" xfId="335"/>
    <cellStyle name="40% - Accent1 2 3" xfId="336"/>
    <cellStyle name="40% - Accent1 2 3 2" xfId="337"/>
    <cellStyle name="40% - Accent1 2 4" xfId="338"/>
    <cellStyle name="40% - Accent1 2 5" xfId="339"/>
    <cellStyle name="40% - Accent1 2 6" xfId="340"/>
    <cellStyle name="40% - Accent1 2 7" xfId="341"/>
    <cellStyle name="40% - Accent1 2 8" xfId="342"/>
    <cellStyle name="40% - Accent1 2 9" xfId="343"/>
    <cellStyle name="40% - Accent1 3" xfId="344"/>
    <cellStyle name="40% - Accent1 3 2" xfId="345"/>
    <cellStyle name="40% - Accent1 3 2 2" xfId="346"/>
    <cellStyle name="40% - Accent1 3 2 2 2" xfId="347"/>
    <cellStyle name="40% - Accent1 3 2 2 2 2" xfId="348"/>
    <cellStyle name="40% - Accent1 3 2 2 3" xfId="349"/>
    <cellStyle name="40% - Accent1 3 2 3" xfId="350"/>
    <cellStyle name="40% - Accent1 3 2 3 2" xfId="351"/>
    <cellStyle name="40% - Accent1 3 2 4" xfId="352"/>
    <cellStyle name="40% - Accent1 3 3" xfId="353"/>
    <cellStyle name="40% - Accent1 3 3 2" xfId="354"/>
    <cellStyle name="40% - Accent1 3 3 2 2" xfId="355"/>
    <cellStyle name="40% - Accent1 3 3 2 2 2" xfId="356"/>
    <cellStyle name="40% - Accent1 3 3 2 3" xfId="357"/>
    <cellStyle name="40% - Accent1 3 3 3" xfId="358"/>
    <cellStyle name="40% - Accent1 3 3 3 2" xfId="359"/>
    <cellStyle name="40% - Accent1 3 3 4" xfId="360"/>
    <cellStyle name="40% - Accent1 3 4" xfId="361"/>
    <cellStyle name="40% - Accent1 3 4 2" xfId="362"/>
    <cellStyle name="40% - Accent1 3 4 2 2" xfId="363"/>
    <cellStyle name="40% - Accent1 3 4 3" xfId="364"/>
    <cellStyle name="40% - Accent1 3 5" xfId="365"/>
    <cellStyle name="40% - Accent1 3 5 2" xfId="366"/>
    <cellStyle name="40% - Accent1 3 6" xfId="367"/>
    <cellStyle name="40% - Accent1 4" xfId="368"/>
    <cellStyle name="40% - Accent1 5" xfId="369"/>
    <cellStyle name="40% - Accent1 6" xfId="370"/>
    <cellStyle name="40% - Accent1 7" xfId="371"/>
    <cellStyle name="40% - Accent1 8" xfId="372"/>
    <cellStyle name="40% - Accent2 2" xfId="373"/>
    <cellStyle name="40% - Accent2 2 10" xfId="374"/>
    <cellStyle name="40% - Accent2 2 2" xfId="375"/>
    <cellStyle name="40% - Accent2 2 2 2" xfId="376"/>
    <cellStyle name="40% - Accent2 2 2 3" xfId="377"/>
    <cellStyle name="40% - Accent2 2 3" xfId="378"/>
    <cellStyle name="40% - Accent2 2 3 2" xfId="379"/>
    <cellStyle name="40% - Accent2 2 4" xfId="380"/>
    <cellStyle name="40% - Accent2 2 5" xfId="381"/>
    <cellStyle name="40% - Accent2 2 6" xfId="382"/>
    <cellStyle name="40% - Accent2 2 7" xfId="383"/>
    <cellStyle name="40% - Accent2 2 8" xfId="384"/>
    <cellStyle name="40% - Accent2 2 9" xfId="385"/>
    <cellStyle name="40% - Accent2 3" xfId="386"/>
    <cellStyle name="40% - Accent2 3 2" xfId="387"/>
    <cellStyle name="40% - Accent2 3 2 2" xfId="388"/>
    <cellStyle name="40% - Accent2 3 2 2 2" xfId="389"/>
    <cellStyle name="40% - Accent2 3 2 2 2 2" xfId="390"/>
    <cellStyle name="40% - Accent2 3 2 2 3" xfId="391"/>
    <cellStyle name="40% - Accent2 3 2 3" xfId="392"/>
    <cellStyle name="40% - Accent2 3 2 3 2" xfId="393"/>
    <cellStyle name="40% - Accent2 3 2 4" xfId="394"/>
    <cellStyle name="40% - Accent2 3 3" xfId="395"/>
    <cellStyle name="40% - Accent2 3 3 2" xfId="396"/>
    <cellStyle name="40% - Accent2 3 3 2 2" xfId="397"/>
    <cellStyle name="40% - Accent2 3 3 2 2 2" xfId="398"/>
    <cellStyle name="40% - Accent2 3 3 2 3" xfId="399"/>
    <cellStyle name="40% - Accent2 3 3 3" xfId="400"/>
    <cellStyle name="40% - Accent2 3 3 3 2" xfId="401"/>
    <cellStyle name="40% - Accent2 3 3 4" xfId="402"/>
    <cellStyle name="40% - Accent2 3 4" xfId="403"/>
    <cellStyle name="40% - Accent2 3 4 2" xfId="404"/>
    <cellStyle name="40% - Accent2 3 4 2 2" xfId="405"/>
    <cellStyle name="40% - Accent2 3 4 3" xfId="406"/>
    <cellStyle name="40% - Accent2 3 5" xfId="407"/>
    <cellStyle name="40% - Accent2 3 5 2" xfId="408"/>
    <cellStyle name="40% - Accent2 3 6" xfId="409"/>
    <cellStyle name="40% - Accent2 4" xfId="410"/>
    <cellStyle name="40% - Accent2 5" xfId="411"/>
    <cellStyle name="40% - Accent2 6" xfId="412"/>
    <cellStyle name="40% - Accent2 7" xfId="413"/>
    <cellStyle name="40% - Accent2 8" xfId="414"/>
    <cellStyle name="40% - Accent3" xfId="23" builtinId="39"/>
    <cellStyle name="40% - Accent3 2" xfId="415"/>
    <cellStyle name="40% - Accent3 2 10" xfId="416"/>
    <cellStyle name="40% - Accent3 2 2" xfId="417"/>
    <cellStyle name="40% - Accent3 2 2 2" xfId="418"/>
    <cellStyle name="40% - Accent3 2 2 3" xfId="419"/>
    <cellStyle name="40% - Accent3 2 3" xfId="420"/>
    <cellStyle name="40% - Accent3 2 3 2" xfId="421"/>
    <cellStyle name="40% - Accent3 2 4" xfId="422"/>
    <cellStyle name="40% - Accent3 2 5" xfId="423"/>
    <cellStyle name="40% - Accent3 2 6" xfId="424"/>
    <cellStyle name="40% - Accent3 2 7" xfId="425"/>
    <cellStyle name="40% - Accent3 2 8" xfId="426"/>
    <cellStyle name="40% - Accent3 2 9" xfId="427"/>
    <cellStyle name="40% - Accent3 3" xfId="428"/>
    <cellStyle name="40% - Accent3 3 2" xfId="429"/>
    <cellStyle name="40% - Accent3 3 2 2" xfId="430"/>
    <cellStyle name="40% - Accent3 3 2 2 2" xfId="431"/>
    <cellStyle name="40% - Accent3 3 2 2 2 2" xfId="432"/>
    <cellStyle name="40% - Accent3 3 2 2 3" xfId="433"/>
    <cellStyle name="40% - Accent3 3 2 3" xfId="434"/>
    <cellStyle name="40% - Accent3 3 2 3 2" xfId="435"/>
    <cellStyle name="40% - Accent3 3 2 4" xfId="436"/>
    <cellStyle name="40% - Accent3 3 3" xfId="437"/>
    <cellStyle name="40% - Accent3 3 3 2" xfId="438"/>
    <cellStyle name="40% - Accent3 3 3 2 2" xfId="439"/>
    <cellStyle name="40% - Accent3 3 3 2 2 2" xfId="440"/>
    <cellStyle name="40% - Accent3 3 3 2 3" xfId="441"/>
    <cellStyle name="40% - Accent3 3 3 3" xfId="442"/>
    <cellStyle name="40% - Accent3 3 3 3 2" xfId="443"/>
    <cellStyle name="40% - Accent3 3 3 4" xfId="444"/>
    <cellStyle name="40% - Accent3 3 4" xfId="445"/>
    <cellStyle name="40% - Accent3 3 4 2" xfId="446"/>
    <cellStyle name="40% - Accent3 3 4 2 2" xfId="447"/>
    <cellStyle name="40% - Accent3 3 4 3" xfId="448"/>
    <cellStyle name="40% - Accent3 3 5" xfId="449"/>
    <cellStyle name="40% - Accent3 3 5 2" xfId="450"/>
    <cellStyle name="40% - Accent3 3 6" xfId="451"/>
    <cellStyle name="40% - Accent3 4" xfId="452"/>
    <cellStyle name="40% - Accent3 5" xfId="453"/>
    <cellStyle name="40% - Accent3 6" xfId="454"/>
    <cellStyle name="40% - Accent3 7" xfId="455"/>
    <cellStyle name="40% - Accent3 8" xfId="456"/>
    <cellStyle name="40% - Accent4 2" xfId="457"/>
    <cellStyle name="40% - Accent4 2 10" xfId="458"/>
    <cellStyle name="40% - Accent4 2 2" xfId="459"/>
    <cellStyle name="40% - Accent4 2 2 2" xfId="460"/>
    <cellStyle name="40% - Accent4 2 2 3" xfId="461"/>
    <cellStyle name="40% - Accent4 2 3" xfId="462"/>
    <cellStyle name="40% - Accent4 2 3 2" xfId="463"/>
    <cellStyle name="40% - Accent4 2 4" xfId="464"/>
    <cellStyle name="40% - Accent4 2 5" xfId="465"/>
    <cellStyle name="40% - Accent4 2 6" xfId="466"/>
    <cellStyle name="40% - Accent4 2 7" xfId="467"/>
    <cellStyle name="40% - Accent4 2 8" xfId="468"/>
    <cellStyle name="40% - Accent4 2 9" xfId="469"/>
    <cellStyle name="40% - Accent4 3" xfId="470"/>
    <cellStyle name="40% - Accent4 3 2" xfId="471"/>
    <cellStyle name="40% - Accent4 3 2 2" xfId="472"/>
    <cellStyle name="40% - Accent4 3 2 2 2" xfId="473"/>
    <cellStyle name="40% - Accent4 3 2 2 2 2" xfId="474"/>
    <cellStyle name="40% - Accent4 3 2 2 3" xfId="475"/>
    <cellStyle name="40% - Accent4 3 2 3" xfId="476"/>
    <cellStyle name="40% - Accent4 3 2 3 2" xfId="477"/>
    <cellStyle name="40% - Accent4 3 2 4" xfId="478"/>
    <cellStyle name="40% - Accent4 3 3" xfId="479"/>
    <cellStyle name="40% - Accent4 3 3 2" xfId="480"/>
    <cellStyle name="40% - Accent4 3 3 2 2" xfId="481"/>
    <cellStyle name="40% - Accent4 3 3 2 2 2" xfId="482"/>
    <cellStyle name="40% - Accent4 3 3 2 3" xfId="483"/>
    <cellStyle name="40% - Accent4 3 3 3" xfId="484"/>
    <cellStyle name="40% - Accent4 3 3 3 2" xfId="485"/>
    <cellStyle name="40% - Accent4 3 3 4" xfId="486"/>
    <cellStyle name="40% - Accent4 3 4" xfId="487"/>
    <cellStyle name="40% - Accent4 3 4 2" xfId="488"/>
    <cellStyle name="40% - Accent4 3 4 2 2" xfId="489"/>
    <cellStyle name="40% - Accent4 3 4 3" xfId="490"/>
    <cellStyle name="40% - Accent4 3 5" xfId="491"/>
    <cellStyle name="40% - Accent4 3 5 2" xfId="492"/>
    <cellStyle name="40% - Accent4 3 6" xfId="493"/>
    <cellStyle name="40% - Accent4 4" xfId="494"/>
    <cellStyle name="40% - Accent4 5" xfId="495"/>
    <cellStyle name="40% - Accent4 6" xfId="496"/>
    <cellStyle name="40% - Accent4 7" xfId="497"/>
    <cellStyle name="40% - Accent4 8" xfId="498"/>
    <cellStyle name="40% - Accent5 2" xfId="499"/>
    <cellStyle name="40% - Accent5 2 10" xfId="500"/>
    <cellStyle name="40% - Accent5 2 2" xfId="501"/>
    <cellStyle name="40% - Accent5 2 2 2" xfId="502"/>
    <cellStyle name="40% - Accent5 2 2 3" xfId="503"/>
    <cellStyle name="40% - Accent5 2 3" xfId="504"/>
    <cellStyle name="40% - Accent5 2 3 2" xfId="505"/>
    <cellStyle name="40% - Accent5 2 4" xfId="506"/>
    <cellStyle name="40% - Accent5 2 5" xfId="507"/>
    <cellStyle name="40% - Accent5 2 6" xfId="508"/>
    <cellStyle name="40% - Accent5 2 7" xfId="509"/>
    <cellStyle name="40% - Accent5 2 8" xfId="510"/>
    <cellStyle name="40% - Accent5 2 9" xfId="511"/>
    <cellStyle name="40% - Accent5 3" xfId="512"/>
    <cellStyle name="40% - Accent5 3 2" xfId="513"/>
    <cellStyle name="40% - Accent5 3 2 2" xfId="514"/>
    <cellStyle name="40% - Accent5 3 2 2 2" xfId="515"/>
    <cellStyle name="40% - Accent5 3 2 2 2 2" xfId="516"/>
    <cellStyle name="40% - Accent5 3 2 2 3" xfId="517"/>
    <cellStyle name="40% - Accent5 3 2 3" xfId="518"/>
    <cellStyle name="40% - Accent5 3 2 3 2" xfId="519"/>
    <cellStyle name="40% - Accent5 3 2 4" xfId="520"/>
    <cellStyle name="40% - Accent5 3 3" xfId="521"/>
    <cellStyle name="40% - Accent5 3 3 2" xfId="522"/>
    <cellStyle name="40% - Accent5 3 3 2 2" xfId="523"/>
    <cellStyle name="40% - Accent5 3 3 2 2 2" xfId="524"/>
    <cellStyle name="40% - Accent5 3 3 2 3" xfId="525"/>
    <cellStyle name="40% - Accent5 3 3 3" xfId="526"/>
    <cellStyle name="40% - Accent5 3 3 3 2" xfId="527"/>
    <cellStyle name="40% - Accent5 3 3 4" xfId="528"/>
    <cellStyle name="40% - Accent5 3 4" xfId="529"/>
    <cellStyle name="40% - Accent5 3 4 2" xfId="530"/>
    <cellStyle name="40% - Accent5 3 4 2 2" xfId="531"/>
    <cellStyle name="40% - Accent5 3 4 3" xfId="532"/>
    <cellStyle name="40% - Accent5 3 5" xfId="533"/>
    <cellStyle name="40% - Accent5 3 5 2" xfId="534"/>
    <cellStyle name="40% - Accent5 3 6" xfId="535"/>
    <cellStyle name="40% - Accent5 4" xfId="536"/>
    <cellStyle name="40% - Accent5 5" xfId="537"/>
    <cellStyle name="40% - Accent5 6" xfId="538"/>
    <cellStyle name="40% - Accent5 7" xfId="539"/>
    <cellStyle name="40% - Accent5 8" xfId="540"/>
    <cellStyle name="40% - Accent6 2" xfId="541"/>
    <cellStyle name="40% - Accent6 2 10" xfId="542"/>
    <cellStyle name="40% - Accent6 2 2" xfId="543"/>
    <cellStyle name="40% - Accent6 2 2 2" xfId="544"/>
    <cellStyle name="40% - Accent6 2 2 3" xfId="545"/>
    <cellStyle name="40% - Accent6 2 3" xfId="546"/>
    <cellStyle name="40% - Accent6 2 3 2" xfId="547"/>
    <cellStyle name="40% - Accent6 2 4" xfId="548"/>
    <cellStyle name="40% - Accent6 2 5" xfId="549"/>
    <cellStyle name="40% - Accent6 2 6" xfId="550"/>
    <cellStyle name="40% - Accent6 2 7" xfId="551"/>
    <cellStyle name="40% - Accent6 2 8" xfId="552"/>
    <cellStyle name="40% - Accent6 2 9" xfId="553"/>
    <cellStyle name="40% - Accent6 3" xfId="554"/>
    <cellStyle name="40% - Accent6 3 2" xfId="555"/>
    <cellStyle name="40% - Accent6 3 2 2" xfId="556"/>
    <cellStyle name="40% - Accent6 3 2 2 2" xfId="557"/>
    <cellStyle name="40% - Accent6 3 2 2 2 2" xfId="558"/>
    <cellStyle name="40% - Accent6 3 2 2 3" xfId="559"/>
    <cellStyle name="40% - Accent6 3 2 3" xfId="560"/>
    <cellStyle name="40% - Accent6 3 2 3 2" xfId="561"/>
    <cellStyle name="40% - Accent6 3 2 4" xfId="562"/>
    <cellStyle name="40% - Accent6 3 3" xfId="563"/>
    <cellStyle name="40% - Accent6 3 3 2" xfId="564"/>
    <cellStyle name="40% - Accent6 3 3 2 2" xfId="565"/>
    <cellStyle name="40% - Accent6 3 3 2 2 2" xfId="566"/>
    <cellStyle name="40% - Accent6 3 3 2 3" xfId="567"/>
    <cellStyle name="40% - Accent6 3 3 3" xfId="568"/>
    <cellStyle name="40% - Accent6 3 3 3 2" xfId="569"/>
    <cellStyle name="40% - Accent6 3 3 4" xfId="570"/>
    <cellStyle name="40% - Accent6 3 4" xfId="571"/>
    <cellStyle name="40% - Accent6 3 4 2" xfId="572"/>
    <cellStyle name="40% - Accent6 3 4 2 2" xfId="573"/>
    <cellStyle name="40% - Accent6 3 4 3" xfId="574"/>
    <cellStyle name="40% - Accent6 3 5" xfId="575"/>
    <cellStyle name="40% - Accent6 3 5 2" xfId="576"/>
    <cellStyle name="40% - Accent6 3 6" xfId="577"/>
    <cellStyle name="40% - Accent6 4" xfId="578"/>
    <cellStyle name="40% - Accent6 5" xfId="579"/>
    <cellStyle name="40% - Accent6 6" xfId="580"/>
    <cellStyle name="40% - Accent6 7" xfId="581"/>
    <cellStyle name="40% - Accent6 8" xfId="582"/>
    <cellStyle name="60% - Accent1 2" xfId="583"/>
    <cellStyle name="60% - Accent1 2 2" xfId="584"/>
    <cellStyle name="60% - Accent1 2 3" xfId="585"/>
    <cellStyle name="60% - Accent1 2 4" xfId="586"/>
    <cellStyle name="60% - Accent1 2 5" xfId="587"/>
    <cellStyle name="60% - Accent1 2 6" xfId="588"/>
    <cellStyle name="60% - Accent1 2 7" xfId="589"/>
    <cellStyle name="60% - Accent1 2 8" xfId="590"/>
    <cellStyle name="60% - Accent1 2 9" xfId="591"/>
    <cellStyle name="60% - Accent2 2" xfId="592"/>
    <cellStyle name="60% - Accent2 2 2" xfId="593"/>
    <cellStyle name="60% - Accent2 2 3" xfId="594"/>
    <cellStyle name="60% - Accent2 2 4" xfId="595"/>
    <cellStyle name="60% - Accent2 2 5" xfId="596"/>
    <cellStyle name="60% - Accent2 2 6" xfId="597"/>
    <cellStyle name="60% - Accent2 2 7" xfId="598"/>
    <cellStyle name="60% - Accent2 2 8" xfId="599"/>
    <cellStyle name="60% - Accent2 2 9" xfId="600"/>
    <cellStyle name="60% - Accent3 2" xfId="601"/>
    <cellStyle name="60% - Accent3 2 2" xfId="602"/>
    <cellStyle name="60% - Accent3 2 3" xfId="603"/>
    <cellStyle name="60% - Accent3 2 4" xfId="604"/>
    <cellStyle name="60% - Accent3 2 5" xfId="605"/>
    <cellStyle name="60% - Accent3 2 6" xfId="606"/>
    <cellStyle name="60% - Accent3 2 7" xfId="607"/>
    <cellStyle name="60% - Accent3 2 8" xfId="608"/>
    <cellStyle name="60% - Accent3 2 9" xfId="609"/>
    <cellStyle name="60% - Accent4 2" xfId="610"/>
    <cellStyle name="60% - Accent4 2 2" xfId="611"/>
    <cellStyle name="60% - Accent4 2 3" xfId="612"/>
    <cellStyle name="60% - Accent4 2 4" xfId="613"/>
    <cellStyle name="60% - Accent4 2 5" xfId="614"/>
    <cellStyle name="60% - Accent4 2 6" xfId="615"/>
    <cellStyle name="60% - Accent4 2 7" xfId="616"/>
    <cellStyle name="60% - Accent4 2 8" xfId="617"/>
    <cellStyle name="60% - Accent4 2 9" xfId="618"/>
    <cellStyle name="60% - Accent5 2" xfId="619"/>
    <cellStyle name="60% - Accent5 2 2" xfId="620"/>
    <cellStyle name="60% - Accent5 2 3" xfId="621"/>
    <cellStyle name="60% - Accent5 2 4" xfId="622"/>
    <cellStyle name="60% - Accent5 2 5" xfId="623"/>
    <cellStyle name="60% - Accent5 2 6" xfId="624"/>
    <cellStyle name="60% - Accent5 2 7" xfId="625"/>
    <cellStyle name="60% - Accent5 2 8" xfId="626"/>
    <cellStyle name="60% - Accent5 2 9" xfId="627"/>
    <cellStyle name="60% - Accent6 2" xfId="628"/>
    <cellStyle name="60% - Accent6 2 2" xfId="629"/>
    <cellStyle name="60% - Accent6 2 3" xfId="630"/>
    <cellStyle name="60% - Accent6 2 4" xfId="631"/>
    <cellStyle name="60% - Accent6 2 5" xfId="632"/>
    <cellStyle name="60% - Accent6 2 6" xfId="633"/>
    <cellStyle name="60% - Accent6 2 7" xfId="634"/>
    <cellStyle name="60% - Accent6 2 8" xfId="635"/>
    <cellStyle name="60% - Accent6 2 9" xfId="636"/>
    <cellStyle name="A%" xfId="637"/>
    <cellStyle name="Accent1 2" xfId="638"/>
    <cellStyle name="Accent1 2 2" xfId="639"/>
    <cellStyle name="Accent1 2 3" xfId="640"/>
    <cellStyle name="Accent1 2 4" xfId="641"/>
    <cellStyle name="Accent1 2 5" xfId="642"/>
    <cellStyle name="Accent1 2 6" xfId="643"/>
    <cellStyle name="Accent1 2 7" xfId="644"/>
    <cellStyle name="Accent1 2 8" xfId="645"/>
    <cellStyle name="Accent1 2 9" xfId="646"/>
    <cellStyle name="Accent2 2" xfId="647"/>
    <cellStyle name="Accent2 2 2" xfId="648"/>
    <cellStyle name="Accent2 2 3" xfId="649"/>
    <cellStyle name="Accent2 2 4" xfId="650"/>
    <cellStyle name="Accent2 2 5" xfId="651"/>
    <cellStyle name="Accent2 2 6" xfId="652"/>
    <cellStyle name="Accent2 2 7" xfId="653"/>
    <cellStyle name="Accent2 2 8" xfId="654"/>
    <cellStyle name="Accent2 2 9" xfId="655"/>
    <cellStyle name="Accent3 2" xfId="656"/>
    <cellStyle name="Accent3 2 2" xfId="657"/>
    <cellStyle name="Accent3 2 3" xfId="658"/>
    <cellStyle name="Accent3 2 4" xfId="659"/>
    <cellStyle name="Accent3 2 5" xfId="660"/>
    <cellStyle name="Accent3 2 6" xfId="661"/>
    <cellStyle name="Accent3 2 7" xfId="662"/>
    <cellStyle name="Accent3 2 8" xfId="663"/>
    <cellStyle name="Accent3 2 9" xfId="664"/>
    <cellStyle name="Accent4 2" xfId="665"/>
    <cellStyle name="Accent4 2 2" xfId="666"/>
    <cellStyle name="Accent4 2 3" xfId="667"/>
    <cellStyle name="Accent4 2 4" xfId="668"/>
    <cellStyle name="Accent4 2 5" xfId="669"/>
    <cellStyle name="Accent4 2 6" xfId="670"/>
    <cellStyle name="Accent4 2 7" xfId="671"/>
    <cellStyle name="Accent4 2 8" xfId="672"/>
    <cellStyle name="Accent4 2 9" xfId="673"/>
    <cellStyle name="Accent5 2" xfId="674"/>
    <cellStyle name="Accent5 2 2" xfId="675"/>
    <cellStyle name="Accent5 2 3" xfId="676"/>
    <cellStyle name="Accent5 2 4" xfId="677"/>
    <cellStyle name="Accent5 2 5" xfId="678"/>
    <cellStyle name="Accent5 2 6" xfId="679"/>
    <cellStyle name="Accent5 2 7" xfId="680"/>
    <cellStyle name="Accent5 2 8" xfId="681"/>
    <cellStyle name="Accent5 2 9" xfId="682"/>
    <cellStyle name="Accent6 2" xfId="683"/>
    <cellStyle name="Accent6 2 2" xfId="684"/>
    <cellStyle name="Accent6 2 3" xfId="685"/>
    <cellStyle name="Accent6 2 4" xfId="686"/>
    <cellStyle name="Accent6 2 5" xfId="687"/>
    <cellStyle name="Accent6 2 6" xfId="688"/>
    <cellStyle name="Accent6 2 7" xfId="689"/>
    <cellStyle name="Accent6 2 8" xfId="690"/>
    <cellStyle name="Accent6 2 9" xfId="691"/>
    <cellStyle name="Accounting w/$" xfId="692"/>
    <cellStyle name="Accounting w/$ Total" xfId="693"/>
    <cellStyle name="Accounting w/o $" xfId="694"/>
    <cellStyle name="Acinput" xfId="695"/>
    <cellStyle name="Acinput,," xfId="696"/>
    <cellStyle name="Acinput_Merger Model_KN&amp;Fzio_v2.30 - Street" xfId="697"/>
    <cellStyle name="Acoutput" xfId="698"/>
    <cellStyle name="Acoutput,," xfId="699"/>
    <cellStyle name="Acoutput_CAScomps02" xfId="700"/>
    <cellStyle name="Actual Date" xfId="701"/>
    <cellStyle name="AFE" xfId="702"/>
    <cellStyle name="al" xfId="703"/>
    <cellStyle name="Amount_EQU_RIGH.XLS_Equity market_Preferred Securities " xfId="704"/>
    <cellStyle name="Apershare" xfId="705"/>
    <cellStyle name="Aprice" xfId="706"/>
    <cellStyle name="ar" xfId="707"/>
    <cellStyle name="ar 2" xfId="708"/>
    <cellStyle name="ar 3" xfId="709"/>
    <cellStyle name="Arial 10" xfId="710"/>
    <cellStyle name="Arial 12" xfId="711"/>
    <cellStyle name="Availability" xfId="712"/>
    <cellStyle name="Bad 2" xfId="713"/>
    <cellStyle name="Bad 2 2" xfId="714"/>
    <cellStyle name="Bad 2 3" xfId="715"/>
    <cellStyle name="Bad 2 4" xfId="716"/>
    <cellStyle name="Bad 2 5" xfId="717"/>
    <cellStyle name="Bad 2 6" xfId="718"/>
    <cellStyle name="Bad 2 7" xfId="719"/>
    <cellStyle name="Bad 2 8" xfId="720"/>
    <cellStyle name="Bad 2 9" xfId="721"/>
    <cellStyle name="Band 2" xfId="722"/>
    <cellStyle name="Blank" xfId="723"/>
    <cellStyle name="Blue" xfId="724"/>
    <cellStyle name="Bold/Border" xfId="725"/>
    <cellStyle name="Border Heavy" xfId="726"/>
    <cellStyle name="Border Thin" xfId="727"/>
    <cellStyle name="Border, Bottom" xfId="728"/>
    <cellStyle name="Border, Left" xfId="729"/>
    <cellStyle name="Border, Right" xfId="730"/>
    <cellStyle name="Border, Top" xfId="731"/>
    <cellStyle name="Border, Top 2" xfId="732"/>
    <cellStyle name="Border, Top 3" xfId="733"/>
    <cellStyle name="British Pound" xfId="734"/>
    <cellStyle name="BritPound" xfId="735"/>
    <cellStyle name="Bullet" xfId="736"/>
    <cellStyle name="Calc Currency (0)" xfId="737"/>
    <cellStyle name="Calc Currency (2)" xfId="738"/>
    <cellStyle name="Calc Percent (0)" xfId="739"/>
    <cellStyle name="Calc Percent (1)" xfId="740"/>
    <cellStyle name="Calc Percent (2)" xfId="741"/>
    <cellStyle name="Calc Units (0)" xfId="742"/>
    <cellStyle name="Calc Units (1)" xfId="743"/>
    <cellStyle name="Calc Units (2)" xfId="744"/>
    <cellStyle name="Calculation" xfId="4515" builtinId="22"/>
    <cellStyle name="Calculation 2" xfId="745"/>
    <cellStyle name="Calculation 2 10" xfId="746"/>
    <cellStyle name="Calculation 2 11" xfId="747"/>
    <cellStyle name="Calculation 2 2" xfId="748"/>
    <cellStyle name="Calculation 2 2 2" xfId="749"/>
    <cellStyle name="Calculation 2 2 3" xfId="750"/>
    <cellStyle name="Calculation 2 2 4" xfId="751"/>
    <cellStyle name="Calculation 2 3" xfId="752"/>
    <cellStyle name="Calculation 2 4" xfId="753"/>
    <cellStyle name="Calculation 2 5" xfId="754"/>
    <cellStyle name="Calculation 2 6" xfId="755"/>
    <cellStyle name="Calculation 2 7" xfId="756"/>
    <cellStyle name="Calculation 2 8" xfId="757"/>
    <cellStyle name="Calculation 2 9" xfId="758"/>
    <cellStyle name="Case" xfId="759"/>
    <cellStyle name="Check" xfId="760"/>
    <cellStyle name="Check Cell" xfId="4516" builtinId="23"/>
    <cellStyle name="Check Cell 2" xfId="761"/>
    <cellStyle name="Check Cell 2 2" xfId="762"/>
    <cellStyle name="Check Cell 2 3" xfId="763"/>
    <cellStyle name="Check Cell 2 4" xfId="764"/>
    <cellStyle name="Check Cell 2 5" xfId="765"/>
    <cellStyle name="Check Cell 2 6" xfId="766"/>
    <cellStyle name="Check Cell 2 7" xfId="767"/>
    <cellStyle name="Check Cell 2 8" xfId="768"/>
    <cellStyle name="Check Cell 2 9" xfId="769"/>
    <cellStyle name="Chiffre" xfId="770"/>
    <cellStyle name="Colhead_left" xfId="771"/>
    <cellStyle name="ColHeading" xfId="772"/>
    <cellStyle name="Column Title" xfId="773"/>
    <cellStyle name="ColumnHeadings" xfId="774"/>
    <cellStyle name="ColumnHeadings2" xfId="775"/>
    <cellStyle name="Comma" xfId="1" builtinId="3"/>
    <cellStyle name="Comma  - Style1" xfId="776"/>
    <cellStyle name="Comma  - Style2" xfId="777"/>
    <cellStyle name="Comma  - Style3" xfId="778"/>
    <cellStyle name="Comma  - Style4" xfId="779"/>
    <cellStyle name="Comma  - Style5" xfId="780"/>
    <cellStyle name="Comma  - Style6" xfId="781"/>
    <cellStyle name="Comma  - Style7" xfId="782"/>
    <cellStyle name="Comma  - Style8" xfId="783"/>
    <cellStyle name="Comma ," xfId="784"/>
    <cellStyle name="Comma [00]" xfId="785"/>
    <cellStyle name="Comma [1]" xfId="786"/>
    <cellStyle name="Comma [2]" xfId="787"/>
    <cellStyle name="Comma [3]" xfId="788"/>
    <cellStyle name="Comma 0" xfId="789"/>
    <cellStyle name="Comma 0*" xfId="790"/>
    <cellStyle name="Comma 0_Merger Model_KN&amp;Fzio_v2.30 - Street" xfId="791"/>
    <cellStyle name="Comma 10" xfId="792"/>
    <cellStyle name="Comma 10 2" xfId="793"/>
    <cellStyle name="Comma 10 3" xfId="794"/>
    <cellStyle name="Comma 10 4" xfId="795"/>
    <cellStyle name="Comma 10 5" xfId="796"/>
    <cellStyle name="Comma 11" xfId="797"/>
    <cellStyle name="Comma 12" xfId="798"/>
    <cellStyle name="Comma 2" xfId="2"/>
    <cellStyle name="Comma 2 10" xfId="799"/>
    <cellStyle name="Comma 2 11" xfId="800"/>
    <cellStyle name="Comma 2 11 2" xfId="801"/>
    <cellStyle name="Comma 2 11 2 2" xfId="802"/>
    <cellStyle name="Comma 2 11 3" xfId="803"/>
    <cellStyle name="Comma 2 12" xfId="804"/>
    <cellStyle name="Comma 2 12 2" xfId="805"/>
    <cellStyle name="Comma 2 13" xfId="806"/>
    <cellStyle name="Comma 2 14" xfId="807"/>
    <cellStyle name="Comma 2 15" xfId="808"/>
    <cellStyle name="Comma 2 16" xfId="809"/>
    <cellStyle name="Comma 2 17" xfId="810"/>
    <cellStyle name="Comma 2 18" xfId="811"/>
    <cellStyle name="Comma 2 19" xfId="812"/>
    <cellStyle name="Comma 2 2" xfId="813"/>
    <cellStyle name="Comma 2 2 10" xfId="814"/>
    <cellStyle name="Comma 2 2 11" xfId="815"/>
    <cellStyle name="Comma 2 2 2" xfId="816"/>
    <cellStyle name="Comma 2 2 2 2" xfId="817"/>
    <cellStyle name="Comma 2 2 3" xfId="818"/>
    <cellStyle name="Comma 2 2 4" xfId="819"/>
    <cellStyle name="Comma 2 2 5" xfId="820"/>
    <cellStyle name="Comma 2 2 6" xfId="821"/>
    <cellStyle name="Comma 2 2 7" xfId="822"/>
    <cellStyle name="Comma 2 2 8" xfId="823"/>
    <cellStyle name="Comma 2 2 9" xfId="824"/>
    <cellStyle name="Comma 2 3" xfId="825"/>
    <cellStyle name="Comma 2 3 2" xfId="826"/>
    <cellStyle name="Comma 2 3 3" xfId="827"/>
    <cellStyle name="Comma 2 3 4" xfId="828"/>
    <cellStyle name="Comma 2 3 5" xfId="829"/>
    <cellStyle name="Comma 2 3 6" xfId="830"/>
    <cellStyle name="Comma 2 3 7" xfId="831"/>
    <cellStyle name="Comma 2 3 8" xfId="832"/>
    <cellStyle name="Comma 2 4" xfId="833"/>
    <cellStyle name="Comma 2 4 2" xfId="834"/>
    <cellStyle name="Comma 2 4 3" xfId="835"/>
    <cellStyle name="Comma 2 5" xfId="836"/>
    <cellStyle name="Comma 2 5 2" xfId="837"/>
    <cellStyle name="Comma 2 5 2 2" xfId="838"/>
    <cellStyle name="Comma 2 5 2 2 2" xfId="839"/>
    <cellStyle name="Comma 2 5 2 2 2 2" xfId="840"/>
    <cellStyle name="Comma 2 5 2 2 3" xfId="841"/>
    <cellStyle name="Comma 2 5 2 3" xfId="842"/>
    <cellStyle name="Comma 2 5 2 3 2" xfId="843"/>
    <cellStyle name="Comma 2 5 2 4" xfId="844"/>
    <cellStyle name="Comma 2 5 3" xfId="845"/>
    <cellStyle name="Comma 2 5 3 2" xfId="846"/>
    <cellStyle name="Comma 2 5 3 2 2" xfId="847"/>
    <cellStyle name="Comma 2 5 3 2 2 2" xfId="848"/>
    <cellStyle name="Comma 2 5 3 2 3" xfId="849"/>
    <cellStyle name="Comma 2 5 3 3" xfId="850"/>
    <cellStyle name="Comma 2 5 3 3 2" xfId="851"/>
    <cellStyle name="Comma 2 5 3 4" xfId="852"/>
    <cellStyle name="Comma 2 5 4" xfId="853"/>
    <cellStyle name="Comma 2 5 4 2" xfId="854"/>
    <cellStyle name="Comma 2 5 4 2 2" xfId="855"/>
    <cellStyle name="Comma 2 5 4 3" xfId="856"/>
    <cellStyle name="Comma 2 5 5" xfId="857"/>
    <cellStyle name="Comma 2 5 5 2" xfId="858"/>
    <cellStyle name="Comma 2 5 6" xfId="859"/>
    <cellStyle name="Comma 2 6" xfId="860"/>
    <cellStyle name="Comma 2 6 2" xfId="861"/>
    <cellStyle name="Comma 2 6 2 2" xfId="862"/>
    <cellStyle name="Comma 2 6 2 2 2" xfId="863"/>
    <cellStyle name="Comma 2 6 2 3" xfId="864"/>
    <cellStyle name="Comma 2 6 3" xfId="865"/>
    <cellStyle name="Comma 2 6 3 2" xfId="866"/>
    <cellStyle name="Comma 2 6 4" xfId="867"/>
    <cellStyle name="Comma 2 7" xfId="868"/>
    <cellStyle name="Comma 2 7 2" xfId="869"/>
    <cellStyle name="Comma 2 7 2 2" xfId="870"/>
    <cellStyle name="Comma 2 7 2 2 2" xfId="871"/>
    <cellStyle name="Comma 2 7 2 3" xfId="872"/>
    <cellStyle name="Comma 2 7 3" xfId="873"/>
    <cellStyle name="Comma 2 7 3 2" xfId="874"/>
    <cellStyle name="Comma 2 7 4" xfId="875"/>
    <cellStyle name="Comma 2 8" xfId="876"/>
    <cellStyle name="Comma 2 9" xfId="877"/>
    <cellStyle name="Comma 2 9 2" xfId="878"/>
    <cellStyle name="Comma 2 9 2 2" xfId="879"/>
    <cellStyle name="Comma 2 9 3" xfId="880"/>
    <cellStyle name="Comma 2*" xfId="881"/>
    <cellStyle name="Comma 3" xfId="3"/>
    <cellStyle name="Comma 3 2" xfId="4"/>
    <cellStyle name="Comma 3 2 2" xfId="882"/>
    <cellStyle name="Comma 3 3" xfId="883"/>
    <cellStyle name="Comma 3 3 2" xfId="884"/>
    <cellStyle name="Comma 3 3 2 2" xfId="885"/>
    <cellStyle name="Comma 3 3 3" xfId="886"/>
    <cellStyle name="Comma 3 3 4" xfId="887"/>
    <cellStyle name="Comma 3 4" xfId="888"/>
    <cellStyle name="Comma 3 4 2" xfId="889"/>
    <cellStyle name="Comma 3 4 3" xfId="890"/>
    <cellStyle name="Comma 3 5" xfId="891"/>
    <cellStyle name="Comma 3 6" xfId="892"/>
    <cellStyle name="Comma 3 7" xfId="893"/>
    <cellStyle name="Comma 3 8" xfId="894"/>
    <cellStyle name="Comma 3 9" xfId="895"/>
    <cellStyle name="Comma 4" xfId="5"/>
    <cellStyle name="Comma 4 10" xfId="896"/>
    <cellStyle name="Comma 4 11" xfId="897"/>
    <cellStyle name="Comma 4 12" xfId="898"/>
    <cellStyle name="Comma 4 13" xfId="899"/>
    <cellStyle name="Comma 4 14" xfId="900"/>
    <cellStyle name="Comma 4 2" xfId="901"/>
    <cellStyle name="Comma 4 2 2" xfId="902"/>
    <cellStyle name="Comma 4 2 2 2" xfId="903"/>
    <cellStyle name="Comma 4 2 2 2 2" xfId="904"/>
    <cellStyle name="Comma 4 2 2 3" xfId="905"/>
    <cellStyle name="Comma 4 2 3" xfId="906"/>
    <cellStyle name="Comma 4 2 3 2" xfId="907"/>
    <cellStyle name="Comma 4 2 4" xfId="908"/>
    <cellStyle name="Comma 4 2 5" xfId="909"/>
    <cellStyle name="Comma 4 3" xfId="910"/>
    <cellStyle name="Comma 4 3 2" xfId="911"/>
    <cellStyle name="Comma 4 3 2 2" xfId="912"/>
    <cellStyle name="Comma 4 3 2 2 2" xfId="913"/>
    <cellStyle name="Comma 4 3 2 3" xfId="914"/>
    <cellStyle name="Comma 4 3 3" xfId="915"/>
    <cellStyle name="Comma 4 3 3 2" xfId="916"/>
    <cellStyle name="Comma 4 3 4" xfId="917"/>
    <cellStyle name="Comma 4 4" xfId="918"/>
    <cellStyle name="Comma 4 4 2" xfId="919"/>
    <cellStyle name="Comma 4 4 2 2" xfId="920"/>
    <cellStyle name="Comma 4 4 2 2 2" xfId="921"/>
    <cellStyle name="Comma 4 4 2 3" xfId="922"/>
    <cellStyle name="Comma 4 4 3" xfId="923"/>
    <cellStyle name="Comma 4 4 3 2" xfId="924"/>
    <cellStyle name="Comma 4 4 4" xfId="925"/>
    <cellStyle name="Comma 4 5" xfId="926"/>
    <cellStyle name="Comma 4 5 2" xfId="927"/>
    <cellStyle name="Comma 4 5 2 2" xfId="928"/>
    <cellStyle name="Comma 4 5 3" xfId="929"/>
    <cellStyle name="Comma 4 6" xfId="930"/>
    <cellStyle name="Comma 4 6 2" xfId="931"/>
    <cellStyle name="Comma 4 6 2 2" xfId="932"/>
    <cellStyle name="Comma 4 6 3" xfId="933"/>
    <cellStyle name="Comma 4 7" xfId="934"/>
    <cellStyle name="Comma 4 7 2" xfId="935"/>
    <cellStyle name="Comma 4 8" xfId="936"/>
    <cellStyle name="Comma 4 9" xfId="937"/>
    <cellStyle name="Comma 5" xfId="6"/>
    <cellStyle name="Comma 5 10" xfId="938"/>
    <cellStyle name="Comma 5 11" xfId="939"/>
    <cellStyle name="Comma 5 12" xfId="940"/>
    <cellStyle name="Comma 5 2" xfId="7"/>
    <cellStyle name="Comma 5 2 2" xfId="941"/>
    <cellStyle name="Comma 5 2 2 2" xfId="942"/>
    <cellStyle name="Comma 5 2 2 2 2" xfId="943"/>
    <cellStyle name="Comma 5 2 2 3" xfId="944"/>
    <cellStyle name="Comma 5 2 3" xfId="945"/>
    <cellStyle name="Comma 5 2 3 2" xfId="946"/>
    <cellStyle name="Comma 5 2 4" xfId="947"/>
    <cellStyle name="Comma 5 3" xfId="948"/>
    <cellStyle name="Comma 5 3 2" xfId="949"/>
    <cellStyle name="Comma 5 3 2 2" xfId="950"/>
    <cellStyle name="Comma 5 3 2 2 2" xfId="951"/>
    <cellStyle name="Comma 5 3 2 3" xfId="952"/>
    <cellStyle name="Comma 5 3 3" xfId="953"/>
    <cellStyle name="Comma 5 3 3 2" xfId="954"/>
    <cellStyle name="Comma 5 3 4" xfId="955"/>
    <cellStyle name="Comma 5 4" xfId="956"/>
    <cellStyle name="Comma 5 4 2" xfId="957"/>
    <cellStyle name="Comma 5 4 2 2" xfId="958"/>
    <cellStyle name="Comma 5 4 3" xfId="959"/>
    <cellStyle name="Comma 5 5" xfId="960"/>
    <cellStyle name="Comma 5 5 2" xfId="961"/>
    <cellStyle name="Comma 5 5 2 2" xfId="962"/>
    <cellStyle name="Comma 5 5 3" xfId="963"/>
    <cellStyle name="Comma 5 6" xfId="964"/>
    <cellStyle name="Comma 5 6 2" xfId="965"/>
    <cellStyle name="Comma 5 7" xfId="966"/>
    <cellStyle name="Comma 5 8" xfId="967"/>
    <cellStyle name="Comma 5 9" xfId="968"/>
    <cellStyle name="Comma 6" xfId="969"/>
    <cellStyle name="Comma 6 2" xfId="970"/>
    <cellStyle name="Comma 6 3" xfId="971"/>
    <cellStyle name="Comma 6 4" xfId="972"/>
    <cellStyle name="Comma 6 5" xfId="973"/>
    <cellStyle name="Comma 6 6" xfId="974"/>
    <cellStyle name="Comma 7" xfId="975"/>
    <cellStyle name="Comma 7 2" xfId="976"/>
    <cellStyle name="Comma 7 2 2" xfId="977"/>
    <cellStyle name="Comma 7 2 2 2" xfId="978"/>
    <cellStyle name="Comma 7 2 3" xfId="979"/>
    <cellStyle name="Comma 7 3" xfId="980"/>
    <cellStyle name="Comma 7 3 2" xfId="981"/>
    <cellStyle name="Comma 7 4" xfId="982"/>
    <cellStyle name="Comma 7 5" xfId="983"/>
    <cellStyle name="Comma 7 6" xfId="984"/>
    <cellStyle name="Comma 7 7" xfId="985"/>
    <cellStyle name="Comma 7 8" xfId="986"/>
    <cellStyle name="Comma 8" xfId="987"/>
    <cellStyle name="Comma 8 2" xfId="988"/>
    <cellStyle name="Comma 8 2 2" xfId="989"/>
    <cellStyle name="Comma 8 3" xfId="990"/>
    <cellStyle name="Comma 8 4" xfId="991"/>
    <cellStyle name="Comma 8 5" xfId="992"/>
    <cellStyle name="Comma 8 6" xfId="993"/>
    <cellStyle name="Comma 8 7" xfId="994"/>
    <cellStyle name="Comma 9" xfId="995"/>
    <cellStyle name="Comma 9 2" xfId="996"/>
    <cellStyle name="Comma 9 3" xfId="997"/>
    <cellStyle name="Comma 9 4" xfId="998"/>
    <cellStyle name="Comma 9 5" xfId="999"/>
    <cellStyle name="Comma_CDM monthly amounts" xfId="8"/>
    <cellStyle name="Comma_Horizon 2011 Load Forecast Model  June 25, 2010" xfId="9"/>
    <cellStyle name="Comma0" xfId="10"/>
    <cellStyle name="Comma2 (0)" xfId="1000"/>
    <cellStyle name="Comment" xfId="1001"/>
    <cellStyle name="Company" xfId="1002"/>
    <cellStyle name="CurRatio" xfId="1003"/>
    <cellStyle name="Currency--" xfId="1004"/>
    <cellStyle name="Currency [00]" xfId="1005"/>
    <cellStyle name="Currency [1]" xfId="1006"/>
    <cellStyle name="Currency [2]" xfId="1007"/>
    <cellStyle name="Currency [2] 2" xfId="1008"/>
    <cellStyle name="Currency [2] 3" xfId="1009"/>
    <cellStyle name="Currency [3]" xfId="1010"/>
    <cellStyle name="Currency 0" xfId="1011"/>
    <cellStyle name="Currency 10" xfId="1012"/>
    <cellStyle name="Currency 10 2" xfId="1013"/>
    <cellStyle name="Currency 10 2 2" xfId="1014"/>
    <cellStyle name="Currency 10 2 2 2" xfId="1015"/>
    <cellStyle name="Currency 10 2 2 2 2" xfId="1016"/>
    <cellStyle name="Currency 10 2 2 3" xfId="1017"/>
    <cellStyle name="Currency 10 2 3" xfId="1018"/>
    <cellStyle name="Currency 10 2 3 2" xfId="1019"/>
    <cellStyle name="Currency 10 2 4" xfId="1020"/>
    <cellStyle name="Currency 10 3" xfId="1021"/>
    <cellStyle name="Currency 10 3 2" xfId="1022"/>
    <cellStyle name="Currency 10 3 2 2" xfId="1023"/>
    <cellStyle name="Currency 10 3 2 2 2" xfId="1024"/>
    <cellStyle name="Currency 10 3 2 3" xfId="1025"/>
    <cellStyle name="Currency 10 3 3" xfId="1026"/>
    <cellStyle name="Currency 10 3 3 2" xfId="1027"/>
    <cellStyle name="Currency 10 3 4" xfId="1028"/>
    <cellStyle name="Currency 10 4" xfId="1029"/>
    <cellStyle name="Currency 10 4 2" xfId="1030"/>
    <cellStyle name="Currency 10 4 2 2" xfId="1031"/>
    <cellStyle name="Currency 10 4 3" xfId="1032"/>
    <cellStyle name="Currency 10 5" xfId="1033"/>
    <cellStyle name="Currency 10 5 2" xfId="1034"/>
    <cellStyle name="Currency 10 6" xfId="1035"/>
    <cellStyle name="Currency 11" xfId="1036"/>
    <cellStyle name="Currency 11 2" xfId="1037"/>
    <cellStyle name="Currency 11 2 2" xfId="1038"/>
    <cellStyle name="Currency 11 2 2 2" xfId="1039"/>
    <cellStyle name="Currency 11 2 2 2 2" xfId="1040"/>
    <cellStyle name="Currency 11 2 2 3" xfId="1041"/>
    <cellStyle name="Currency 11 2 3" xfId="1042"/>
    <cellStyle name="Currency 11 2 3 2" xfId="1043"/>
    <cellStyle name="Currency 11 2 4" xfId="1044"/>
    <cellStyle name="Currency 11 3" xfId="1045"/>
    <cellStyle name="Currency 11 3 2" xfId="1046"/>
    <cellStyle name="Currency 11 3 2 2" xfId="1047"/>
    <cellStyle name="Currency 11 3 2 2 2" xfId="1048"/>
    <cellStyle name="Currency 11 3 2 3" xfId="1049"/>
    <cellStyle name="Currency 11 3 3" xfId="1050"/>
    <cellStyle name="Currency 11 3 3 2" xfId="1051"/>
    <cellStyle name="Currency 11 3 4" xfId="1052"/>
    <cellStyle name="Currency 11 4" xfId="1053"/>
    <cellStyle name="Currency 11 4 2" xfId="1054"/>
    <cellStyle name="Currency 11 4 2 2" xfId="1055"/>
    <cellStyle name="Currency 11 4 3" xfId="1056"/>
    <cellStyle name="Currency 11 5" xfId="1057"/>
    <cellStyle name="Currency 11 5 2" xfId="1058"/>
    <cellStyle name="Currency 11 6" xfId="1059"/>
    <cellStyle name="Currency 12" xfId="1060"/>
    <cellStyle name="Currency 13" xfId="1061"/>
    <cellStyle name="Currency 14" xfId="1062"/>
    <cellStyle name="Currency 14 2" xfId="1063"/>
    <cellStyle name="Currency 14 2 2" xfId="1064"/>
    <cellStyle name="Currency 14 2 2 2" xfId="1065"/>
    <cellStyle name="Currency 14 2 2 2 2" xfId="1066"/>
    <cellStyle name="Currency 14 2 2 3" xfId="1067"/>
    <cellStyle name="Currency 14 2 3" xfId="1068"/>
    <cellStyle name="Currency 14 2 3 2" xfId="1069"/>
    <cellStyle name="Currency 14 2 4" xfId="1070"/>
    <cellStyle name="Currency 14 3" xfId="1071"/>
    <cellStyle name="Currency 14 3 2" xfId="1072"/>
    <cellStyle name="Currency 14 3 2 2" xfId="1073"/>
    <cellStyle name="Currency 14 3 2 2 2" xfId="1074"/>
    <cellStyle name="Currency 14 3 2 3" xfId="1075"/>
    <cellStyle name="Currency 14 3 3" xfId="1076"/>
    <cellStyle name="Currency 14 3 3 2" xfId="1077"/>
    <cellStyle name="Currency 14 3 4" xfId="1078"/>
    <cellStyle name="Currency 14 4" xfId="1079"/>
    <cellStyle name="Currency 14 4 2" xfId="1080"/>
    <cellStyle name="Currency 14 4 2 2" xfId="1081"/>
    <cellStyle name="Currency 14 4 2 2 2" xfId="1082"/>
    <cellStyle name="Currency 14 4 2 3" xfId="1083"/>
    <cellStyle name="Currency 14 4 3" xfId="1084"/>
    <cellStyle name="Currency 14 4 3 2" xfId="1085"/>
    <cellStyle name="Currency 14 4 4" xfId="1086"/>
    <cellStyle name="Currency 14 5" xfId="1087"/>
    <cellStyle name="Currency 14 5 2" xfId="1088"/>
    <cellStyle name="Currency 14 5 2 2" xfId="1089"/>
    <cellStyle name="Currency 14 5 3" xfId="1090"/>
    <cellStyle name="Currency 14 6" xfId="1091"/>
    <cellStyle name="Currency 14 6 2" xfId="1092"/>
    <cellStyle name="Currency 14 7" xfId="1093"/>
    <cellStyle name="Currency 15" xfId="1094"/>
    <cellStyle name="Currency 15 2" xfId="1095"/>
    <cellStyle name="Currency 15 2 2" xfId="1096"/>
    <cellStyle name="Currency 15 2 2 2" xfId="1097"/>
    <cellStyle name="Currency 15 2 3" xfId="1098"/>
    <cellStyle name="Currency 15 3" xfId="1099"/>
    <cellStyle name="Currency 15 3 2" xfId="1100"/>
    <cellStyle name="Currency 15 4" xfId="1101"/>
    <cellStyle name="Currency 16" xfId="1102"/>
    <cellStyle name="Currency 16 2" xfId="1103"/>
    <cellStyle name="Currency 17" xfId="1104"/>
    <cellStyle name="Currency 18" xfId="1105"/>
    <cellStyle name="Currency 19" xfId="1106"/>
    <cellStyle name="Currency 19 2" xfId="1107"/>
    <cellStyle name="Currency 19 2 2" xfId="1108"/>
    <cellStyle name="Currency 19 2 2 2" xfId="1109"/>
    <cellStyle name="Currency 19 2 2 2 2" xfId="1110"/>
    <cellStyle name="Currency 19 2 2 3" xfId="1111"/>
    <cellStyle name="Currency 19 2 3" xfId="1112"/>
    <cellStyle name="Currency 19 2 3 2" xfId="1113"/>
    <cellStyle name="Currency 19 2 4" xfId="1114"/>
    <cellStyle name="Currency 19 3" xfId="1115"/>
    <cellStyle name="Currency 19 3 2" xfId="1116"/>
    <cellStyle name="Currency 19 3 2 2" xfId="1117"/>
    <cellStyle name="Currency 19 3 2 2 2" xfId="1118"/>
    <cellStyle name="Currency 19 3 2 3" xfId="1119"/>
    <cellStyle name="Currency 19 3 3" xfId="1120"/>
    <cellStyle name="Currency 19 3 3 2" xfId="1121"/>
    <cellStyle name="Currency 19 3 4" xfId="1122"/>
    <cellStyle name="Currency 19 4" xfId="1123"/>
    <cellStyle name="Currency 19 4 2" xfId="1124"/>
    <cellStyle name="Currency 19 4 2 2" xfId="1125"/>
    <cellStyle name="Currency 19 4 3" xfId="1126"/>
    <cellStyle name="Currency 19 5" xfId="1127"/>
    <cellStyle name="Currency 19 5 2" xfId="1128"/>
    <cellStyle name="Currency 19 6" xfId="1129"/>
    <cellStyle name="Currency 2" xfId="11"/>
    <cellStyle name="Currency 2 10" xfId="1130"/>
    <cellStyle name="Currency 2 10 2" xfId="1131"/>
    <cellStyle name="Currency 2 10 2 2" xfId="1132"/>
    <cellStyle name="Currency 2 10 3" xfId="1133"/>
    <cellStyle name="Currency 2 11" xfId="1134"/>
    <cellStyle name="Currency 2 12" xfId="1135"/>
    <cellStyle name="Currency 2 13" xfId="1136"/>
    <cellStyle name="Currency 2 14" xfId="1137"/>
    <cellStyle name="Currency 2 15" xfId="1138"/>
    <cellStyle name="Currency 2 16" xfId="1139"/>
    <cellStyle name="Currency 2 17" xfId="1140"/>
    <cellStyle name="Currency 2 18" xfId="1141"/>
    <cellStyle name="Currency 2 2" xfId="1142"/>
    <cellStyle name="Currency 2 2 10" xfId="1143"/>
    <cellStyle name="Currency 2 2 11" xfId="1144"/>
    <cellStyle name="Currency 2 2 2" xfId="1145"/>
    <cellStyle name="Currency 2 2 3" xfId="1146"/>
    <cellStyle name="Currency 2 2 4" xfId="1147"/>
    <cellStyle name="Currency 2 2 5" xfId="1148"/>
    <cellStyle name="Currency 2 2 6" xfId="1149"/>
    <cellStyle name="Currency 2 2 7" xfId="1150"/>
    <cellStyle name="Currency 2 2 8" xfId="1151"/>
    <cellStyle name="Currency 2 2 9" xfId="1152"/>
    <cellStyle name="Currency 2 3" xfId="1153"/>
    <cellStyle name="Currency 2 3 2" xfId="1154"/>
    <cellStyle name="Currency 2 3 3" xfId="1155"/>
    <cellStyle name="Currency 2 3 4" xfId="1156"/>
    <cellStyle name="Currency 2 3 5" xfId="1157"/>
    <cellStyle name="Currency 2 4" xfId="1158"/>
    <cellStyle name="Currency 2 5" xfId="1159"/>
    <cellStyle name="Currency 2 6" xfId="1160"/>
    <cellStyle name="Currency 2 7" xfId="1161"/>
    <cellStyle name="Currency 2 8" xfId="1162"/>
    <cellStyle name="Currency 2 9" xfId="1163"/>
    <cellStyle name="Currency 2*" xfId="1164"/>
    <cellStyle name="Currency 2_CLdcfmodel" xfId="1165"/>
    <cellStyle name="Currency 20" xfId="1166"/>
    <cellStyle name="Currency 20 2" xfId="1167"/>
    <cellStyle name="Currency 20 2 2" xfId="1168"/>
    <cellStyle name="Currency 20 2 2 2" xfId="1169"/>
    <cellStyle name="Currency 20 2 2 2 2" xfId="1170"/>
    <cellStyle name="Currency 20 2 2 3" xfId="1171"/>
    <cellStyle name="Currency 20 2 3" xfId="1172"/>
    <cellStyle name="Currency 20 2 3 2" xfId="1173"/>
    <cellStyle name="Currency 20 2 4" xfId="1174"/>
    <cellStyle name="Currency 20 3" xfId="1175"/>
    <cellStyle name="Currency 20 3 2" xfId="1176"/>
    <cellStyle name="Currency 20 3 2 2" xfId="1177"/>
    <cellStyle name="Currency 20 3 2 2 2" xfId="1178"/>
    <cellStyle name="Currency 20 3 2 3" xfId="1179"/>
    <cellStyle name="Currency 20 3 3" xfId="1180"/>
    <cellStyle name="Currency 20 3 3 2" xfId="1181"/>
    <cellStyle name="Currency 20 3 4" xfId="1182"/>
    <cellStyle name="Currency 20 4" xfId="1183"/>
    <cellStyle name="Currency 20 4 2" xfId="1184"/>
    <cellStyle name="Currency 20 4 2 2" xfId="1185"/>
    <cellStyle name="Currency 20 4 3" xfId="1186"/>
    <cellStyle name="Currency 20 5" xfId="1187"/>
    <cellStyle name="Currency 20 5 2" xfId="1188"/>
    <cellStyle name="Currency 20 6" xfId="1189"/>
    <cellStyle name="Currency 21" xfId="1190"/>
    <cellStyle name="Currency 21 2" xfId="1191"/>
    <cellStyle name="Currency 21 2 2" xfId="1192"/>
    <cellStyle name="Currency 21 2 2 2" xfId="1193"/>
    <cellStyle name="Currency 21 2 2 2 2" xfId="1194"/>
    <cellStyle name="Currency 21 2 2 3" xfId="1195"/>
    <cellStyle name="Currency 21 2 3" xfId="1196"/>
    <cellStyle name="Currency 21 2 3 2" xfId="1197"/>
    <cellStyle name="Currency 21 2 4" xfId="1198"/>
    <cellStyle name="Currency 21 3" xfId="1199"/>
    <cellStyle name="Currency 21 3 2" xfId="1200"/>
    <cellStyle name="Currency 21 3 2 2" xfId="1201"/>
    <cellStyle name="Currency 21 3 2 2 2" xfId="1202"/>
    <cellStyle name="Currency 21 3 2 3" xfId="1203"/>
    <cellStyle name="Currency 21 3 3" xfId="1204"/>
    <cellStyle name="Currency 21 3 3 2" xfId="1205"/>
    <cellStyle name="Currency 21 3 4" xfId="1206"/>
    <cellStyle name="Currency 21 4" xfId="1207"/>
    <cellStyle name="Currency 21 4 2" xfId="1208"/>
    <cellStyle name="Currency 21 4 2 2" xfId="1209"/>
    <cellStyle name="Currency 21 4 3" xfId="1210"/>
    <cellStyle name="Currency 21 5" xfId="1211"/>
    <cellStyle name="Currency 21 5 2" xfId="1212"/>
    <cellStyle name="Currency 21 6" xfId="1213"/>
    <cellStyle name="Currency 22" xfId="1214"/>
    <cellStyle name="Currency 22 2" xfId="1215"/>
    <cellStyle name="Currency 22 2 2" xfId="1216"/>
    <cellStyle name="Currency 22 2 2 2" xfId="1217"/>
    <cellStyle name="Currency 22 2 2 2 2" xfId="1218"/>
    <cellStyle name="Currency 22 2 2 3" xfId="1219"/>
    <cellStyle name="Currency 22 2 3" xfId="1220"/>
    <cellStyle name="Currency 22 2 3 2" xfId="1221"/>
    <cellStyle name="Currency 22 2 4" xfId="1222"/>
    <cellStyle name="Currency 22 3" xfId="1223"/>
    <cellStyle name="Currency 22 3 2" xfId="1224"/>
    <cellStyle name="Currency 22 3 2 2" xfId="1225"/>
    <cellStyle name="Currency 22 3 2 2 2" xfId="1226"/>
    <cellStyle name="Currency 22 3 2 3" xfId="1227"/>
    <cellStyle name="Currency 22 3 3" xfId="1228"/>
    <cellStyle name="Currency 22 3 3 2" xfId="1229"/>
    <cellStyle name="Currency 22 3 4" xfId="1230"/>
    <cellStyle name="Currency 22 4" xfId="1231"/>
    <cellStyle name="Currency 22 4 2" xfId="1232"/>
    <cellStyle name="Currency 22 4 2 2" xfId="1233"/>
    <cellStyle name="Currency 22 4 3" xfId="1234"/>
    <cellStyle name="Currency 22 5" xfId="1235"/>
    <cellStyle name="Currency 22 5 2" xfId="1236"/>
    <cellStyle name="Currency 22 6" xfId="1237"/>
    <cellStyle name="Currency 23" xfId="1238"/>
    <cellStyle name="Currency 23 2" xfId="1239"/>
    <cellStyle name="Currency 23 2 2" xfId="1240"/>
    <cellStyle name="Currency 23 2 2 2" xfId="1241"/>
    <cellStyle name="Currency 23 2 2 2 2" xfId="1242"/>
    <cellStyle name="Currency 23 2 2 3" xfId="1243"/>
    <cellStyle name="Currency 23 2 3" xfId="1244"/>
    <cellStyle name="Currency 23 2 3 2" xfId="1245"/>
    <cellStyle name="Currency 23 2 4" xfId="1246"/>
    <cellStyle name="Currency 23 3" xfId="1247"/>
    <cellStyle name="Currency 23 3 2" xfId="1248"/>
    <cellStyle name="Currency 23 3 2 2" xfId="1249"/>
    <cellStyle name="Currency 23 3 2 2 2" xfId="1250"/>
    <cellStyle name="Currency 23 3 2 3" xfId="1251"/>
    <cellStyle name="Currency 23 3 3" xfId="1252"/>
    <cellStyle name="Currency 23 3 3 2" xfId="1253"/>
    <cellStyle name="Currency 23 3 4" xfId="1254"/>
    <cellStyle name="Currency 23 4" xfId="1255"/>
    <cellStyle name="Currency 23 4 2" xfId="1256"/>
    <cellStyle name="Currency 23 4 2 2" xfId="1257"/>
    <cellStyle name="Currency 23 4 3" xfId="1258"/>
    <cellStyle name="Currency 23 5" xfId="1259"/>
    <cellStyle name="Currency 23 5 2" xfId="1260"/>
    <cellStyle name="Currency 23 6" xfId="1261"/>
    <cellStyle name="Currency 24" xfId="1262"/>
    <cellStyle name="Currency 24 2" xfId="1263"/>
    <cellStyle name="Currency 24 2 2" xfId="1264"/>
    <cellStyle name="Currency 24 2 2 2" xfId="1265"/>
    <cellStyle name="Currency 24 2 2 2 2" xfId="1266"/>
    <cellStyle name="Currency 24 2 2 3" xfId="1267"/>
    <cellStyle name="Currency 24 2 3" xfId="1268"/>
    <cellStyle name="Currency 24 2 3 2" xfId="1269"/>
    <cellStyle name="Currency 24 2 4" xfId="1270"/>
    <cellStyle name="Currency 24 3" xfId="1271"/>
    <cellStyle name="Currency 24 3 2" xfId="1272"/>
    <cellStyle name="Currency 24 3 2 2" xfId="1273"/>
    <cellStyle name="Currency 24 3 2 2 2" xfId="1274"/>
    <cellStyle name="Currency 24 3 2 3" xfId="1275"/>
    <cellStyle name="Currency 24 3 3" xfId="1276"/>
    <cellStyle name="Currency 24 3 3 2" xfId="1277"/>
    <cellStyle name="Currency 24 3 4" xfId="1278"/>
    <cellStyle name="Currency 24 4" xfId="1279"/>
    <cellStyle name="Currency 24 4 2" xfId="1280"/>
    <cellStyle name="Currency 24 4 2 2" xfId="1281"/>
    <cellStyle name="Currency 24 4 3" xfId="1282"/>
    <cellStyle name="Currency 24 5" xfId="1283"/>
    <cellStyle name="Currency 24 5 2" xfId="1284"/>
    <cellStyle name="Currency 24 6" xfId="1285"/>
    <cellStyle name="Currency 25" xfId="1286"/>
    <cellStyle name="Currency 26" xfId="1287"/>
    <cellStyle name="Currency 26 2" xfId="1288"/>
    <cellStyle name="Currency 26 2 2" xfId="1289"/>
    <cellStyle name="Currency 26 2 2 2" xfId="1290"/>
    <cellStyle name="Currency 26 2 2 2 2" xfId="1291"/>
    <cellStyle name="Currency 26 2 2 3" xfId="1292"/>
    <cellStyle name="Currency 26 2 3" xfId="1293"/>
    <cellStyle name="Currency 26 2 3 2" xfId="1294"/>
    <cellStyle name="Currency 26 2 4" xfId="1295"/>
    <cellStyle name="Currency 26 3" xfId="1296"/>
    <cellStyle name="Currency 26 3 2" xfId="1297"/>
    <cellStyle name="Currency 26 3 2 2" xfId="1298"/>
    <cellStyle name="Currency 26 3 2 2 2" xfId="1299"/>
    <cellStyle name="Currency 26 3 2 3" xfId="1300"/>
    <cellStyle name="Currency 26 3 3" xfId="1301"/>
    <cellStyle name="Currency 26 3 3 2" xfId="1302"/>
    <cellStyle name="Currency 26 3 4" xfId="1303"/>
    <cellStyle name="Currency 26 4" xfId="1304"/>
    <cellStyle name="Currency 26 4 2" xfId="1305"/>
    <cellStyle name="Currency 26 4 2 2" xfId="1306"/>
    <cellStyle name="Currency 26 4 3" xfId="1307"/>
    <cellStyle name="Currency 26 5" xfId="1308"/>
    <cellStyle name="Currency 26 5 2" xfId="1309"/>
    <cellStyle name="Currency 26 6" xfId="1310"/>
    <cellStyle name="Currency 27" xfId="1311"/>
    <cellStyle name="Currency 27 2" xfId="1312"/>
    <cellStyle name="Currency 27 2 2" xfId="1313"/>
    <cellStyle name="Currency 27 2 2 2" xfId="1314"/>
    <cellStyle name="Currency 27 2 2 2 2" xfId="1315"/>
    <cellStyle name="Currency 27 2 2 3" xfId="1316"/>
    <cellStyle name="Currency 27 2 3" xfId="1317"/>
    <cellStyle name="Currency 27 2 3 2" xfId="1318"/>
    <cellStyle name="Currency 27 2 4" xfId="1319"/>
    <cellStyle name="Currency 27 3" xfId="1320"/>
    <cellStyle name="Currency 27 3 2" xfId="1321"/>
    <cellStyle name="Currency 27 3 2 2" xfId="1322"/>
    <cellStyle name="Currency 27 3 2 2 2" xfId="1323"/>
    <cellStyle name="Currency 27 3 2 3" xfId="1324"/>
    <cellStyle name="Currency 27 3 3" xfId="1325"/>
    <cellStyle name="Currency 27 3 3 2" xfId="1326"/>
    <cellStyle name="Currency 27 3 4" xfId="1327"/>
    <cellStyle name="Currency 27 4" xfId="1328"/>
    <cellStyle name="Currency 27 4 2" xfId="1329"/>
    <cellStyle name="Currency 27 4 2 2" xfId="1330"/>
    <cellStyle name="Currency 27 4 3" xfId="1331"/>
    <cellStyle name="Currency 27 5" xfId="1332"/>
    <cellStyle name="Currency 27 5 2" xfId="1333"/>
    <cellStyle name="Currency 27 6" xfId="1334"/>
    <cellStyle name="Currency 28" xfId="1335"/>
    <cellStyle name="Currency 28 2" xfId="1336"/>
    <cellStyle name="Currency 28 2 2" xfId="1337"/>
    <cellStyle name="Currency 28 2 2 2" xfId="1338"/>
    <cellStyle name="Currency 28 2 2 2 2" xfId="1339"/>
    <cellStyle name="Currency 28 2 2 3" xfId="1340"/>
    <cellStyle name="Currency 28 2 3" xfId="1341"/>
    <cellStyle name="Currency 28 2 3 2" xfId="1342"/>
    <cellStyle name="Currency 28 2 4" xfId="1343"/>
    <cellStyle name="Currency 28 3" xfId="1344"/>
    <cellStyle name="Currency 28 3 2" xfId="1345"/>
    <cellStyle name="Currency 28 3 2 2" xfId="1346"/>
    <cellStyle name="Currency 28 3 2 2 2" xfId="1347"/>
    <cellStyle name="Currency 28 3 2 3" xfId="1348"/>
    <cellStyle name="Currency 28 3 3" xfId="1349"/>
    <cellStyle name="Currency 28 3 3 2" xfId="1350"/>
    <cellStyle name="Currency 28 3 4" xfId="1351"/>
    <cellStyle name="Currency 28 4" xfId="1352"/>
    <cellStyle name="Currency 28 4 2" xfId="1353"/>
    <cellStyle name="Currency 28 4 2 2" xfId="1354"/>
    <cellStyle name="Currency 28 4 3" xfId="1355"/>
    <cellStyle name="Currency 28 5" xfId="1356"/>
    <cellStyle name="Currency 28 5 2" xfId="1357"/>
    <cellStyle name="Currency 28 6" xfId="1358"/>
    <cellStyle name="Currency 29" xfId="1359"/>
    <cellStyle name="Currency 29 2" xfId="1360"/>
    <cellStyle name="Currency 29 2 2" xfId="1361"/>
    <cellStyle name="Currency 29 2 2 2" xfId="1362"/>
    <cellStyle name="Currency 29 2 2 2 2" xfId="1363"/>
    <cellStyle name="Currency 29 2 2 3" xfId="1364"/>
    <cellStyle name="Currency 29 2 3" xfId="1365"/>
    <cellStyle name="Currency 29 2 3 2" xfId="1366"/>
    <cellStyle name="Currency 29 2 4" xfId="1367"/>
    <cellStyle name="Currency 29 3" xfId="1368"/>
    <cellStyle name="Currency 29 3 2" xfId="1369"/>
    <cellStyle name="Currency 29 3 2 2" xfId="1370"/>
    <cellStyle name="Currency 29 3 2 2 2" xfId="1371"/>
    <cellStyle name="Currency 29 3 2 3" xfId="1372"/>
    <cellStyle name="Currency 29 3 3" xfId="1373"/>
    <cellStyle name="Currency 29 3 3 2" xfId="1374"/>
    <cellStyle name="Currency 29 3 4" xfId="1375"/>
    <cellStyle name="Currency 29 4" xfId="1376"/>
    <cellStyle name="Currency 29 4 2" xfId="1377"/>
    <cellStyle name="Currency 29 4 2 2" xfId="1378"/>
    <cellStyle name="Currency 29 4 3" xfId="1379"/>
    <cellStyle name="Currency 29 5" xfId="1380"/>
    <cellStyle name="Currency 29 5 2" xfId="1381"/>
    <cellStyle name="Currency 29 6" xfId="1382"/>
    <cellStyle name="Currency 3" xfId="1383"/>
    <cellStyle name="Currency 3 2" xfId="1384"/>
    <cellStyle name="Currency 3 2 2" xfId="1385"/>
    <cellStyle name="Currency 3 2 2 2" xfId="1386"/>
    <cellStyle name="Currency 3 2 3" xfId="1387"/>
    <cellStyle name="Currency 3 2 4" xfId="1388"/>
    <cellStyle name="Currency 3 2 5" xfId="1389"/>
    <cellStyle name="Currency 3 3" xfId="1390"/>
    <cellStyle name="Currency 3 4" xfId="1391"/>
    <cellStyle name="Currency 3 5" xfId="1392"/>
    <cellStyle name="Currency 3 6" xfId="1393"/>
    <cellStyle name="Currency 30" xfId="1394"/>
    <cellStyle name="Currency 31" xfId="1395"/>
    <cellStyle name="Currency 32" xfId="1396"/>
    <cellStyle name="Currency 33" xfId="1397"/>
    <cellStyle name="Currency 34" xfId="1398"/>
    <cellStyle name="Currency 4" xfId="1399"/>
    <cellStyle name="Currency 4 10" xfId="1400"/>
    <cellStyle name="Currency 4 2" xfId="1401"/>
    <cellStyle name="Currency 4 2 2" xfId="1402"/>
    <cellStyle name="Currency 4 2 2 2" xfId="1403"/>
    <cellStyle name="Currency 4 2 2 2 2" xfId="1404"/>
    <cellStyle name="Currency 4 2 2 3" xfId="1405"/>
    <cellStyle name="Currency 4 2 3" xfId="1406"/>
    <cellStyle name="Currency 4 2 3 2" xfId="1407"/>
    <cellStyle name="Currency 4 2 4" xfId="1408"/>
    <cellStyle name="Currency 4 3" xfId="1409"/>
    <cellStyle name="Currency 4 3 2" xfId="1410"/>
    <cellStyle name="Currency 4 3 2 2" xfId="1411"/>
    <cellStyle name="Currency 4 3 2 2 2" xfId="1412"/>
    <cellStyle name="Currency 4 3 2 3" xfId="1413"/>
    <cellStyle name="Currency 4 3 3" xfId="1414"/>
    <cellStyle name="Currency 4 3 3 2" xfId="1415"/>
    <cellStyle name="Currency 4 3 4" xfId="1416"/>
    <cellStyle name="Currency 4 4" xfId="1417"/>
    <cellStyle name="Currency 4 4 2" xfId="1418"/>
    <cellStyle name="Currency 4 4 2 2" xfId="1419"/>
    <cellStyle name="Currency 4 4 3" xfId="1420"/>
    <cellStyle name="Currency 4 5" xfId="1421"/>
    <cellStyle name="Currency 4 5 2" xfId="1422"/>
    <cellStyle name="Currency 4 5 2 2" xfId="1423"/>
    <cellStyle name="Currency 4 5 3" xfId="1424"/>
    <cellStyle name="Currency 4 6" xfId="1425"/>
    <cellStyle name="Currency 4 6 2" xfId="1426"/>
    <cellStyle name="Currency 4 6 2 2" xfId="1427"/>
    <cellStyle name="Currency 4 6 3" xfId="1428"/>
    <cellStyle name="Currency 4 7" xfId="1429"/>
    <cellStyle name="Currency 4 7 2" xfId="1430"/>
    <cellStyle name="Currency 4 8" xfId="1431"/>
    <cellStyle name="Currency 4 9" xfId="1432"/>
    <cellStyle name="Currency 5" xfId="1433"/>
    <cellStyle name="Currency 5 2" xfId="1434"/>
    <cellStyle name="Currency 5 2 2" xfId="1435"/>
    <cellStyle name="Currency 5 2 2 2" xfId="1436"/>
    <cellStyle name="Currency 5 2 2 2 2" xfId="1437"/>
    <cellStyle name="Currency 5 2 2 3" xfId="1438"/>
    <cellStyle name="Currency 5 2 3" xfId="1439"/>
    <cellStyle name="Currency 5 2 3 2" xfId="1440"/>
    <cellStyle name="Currency 5 2 4" xfId="1441"/>
    <cellStyle name="Currency 5 3" xfId="1442"/>
    <cellStyle name="Currency 5 3 2" xfId="1443"/>
    <cellStyle name="Currency 5 3 2 2" xfId="1444"/>
    <cellStyle name="Currency 5 3 2 2 2" xfId="1445"/>
    <cellStyle name="Currency 5 3 2 3" xfId="1446"/>
    <cellStyle name="Currency 5 3 3" xfId="1447"/>
    <cellStyle name="Currency 5 3 3 2" xfId="1448"/>
    <cellStyle name="Currency 5 3 4" xfId="1449"/>
    <cellStyle name="Currency 5 4" xfId="1450"/>
    <cellStyle name="Currency 5 4 2" xfId="1451"/>
    <cellStyle name="Currency 5 4 2 2" xfId="1452"/>
    <cellStyle name="Currency 5 4 3" xfId="1453"/>
    <cellStyle name="Currency 5 5" xfId="1454"/>
    <cellStyle name="Currency 5 5 2" xfId="1455"/>
    <cellStyle name="Currency 5 6" xfId="1456"/>
    <cellStyle name="Currency 6" xfId="1457"/>
    <cellStyle name="Currency 6 2" xfId="1458"/>
    <cellStyle name="Currency 6 2 2" xfId="1459"/>
    <cellStyle name="Currency 6 2 2 2" xfId="1460"/>
    <cellStyle name="Currency 6 2 2 2 2" xfId="1461"/>
    <cellStyle name="Currency 6 2 2 3" xfId="1462"/>
    <cellStyle name="Currency 6 2 3" xfId="1463"/>
    <cellStyle name="Currency 6 2 3 2" xfId="1464"/>
    <cellStyle name="Currency 6 2 4" xfId="1465"/>
    <cellStyle name="Currency 6 3" xfId="1466"/>
    <cellStyle name="Currency 6 3 2" xfId="1467"/>
    <cellStyle name="Currency 6 3 2 2" xfId="1468"/>
    <cellStyle name="Currency 6 3 2 2 2" xfId="1469"/>
    <cellStyle name="Currency 6 3 2 3" xfId="1470"/>
    <cellStyle name="Currency 6 3 3" xfId="1471"/>
    <cellStyle name="Currency 6 3 3 2" xfId="1472"/>
    <cellStyle name="Currency 6 3 4" xfId="1473"/>
    <cellStyle name="Currency 6 4" xfId="1474"/>
    <cellStyle name="Currency 6 4 2" xfId="1475"/>
    <cellStyle name="Currency 6 4 2 2" xfId="1476"/>
    <cellStyle name="Currency 6 4 3" xfId="1477"/>
    <cellStyle name="Currency 6 5" xfId="1478"/>
    <cellStyle name="Currency 6 5 2" xfId="1479"/>
    <cellStyle name="Currency 6 6" xfId="1480"/>
    <cellStyle name="Currency 7" xfId="1481"/>
    <cellStyle name="Currency 7 2" xfId="1482"/>
    <cellStyle name="Currency 8" xfId="1483"/>
    <cellStyle name="Currency 8 2" xfId="1484"/>
    <cellStyle name="Currency 8 2 2" xfId="1485"/>
    <cellStyle name="Currency 8 2 2 2" xfId="1486"/>
    <cellStyle name="Currency 8 2 2 2 2" xfId="1487"/>
    <cellStyle name="Currency 8 2 2 3" xfId="1488"/>
    <cellStyle name="Currency 8 2 3" xfId="1489"/>
    <cellStyle name="Currency 8 2 3 2" xfId="1490"/>
    <cellStyle name="Currency 8 2 4" xfId="1491"/>
    <cellStyle name="Currency 8 3" xfId="1492"/>
    <cellStyle name="Currency 8 3 2" xfId="1493"/>
    <cellStyle name="Currency 8 3 2 2" xfId="1494"/>
    <cellStyle name="Currency 8 3 2 2 2" xfId="1495"/>
    <cellStyle name="Currency 8 3 2 3" xfId="1496"/>
    <cellStyle name="Currency 8 3 3" xfId="1497"/>
    <cellStyle name="Currency 8 3 3 2" xfId="1498"/>
    <cellStyle name="Currency 8 3 4" xfId="1499"/>
    <cellStyle name="Currency 8 4" xfId="1500"/>
    <cellStyle name="Currency 8 4 2" xfId="1501"/>
    <cellStyle name="Currency 8 4 2 2" xfId="1502"/>
    <cellStyle name="Currency 8 4 3" xfId="1503"/>
    <cellStyle name="Currency 8 5" xfId="1504"/>
    <cellStyle name="Currency 8 5 2" xfId="1505"/>
    <cellStyle name="Currency 8 6" xfId="1506"/>
    <cellStyle name="Currency 8 7" xfId="1507"/>
    <cellStyle name="Currency 9" xfId="1508"/>
    <cellStyle name="Currency 9 2" xfId="1509"/>
    <cellStyle name="Currency 9 2 2" xfId="1510"/>
    <cellStyle name="Currency 9 2 2 2" xfId="1511"/>
    <cellStyle name="Currency 9 2 2 2 2" xfId="1512"/>
    <cellStyle name="Currency 9 2 2 3" xfId="1513"/>
    <cellStyle name="Currency 9 2 3" xfId="1514"/>
    <cellStyle name="Currency 9 2 3 2" xfId="1515"/>
    <cellStyle name="Currency 9 2 4" xfId="1516"/>
    <cellStyle name="Currency 9 3" xfId="1517"/>
    <cellStyle name="Currency 9 3 2" xfId="1518"/>
    <cellStyle name="Currency 9 3 2 2" xfId="1519"/>
    <cellStyle name="Currency 9 3 2 2 2" xfId="1520"/>
    <cellStyle name="Currency 9 3 2 3" xfId="1521"/>
    <cellStyle name="Currency 9 3 3" xfId="1522"/>
    <cellStyle name="Currency 9 3 3 2" xfId="1523"/>
    <cellStyle name="Currency 9 3 4" xfId="1524"/>
    <cellStyle name="Currency 9 4" xfId="1525"/>
    <cellStyle name="Currency 9 4 2" xfId="1526"/>
    <cellStyle name="Currency 9 4 2 2" xfId="1527"/>
    <cellStyle name="Currency 9 4 3" xfId="1528"/>
    <cellStyle name="Currency 9 5" xfId="1529"/>
    <cellStyle name="Currency 9 5 2" xfId="1530"/>
    <cellStyle name="Currency 9 6" xfId="1531"/>
    <cellStyle name="Currency Per Share" xfId="1532"/>
    <cellStyle name="Currency0" xfId="12"/>
    <cellStyle name="Currency2" xfId="1533"/>
    <cellStyle name="CUS.Work.Area" xfId="1534"/>
    <cellStyle name="Dash" xfId="1535"/>
    <cellStyle name="Data" xfId="1536"/>
    <cellStyle name="Data 2" xfId="1537"/>
    <cellStyle name="Data 3" xfId="1538"/>
    <cellStyle name="Date" xfId="13"/>
    <cellStyle name="Date [mm-dd-yyyy]" xfId="1539"/>
    <cellStyle name="Date [mm-dd-yyyy] 2" xfId="1540"/>
    <cellStyle name="Date [mm-d-yyyy]" xfId="1541"/>
    <cellStyle name="Date [mmm-yyyy]" xfId="1542"/>
    <cellStyle name="Date Aligned" xfId="1543"/>
    <cellStyle name="Date Aligned*" xfId="1544"/>
    <cellStyle name="Date Aligned_comp_Integrateds" xfId="1545"/>
    <cellStyle name="Date Short" xfId="1546"/>
    <cellStyle name="date_ Pies " xfId="1547"/>
    <cellStyle name="DblLineDollarAcct" xfId="1548"/>
    <cellStyle name="DblLinePercent" xfId="1549"/>
    <cellStyle name="Dezimal [0]_A17 - 31.03.1998" xfId="1550"/>
    <cellStyle name="Dezimal_A17 - 31.03.1998" xfId="1551"/>
    <cellStyle name="Dia" xfId="1552"/>
    <cellStyle name="Dollar_ Pies " xfId="1553"/>
    <cellStyle name="DollarAccounting" xfId="1554"/>
    <cellStyle name="Dotted Line" xfId="1555"/>
    <cellStyle name="Dotted Line 2" xfId="1556"/>
    <cellStyle name="Dotted Line 3" xfId="1557"/>
    <cellStyle name="Double Accounting" xfId="1558"/>
    <cellStyle name="Duizenden" xfId="1559"/>
    <cellStyle name="Encabez1" xfId="1560"/>
    <cellStyle name="Encabez2" xfId="1561"/>
    <cellStyle name="Enter Currency (0)" xfId="1562"/>
    <cellStyle name="Enter Currency (2)" xfId="1563"/>
    <cellStyle name="Enter Units (0)" xfId="1564"/>
    <cellStyle name="Enter Units (1)" xfId="1565"/>
    <cellStyle name="Enter Units (2)" xfId="1566"/>
    <cellStyle name="Euro" xfId="1567"/>
    <cellStyle name="Explanatory Text 2" xfId="1568"/>
    <cellStyle name="Explanatory Text 2 2" xfId="1569"/>
    <cellStyle name="Explanatory Text 2 3" xfId="1570"/>
    <cellStyle name="Explanatory Text 2 4" xfId="1571"/>
    <cellStyle name="Explanatory Text 2 5" xfId="1572"/>
    <cellStyle name="Explanatory Text 2 6" xfId="1573"/>
    <cellStyle name="Explanatory Text 2 7" xfId="1574"/>
    <cellStyle name="Explanatory Text 2 8" xfId="1575"/>
    <cellStyle name="Explanatory Text 2 9" xfId="1576"/>
    <cellStyle name="fact" xfId="1577"/>
    <cellStyle name="FieldName" xfId="1578"/>
    <cellStyle name="FieldName 2" xfId="1579"/>
    <cellStyle name="FieldName 3" xfId="1580"/>
    <cellStyle name="Fijo" xfId="1581"/>
    <cellStyle name="Financiero" xfId="1582"/>
    <cellStyle name="Fixed" xfId="14"/>
    <cellStyle name="Footnote" xfId="1583"/>
    <cellStyle name="Good 2" xfId="1584"/>
    <cellStyle name="Good 2 2" xfId="1585"/>
    <cellStyle name="Good 2 3" xfId="1586"/>
    <cellStyle name="Good 2 4" xfId="1587"/>
    <cellStyle name="Good 2 5" xfId="1588"/>
    <cellStyle name="Good 2 6" xfId="1589"/>
    <cellStyle name="Good 2 7" xfId="1590"/>
    <cellStyle name="Good 2 8" xfId="1591"/>
    <cellStyle name="Good 2 9" xfId="1592"/>
    <cellStyle name="Grey" xfId="1593"/>
    <cellStyle name="GWN Table Body" xfId="1594"/>
    <cellStyle name="GWN Table Header" xfId="1595"/>
    <cellStyle name="GWN Table Left Header" xfId="1596"/>
    <cellStyle name="GWN Table Note" xfId="1597"/>
    <cellStyle name="GWN Table Title" xfId="1598"/>
    <cellStyle name="hard no" xfId="1599"/>
    <cellStyle name="Hard Percent" xfId="1600"/>
    <cellStyle name="hardno" xfId="1601"/>
    <cellStyle name="Header" xfId="1602"/>
    <cellStyle name="Header1" xfId="1603"/>
    <cellStyle name="Header2" xfId="1604"/>
    <cellStyle name="Heading" xfId="1605"/>
    <cellStyle name="Heading 1 2" xfId="1606"/>
    <cellStyle name="Heading 1 2 2" xfId="1607"/>
    <cellStyle name="Heading 1 2 3" xfId="1608"/>
    <cellStyle name="Heading 1 2 4" xfId="1609"/>
    <cellStyle name="Heading 1 2 5" xfId="1610"/>
    <cellStyle name="Heading 1 2 6" xfId="1611"/>
    <cellStyle name="Heading 1 3" xfId="1612"/>
    <cellStyle name="Heading 2 2" xfId="1613"/>
    <cellStyle name="Heading 2 2 2" xfId="1614"/>
    <cellStyle name="Heading 2 2 3" xfId="1615"/>
    <cellStyle name="Heading 2 2 4" xfId="1616"/>
    <cellStyle name="Heading 2 2 5" xfId="1617"/>
    <cellStyle name="Heading 2 2 6" xfId="1618"/>
    <cellStyle name="Heading 2 3" xfId="1619"/>
    <cellStyle name="Heading 3 2" xfId="1620"/>
    <cellStyle name="Heading 3 2 2" xfId="1621"/>
    <cellStyle name="Heading 3 2 3" xfId="1622"/>
    <cellStyle name="Heading 3 2 4" xfId="1623"/>
    <cellStyle name="Heading 3 2 5" xfId="1624"/>
    <cellStyle name="Heading 3 2 6" xfId="1625"/>
    <cellStyle name="Heading 3 2 7" xfId="1626"/>
    <cellStyle name="Heading 3 3" xfId="1627"/>
    <cellStyle name="Heading 4 2" xfId="1628"/>
    <cellStyle name="Heading 4 2 2" xfId="1629"/>
    <cellStyle name="Heading2" xfId="1630"/>
    <cellStyle name="Heading3" xfId="1631"/>
    <cellStyle name="HeadingColumn" xfId="1632"/>
    <cellStyle name="HeadingS" xfId="1633"/>
    <cellStyle name="HeadingYear" xfId="1634"/>
    <cellStyle name="HeadlineStyle" xfId="1635"/>
    <cellStyle name="HeadlineStyleJustified" xfId="1636"/>
    <cellStyle name="Hed Side_Sheet1" xfId="1637"/>
    <cellStyle name="Hed Top" xfId="1638"/>
    <cellStyle name="Hyperlink 2" xfId="1639"/>
    <cellStyle name="Hyperlink 2 10" xfId="1640"/>
    <cellStyle name="Hyperlink 2 11" xfId="1641"/>
    <cellStyle name="Hyperlink 2 12" xfId="1642"/>
    <cellStyle name="Hyperlink 2 13" xfId="1643"/>
    <cellStyle name="Hyperlink 2 2" xfId="1644"/>
    <cellStyle name="Hyperlink 2 2 2" xfId="1645"/>
    <cellStyle name="Hyperlink 2 3" xfId="1646"/>
    <cellStyle name="Hyperlink 2 3 2" xfId="1647"/>
    <cellStyle name="Hyperlink 2 4" xfId="1648"/>
    <cellStyle name="Hyperlink 2 5" xfId="1649"/>
    <cellStyle name="Hyperlink 2 6" xfId="1650"/>
    <cellStyle name="Hyperlink 2 7" xfId="1651"/>
    <cellStyle name="Hyperlink 2 8" xfId="1652"/>
    <cellStyle name="Hyperlink 2 9" xfId="1653"/>
    <cellStyle name="Hyperlink 3" xfId="1654"/>
    <cellStyle name="Hyperlink 3 10" xfId="1655"/>
    <cellStyle name="Hyperlink 3 11" xfId="1656"/>
    <cellStyle name="Hyperlink 3 12" xfId="1657"/>
    <cellStyle name="Hyperlink 3 2" xfId="1658"/>
    <cellStyle name="Hyperlink 3 3" xfId="1659"/>
    <cellStyle name="Hyperlink 3 4" xfId="1660"/>
    <cellStyle name="Hyperlink 3 5" xfId="1661"/>
    <cellStyle name="Hyperlink 3 6" xfId="1662"/>
    <cellStyle name="Hyperlink 3 7" xfId="1663"/>
    <cellStyle name="Hyperlink 3 8" xfId="1664"/>
    <cellStyle name="Hyperlink 3 9" xfId="1665"/>
    <cellStyle name="Hyperlink 4" xfId="1666"/>
    <cellStyle name="Hyperlink 5" xfId="1667"/>
    <cellStyle name="InLink_Acquis_CapitalCost " xfId="1668"/>
    <cellStyle name="Input (1dp#)_ Pies " xfId="1669"/>
    <cellStyle name="Input [yellow]" xfId="1670"/>
    <cellStyle name="Input 2" xfId="1671"/>
    <cellStyle name="Input 2 10" xfId="1672"/>
    <cellStyle name="Input 2 11" xfId="1673"/>
    <cellStyle name="Input 2 2" xfId="1674"/>
    <cellStyle name="Input 2 2 2" xfId="1675"/>
    <cellStyle name="Input 2 2 3" xfId="1676"/>
    <cellStyle name="Input 2 2 4" xfId="1677"/>
    <cellStyle name="Input 2 3" xfId="1678"/>
    <cellStyle name="Input 2 4" xfId="1679"/>
    <cellStyle name="Input 2 5" xfId="1680"/>
    <cellStyle name="Input 2 6" xfId="1681"/>
    <cellStyle name="Input 2 7" xfId="1682"/>
    <cellStyle name="Input 2 8" xfId="1683"/>
    <cellStyle name="Input 2 9" xfId="1684"/>
    <cellStyle name="Input 3" xfId="1685"/>
    <cellStyle name="InputBlueFont" xfId="1686"/>
    <cellStyle name="InputGen" xfId="1687"/>
    <cellStyle name="InputKeepColour" xfId="1688"/>
    <cellStyle name="InputKeepPale" xfId="1689"/>
    <cellStyle name="InputVariColour" xfId="1690"/>
    <cellStyle name="Integer" xfId="1691"/>
    <cellStyle name="Invisible" xfId="1692"/>
    <cellStyle name="Item" xfId="1693"/>
    <cellStyle name="Items_Obligatory" xfId="1694"/>
    <cellStyle name="ItemTypeClass" xfId="1695"/>
    <cellStyle name="ItemTypeClass 2" xfId="1696"/>
    <cellStyle name="ItemTypeClass 3" xfId="1697"/>
    <cellStyle name="KP_Normal" xfId="1698"/>
    <cellStyle name="Lien hypertexte visité_index" xfId="1699"/>
    <cellStyle name="Lien hypertexte_index" xfId="1700"/>
    <cellStyle name="ligne_detail" xfId="1701"/>
    <cellStyle name="Line" xfId="1702"/>
    <cellStyle name="Link Currency (0)" xfId="1703"/>
    <cellStyle name="Link Currency (2)" xfId="1704"/>
    <cellStyle name="Link Units (0)" xfId="1705"/>
    <cellStyle name="Link Units (1)" xfId="1706"/>
    <cellStyle name="Link Units (2)" xfId="1707"/>
    <cellStyle name="Linked Cell 2" xfId="1708"/>
    <cellStyle name="Linked Cell 2 2" xfId="1709"/>
    <cellStyle name="Linked Cell 2 3" xfId="1710"/>
    <cellStyle name="Linked Cell 2 4" xfId="1711"/>
    <cellStyle name="Linked Cell 2 5" xfId="1712"/>
    <cellStyle name="Linked Cell 2 6" xfId="1713"/>
    <cellStyle name="Linked Cell 2 7" xfId="1714"/>
    <cellStyle name="Linked Cell 2 8" xfId="1715"/>
    <cellStyle name="Linked Cell 2 9" xfId="25"/>
    <cellStyle name="m/d/yy" xfId="1716"/>
    <cellStyle name="m1" xfId="1717"/>
    <cellStyle name="Major item" xfId="1718"/>
    <cellStyle name="Margin" xfId="1719"/>
    <cellStyle name="Migliaia (0)_Sheet1" xfId="1720"/>
    <cellStyle name="Migliaia_piv_polio" xfId="1721"/>
    <cellStyle name="Millares [0]_Asset Mgmt " xfId="1722"/>
    <cellStyle name="Millares_2AV_M_M " xfId="1723"/>
    <cellStyle name="Milliers [0]_CANADA1" xfId="1724"/>
    <cellStyle name="Milliers 2" xfId="1725"/>
    <cellStyle name="Milliers_CANADA1" xfId="1726"/>
    <cellStyle name="mm/dd/yy" xfId="1727"/>
    <cellStyle name="mod1" xfId="1728"/>
    <cellStyle name="modelo1" xfId="1729"/>
    <cellStyle name="Moneda [0]_2AV_M_M " xfId="1730"/>
    <cellStyle name="Moneda_2AV_M_M " xfId="1731"/>
    <cellStyle name="Monétaire [0]_CANADA1" xfId="1732"/>
    <cellStyle name="Monétaire 2" xfId="1733"/>
    <cellStyle name="Monétaire_CANADA1" xfId="1734"/>
    <cellStyle name="Monetario" xfId="1735"/>
    <cellStyle name="MonthYears" xfId="1736"/>
    <cellStyle name="Multiple" xfId="1737"/>
    <cellStyle name="Multiple (no x)" xfId="1738"/>
    <cellStyle name="Multiple (x)" xfId="1739"/>
    <cellStyle name="Multiple [0]" xfId="1740"/>
    <cellStyle name="Multiple [1]" xfId="1741"/>
    <cellStyle name="Multiple [2]" xfId="1742"/>
    <cellStyle name="Multiple [3]" xfId="1743"/>
    <cellStyle name="Multiple_1030171N" xfId="1744"/>
    <cellStyle name="neg0.0_CapitalCost " xfId="1745"/>
    <cellStyle name="Neutral 2" xfId="1746"/>
    <cellStyle name="Neutral 2 2" xfId="1747"/>
    <cellStyle name="Neutral 2 3" xfId="1748"/>
    <cellStyle name="Neutral 2 4" xfId="1749"/>
    <cellStyle name="Neutral 2 5" xfId="1750"/>
    <cellStyle name="Neutral 2 6" xfId="1751"/>
    <cellStyle name="Neutral 2 7" xfId="1752"/>
    <cellStyle name="Neutral 2 8" xfId="1753"/>
    <cellStyle name="Neutral 2 9" xfId="1754"/>
    <cellStyle name="New" xfId="1755"/>
    <cellStyle name="Nil" xfId="1756"/>
    <cellStyle name="no dec" xfId="1757"/>
    <cellStyle name="No-definido" xfId="1758"/>
    <cellStyle name="Non_Input_Cell_Figures" xfId="1759"/>
    <cellStyle name="NonPrintingArea" xfId="1760"/>
    <cellStyle name="NORAYAS" xfId="1761"/>
    <cellStyle name="Normal" xfId="0" builtinId="0"/>
    <cellStyle name="Normal--" xfId="1762"/>
    <cellStyle name="Normal - Style1" xfId="1763"/>
    <cellStyle name="Normal [0]" xfId="1764"/>
    <cellStyle name="Normal [1]" xfId="1765"/>
    <cellStyle name="Normal [3]" xfId="1766"/>
    <cellStyle name="Normal [3] 2" xfId="1767"/>
    <cellStyle name="Normal [3] 3" xfId="1768"/>
    <cellStyle name="Normal 10" xfId="1769"/>
    <cellStyle name="Normal 10 2" xfId="1770"/>
    <cellStyle name="Normal 10 3" xfId="1771"/>
    <cellStyle name="Normal 10 4" xfId="1772"/>
    <cellStyle name="Normal 10 5" xfId="1773"/>
    <cellStyle name="Normal 10 6" xfId="1774"/>
    <cellStyle name="Normal 10 7" xfId="1775"/>
    <cellStyle name="Normal 11" xfId="1776"/>
    <cellStyle name="Normal 11 2" xfId="1777"/>
    <cellStyle name="Normal 11 2 2" xfId="1778"/>
    <cellStyle name="Normal 11 3" xfId="1779"/>
    <cellStyle name="Normal 11 4" xfId="1780"/>
    <cellStyle name="Normal 11 5" xfId="1781"/>
    <cellStyle name="Normal 11 6" xfId="1782"/>
    <cellStyle name="Normal 11 7" xfId="1783"/>
    <cellStyle name="Normal 12" xfId="1784"/>
    <cellStyle name="Normal 12 2" xfId="1785"/>
    <cellStyle name="Normal 12 3" xfId="1786"/>
    <cellStyle name="Normal 12 4" xfId="1787"/>
    <cellStyle name="Normal 12 5" xfId="1788"/>
    <cellStyle name="Normal 13" xfId="1789"/>
    <cellStyle name="Normal 13 2" xfId="1790"/>
    <cellStyle name="Normal 13 3" xfId="1791"/>
    <cellStyle name="Normal 14" xfId="1792"/>
    <cellStyle name="Normal 14 2" xfId="1793"/>
    <cellStyle name="Normal 14 3" xfId="1794"/>
    <cellStyle name="Normal 15" xfId="1795"/>
    <cellStyle name="Normal 15 2" xfId="1796"/>
    <cellStyle name="Normal 15 2 2" xfId="1797"/>
    <cellStyle name="Normal 15 3" xfId="1798"/>
    <cellStyle name="Normal 15 4" xfId="1799"/>
    <cellStyle name="Normal 16" xfId="1800"/>
    <cellStyle name="Normal 16 2" xfId="1801"/>
    <cellStyle name="Normal 16 3" xfId="1802"/>
    <cellStyle name="Normal 17" xfId="1803"/>
    <cellStyle name="Normal 18" xfId="1804"/>
    <cellStyle name="Normal 18 2" xfId="1805"/>
    <cellStyle name="Normal 19" xfId="1806"/>
    <cellStyle name="Normal 2" xfId="15"/>
    <cellStyle name="Normal-- 2" xfId="1807"/>
    <cellStyle name="Normal 2 10" xfId="1808"/>
    <cellStyle name="Normal 2 10 2" xfId="1809"/>
    <cellStyle name="Normal 2 11" xfId="1810"/>
    <cellStyle name="Normal 2 11 2" xfId="1811"/>
    <cellStyle name="Normal 2 12" xfId="1812"/>
    <cellStyle name="Normal 2 12 2" xfId="1813"/>
    <cellStyle name="Normal 2 13" xfId="1814"/>
    <cellStyle name="Normal 2 13 2" xfId="1815"/>
    <cellStyle name="Normal 2 14" xfId="1816"/>
    <cellStyle name="Normal 2 14 2" xfId="1817"/>
    <cellStyle name="Normal 2 15" xfId="1818"/>
    <cellStyle name="Normal 2 15 2" xfId="1819"/>
    <cellStyle name="Normal 2 16" xfId="1820"/>
    <cellStyle name="Normal 2 16 2" xfId="1821"/>
    <cellStyle name="Normal 2 17" xfId="1822"/>
    <cellStyle name="Normal 2 17 2" xfId="1823"/>
    <cellStyle name="Normal 2 18" xfId="1824"/>
    <cellStyle name="Normal 2 18 2" xfId="1825"/>
    <cellStyle name="Normal 2 19" xfId="1826"/>
    <cellStyle name="Normal 2 19 2" xfId="1827"/>
    <cellStyle name="Normal 2 2" xfId="16"/>
    <cellStyle name="Normal 2 2 2" xfId="1828"/>
    <cellStyle name="Normal 2 2 2 2" xfId="1829"/>
    <cellStyle name="Normal 2 2 2 2 2" xfId="1830"/>
    <cellStyle name="Normal 2 2 2 3" xfId="1831"/>
    <cellStyle name="Normal 2 2 2 4" xfId="1832"/>
    <cellStyle name="Normal 2 2 2 5" xfId="1833"/>
    <cellStyle name="Normal 2 2 2 6" xfId="1834"/>
    <cellStyle name="Normal 2 2 3" xfId="1835"/>
    <cellStyle name="Normal 2 2 4" xfId="1836"/>
    <cellStyle name="Normal 2 2 4 2" xfId="1837"/>
    <cellStyle name="Normal 2 2 4 3" xfId="1838"/>
    <cellStyle name="Normal 2 2 5" xfId="1839"/>
    <cellStyle name="Normal 2 2 6" xfId="1840"/>
    <cellStyle name="Normal 2 20" xfId="1841"/>
    <cellStyle name="Normal 2 20 2" xfId="1842"/>
    <cellStyle name="Normal 2 21" xfId="1843"/>
    <cellStyle name="Normal 2 21 2" xfId="1844"/>
    <cellStyle name="Normal 2 22" xfId="1845"/>
    <cellStyle name="Normal 2 22 2" xfId="1846"/>
    <cellStyle name="Normal 2 23" xfId="1847"/>
    <cellStyle name="Normal 2 23 2" xfId="1848"/>
    <cellStyle name="Normal 2 24" xfId="1849"/>
    <cellStyle name="Normal 2 24 2" xfId="1850"/>
    <cellStyle name="Normal 2 24 2 2" xfId="1851"/>
    <cellStyle name="Normal 2 24 3" xfId="1852"/>
    <cellStyle name="Normal 2 24 4" xfId="1853"/>
    <cellStyle name="Normal 2 25" xfId="1854"/>
    <cellStyle name="Normal 2 25 2" xfId="1855"/>
    <cellStyle name="Normal 2 26" xfId="1856"/>
    <cellStyle name="Normal 2 26 2" xfId="1857"/>
    <cellStyle name="Normal 2 27" xfId="1858"/>
    <cellStyle name="Normal 2 27 2" xfId="1859"/>
    <cellStyle name="Normal 2 28" xfId="1860"/>
    <cellStyle name="Normal 2 28 2" xfId="1861"/>
    <cellStyle name="Normal 2 29" xfId="1862"/>
    <cellStyle name="Normal 2 29 2" xfId="1863"/>
    <cellStyle name="Normal 2 3" xfId="1864"/>
    <cellStyle name="Normal 2 3 2" xfId="1865"/>
    <cellStyle name="Normal 2 3 3" xfId="1866"/>
    <cellStyle name="Normal 2 30" xfId="1867"/>
    <cellStyle name="Normal 2 30 2" xfId="1868"/>
    <cellStyle name="Normal 2 31" xfId="1869"/>
    <cellStyle name="Normal 2 31 2" xfId="1870"/>
    <cellStyle name="Normal 2 32" xfId="1871"/>
    <cellStyle name="Normal 2 33" xfId="1872"/>
    <cellStyle name="Normal 2 34" xfId="1873"/>
    <cellStyle name="Normal 2 35" xfId="1874"/>
    <cellStyle name="Normal 2 36" xfId="1875"/>
    <cellStyle name="Normal 2 37" xfId="1876"/>
    <cellStyle name="Normal 2 38" xfId="1877"/>
    <cellStyle name="Normal 2 39" xfId="1878"/>
    <cellStyle name="Normal 2 4" xfId="1879"/>
    <cellStyle name="Normal 2 4 2" xfId="1880"/>
    <cellStyle name="Normal 2 4 3" xfId="1881"/>
    <cellStyle name="Normal 2 4 4" xfId="1882"/>
    <cellStyle name="Normal 2 40" xfId="1883"/>
    <cellStyle name="Normal 2 41" xfId="1884"/>
    <cellStyle name="Normal 2 42" xfId="1885"/>
    <cellStyle name="Normal 2 43" xfId="1886"/>
    <cellStyle name="Normal 2 44" xfId="1887"/>
    <cellStyle name="Normal 2 45" xfId="1888"/>
    <cellStyle name="Normal 2 46" xfId="1889"/>
    <cellStyle name="Normal 2 47" xfId="1890"/>
    <cellStyle name="Normal 2 5" xfId="1891"/>
    <cellStyle name="Normal 2 5 2" xfId="1892"/>
    <cellStyle name="Normal 2 5 3" xfId="1893"/>
    <cellStyle name="Normal 2 6" xfId="1894"/>
    <cellStyle name="Normal 2 6 2" xfId="1895"/>
    <cellStyle name="Normal 2 7" xfId="1896"/>
    <cellStyle name="Normal 2 7 2" xfId="1897"/>
    <cellStyle name="Normal 2 8" xfId="1898"/>
    <cellStyle name="Normal 2 8 2" xfId="1899"/>
    <cellStyle name="Normal 2 9" xfId="1900"/>
    <cellStyle name="Normal 2 9 2" xfId="1901"/>
    <cellStyle name="Normal 20" xfId="1902"/>
    <cellStyle name="Normal 21" xfId="1903"/>
    <cellStyle name="Normal 22" xfId="1904"/>
    <cellStyle name="Normal 23" xfId="1905"/>
    <cellStyle name="Normal 24" xfId="1906"/>
    <cellStyle name="Normal 25" xfId="1907"/>
    <cellStyle name="Normal 25 10" xfId="1908"/>
    <cellStyle name="Normal 25 100" xfId="1909"/>
    <cellStyle name="Normal 25 101" xfId="1910"/>
    <cellStyle name="Normal 25 102" xfId="1911"/>
    <cellStyle name="Normal 25 103" xfId="1912"/>
    <cellStyle name="Normal 25 104" xfId="1913"/>
    <cellStyle name="Normal 25 105" xfId="1914"/>
    <cellStyle name="Normal 25 106" xfId="1915"/>
    <cellStyle name="Normal 25 107" xfId="1916"/>
    <cellStyle name="Normal 25 108" xfId="1917"/>
    <cellStyle name="Normal 25 109" xfId="1918"/>
    <cellStyle name="Normal 25 11" xfId="1919"/>
    <cellStyle name="Normal 25 12" xfId="1920"/>
    <cellStyle name="Normal 25 13" xfId="1921"/>
    <cellStyle name="Normal 25 14" xfId="1922"/>
    <cellStyle name="Normal 25 15" xfId="1923"/>
    <cellStyle name="Normal 25 16" xfId="1924"/>
    <cellStyle name="Normal 25 17" xfId="1925"/>
    <cellStyle name="Normal 25 18" xfId="1926"/>
    <cellStyle name="Normal 25 19" xfId="1927"/>
    <cellStyle name="Normal 25 2" xfId="1928"/>
    <cellStyle name="Normal 25 20" xfId="1929"/>
    <cellStyle name="Normal 25 21" xfId="1930"/>
    <cellStyle name="Normal 25 22" xfId="1931"/>
    <cellStyle name="Normal 25 23" xfId="1932"/>
    <cellStyle name="Normal 25 24" xfId="1933"/>
    <cellStyle name="Normal 25 25" xfId="1934"/>
    <cellStyle name="Normal 25 26" xfId="1935"/>
    <cellStyle name="Normal 25 27" xfId="1936"/>
    <cellStyle name="Normal 25 28" xfId="1937"/>
    <cellStyle name="Normal 25 29" xfId="1938"/>
    <cellStyle name="Normal 25 3" xfId="1939"/>
    <cellStyle name="Normal 25 30" xfId="1940"/>
    <cellStyle name="Normal 25 31" xfId="1941"/>
    <cellStyle name="Normal 25 32" xfId="1942"/>
    <cellStyle name="Normal 25 33" xfId="1943"/>
    <cellStyle name="Normal 25 34" xfId="1944"/>
    <cellStyle name="Normal 25 35" xfId="1945"/>
    <cellStyle name="Normal 25 36" xfId="1946"/>
    <cellStyle name="Normal 25 37" xfId="1947"/>
    <cellStyle name="Normal 25 38" xfId="1948"/>
    <cellStyle name="Normal 25 39" xfId="1949"/>
    <cellStyle name="Normal 25 4" xfId="1950"/>
    <cellStyle name="Normal 25 40" xfId="1951"/>
    <cellStyle name="Normal 25 41" xfId="1952"/>
    <cellStyle name="Normal 25 42" xfId="1953"/>
    <cellStyle name="Normal 25 43" xfId="1954"/>
    <cellStyle name="Normal 25 44" xfId="1955"/>
    <cellStyle name="Normal 25 45" xfId="1956"/>
    <cellStyle name="Normal 25 46" xfId="1957"/>
    <cellStyle name="Normal 25 47" xfId="1958"/>
    <cellStyle name="Normal 25 48" xfId="1959"/>
    <cellStyle name="Normal 25 49" xfId="1960"/>
    <cellStyle name="Normal 25 5" xfId="1961"/>
    <cellStyle name="Normal 25 50" xfId="1962"/>
    <cellStyle name="Normal 25 51" xfId="1963"/>
    <cellStyle name="Normal 25 52" xfId="1964"/>
    <cellStyle name="Normal 25 53" xfId="1965"/>
    <cellStyle name="Normal 25 54" xfId="1966"/>
    <cellStyle name="Normal 25 55" xfId="1967"/>
    <cellStyle name="Normal 25 56" xfId="1968"/>
    <cellStyle name="Normal 25 57" xfId="1969"/>
    <cellStyle name="Normal 25 58" xfId="1970"/>
    <cellStyle name="Normal 25 59" xfId="1971"/>
    <cellStyle name="Normal 25 6" xfId="1972"/>
    <cellStyle name="Normal 25 60" xfId="1973"/>
    <cellStyle name="Normal 25 61" xfId="1974"/>
    <cellStyle name="Normal 25 62" xfId="1975"/>
    <cellStyle name="Normal 25 63" xfId="1976"/>
    <cellStyle name="Normal 25 64" xfId="1977"/>
    <cellStyle name="Normal 25 65" xfId="1978"/>
    <cellStyle name="Normal 25 66" xfId="1979"/>
    <cellStyle name="Normal 25 67" xfId="1980"/>
    <cellStyle name="Normal 25 68" xfId="1981"/>
    <cellStyle name="Normal 25 69" xfId="1982"/>
    <cellStyle name="Normal 25 7" xfId="1983"/>
    <cellStyle name="Normal 25 70" xfId="1984"/>
    <cellStyle name="Normal 25 71" xfId="1985"/>
    <cellStyle name="Normal 25 72" xfId="1986"/>
    <cellStyle name="Normal 25 73" xfId="1987"/>
    <cellStyle name="Normal 25 74" xfId="1988"/>
    <cellStyle name="Normal 25 75" xfId="1989"/>
    <cellStyle name="Normal 25 76" xfId="1990"/>
    <cellStyle name="Normal 25 77" xfId="1991"/>
    <cellStyle name="Normal 25 78" xfId="1992"/>
    <cellStyle name="Normal 25 79" xfId="1993"/>
    <cellStyle name="Normal 25 8" xfId="1994"/>
    <cellStyle name="Normal 25 80" xfId="1995"/>
    <cellStyle name="Normal 25 81" xfId="1996"/>
    <cellStyle name="Normal 25 82" xfId="1997"/>
    <cellStyle name="Normal 25 83" xfId="1998"/>
    <cellStyle name="Normal 25 84" xfId="1999"/>
    <cellStyle name="Normal 25 85" xfId="2000"/>
    <cellStyle name="Normal 25 86" xfId="2001"/>
    <cellStyle name="Normal 25 87" xfId="2002"/>
    <cellStyle name="Normal 25 88" xfId="2003"/>
    <cellStyle name="Normal 25 89" xfId="2004"/>
    <cellStyle name="Normal 25 9" xfId="2005"/>
    <cellStyle name="Normal 25 90" xfId="2006"/>
    <cellStyle name="Normal 25 91" xfId="2007"/>
    <cellStyle name="Normal 25 92" xfId="2008"/>
    <cellStyle name="Normal 25 93" xfId="2009"/>
    <cellStyle name="Normal 25 94" xfId="2010"/>
    <cellStyle name="Normal 25 95" xfId="2011"/>
    <cellStyle name="Normal 25 96" xfId="2012"/>
    <cellStyle name="Normal 25 97" xfId="2013"/>
    <cellStyle name="Normal 25 98" xfId="2014"/>
    <cellStyle name="Normal 25 99" xfId="2015"/>
    <cellStyle name="Normal 26" xfId="2016"/>
    <cellStyle name="Normal 26 10" xfId="2017"/>
    <cellStyle name="Normal 26 100" xfId="2018"/>
    <cellStyle name="Normal 26 101" xfId="2019"/>
    <cellStyle name="Normal 26 102" xfId="2020"/>
    <cellStyle name="Normal 26 103" xfId="2021"/>
    <cellStyle name="Normal 26 104" xfId="2022"/>
    <cellStyle name="Normal 26 105" xfId="2023"/>
    <cellStyle name="Normal 26 106" xfId="2024"/>
    <cellStyle name="Normal 26 107" xfId="2025"/>
    <cellStyle name="Normal 26 108" xfId="2026"/>
    <cellStyle name="Normal 26 109" xfId="2027"/>
    <cellStyle name="Normal 26 11" xfId="2028"/>
    <cellStyle name="Normal 26 12" xfId="2029"/>
    <cellStyle name="Normal 26 13" xfId="2030"/>
    <cellStyle name="Normal 26 14" xfId="2031"/>
    <cellStyle name="Normal 26 15" xfId="2032"/>
    <cellStyle name="Normal 26 16" xfId="2033"/>
    <cellStyle name="Normal 26 17" xfId="2034"/>
    <cellStyle name="Normal 26 18" xfId="2035"/>
    <cellStyle name="Normal 26 19" xfId="2036"/>
    <cellStyle name="Normal 26 2" xfId="2037"/>
    <cellStyle name="Normal 26 20" xfId="2038"/>
    <cellStyle name="Normal 26 21" xfId="2039"/>
    <cellStyle name="Normal 26 22" xfId="2040"/>
    <cellStyle name="Normal 26 23" xfId="2041"/>
    <cellStyle name="Normal 26 24" xfId="2042"/>
    <cellStyle name="Normal 26 25" xfId="2043"/>
    <cellStyle name="Normal 26 26" xfId="2044"/>
    <cellStyle name="Normal 26 27" xfId="2045"/>
    <cellStyle name="Normal 26 28" xfId="2046"/>
    <cellStyle name="Normal 26 29" xfId="2047"/>
    <cellStyle name="Normal 26 3" xfId="2048"/>
    <cellStyle name="Normal 26 30" xfId="2049"/>
    <cellStyle name="Normal 26 31" xfId="2050"/>
    <cellStyle name="Normal 26 32" xfId="2051"/>
    <cellStyle name="Normal 26 33" xfId="2052"/>
    <cellStyle name="Normal 26 34" xfId="2053"/>
    <cellStyle name="Normal 26 35" xfId="2054"/>
    <cellStyle name="Normal 26 36" xfId="2055"/>
    <cellStyle name="Normal 26 37" xfId="2056"/>
    <cellStyle name="Normal 26 38" xfId="2057"/>
    <cellStyle name="Normal 26 39" xfId="2058"/>
    <cellStyle name="Normal 26 4" xfId="2059"/>
    <cellStyle name="Normal 26 40" xfId="2060"/>
    <cellStyle name="Normal 26 41" xfId="2061"/>
    <cellStyle name="Normal 26 42" xfId="2062"/>
    <cellStyle name="Normal 26 43" xfId="2063"/>
    <cellStyle name="Normal 26 44" xfId="2064"/>
    <cellStyle name="Normal 26 45" xfId="2065"/>
    <cellStyle name="Normal 26 46" xfId="2066"/>
    <cellStyle name="Normal 26 47" xfId="2067"/>
    <cellStyle name="Normal 26 48" xfId="2068"/>
    <cellStyle name="Normal 26 49" xfId="2069"/>
    <cellStyle name="Normal 26 5" xfId="2070"/>
    <cellStyle name="Normal 26 50" xfId="2071"/>
    <cellStyle name="Normal 26 51" xfId="2072"/>
    <cellStyle name="Normal 26 52" xfId="2073"/>
    <cellStyle name="Normal 26 53" xfId="2074"/>
    <cellStyle name="Normal 26 54" xfId="2075"/>
    <cellStyle name="Normal 26 55" xfId="2076"/>
    <cellStyle name="Normal 26 56" xfId="2077"/>
    <cellStyle name="Normal 26 57" xfId="2078"/>
    <cellStyle name="Normal 26 58" xfId="2079"/>
    <cellStyle name="Normal 26 59" xfId="2080"/>
    <cellStyle name="Normal 26 6" xfId="2081"/>
    <cellStyle name="Normal 26 60" xfId="2082"/>
    <cellStyle name="Normal 26 61" xfId="2083"/>
    <cellStyle name="Normal 26 62" xfId="2084"/>
    <cellStyle name="Normal 26 63" xfId="2085"/>
    <cellStyle name="Normal 26 64" xfId="2086"/>
    <cellStyle name="Normal 26 65" xfId="2087"/>
    <cellStyle name="Normal 26 66" xfId="2088"/>
    <cellStyle name="Normal 26 67" xfId="2089"/>
    <cellStyle name="Normal 26 68" xfId="2090"/>
    <cellStyle name="Normal 26 69" xfId="2091"/>
    <cellStyle name="Normal 26 7" xfId="2092"/>
    <cellStyle name="Normal 26 70" xfId="2093"/>
    <cellStyle name="Normal 26 71" xfId="2094"/>
    <cellStyle name="Normal 26 72" xfId="2095"/>
    <cellStyle name="Normal 26 73" xfId="2096"/>
    <cellStyle name="Normal 26 74" xfId="2097"/>
    <cellStyle name="Normal 26 75" xfId="2098"/>
    <cellStyle name="Normal 26 76" xfId="2099"/>
    <cellStyle name="Normal 26 77" xfId="2100"/>
    <cellStyle name="Normal 26 78" xfId="2101"/>
    <cellStyle name="Normal 26 79" xfId="2102"/>
    <cellStyle name="Normal 26 8" xfId="2103"/>
    <cellStyle name="Normal 26 80" xfId="2104"/>
    <cellStyle name="Normal 26 81" xfId="2105"/>
    <cellStyle name="Normal 26 82" xfId="2106"/>
    <cellStyle name="Normal 26 83" xfId="2107"/>
    <cellStyle name="Normal 26 84" xfId="2108"/>
    <cellStyle name="Normal 26 85" xfId="2109"/>
    <cellStyle name="Normal 26 86" xfId="2110"/>
    <cellStyle name="Normal 26 87" xfId="2111"/>
    <cellStyle name="Normal 26 88" xfId="2112"/>
    <cellStyle name="Normal 26 89" xfId="2113"/>
    <cellStyle name="Normal 26 9" xfId="2114"/>
    <cellStyle name="Normal 26 90" xfId="2115"/>
    <cellStyle name="Normal 26 91" xfId="2116"/>
    <cellStyle name="Normal 26 92" xfId="2117"/>
    <cellStyle name="Normal 26 93" xfId="2118"/>
    <cellStyle name="Normal 26 94" xfId="2119"/>
    <cellStyle name="Normal 26 95" xfId="2120"/>
    <cellStyle name="Normal 26 96" xfId="2121"/>
    <cellStyle name="Normal 26 97" xfId="2122"/>
    <cellStyle name="Normal 26 98" xfId="2123"/>
    <cellStyle name="Normal 26 99" xfId="2124"/>
    <cellStyle name="Normal 27" xfId="2125"/>
    <cellStyle name="Normal 27 10" xfId="2126"/>
    <cellStyle name="Normal 27 100" xfId="2127"/>
    <cellStyle name="Normal 27 101" xfId="2128"/>
    <cellStyle name="Normal 27 102" xfId="2129"/>
    <cellStyle name="Normal 27 103" xfId="2130"/>
    <cellStyle name="Normal 27 104" xfId="2131"/>
    <cellStyle name="Normal 27 105" xfId="2132"/>
    <cellStyle name="Normal 27 106" xfId="2133"/>
    <cellStyle name="Normal 27 107" xfId="2134"/>
    <cellStyle name="Normal 27 108" xfId="2135"/>
    <cellStyle name="Normal 27 109" xfId="2136"/>
    <cellStyle name="Normal 27 11" xfId="2137"/>
    <cellStyle name="Normal 27 12" xfId="2138"/>
    <cellStyle name="Normal 27 13" xfId="2139"/>
    <cellStyle name="Normal 27 14" xfId="2140"/>
    <cellStyle name="Normal 27 15" xfId="2141"/>
    <cellStyle name="Normal 27 16" xfId="2142"/>
    <cellStyle name="Normal 27 17" xfId="2143"/>
    <cellStyle name="Normal 27 18" xfId="2144"/>
    <cellStyle name="Normal 27 19" xfId="2145"/>
    <cellStyle name="Normal 27 2" xfId="2146"/>
    <cellStyle name="Normal 27 20" xfId="2147"/>
    <cellStyle name="Normal 27 21" xfId="2148"/>
    <cellStyle name="Normal 27 22" xfId="2149"/>
    <cellStyle name="Normal 27 23" xfId="2150"/>
    <cellStyle name="Normal 27 24" xfId="2151"/>
    <cellStyle name="Normal 27 25" xfId="2152"/>
    <cellStyle name="Normal 27 26" xfId="2153"/>
    <cellStyle name="Normal 27 27" xfId="2154"/>
    <cellStyle name="Normal 27 28" xfId="2155"/>
    <cellStyle name="Normal 27 29" xfId="2156"/>
    <cellStyle name="Normal 27 3" xfId="2157"/>
    <cellStyle name="Normal 27 30" xfId="2158"/>
    <cellStyle name="Normal 27 31" xfId="2159"/>
    <cellStyle name="Normal 27 32" xfId="2160"/>
    <cellStyle name="Normal 27 33" xfId="2161"/>
    <cellStyle name="Normal 27 34" xfId="2162"/>
    <cellStyle name="Normal 27 35" xfId="2163"/>
    <cellStyle name="Normal 27 36" xfId="2164"/>
    <cellStyle name="Normal 27 37" xfId="2165"/>
    <cellStyle name="Normal 27 38" xfId="2166"/>
    <cellStyle name="Normal 27 39" xfId="2167"/>
    <cellStyle name="Normal 27 4" xfId="2168"/>
    <cellStyle name="Normal 27 40" xfId="2169"/>
    <cellStyle name="Normal 27 41" xfId="2170"/>
    <cellStyle name="Normal 27 42" xfId="2171"/>
    <cellStyle name="Normal 27 43" xfId="2172"/>
    <cellStyle name="Normal 27 44" xfId="2173"/>
    <cellStyle name="Normal 27 45" xfId="2174"/>
    <cellStyle name="Normal 27 46" xfId="2175"/>
    <cellStyle name="Normal 27 47" xfId="2176"/>
    <cellStyle name="Normal 27 48" xfId="2177"/>
    <cellStyle name="Normal 27 49" xfId="2178"/>
    <cellStyle name="Normal 27 5" xfId="2179"/>
    <cellStyle name="Normal 27 50" xfId="2180"/>
    <cellStyle name="Normal 27 51" xfId="2181"/>
    <cellStyle name="Normal 27 52" xfId="2182"/>
    <cellStyle name="Normal 27 53" xfId="2183"/>
    <cellStyle name="Normal 27 54" xfId="2184"/>
    <cellStyle name="Normal 27 55" xfId="2185"/>
    <cellStyle name="Normal 27 56" xfId="2186"/>
    <cellStyle name="Normal 27 57" xfId="2187"/>
    <cellStyle name="Normal 27 58" xfId="2188"/>
    <cellStyle name="Normal 27 59" xfId="2189"/>
    <cellStyle name="Normal 27 6" xfId="2190"/>
    <cellStyle name="Normal 27 60" xfId="2191"/>
    <cellStyle name="Normal 27 61" xfId="2192"/>
    <cellStyle name="Normal 27 62" xfId="2193"/>
    <cellStyle name="Normal 27 63" xfId="2194"/>
    <cellStyle name="Normal 27 64" xfId="2195"/>
    <cellStyle name="Normal 27 65" xfId="2196"/>
    <cellStyle name="Normal 27 66" xfId="2197"/>
    <cellStyle name="Normal 27 67" xfId="2198"/>
    <cellStyle name="Normal 27 68" xfId="2199"/>
    <cellStyle name="Normal 27 69" xfId="2200"/>
    <cellStyle name="Normal 27 7" xfId="2201"/>
    <cellStyle name="Normal 27 70" xfId="2202"/>
    <cellStyle name="Normal 27 71" xfId="2203"/>
    <cellStyle name="Normal 27 72" xfId="2204"/>
    <cellStyle name="Normal 27 73" xfId="2205"/>
    <cellStyle name="Normal 27 74" xfId="2206"/>
    <cellStyle name="Normal 27 75" xfId="2207"/>
    <cellStyle name="Normal 27 76" xfId="2208"/>
    <cellStyle name="Normal 27 77" xfId="2209"/>
    <cellStyle name="Normal 27 78" xfId="2210"/>
    <cellStyle name="Normal 27 79" xfId="2211"/>
    <cellStyle name="Normal 27 8" xfId="2212"/>
    <cellStyle name="Normal 27 80" xfId="2213"/>
    <cellStyle name="Normal 27 81" xfId="2214"/>
    <cellStyle name="Normal 27 82" xfId="2215"/>
    <cellStyle name="Normal 27 83" xfId="2216"/>
    <cellStyle name="Normal 27 84" xfId="2217"/>
    <cellStyle name="Normal 27 85" xfId="2218"/>
    <cellStyle name="Normal 27 86" xfId="2219"/>
    <cellStyle name="Normal 27 87" xfId="2220"/>
    <cellStyle name="Normal 27 88" xfId="2221"/>
    <cellStyle name="Normal 27 89" xfId="2222"/>
    <cellStyle name="Normal 27 9" xfId="2223"/>
    <cellStyle name="Normal 27 90" xfId="2224"/>
    <cellStyle name="Normal 27 91" xfId="2225"/>
    <cellStyle name="Normal 27 92" xfId="2226"/>
    <cellStyle name="Normal 27 93" xfId="2227"/>
    <cellStyle name="Normal 27 94" xfId="2228"/>
    <cellStyle name="Normal 27 95" xfId="2229"/>
    <cellStyle name="Normal 27 96" xfId="2230"/>
    <cellStyle name="Normal 27 97" xfId="2231"/>
    <cellStyle name="Normal 27 98" xfId="2232"/>
    <cellStyle name="Normal 27 99" xfId="2233"/>
    <cellStyle name="Normal 28" xfId="2234"/>
    <cellStyle name="Normal 28 10" xfId="2235"/>
    <cellStyle name="Normal 28 100" xfId="2236"/>
    <cellStyle name="Normal 28 101" xfId="2237"/>
    <cellStyle name="Normal 28 102" xfId="2238"/>
    <cellStyle name="Normal 28 103" xfId="2239"/>
    <cellStyle name="Normal 28 104" xfId="2240"/>
    <cellStyle name="Normal 28 105" xfId="2241"/>
    <cellStyle name="Normal 28 106" xfId="2242"/>
    <cellStyle name="Normal 28 107" xfId="2243"/>
    <cellStyle name="Normal 28 108" xfId="2244"/>
    <cellStyle name="Normal 28 109" xfId="2245"/>
    <cellStyle name="Normal 28 11" xfId="2246"/>
    <cellStyle name="Normal 28 12" xfId="2247"/>
    <cellStyle name="Normal 28 13" xfId="2248"/>
    <cellStyle name="Normal 28 14" xfId="2249"/>
    <cellStyle name="Normal 28 15" xfId="2250"/>
    <cellStyle name="Normal 28 16" xfId="2251"/>
    <cellStyle name="Normal 28 17" xfId="2252"/>
    <cellStyle name="Normal 28 18" xfId="2253"/>
    <cellStyle name="Normal 28 19" xfId="2254"/>
    <cellStyle name="Normal 28 2" xfId="2255"/>
    <cellStyle name="Normal 28 20" xfId="2256"/>
    <cellStyle name="Normal 28 21" xfId="2257"/>
    <cellStyle name="Normal 28 22" xfId="2258"/>
    <cellStyle name="Normal 28 23" xfId="2259"/>
    <cellStyle name="Normal 28 24" xfId="2260"/>
    <cellStyle name="Normal 28 25" xfId="2261"/>
    <cellStyle name="Normal 28 26" xfId="2262"/>
    <cellStyle name="Normal 28 27" xfId="2263"/>
    <cellStyle name="Normal 28 28" xfId="2264"/>
    <cellStyle name="Normal 28 29" xfId="2265"/>
    <cellStyle name="Normal 28 3" xfId="2266"/>
    <cellStyle name="Normal 28 30" xfId="2267"/>
    <cellStyle name="Normal 28 31" xfId="2268"/>
    <cellStyle name="Normal 28 32" xfId="2269"/>
    <cellStyle name="Normal 28 33" xfId="2270"/>
    <cellStyle name="Normal 28 34" xfId="2271"/>
    <cellStyle name="Normal 28 35" xfId="2272"/>
    <cellStyle name="Normal 28 36" xfId="2273"/>
    <cellStyle name="Normal 28 37" xfId="2274"/>
    <cellStyle name="Normal 28 38" xfId="2275"/>
    <cellStyle name="Normal 28 39" xfId="2276"/>
    <cellStyle name="Normal 28 4" xfId="2277"/>
    <cellStyle name="Normal 28 40" xfId="2278"/>
    <cellStyle name="Normal 28 41" xfId="2279"/>
    <cellStyle name="Normal 28 42" xfId="2280"/>
    <cellStyle name="Normal 28 43" xfId="2281"/>
    <cellStyle name="Normal 28 44" xfId="2282"/>
    <cellStyle name="Normal 28 45" xfId="2283"/>
    <cellStyle name="Normal 28 46" xfId="2284"/>
    <cellStyle name="Normal 28 47" xfId="2285"/>
    <cellStyle name="Normal 28 48" xfId="2286"/>
    <cellStyle name="Normal 28 49" xfId="2287"/>
    <cellStyle name="Normal 28 5" xfId="2288"/>
    <cellStyle name="Normal 28 50" xfId="2289"/>
    <cellStyle name="Normal 28 51" xfId="2290"/>
    <cellStyle name="Normal 28 52" xfId="2291"/>
    <cellStyle name="Normal 28 53" xfId="2292"/>
    <cellStyle name="Normal 28 54" xfId="2293"/>
    <cellStyle name="Normal 28 55" xfId="2294"/>
    <cellStyle name="Normal 28 56" xfId="2295"/>
    <cellStyle name="Normal 28 57" xfId="2296"/>
    <cellStyle name="Normal 28 58" xfId="2297"/>
    <cellStyle name="Normal 28 59" xfId="2298"/>
    <cellStyle name="Normal 28 6" xfId="2299"/>
    <cellStyle name="Normal 28 60" xfId="2300"/>
    <cellStyle name="Normal 28 61" xfId="2301"/>
    <cellStyle name="Normal 28 62" xfId="2302"/>
    <cellStyle name="Normal 28 63" xfId="2303"/>
    <cellStyle name="Normal 28 64" xfId="2304"/>
    <cellStyle name="Normal 28 65" xfId="2305"/>
    <cellStyle name="Normal 28 66" xfId="2306"/>
    <cellStyle name="Normal 28 67" xfId="2307"/>
    <cellStyle name="Normal 28 68" xfId="2308"/>
    <cellStyle name="Normal 28 69" xfId="2309"/>
    <cellStyle name="Normal 28 7" xfId="2310"/>
    <cellStyle name="Normal 28 70" xfId="2311"/>
    <cellStyle name="Normal 28 71" xfId="2312"/>
    <cellStyle name="Normal 28 72" xfId="2313"/>
    <cellStyle name="Normal 28 73" xfId="2314"/>
    <cellStyle name="Normal 28 74" xfId="2315"/>
    <cellStyle name="Normal 28 75" xfId="2316"/>
    <cellStyle name="Normal 28 76" xfId="2317"/>
    <cellStyle name="Normal 28 77" xfId="2318"/>
    <cellStyle name="Normal 28 78" xfId="2319"/>
    <cellStyle name="Normal 28 79" xfId="2320"/>
    <cellStyle name="Normal 28 8" xfId="2321"/>
    <cellStyle name="Normal 28 80" xfId="2322"/>
    <cellStyle name="Normal 28 81" xfId="2323"/>
    <cellStyle name="Normal 28 82" xfId="2324"/>
    <cellStyle name="Normal 28 83" xfId="2325"/>
    <cellStyle name="Normal 28 84" xfId="2326"/>
    <cellStyle name="Normal 28 85" xfId="2327"/>
    <cellStyle name="Normal 28 86" xfId="2328"/>
    <cellStyle name="Normal 28 87" xfId="2329"/>
    <cellStyle name="Normal 28 88" xfId="2330"/>
    <cellStyle name="Normal 28 89" xfId="2331"/>
    <cellStyle name="Normal 28 9" xfId="2332"/>
    <cellStyle name="Normal 28 90" xfId="2333"/>
    <cellStyle name="Normal 28 91" xfId="2334"/>
    <cellStyle name="Normal 28 92" xfId="2335"/>
    <cellStyle name="Normal 28 93" xfId="2336"/>
    <cellStyle name="Normal 28 94" xfId="2337"/>
    <cellStyle name="Normal 28 95" xfId="2338"/>
    <cellStyle name="Normal 28 96" xfId="2339"/>
    <cellStyle name="Normal 28 97" xfId="2340"/>
    <cellStyle name="Normal 28 98" xfId="2341"/>
    <cellStyle name="Normal 28 99" xfId="2342"/>
    <cellStyle name="Normal 29" xfId="2343"/>
    <cellStyle name="Normal 29 10" xfId="2344"/>
    <cellStyle name="Normal 29 100" xfId="2345"/>
    <cellStyle name="Normal 29 101" xfId="2346"/>
    <cellStyle name="Normal 29 102" xfId="2347"/>
    <cellStyle name="Normal 29 103" xfId="2348"/>
    <cellStyle name="Normal 29 104" xfId="2349"/>
    <cellStyle name="Normal 29 105" xfId="2350"/>
    <cellStyle name="Normal 29 106" xfId="2351"/>
    <cellStyle name="Normal 29 107" xfId="2352"/>
    <cellStyle name="Normal 29 108" xfId="2353"/>
    <cellStyle name="Normal 29 109" xfId="2354"/>
    <cellStyle name="Normal 29 11" xfId="2355"/>
    <cellStyle name="Normal 29 12" xfId="2356"/>
    <cellStyle name="Normal 29 13" xfId="2357"/>
    <cellStyle name="Normal 29 14" xfId="2358"/>
    <cellStyle name="Normal 29 15" xfId="2359"/>
    <cellStyle name="Normal 29 16" xfId="2360"/>
    <cellStyle name="Normal 29 17" xfId="2361"/>
    <cellStyle name="Normal 29 18" xfId="2362"/>
    <cellStyle name="Normal 29 19" xfId="2363"/>
    <cellStyle name="Normal 29 2" xfId="2364"/>
    <cellStyle name="Normal 29 20" xfId="2365"/>
    <cellStyle name="Normal 29 21" xfId="2366"/>
    <cellStyle name="Normal 29 22" xfId="2367"/>
    <cellStyle name="Normal 29 23" xfId="2368"/>
    <cellStyle name="Normal 29 24" xfId="2369"/>
    <cellStyle name="Normal 29 25" xfId="2370"/>
    <cellStyle name="Normal 29 26" xfId="2371"/>
    <cellStyle name="Normal 29 27" xfId="2372"/>
    <cellStyle name="Normal 29 28" xfId="2373"/>
    <cellStyle name="Normal 29 29" xfId="2374"/>
    <cellStyle name="Normal 29 3" xfId="2375"/>
    <cellStyle name="Normal 29 30" xfId="2376"/>
    <cellStyle name="Normal 29 31" xfId="2377"/>
    <cellStyle name="Normal 29 32" xfId="2378"/>
    <cellStyle name="Normal 29 33" xfId="2379"/>
    <cellStyle name="Normal 29 34" xfId="2380"/>
    <cellStyle name="Normal 29 35" xfId="2381"/>
    <cellStyle name="Normal 29 36" xfId="2382"/>
    <cellStyle name="Normal 29 37" xfId="2383"/>
    <cellStyle name="Normal 29 38" xfId="2384"/>
    <cellStyle name="Normal 29 39" xfId="2385"/>
    <cellStyle name="Normal 29 4" xfId="2386"/>
    <cellStyle name="Normal 29 40" xfId="2387"/>
    <cellStyle name="Normal 29 41" xfId="2388"/>
    <cellStyle name="Normal 29 42" xfId="2389"/>
    <cellStyle name="Normal 29 43" xfId="2390"/>
    <cellStyle name="Normal 29 44" xfId="2391"/>
    <cellStyle name="Normal 29 45" xfId="2392"/>
    <cellStyle name="Normal 29 46" xfId="2393"/>
    <cellStyle name="Normal 29 47" xfId="2394"/>
    <cellStyle name="Normal 29 48" xfId="2395"/>
    <cellStyle name="Normal 29 49" xfId="2396"/>
    <cellStyle name="Normal 29 5" xfId="2397"/>
    <cellStyle name="Normal 29 50" xfId="2398"/>
    <cellStyle name="Normal 29 51" xfId="2399"/>
    <cellStyle name="Normal 29 52" xfId="2400"/>
    <cellStyle name="Normal 29 53" xfId="2401"/>
    <cellStyle name="Normal 29 54" xfId="2402"/>
    <cellStyle name="Normal 29 55" xfId="2403"/>
    <cellStyle name="Normal 29 56" xfId="2404"/>
    <cellStyle name="Normal 29 57" xfId="2405"/>
    <cellStyle name="Normal 29 58" xfId="2406"/>
    <cellStyle name="Normal 29 59" xfId="2407"/>
    <cellStyle name="Normal 29 6" xfId="2408"/>
    <cellStyle name="Normal 29 60" xfId="2409"/>
    <cellStyle name="Normal 29 61" xfId="2410"/>
    <cellStyle name="Normal 29 62" xfId="2411"/>
    <cellStyle name="Normal 29 63" xfId="2412"/>
    <cellStyle name="Normal 29 64" xfId="2413"/>
    <cellStyle name="Normal 29 65" xfId="2414"/>
    <cellStyle name="Normal 29 66" xfId="2415"/>
    <cellStyle name="Normal 29 67" xfId="2416"/>
    <cellStyle name="Normal 29 68" xfId="2417"/>
    <cellStyle name="Normal 29 69" xfId="2418"/>
    <cellStyle name="Normal 29 7" xfId="2419"/>
    <cellStyle name="Normal 29 70" xfId="2420"/>
    <cellStyle name="Normal 29 71" xfId="2421"/>
    <cellStyle name="Normal 29 72" xfId="2422"/>
    <cellStyle name="Normal 29 73" xfId="2423"/>
    <cellStyle name="Normal 29 74" xfId="2424"/>
    <cellStyle name="Normal 29 75" xfId="2425"/>
    <cellStyle name="Normal 29 76" xfId="2426"/>
    <cellStyle name="Normal 29 77" xfId="2427"/>
    <cellStyle name="Normal 29 78" xfId="2428"/>
    <cellStyle name="Normal 29 79" xfId="2429"/>
    <cellStyle name="Normal 29 8" xfId="2430"/>
    <cellStyle name="Normal 29 80" xfId="2431"/>
    <cellStyle name="Normal 29 81" xfId="2432"/>
    <cellStyle name="Normal 29 82" xfId="2433"/>
    <cellStyle name="Normal 29 83" xfId="2434"/>
    <cellStyle name="Normal 29 84" xfId="2435"/>
    <cellStyle name="Normal 29 85" xfId="2436"/>
    <cellStyle name="Normal 29 86" xfId="2437"/>
    <cellStyle name="Normal 29 87" xfId="2438"/>
    <cellStyle name="Normal 29 88" xfId="2439"/>
    <cellStyle name="Normal 29 89" xfId="2440"/>
    <cellStyle name="Normal 29 9" xfId="2441"/>
    <cellStyle name="Normal 29 90" xfId="2442"/>
    <cellStyle name="Normal 29 91" xfId="2443"/>
    <cellStyle name="Normal 29 92" xfId="2444"/>
    <cellStyle name="Normal 29 93" xfId="2445"/>
    <cellStyle name="Normal 29 94" xfId="2446"/>
    <cellStyle name="Normal 29 95" xfId="2447"/>
    <cellStyle name="Normal 29 96" xfId="2448"/>
    <cellStyle name="Normal 29 97" xfId="2449"/>
    <cellStyle name="Normal 29 98" xfId="2450"/>
    <cellStyle name="Normal 29 99" xfId="2451"/>
    <cellStyle name="Normal 3" xfId="17"/>
    <cellStyle name="Normal-- 3" xfId="2452"/>
    <cellStyle name="Normal 3 10" xfId="2453"/>
    <cellStyle name="Normal 3 11" xfId="2454"/>
    <cellStyle name="Normal 3 12" xfId="2455"/>
    <cellStyle name="Normal 3 13" xfId="2456"/>
    <cellStyle name="Normal 3 14" xfId="2457"/>
    <cellStyle name="Normal 3 15" xfId="2458"/>
    <cellStyle name="Normal 3 16" xfId="2459"/>
    <cellStyle name="Normal 3 17" xfId="2460"/>
    <cellStyle name="Normal 3 18" xfId="2461"/>
    <cellStyle name="Normal 3 19" xfId="2462"/>
    <cellStyle name="Normal 3 2" xfId="2463"/>
    <cellStyle name="Normal 3 2 2" xfId="2464"/>
    <cellStyle name="Normal 3 2 2 2" xfId="2465"/>
    <cellStyle name="Normal 3 2 3" xfId="2466"/>
    <cellStyle name="Normal 3 2 4" xfId="2467"/>
    <cellStyle name="Normal 3 20" xfId="2468"/>
    <cellStyle name="Normal 3 21" xfId="2469"/>
    <cellStyle name="Normal 3 22" xfId="2470"/>
    <cellStyle name="Normal 3 22 2" xfId="2471"/>
    <cellStyle name="Normal 3 22 2 2" xfId="2472"/>
    <cellStyle name="Normal 3 22 2 2 2" xfId="2473"/>
    <cellStyle name="Normal 3 22 2 3" xfId="2474"/>
    <cellStyle name="Normal 3 22 3" xfId="2475"/>
    <cellStyle name="Normal 3 22 3 2" xfId="2476"/>
    <cellStyle name="Normal 3 22 4" xfId="2477"/>
    <cellStyle name="Normal 3 23" xfId="2478"/>
    <cellStyle name="Normal 3 24" xfId="2479"/>
    <cellStyle name="Normal 3 24 2" xfId="2480"/>
    <cellStyle name="Normal 3 24 2 2" xfId="2481"/>
    <cellStyle name="Normal 3 24 3" xfId="2482"/>
    <cellStyle name="Normal 3 25" xfId="2483"/>
    <cellStyle name="Normal 3 26" xfId="2484"/>
    <cellStyle name="Normal 3 27" xfId="2485"/>
    <cellStyle name="Normal 3 28" xfId="2486"/>
    <cellStyle name="Normal 3 29" xfId="2487"/>
    <cellStyle name="Normal 3 3" xfId="2488"/>
    <cellStyle name="Normal 3 3 2" xfId="2489"/>
    <cellStyle name="Normal 3 3 3" xfId="2490"/>
    <cellStyle name="Normal 3 3 4" xfId="2491"/>
    <cellStyle name="Normal 3 30" xfId="2492"/>
    <cellStyle name="Normal 3 31" xfId="2493"/>
    <cellStyle name="Normal 3 32" xfId="2494"/>
    <cellStyle name="Normal 3 33" xfId="2495"/>
    <cellStyle name="Normal 3 34" xfId="2496"/>
    <cellStyle name="Normal 3 35" xfId="2497"/>
    <cellStyle name="Normal 3 36" xfId="2498"/>
    <cellStyle name="Normal 3 37" xfId="2499"/>
    <cellStyle name="Normal 3 38" xfId="2500"/>
    <cellStyle name="Normal 3 39" xfId="2501"/>
    <cellStyle name="Normal 3 39 2" xfId="2502"/>
    <cellStyle name="Normal 3 4" xfId="2503"/>
    <cellStyle name="Normal 3 4 2" xfId="2504"/>
    <cellStyle name="Normal 3 4 3" xfId="2505"/>
    <cellStyle name="Normal 3 40" xfId="2506"/>
    <cellStyle name="Normal 3 41" xfId="2507"/>
    <cellStyle name="Normal 3 42" xfId="2508"/>
    <cellStyle name="Normal 3 43" xfId="2509"/>
    <cellStyle name="Normal 3 44" xfId="2510"/>
    <cellStyle name="Normal 3 45" xfId="2511"/>
    <cellStyle name="Normal 3 46" xfId="2512"/>
    <cellStyle name="Normal 3 47" xfId="2513"/>
    <cellStyle name="Normal 3 48" xfId="2514"/>
    <cellStyle name="Normal 3 49" xfId="2515"/>
    <cellStyle name="Normal 3 5" xfId="2516"/>
    <cellStyle name="Normal 3 5 2" xfId="2517"/>
    <cellStyle name="Normal 3 50" xfId="2518"/>
    <cellStyle name="Normal 3 51" xfId="2519"/>
    <cellStyle name="Normal 3 52" xfId="2520"/>
    <cellStyle name="Normal 3 53" xfId="2521"/>
    <cellStyle name="Normal 3 6" xfId="2522"/>
    <cellStyle name="Normal 3 7" xfId="2523"/>
    <cellStyle name="Normal 3 8" xfId="2524"/>
    <cellStyle name="Normal 3 9" xfId="2525"/>
    <cellStyle name="Normal 30" xfId="2526"/>
    <cellStyle name="Normal 30 10" xfId="2527"/>
    <cellStyle name="Normal 30 100" xfId="2528"/>
    <cellStyle name="Normal 30 101" xfId="2529"/>
    <cellStyle name="Normal 30 102" xfId="2530"/>
    <cellStyle name="Normal 30 103" xfId="2531"/>
    <cellStyle name="Normal 30 104" xfId="2532"/>
    <cellStyle name="Normal 30 105" xfId="2533"/>
    <cellStyle name="Normal 30 106" xfId="2534"/>
    <cellStyle name="Normal 30 107" xfId="2535"/>
    <cellStyle name="Normal 30 108" xfId="2536"/>
    <cellStyle name="Normal 30 109" xfId="2537"/>
    <cellStyle name="Normal 30 11" xfId="2538"/>
    <cellStyle name="Normal 30 12" xfId="2539"/>
    <cellStyle name="Normal 30 13" xfId="2540"/>
    <cellStyle name="Normal 30 14" xfId="2541"/>
    <cellStyle name="Normal 30 15" xfId="2542"/>
    <cellStyle name="Normal 30 16" xfId="2543"/>
    <cellStyle name="Normal 30 17" xfId="2544"/>
    <cellStyle name="Normal 30 18" xfId="2545"/>
    <cellStyle name="Normal 30 19" xfId="2546"/>
    <cellStyle name="Normal 30 2" xfId="2547"/>
    <cellStyle name="Normal 30 20" xfId="2548"/>
    <cellStyle name="Normal 30 21" xfId="2549"/>
    <cellStyle name="Normal 30 22" xfId="2550"/>
    <cellStyle name="Normal 30 23" xfId="2551"/>
    <cellStyle name="Normal 30 24" xfId="2552"/>
    <cellStyle name="Normal 30 25" xfId="2553"/>
    <cellStyle name="Normal 30 26" xfId="2554"/>
    <cellStyle name="Normal 30 27" xfId="2555"/>
    <cellStyle name="Normal 30 28" xfId="2556"/>
    <cellStyle name="Normal 30 29" xfId="2557"/>
    <cellStyle name="Normal 30 3" xfId="2558"/>
    <cellStyle name="Normal 30 30" xfId="2559"/>
    <cellStyle name="Normal 30 31" xfId="2560"/>
    <cellStyle name="Normal 30 32" xfId="2561"/>
    <cellStyle name="Normal 30 33" xfId="2562"/>
    <cellStyle name="Normal 30 34" xfId="2563"/>
    <cellStyle name="Normal 30 35" xfId="2564"/>
    <cellStyle name="Normal 30 36" xfId="2565"/>
    <cellStyle name="Normal 30 37" xfId="2566"/>
    <cellStyle name="Normal 30 38" xfId="2567"/>
    <cellStyle name="Normal 30 39" xfId="2568"/>
    <cellStyle name="Normal 30 4" xfId="2569"/>
    <cellStyle name="Normal 30 40" xfId="2570"/>
    <cellStyle name="Normal 30 41" xfId="2571"/>
    <cellStyle name="Normal 30 42" xfId="2572"/>
    <cellStyle name="Normal 30 43" xfId="2573"/>
    <cellStyle name="Normal 30 44" xfId="2574"/>
    <cellStyle name="Normal 30 45" xfId="2575"/>
    <cellStyle name="Normal 30 46" xfId="2576"/>
    <cellStyle name="Normal 30 47" xfId="2577"/>
    <cellStyle name="Normal 30 48" xfId="2578"/>
    <cellStyle name="Normal 30 49" xfId="2579"/>
    <cellStyle name="Normal 30 5" xfId="2580"/>
    <cellStyle name="Normal 30 50" xfId="2581"/>
    <cellStyle name="Normal 30 51" xfId="2582"/>
    <cellStyle name="Normal 30 52" xfId="2583"/>
    <cellStyle name="Normal 30 53" xfId="2584"/>
    <cellStyle name="Normal 30 54" xfId="2585"/>
    <cellStyle name="Normal 30 55" xfId="2586"/>
    <cellStyle name="Normal 30 56" xfId="2587"/>
    <cellStyle name="Normal 30 57" xfId="2588"/>
    <cellStyle name="Normal 30 58" xfId="2589"/>
    <cellStyle name="Normal 30 59" xfId="2590"/>
    <cellStyle name="Normal 30 6" xfId="2591"/>
    <cellStyle name="Normal 30 60" xfId="2592"/>
    <cellStyle name="Normal 30 61" xfId="2593"/>
    <cellStyle name="Normal 30 62" xfId="2594"/>
    <cellStyle name="Normal 30 63" xfId="2595"/>
    <cellStyle name="Normal 30 64" xfId="2596"/>
    <cellStyle name="Normal 30 65" xfId="2597"/>
    <cellStyle name="Normal 30 66" xfId="2598"/>
    <cellStyle name="Normal 30 67" xfId="2599"/>
    <cellStyle name="Normal 30 68" xfId="2600"/>
    <cellStyle name="Normal 30 69" xfId="2601"/>
    <cellStyle name="Normal 30 7" xfId="2602"/>
    <cellStyle name="Normal 30 70" xfId="2603"/>
    <cellStyle name="Normal 30 71" xfId="2604"/>
    <cellStyle name="Normal 30 72" xfId="2605"/>
    <cellStyle name="Normal 30 73" xfId="2606"/>
    <cellStyle name="Normal 30 74" xfId="2607"/>
    <cellStyle name="Normal 30 75" xfId="2608"/>
    <cellStyle name="Normal 30 76" xfId="2609"/>
    <cellStyle name="Normal 30 77" xfId="2610"/>
    <cellStyle name="Normal 30 78" xfId="2611"/>
    <cellStyle name="Normal 30 79" xfId="2612"/>
    <cellStyle name="Normal 30 8" xfId="2613"/>
    <cellStyle name="Normal 30 80" xfId="2614"/>
    <cellStyle name="Normal 30 81" xfId="2615"/>
    <cellStyle name="Normal 30 82" xfId="2616"/>
    <cellStyle name="Normal 30 83" xfId="2617"/>
    <cellStyle name="Normal 30 84" xfId="2618"/>
    <cellStyle name="Normal 30 85" xfId="2619"/>
    <cellStyle name="Normal 30 86" xfId="2620"/>
    <cellStyle name="Normal 30 87" xfId="2621"/>
    <cellStyle name="Normal 30 88" xfId="2622"/>
    <cellStyle name="Normal 30 89" xfId="2623"/>
    <cellStyle name="Normal 30 9" xfId="2624"/>
    <cellStyle name="Normal 30 90" xfId="2625"/>
    <cellStyle name="Normal 30 91" xfId="2626"/>
    <cellStyle name="Normal 30 92" xfId="2627"/>
    <cellStyle name="Normal 30 93" xfId="2628"/>
    <cellStyle name="Normal 30 94" xfId="2629"/>
    <cellStyle name="Normal 30 95" xfId="2630"/>
    <cellStyle name="Normal 30 96" xfId="2631"/>
    <cellStyle name="Normal 30 97" xfId="2632"/>
    <cellStyle name="Normal 30 98" xfId="2633"/>
    <cellStyle name="Normal 30 99" xfId="2634"/>
    <cellStyle name="Normal 31" xfId="2635"/>
    <cellStyle name="Normal 31 10" xfId="2636"/>
    <cellStyle name="Normal 31 100" xfId="2637"/>
    <cellStyle name="Normal 31 101" xfId="2638"/>
    <cellStyle name="Normal 31 102" xfId="2639"/>
    <cellStyle name="Normal 31 103" xfId="2640"/>
    <cellStyle name="Normal 31 104" xfId="2641"/>
    <cellStyle name="Normal 31 105" xfId="2642"/>
    <cellStyle name="Normal 31 106" xfId="2643"/>
    <cellStyle name="Normal 31 107" xfId="2644"/>
    <cellStyle name="Normal 31 108" xfId="2645"/>
    <cellStyle name="Normal 31 109" xfId="2646"/>
    <cellStyle name="Normal 31 11" xfId="2647"/>
    <cellStyle name="Normal 31 12" xfId="2648"/>
    <cellStyle name="Normal 31 13" xfId="2649"/>
    <cellStyle name="Normal 31 14" xfId="2650"/>
    <cellStyle name="Normal 31 15" xfId="2651"/>
    <cellStyle name="Normal 31 16" xfId="2652"/>
    <cellStyle name="Normal 31 17" xfId="2653"/>
    <cellStyle name="Normal 31 18" xfId="2654"/>
    <cellStyle name="Normal 31 19" xfId="2655"/>
    <cellStyle name="Normal 31 2" xfId="2656"/>
    <cellStyle name="Normal 31 20" xfId="2657"/>
    <cellStyle name="Normal 31 21" xfId="2658"/>
    <cellStyle name="Normal 31 22" xfId="2659"/>
    <cellStyle name="Normal 31 23" xfId="2660"/>
    <cellStyle name="Normal 31 24" xfId="2661"/>
    <cellStyle name="Normal 31 25" xfId="2662"/>
    <cellStyle name="Normal 31 26" xfId="2663"/>
    <cellStyle name="Normal 31 27" xfId="2664"/>
    <cellStyle name="Normal 31 28" xfId="2665"/>
    <cellStyle name="Normal 31 29" xfId="2666"/>
    <cellStyle name="Normal 31 3" xfId="2667"/>
    <cellStyle name="Normal 31 30" xfId="2668"/>
    <cellStyle name="Normal 31 31" xfId="2669"/>
    <cellStyle name="Normal 31 32" xfId="2670"/>
    <cellStyle name="Normal 31 33" xfId="2671"/>
    <cellStyle name="Normal 31 34" xfId="2672"/>
    <cellStyle name="Normal 31 35" xfId="2673"/>
    <cellStyle name="Normal 31 36" xfId="2674"/>
    <cellStyle name="Normal 31 37" xfId="2675"/>
    <cellStyle name="Normal 31 38" xfId="2676"/>
    <cellStyle name="Normal 31 39" xfId="2677"/>
    <cellStyle name="Normal 31 4" xfId="2678"/>
    <cellStyle name="Normal 31 40" xfId="2679"/>
    <cellStyle name="Normal 31 41" xfId="2680"/>
    <cellStyle name="Normal 31 42" xfId="2681"/>
    <cellStyle name="Normal 31 43" xfId="2682"/>
    <cellStyle name="Normal 31 44" xfId="2683"/>
    <cellStyle name="Normal 31 45" xfId="2684"/>
    <cellStyle name="Normal 31 46" xfId="2685"/>
    <cellStyle name="Normal 31 47" xfId="2686"/>
    <cellStyle name="Normal 31 48" xfId="2687"/>
    <cellStyle name="Normal 31 49" xfId="2688"/>
    <cellStyle name="Normal 31 5" xfId="2689"/>
    <cellStyle name="Normal 31 50" xfId="2690"/>
    <cellStyle name="Normal 31 51" xfId="2691"/>
    <cellStyle name="Normal 31 52" xfId="2692"/>
    <cellStyle name="Normal 31 53" xfId="2693"/>
    <cellStyle name="Normal 31 54" xfId="2694"/>
    <cellStyle name="Normal 31 55" xfId="2695"/>
    <cellStyle name="Normal 31 56" xfId="2696"/>
    <cellStyle name="Normal 31 57" xfId="2697"/>
    <cellStyle name="Normal 31 58" xfId="2698"/>
    <cellStyle name="Normal 31 59" xfId="2699"/>
    <cellStyle name="Normal 31 6" xfId="2700"/>
    <cellStyle name="Normal 31 60" xfId="2701"/>
    <cellStyle name="Normal 31 61" xfId="2702"/>
    <cellStyle name="Normal 31 62" xfId="2703"/>
    <cellStyle name="Normal 31 63" xfId="2704"/>
    <cellStyle name="Normal 31 64" xfId="2705"/>
    <cellStyle name="Normal 31 65" xfId="2706"/>
    <cellStyle name="Normal 31 66" xfId="2707"/>
    <cellStyle name="Normal 31 67" xfId="2708"/>
    <cellStyle name="Normal 31 68" xfId="2709"/>
    <cellStyle name="Normal 31 69" xfId="2710"/>
    <cellStyle name="Normal 31 7" xfId="2711"/>
    <cellStyle name="Normal 31 70" xfId="2712"/>
    <cellStyle name="Normal 31 71" xfId="2713"/>
    <cellStyle name="Normal 31 72" xfId="2714"/>
    <cellStyle name="Normal 31 73" xfId="2715"/>
    <cellStyle name="Normal 31 74" xfId="2716"/>
    <cellStyle name="Normal 31 75" xfId="2717"/>
    <cellStyle name="Normal 31 76" xfId="2718"/>
    <cellStyle name="Normal 31 77" xfId="2719"/>
    <cellStyle name="Normal 31 78" xfId="2720"/>
    <cellStyle name="Normal 31 79" xfId="2721"/>
    <cellStyle name="Normal 31 8" xfId="2722"/>
    <cellStyle name="Normal 31 80" xfId="2723"/>
    <cellStyle name="Normal 31 81" xfId="2724"/>
    <cellStyle name="Normal 31 82" xfId="2725"/>
    <cellStyle name="Normal 31 83" xfId="2726"/>
    <cellStyle name="Normal 31 84" xfId="2727"/>
    <cellStyle name="Normal 31 85" xfId="2728"/>
    <cellStyle name="Normal 31 86" xfId="2729"/>
    <cellStyle name="Normal 31 87" xfId="2730"/>
    <cellStyle name="Normal 31 88" xfId="2731"/>
    <cellStyle name="Normal 31 89" xfId="2732"/>
    <cellStyle name="Normal 31 9" xfId="2733"/>
    <cellStyle name="Normal 31 90" xfId="2734"/>
    <cellStyle name="Normal 31 91" xfId="2735"/>
    <cellStyle name="Normal 31 92" xfId="2736"/>
    <cellStyle name="Normal 31 93" xfId="2737"/>
    <cellStyle name="Normal 31 94" xfId="2738"/>
    <cellStyle name="Normal 31 95" xfId="2739"/>
    <cellStyle name="Normal 31 96" xfId="2740"/>
    <cellStyle name="Normal 31 97" xfId="2741"/>
    <cellStyle name="Normal 31 98" xfId="2742"/>
    <cellStyle name="Normal 31 99" xfId="2743"/>
    <cellStyle name="Normal 32" xfId="2744"/>
    <cellStyle name="Normal 32 2" xfId="2745"/>
    <cellStyle name="Normal 33" xfId="2746"/>
    <cellStyle name="Normal 33 2" xfId="2747"/>
    <cellStyle name="Normal 34" xfId="2748"/>
    <cellStyle name="Normal 35" xfId="2749"/>
    <cellStyle name="Normal 35 10" xfId="2750"/>
    <cellStyle name="Normal 35 100" xfId="2751"/>
    <cellStyle name="Normal 35 101" xfId="2752"/>
    <cellStyle name="Normal 35 102" xfId="2753"/>
    <cellStyle name="Normal 35 103" xfId="2754"/>
    <cellStyle name="Normal 35 104" xfId="2755"/>
    <cellStyle name="Normal 35 105" xfId="2756"/>
    <cellStyle name="Normal 35 106" xfId="2757"/>
    <cellStyle name="Normal 35 107" xfId="2758"/>
    <cellStyle name="Normal 35 108" xfId="2759"/>
    <cellStyle name="Normal 35 109" xfId="2760"/>
    <cellStyle name="Normal 35 11" xfId="2761"/>
    <cellStyle name="Normal 35 12" xfId="2762"/>
    <cellStyle name="Normal 35 13" xfId="2763"/>
    <cellStyle name="Normal 35 14" xfId="2764"/>
    <cellStyle name="Normal 35 15" xfId="2765"/>
    <cellStyle name="Normal 35 16" xfId="2766"/>
    <cellStyle name="Normal 35 17" xfId="2767"/>
    <cellStyle name="Normal 35 18" xfId="2768"/>
    <cellStyle name="Normal 35 19" xfId="2769"/>
    <cellStyle name="Normal 35 2" xfId="2770"/>
    <cellStyle name="Normal 35 20" xfId="2771"/>
    <cellStyle name="Normal 35 21" xfId="2772"/>
    <cellStyle name="Normal 35 22" xfId="2773"/>
    <cellStyle name="Normal 35 23" xfId="2774"/>
    <cellStyle name="Normal 35 24" xfId="2775"/>
    <cellStyle name="Normal 35 25" xfId="2776"/>
    <cellStyle name="Normal 35 26" xfId="2777"/>
    <cellStyle name="Normal 35 27" xfId="2778"/>
    <cellStyle name="Normal 35 28" xfId="2779"/>
    <cellStyle name="Normal 35 29" xfId="2780"/>
    <cellStyle name="Normal 35 3" xfId="2781"/>
    <cellStyle name="Normal 35 30" xfId="2782"/>
    <cellStyle name="Normal 35 31" xfId="2783"/>
    <cellStyle name="Normal 35 32" xfId="2784"/>
    <cellStyle name="Normal 35 33" xfId="2785"/>
    <cellStyle name="Normal 35 34" xfId="2786"/>
    <cellStyle name="Normal 35 35" xfId="2787"/>
    <cellStyle name="Normal 35 36" xfId="2788"/>
    <cellStyle name="Normal 35 37" xfId="2789"/>
    <cellStyle name="Normal 35 38" xfId="2790"/>
    <cellStyle name="Normal 35 39" xfId="2791"/>
    <cellStyle name="Normal 35 4" xfId="2792"/>
    <cellStyle name="Normal 35 40" xfId="2793"/>
    <cellStyle name="Normal 35 41" xfId="2794"/>
    <cellStyle name="Normal 35 42" xfId="2795"/>
    <cellStyle name="Normal 35 43" xfId="2796"/>
    <cellStyle name="Normal 35 44" xfId="2797"/>
    <cellStyle name="Normal 35 45" xfId="2798"/>
    <cellStyle name="Normal 35 46" xfId="2799"/>
    <cellStyle name="Normal 35 47" xfId="2800"/>
    <cellStyle name="Normal 35 48" xfId="2801"/>
    <cellStyle name="Normal 35 49" xfId="2802"/>
    <cellStyle name="Normal 35 5" xfId="2803"/>
    <cellStyle name="Normal 35 50" xfId="2804"/>
    <cellStyle name="Normal 35 51" xfId="2805"/>
    <cellStyle name="Normal 35 52" xfId="2806"/>
    <cellStyle name="Normal 35 53" xfId="2807"/>
    <cellStyle name="Normal 35 54" xfId="2808"/>
    <cellStyle name="Normal 35 55" xfId="2809"/>
    <cellStyle name="Normal 35 56" xfId="2810"/>
    <cellStyle name="Normal 35 57" xfId="2811"/>
    <cellStyle name="Normal 35 58" xfId="2812"/>
    <cellStyle name="Normal 35 59" xfId="2813"/>
    <cellStyle name="Normal 35 6" xfId="2814"/>
    <cellStyle name="Normal 35 60" xfId="2815"/>
    <cellStyle name="Normal 35 61" xfId="2816"/>
    <cellStyle name="Normal 35 62" xfId="2817"/>
    <cellStyle name="Normal 35 63" xfId="2818"/>
    <cellStyle name="Normal 35 64" xfId="2819"/>
    <cellStyle name="Normal 35 65" xfId="2820"/>
    <cellStyle name="Normal 35 66" xfId="2821"/>
    <cellStyle name="Normal 35 67" xfId="2822"/>
    <cellStyle name="Normal 35 68" xfId="2823"/>
    <cellStyle name="Normal 35 69" xfId="2824"/>
    <cellStyle name="Normal 35 7" xfId="2825"/>
    <cellStyle name="Normal 35 70" xfId="2826"/>
    <cellStyle name="Normal 35 71" xfId="2827"/>
    <cellStyle name="Normal 35 72" xfId="2828"/>
    <cellStyle name="Normal 35 73" xfId="2829"/>
    <cellStyle name="Normal 35 74" xfId="2830"/>
    <cellStyle name="Normal 35 75" xfId="2831"/>
    <cellStyle name="Normal 35 76" xfId="2832"/>
    <cellStyle name="Normal 35 77" xfId="2833"/>
    <cellStyle name="Normal 35 78" xfId="2834"/>
    <cellStyle name="Normal 35 79" xfId="2835"/>
    <cellStyle name="Normal 35 8" xfId="2836"/>
    <cellStyle name="Normal 35 80" xfId="2837"/>
    <cellStyle name="Normal 35 81" xfId="2838"/>
    <cellStyle name="Normal 35 82" xfId="2839"/>
    <cellStyle name="Normal 35 83" xfId="2840"/>
    <cellStyle name="Normal 35 84" xfId="2841"/>
    <cellStyle name="Normal 35 85" xfId="2842"/>
    <cellStyle name="Normal 35 86" xfId="2843"/>
    <cellStyle name="Normal 35 87" xfId="2844"/>
    <cellStyle name="Normal 35 88" xfId="2845"/>
    <cellStyle name="Normal 35 89" xfId="2846"/>
    <cellStyle name="Normal 35 9" xfId="2847"/>
    <cellStyle name="Normal 35 90" xfId="2848"/>
    <cellStyle name="Normal 35 91" xfId="2849"/>
    <cellStyle name="Normal 35 92" xfId="2850"/>
    <cellStyle name="Normal 35 93" xfId="2851"/>
    <cellStyle name="Normal 35 94" xfId="2852"/>
    <cellStyle name="Normal 35 95" xfId="2853"/>
    <cellStyle name="Normal 35 96" xfId="2854"/>
    <cellStyle name="Normal 35 97" xfId="2855"/>
    <cellStyle name="Normal 35 98" xfId="2856"/>
    <cellStyle name="Normal 35 99" xfId="2857"/>
    <cellStyle name="Normal 36" xfId="2858"/>
    <cellStyle name="Normal 36 10" xfId="2859"/>
    <cellStyle name="Normal 36 100" xfId="2860"/>
    <cellStyle name="Normal 36 101" xfId="2861"/>
    <cellStyle name="Normal 36 102" xfId="2862"/>
    <cellStyle name="Normal 36 103" xfId="2863"/>
    <cellStyle name="Normal 36 104" xfId="2864"/>
    <cellStyle name="Normal 36 105" xfId="2865"/>
    <cellStyle name="Normal 36 106" xfId="2866"/>
    <cellStyle name="Normal 36 107" xfId="2867"/>
    <cellStyle name="Normal 36 108" xfId="2868"/>
    <cellStyle name="Normal 36 109" xfId="2869"/>
    <cellStyle name="Normal 36 11" xfId="2870"/>
    <cellStyle name="Normal 36 12" xfId="2871"/>
    <cellStyle name="Normal 36 13" xfId="2872"/>
    <cellStyle name="Normal 36 14" xfId="2873"/>
    <cellStyle name="Normal 36 15" xfId="2874"/>
    <cellStyle name="Normal 36 16" xfId="2875"/>
    <cellStyle name="Normal 36 17" xfId="2876"/>
    <cellStyle name="Normal 36 18" xfId="2877"/>
    <cellStyle name="Normal 36 19" xfId="2878"/>
    <cellStyle name="Normal 36 2" xfId="2879"/>
    <cellStyle name="Normal 36 20" xfId="2880"/>
    <cellStyle name="Normal 36 21" xfId="2881"/>
    <cellStyle name="Normal 36 22" xfId="2882"/>
    <cellStyle name="Normal 36 23" xfId="2883"/>
    <cellStyle name="Normal 36 24" xfId="2884"/>
    <cellStyle name="Normal 36 25" xfId="2885"/>
    <cellStyle name="Normal 36 26" xfId="2886"/>
    <cellStyle name="Normal 36 27" xfId="2887"/>
    <cellStyle name="Normal 36 28" xfId="2888"/>
    <cellStyle name="Normal 36 29" xfId="2889"/>
    <cellStyle name="Normal 36 3" xfId="2890"/>
    <cellStyle name="Normal 36 30" xfId="2891"/>
    <cellStyle name="Normal 36 31" xfId="2892"/>
    <cellStyle name="Normal 36 32" xfId="2893"/>
    <cellStyle name="Normal 36 33" xfId="2894"/>
    <cellStyle name="Normal 36 34" xfId="2895"/>
    <cellStyle name="Normal 36 35" xfId="2896"/>
    <cellStyle name="Normal 36 36" xfId="2897"/>
    <cellStyle name="Normal 36 37" xfId="2898"/>
    <cellStyle name="Normal 36 38" xfId="2899"/>
    <cellStyle name="Normal 36 39" xfId="2900"/>
    <cellStyle name="Normal 36 4" xfId="2901"/>
    <cellStyle name="Normal 36 40" xfId="2902"/>
    <cellStyle name="Normal 36 41" xfId="2903"/>
    <cellStyle name="Normal 36 42" xfId="2904"/>
    <cellStyle name="Normal 36 43" xfId="2905"/>
    <cellStyle name="Normal 36 44" xfId="2906"/>
    <cellStyle name="Normal 36 45" xfId="2907"/>
    <cellStyle name="Normal 36 46" xfId="2908"/>
    <cellStyle name="Normal 36 47" xfId="2909"/>
    <cellStyle name="Normal 36 48" xfId="2910"/>
    <cellStyle name="Normal 36 49" xfId="2911"/>
    <cellStyle name="Normal 36 5" xfId="2912"/>
    <cellStyle name="Normal 36 50" xfId="2913"/>
    <cellStyle name="Normal 36 51" xfId="2914"/>
    <cellStyle name="Normal 36 52" xfId="2915"/>
    <cellStyle name="Normal 36 53" xfId="2916"/>
    <cellStyle name="Normal 36 54" xfId="2917"/>
    <cellStyle name="Normal 36 55" xfId="2918"/>
    <cellStyle name="Normal 36 56" xfId="2919"/>
    <cellStyle name="Normal 36 57" xfId="2920"/>
    <cellStyle name="Normal 36 58" xfId="2921"/>
    <cellStyle name="Normal 36 59" xfId="2922"/>
    <cellStyle name="Normal 36 6" xfId="2923"/>
    <cellStyle name="Normal 36 60" xfId="2924"/>
    <cellStyle name="Normal 36 61" xfId="2925"/>
    <cellStyle name="Normal 36 62" xfId="2926"/>
    <cellStyle name="Normal 36 63" xfId="2927"/>
    <cellStyle name="Normal 36 64" xfId="2928"/>
    <cellStyle name="Normal 36 65" xfId="2929"/>
    <cellStyle name="Normal 36 66" xfId="2930"/>
    <cellStyle name="Normal 36 67" xfId="2931"/>
    <cellStyle name="Normal 36 68" xfId="2932"/>
    <cellStyle name="Normal 36 69" xfId="2933"/>
    <cellStyle name="Normal 36 7" xfId="2934"/>
    <cellStyle name="Normal 36 70" xfId="2935"/>
    <cellStyle name="Normal 36 71" xfId="2936"/>
    <cellStyle name="Normal 36 72" xfId="2937"/>
    <cellStyle name="Normal 36 73" xfId="2938"/>
    <cellStyle name="Normal 36 74" xfId="2939"/>
    <cellStyle name="Normal 36 75" xfId="2940"/>
    <cellStyle name="Normal 36 76" xfId="2941"/>
    <cellStyle name="Normal 36 77" xfId="2942"/>
    <cellStyle name="Normal 36 78" xfId="2943"/>
    <cellStyle name="Normal 36 79" xfId="2944"/>
    <cellStyle name="Normal 36 8" xfId="2945"/>
    <cellStyle name="Normal 36 80" xfId="2946"/>
    <cellStyle name="Normal 36 81" xfId="2947"/>
    <cellStyle name="Normal 36 82" xfId="2948"/>
    <cellStyle name="Normal 36 83" xfId="2949"/>
    <cellStyle name="Normal 36 84" xfId="2950"/>
    <cellStyle name="Normal 36 85" xfId="2951"/>
    <cellStyle name="Normal 36 86" xfId="2952"/>
    <cellStyle name="Normal 36 87" xfId="2953"/>
    <cellStyle name="Normal 36 88" xfId="2954"/>
    <cellStyle name="Normal 36 89" xfId="2955"/>
    <cellStyle name="Normal 36 9" xfId="2956"/>
    <cellStyle name="Normal 36 90" xfId="2957"/>
    <cellStyle name="Normal 36 91" xfId="2958"/>
    <cellStyle name="Normal 36 92" xfId="2959"/>
    <cellStyle name="Normal 36 93" xfId="2960"/>
    <cellStyle name="Normal 36 94" xfId="2961"/>
    <cellStyle name="Normal 36 95" xfId="2962"/>
    <cellStyle name="Normal 36 96" xfId="2963"/>
    <cellStyle name="Normal 36 97" xfId="2964"/>
    <cellStyle name="Normal 36 98" xfId="2965"/>
    <cellStyle name="Normal 36 99" xfId="2966"/>
    <cellStyle name="Normal 37" xfId="2967"/>
    <cellStyle name="Normal 38" xfId="2968"/>
    <cellStyle name="Normal 39" xfId="2969"/>
    <cellStyle name="Normal 4" xfId="18"/>
    <cellStyle name="Normal-- 4" xfId="2970"/>
    <cellStyle name="Normal 4 10" xfId="2971"/>
    <cellStyle name="Normal 4 10 2" xfId="2972"/>
    <cellStyle name="Normal 4 100" xfId="2973"/>
    <cellStyle name="Normal 4 101" xfId="2974"/>
    <cellStyle name="Normal 4 102" xfId="2975"/>
    <cellStyle name="Normal 4 103" xfId="2976"/>
    <cellStyle name="Normal 4 104" xfId="2977"/>
    <cellStyle name="Normal 4 105" xfId="2978"/>
    <cellStyle name="Normal 4 106" xfId="2979"/>
    <cellStyle name="Normal 4 107" xfId="2980"/>
    <cellStyle name="Normal 4 108" xfId="2981"/>
    <cellStyle name="Normal 4 109" xfId="2982"/>
    <cellStyle name="Normal 4 11" xfId="2983"/>
    <cellStyle name="Normal 4 11 2" xfId="2984"/>
    <cellStyle name="Normal 4 110" xfId="2985"/>
    <cellStyle name="Normal 4 111" xfId="2986"/>
    <cellStyle name="Normal 4 112" xfId="2987"/>
    <cellStyle name="Normal 4 113" xfId="2988"/>
    <cellStyle name="Normal 4 114" xfId="2989"/>
    <cellStyle name="Normal 4 115" xfId="2990"/>
    <cellStyle name="Normal 4 116" xfId="2991"/>
    <cellStyle name="Normal 4 117" xfId="2992"/>
    <cellStyle name="Normal 4 118" xfId="2993"/>
    <cellStyle name="Normal 4 119" xfId="2994"/>
    <cellStyle name="Normal 4 12" xfId="2995"/>
    <cellStyle name="Normal 4 12 2" xfId="2996"/>
    <cellStyle name="Normal 4 120" xfId="2997"/>
    <cellStyle name="Normal 4 13" xfId="2998"/>
    <cellStyle name="Normal 4 13 2" xfId="2999"/>
    <cellStyle name="Normal 4 14" xfId="3000"/>
    <cellStyle name="Normal 4 14 2" xfId="3001"/>
    <cellStyle name="Normal 4 15" xfId="3002"/>
    <cellStyle name="Normal 4 15 2" xfId="3003"/>
    <cellStyle name="Normal 4 16" xfId="3004"/>
    <cellStyle name="Normal 4 16 2" xfId="3005"/>
    <cellStyle name="Normal 4 17" xfId="3006"/>
    <cellStyle name="Normal 4 17 2" xfId="3007"/>
    <cellStyle name="Normal 4 18" xfId="3008"/>
    <cellStyle name="Normal 4 18 2" xfId="3009"/>
    <cellStyle name="Normal 4 19" xfId="3010"/>
    <cellStyle name="Normal 4 19 2" xfId="3011"/>
    <cellStyle name="Normal 4 2" xfId="19"/>
    <cellStyle name="Normal 4 2 2" xfId="3012"/>
    <cellStyle name="Normal 4 2 3" xfId="3013"/>
    <cellStyle name="Normal 4 2 4" xfId="3014"/>
    <cellStyle name="Normal 4 2 5" xfId="3015"/>
    <cellStyle name="Normal 4 2 6" xfId="3016"/>
    <cellStyle name="Normal 4 2 7" xfId="3017"/>
    <cellStyle name="Normal 4 2 8" xfId="3018"/>
    <cellStyle name="Normal 4 2 9" xfId="3019"/>
    <cellStyle name="Normal 4 20" xfId="3020"/>
    <cellStyle name="Normal 4 20 2" xfId="3021"/>
    <cellStyle name="Normal 4 21" xfId="3022"/>
    <cellStyle name="Normal 4 21 2" xfId="3023"/>
    <cellStyle name="Normal 4 21 2 2" xfId="3024"/>
    <cellStyle name="Normal 4 21 2 2 2" xfId="3025"/>
    <cellStyle name="Normal 4 21 2 2 2 2" xfId="3026"/>
    <cellStyle name="Normal 4 21 2 2 3" xfId="3027"/>
    <cellStyle name="Normal 4 21 2 3" xfId="3028"/>
    <cellStyle name="Normal 4 21 2 3 2" xfId="3029"/>
    <cellStyle name="Normal 4 21 2 4" xfId="3030"/>
    <cellStyle name="Normal 4 21 3" xfId="3031"/>
    <cellStyle name="Normal 4 21 3 2" xfId="3032"/>
    <cellStyle name="Normal 4 21 3 2 2" xfId="3033"/>
    <cellStyle name="Normal 4 21 3 2 2 2" xfId="3034"/>
    <cellStyle name="Normal 4 21 3 2 3" xfId="3035"/>
    <cellStyle name="Normal 4 21 3 3" xfId="3036"/>
    <cellStyle name="Normal 4 21 3 3 2" xfId="3037"/>
    <cellStyle name="Normal 4 21 3 4" xfId="3038"/>
    <cellStyle name="Normal 4 21 4" xfId="3039"/>
    <cellStyle name="Normal 4 21 4 2" xfId="3040"/>
    <cellStyle name="Normal 4 21 4 2 2" xfId="3041"/>
    <cellStyle name="Normal 4 21 4 2 2 2" xfId="3042"/>
    <cellStyle name="Normal 4 21 4 2 3" xfId="3043"/>
    <cellStyle name="Normal 4 21 4 3" xfId="3044"/>
    <cellStyle name="Normal 4 21 4 3 2" xfId="3045"/>
    <cellStyle name="Normal 4 21 4 4" xfId="3046"/>
    <cellStyle name="Normal 4 21 5" xfId="3047"/>
    <cellStyle name="Normal 4 21 5 2" xfId="3048"/>
    <cellStyle name="Normal 4 21 5 2 2" xfId="3049"/>
    <cellStyle name="Normal 4 21 5 3" xfId="3050"/>
    <cellStyle name="Normal 4 21 6" xfId="3051"/>
    <cellStyle name="Normal 4 21 6 2" xfId="3052"/>
    <cellStyle name="Normal 4 21 7" xfId="3053"/>
    <cellStyle name="Normal 4 21 8" xfId="3054"/>
    <cellStyle name="Normal 4 22" xfId="3055"/>
    <cellStyle name="Normal 4 22 2" xfId="3056"/>
    <cellStyle name="Normal 4 22 2 2" xfId="3057"/>
    <cellStyle name="Normal 4 22 2 2 2" xfId="3058"/>
    <cellStyle name="Normal 4 22 2 3" xfId="3059"/>
    <cellStyle name="Normal 4 22 3" xfId="3060"/>
    <cellStyle name="Normal 4 22 3 2" xfId="3061"/>
    <cellStyle name="Normal 4 22 4" xfId="3062"/>
    <cellStyle name="Normal 4 22 5" xfId="3063"/>
    <cellStyle name="Normal 4 23" xfId="3064"/>
    <cellStyle name="Normal 4 23 2" xfId="3065"/>
    <cellStyle name="Normal 4 23 2 2" xfId="3066"/>
    <cellStyle name="Normal 4 23 2 2 2" xfId="3067"/>
    <cellStyle name="Normal 4 23 2 3" xfId="3068"/>
    <cellStyle name="Normal 4 23 3" xfId="3069"/>
    <cellStyle name="Normal 4 23 3 2" xfId="3070"/>
    <cellStyle name="Normal 4 23 4" xfId="3071"/>
    <cellStyle name="Normal 4 23 5" xfId="3072"/>
    <cellStyle name="Normal 4 24" xfId="3073"/>
    <cellStyle name="Normal 4 24 2" xfId="3074"/>
    <cellStyle name="Normal 4 24 2 2" xfId="3075"/>
    <cellStyle name="Normal 4 24 2 2 2" xfId="3076"/>
    <cellStyle name="Normal 4 24 2 3" xfId="3077"/>
    <cellStyle name="Normal 4 24 3" xfId="3078"/>
    <cellStyle name="Normal 4 24 3 2" xfId="3079"/>
    <cellStyle name="Normal 4 24 4" xfId="3080"/>
    <cellStyle name="Normal 4 24 5" xfId="3081"/>
    <cellStyle name="Normal 4 25" xfId="3082"/>
    <cellStyle name="Normal 4 25 2" xfId="3083"/>
    <cellStyle name="Normal 4 25 2 2" xfId="3084"/>
    <cellStyle name="Normal 4 25 3" xfId="3085"/>
    <cellStyle name="Normal 4 25 4" xfId="3086"/>
    <cellStyle name="Normal 4 26" xfId="3087"/>
    <cellStyle name="Normal 4 26 2" xfId="3088"/>
    <cellStyle name="Normal 4 27" xfId="3089"/>
    <cellStyle name="Normal 4 27 2" xfId="3090"/>
    <cellStyle name="Normal 4 27 2 2" xfId="3091"/>
    <cellStyle name="Normal 4 27 3" xfId="3092"/>
    <cellStyle name="Normal 4 27 4" xfId="3093"/>
    <cellStyle name="Normal 4 28" xfId="3094"/>
    <cellStyle name="Normal 4 28 2" xfId="3095"/>
    <cellStyle name="Normal 4 28 3" xfId="3096"/>
    <cellStyle name="Normal 4 29" xfId="3097"/>
    <cellStyle name="Normal 4 29 2" xfId="3098"/>
    <cellStyle name="Normal 4 3" xfId="3099"/>
    <cellStyle name="Normal 4 3 2" xfId="3100"/>
    <cellStyle name="Normal 4 3 2 2" xfId="3101"/>
    <cellStyle name="Normal 4 3 2 2 2" xfId="3102"/>
    <cellStyle name="Normal 4 3 2 3" xfId="3103"/>
    <cellStyle name="Normal 4 3 2 4" xfId="3104"/>
    <cellStyle name="Normal 4 3 3" xfId="3105"/>
    <cellStyle name="Normal 4 3 4" xfId="3106"/>
    <cellStyle name="Normal 4 30" xfId="3107"/>
    <cellStyle name="Normal 4 30 2" xfId="3108"/>
    <cellStyle name="Normal 4 31" xfId="3109"/>
    <cellStyle name="Normal 4 31 2" xfId="3110"/>
    <cellStyle name="Normal 4 32" xfId="3111"/>
    <cellStyle name="Normal 4 32 2" xfId="3112"/>
    <cellStyle name="Normal 4 33" xfId="3113"/>
    <cellStyle name="Normal 4 33 2" xfId="3114"/>
    <cellStyle name="Normal 4 34" xfId="3115"/>
    <cellStyle name="Normal 4 35" xfId="3116"/>
    <cellStyle name="Normal 4 36" xfId="3117"/>
    <cellStyle name="Normal 4 37" xfId="3118"/>
    <cellStyle name="Normal 4 38" xfId="3119"/>
    <cellStyle name="Normal 4 39" xfId="3120"/>
    <cellStyle name="Normal 4 4" xfId="3121"/>
    <cellStyle name="Normal 4 4 2" xfId="3122"/>
    <cellStyle name="Normal 4 4 3" xfId="3123"/>
    <cellStyle name="Normal 4 4 4" xfId="3124"/>
    <cellStyle name="Normal 4 40" xfId="3125"/>
    <cellStyle name="Normal 4 41" xfId="3126"/>
    <cellStyle name="Normal 4 42" xfId="3127"/>
    <cellStyle name="Normal 4 43" xfId="3128"/>
    <cellStyle name="Normal 4 44" xfId="3129"/>
    <cellStyle name="Normal 4 45" xfId="3130"/>
    <cellStyle name="Normal 4 46" xfId="3131"/>
    <cellStyle name="Normal 4 47" xfId="3132"/>
    <cellStyle name="Normal 4 48" xfId="3133"/>
    <cellStyle name="Normal 4 49" xfId="3134"/>
    <cellStyle name="Normal 4 5" xfId="3135"/>
    <cellStyle name="Normal 4 5 2" xfId="3136"/>
    <cellStyle name="Normal 4 50" xfId="3137"/>
    <cellStyle name="Normal 4 51" xfId="3138"/>
    <cellStyle name="Normal 4 52" xfId="3139"/>
    <cellStyle name="Normal 4 53" xfId="3140"/>
    <cellStyle name="Normal 4 54" xfId="3141"/>
    <cellStyle name="Normal 4 55" xfId="3142"/>
    <cellStyle name="Normal 4 56" xfId="3143"/>
    <cellStyle name="Normal 4 57" xfId="3144"/>
    <cellStyle name="Normal 4 58" xfId="3145"/>
    <cellStyle name="Normal 4 59" xfId="3146"/>
    <cellStyle name="Normal 4 6" xfId="3147"/>
    <cellStyle name="Normal 4 6 2" xfId="3148"/>
    <cellStyle name="Normal 4 60" xfId="3149"/>
    <cellStyle name="Normal 4 61" xfId="3150"/>
    <cellStyle name="Normal 4 62" xfId="3151"/>
    <cellStyle name="Normal 4 63" xfId="3152"/>
    <cellStyle name="Normal 4 64" xfId="3153"/>
    <cellStyle name="Normal 4 65" xfId="3154"/>
    <cellStyle name="Normal 4 66" xfId="3155"/>
    <cellStyle name="Normal 4 67" xfId="3156"/>
    <cellStyle name="Normal 4 68" xfId="3157"/>
    <cellStyle name="Normal 4 69" xfId="3158"/>
    <cellStyle name="Normal 4 7" xfId="3159"/>
    <cellStyle name="Normal 4 7 2" xfId="3160"/>
    <cellStyle name="Normal 4 70" xfId="3161"/>
    <cellStyle name="Normal 4 71" xfId="3162"/>
    <cellStyle name="Normal 4 72" xfId="3163"/>
    <cellStyle name="Normal 4 73" xfId="3164"/>
    <cellStyle name="Normal 4 74" xfId="3165"/>
    <cellStyle name="Normal 4 75" xfId="3166"/>
    <cellStyle name="Normal 4 76" xfId="3167"/>
    <cellStyle name="Normal 4 77" xfId="3168"/>
    <cellStyle name="Normal 4 78" xfId="3169"/>
    <cellStyle name="Normal 4 79" xfId="3170"/>
    <cellStyle name="Normal 4 8" xfId="3171"/>
    <cellStyle name="Normal 4 8 2" xfId="3172"/>
    <cellStyle name="Normal 4 80" xfId="3173"/>
    <cellStyle name="Normal 4 81" xfId="3174"/>
    <cellStyle name="Normal 4 82" xfId="3175"/>
    <cellStyle name="Normal 4 83" xfId="3176"/>
    <cellStyle name="Normal 4 84" xfId="3177"/>
    <cellStyle name="Normal 4 85" xfId="3178"/>
    <cellStyle name="Normal 4 86" xfId="3179"/>
    <cellStyle name="Normal 4 87" xfId="3180"/>
    <cellStyle name="Normal 4 88" xfId="3181"/>
    <cellStyle name="Normal 4 89" xfId="3182"/>
    <cellStyle name="Normal 4 9" xfId="3183"/>
    <cellStyle name="Normal 4 9 2" xfId="3184"/>
    <cellStyle name="Normal 4 90" xfId="3185"/>
    <cellStyle name="Normal 4 91" xfId="3186"/>
    <cellStyle name="Normal 4 92" xfId="3187"/>
    <cellStyle name="Normal 4 93" xfId="3188"/>
    <cellStyle name="Normal 4 94" xfId="3189"/>
    <cellStyle name="Normal 4 95" xfId="3190"/>
    <cellStyle name="Normal 4 96" xfId="3191"/>
    <cellStyle name="Normal 4 97" xfId="3192"/>
    <cellStyle name="Normal 4 98" xfId="3193"/>
    <cellStyle name="Normal 4 99" xfId="3194"/>
    <cellStyle name="Normal 4_Centre Wellington 2013 Load Foecast-April 4" xfId="20"/>
    <cellStyle name="Normal 40" xfId="3195"/>
    <cellStyle name="Normal 41" xfId="3196"/>
    <cellStyle name="Normal 42" xfId="3197"/>
    <cellStyle name="Normal 43" xfId="3198"/>
    <cellStyle name="Normal 44" xfId="3199"/>
    <cellStyle name="Normal 45" xfId="3200"/>
    <cellStyle name="Normal 46" xfId="3201"/>
    <cellStyle name="Normal 47" xfId="3202"/>
    <cellStyle name="Normal 47 10" xfId="3203"/>
    <cellStyle name="Normal 47 11" xfId="3204"/>
    <cellStyle name="Normal 47 11 2" xfId="3205"/>
    <cellStyle name="Normal 47 11 3" xfId="3206"/>
    <cellStyle name="Normal 47 11 4" xfId="3207"/>
    <cellStyle name="Normal 47 11 5" xfId="3208"/>
    <cellStyle name="Normal 47 11 6" xfId="3209"/>
    <cellStyle name="Normal 47 11 7" xfId="3210"/>
    <cellStyle name="Normal 47 11 8" xfId="3211"/>
    <cellStyle name="Normal 47 12" xfId="3212"/>
    <cellStyle name="Normal 47 13" xfId="3213"/>
    <cellStyle name="Normal 47 14" xfId="3214"/>
    <cellStyle name="Normal 47 15" xfId="3215"/>
    <cellStyle name="Normal 47 16" xfId="3216"/>
    <cellStyle name="Normal 47 17" xfId="3217"/>
    <cellStyle name="Normal 47 2" xfId="3218"/>
    <cellStyle name="Normal 47 3" xfId="3219"/>
    <cellStyle name="Normal 47 3 2" xfId="3220"/>
    <cellStyle name="Normal 47 3 3" xfId="3221"/>
    <cellStyle name="Normal 47 3 4" xfId="3222"/>
    <cellStyle name="Normal 47 3 5" xfId="3223"/>
    <cellStyle name="Normal 47 3 6" xfId="3224"/>
    <cellStyle name="Normal 47 3 7" xfId="3225"/>
    <cellStyle name="Normal 47 3 8" xfId="3226"/>
    <cellStyle name="Normal 47 4" xfId="3227"/>
    <cellStyle name="Normal 47 4 2" xfId="3228"/>
    <cellStyle name="Normal 47 4 3" xfId="3229"/>
    <cellStyle name="Normal 47 4 4" xfId="3230"/>
    <cellStyle name="Normal 47 4 5" xfId="3231"/>
    <cellStyle name="Normal 47 4 6" xfId="3232"/>
    <cellStyle name="Normal 47 4 7" xfId="3233"/>
    <cellStyle name="Normal 47 4 8" xfId="3234"/>
    <cellStyle name="Normal 47 5" xfId="3235"/>
    <cellStyle name="Normal 47 5 2" xfId="3236"/>
    <cellStyle name="Normal 47 5 3" xfId="3237"/>
    <cellStyle name="Normal 47 5 4" xfId="3238"/>
    <cellStyle name="Normal 47 5 5" xfId="3239"/>
    <cellStyle name="Normal 47 5 6" xfId="3240"/>
    <cellStyle name="Normal 47 5 7" xfId="3241"/>
    <cellStyle name="Normal 47 5 8" xfId="3242"/>
    <cellStyle name="Normal 47 6" xfId="3243"/>
    <cellStyle name="Normal 47 6 2" xfId="3244"/>
    <cellStyle name="Normal 47 6 3" xfId="3245"/>
    <cellStyle name="Normal 47 6 4" xfId="3246"/>
    <cellStyle name="Normal 47 6 5" xfId="3247"/>
    <cellStyle name="Normal 47 6 6" xfId="3248"/>
    <cellStyle name="Normal 47 6 7" xfId="3249"/>
    <cellStyle name="Normal 47 6 8" xfId="3250"/>
    <cellStyle name="Normal 47 7" xfId="3251"/>
    <cellStyle name="Normal 47 7 2" xfId="3252"/>
    <cellStyle name="Normal 47 7 3" xfId="3253"/>
    <cellStyle name="Normal 47 7 4" xfId="3254"/>
    <cellStyle name="Normal 47 7 5" xfId="3255"/>
    <cellStyle name="Normal 47 7 6" xfId="3256"/>
    <cellStyle name="Normal 47 7 7" xfId="3257"/>
    <cellStyle name="Normal 47 7 8" xfId="3258"/>
    <cellStyle name="Normal 47 8" xfId="3259"/>
    <cellStyle name="Normal 47 8 2" xfId="3260"/>
    <cellStyle name="Normal 47 8 3" xfId="3261"/>
    <cellStyle name="Normal 47 8 4" xfId="3262"/>
    <cellStyle name="Normal 47 8 5" xfId="3263"/>
    <cellStyle name="Normal 47 8 6" xfId="3264"/>
    <cellStyle name="Normal 47 8 7" xfId="3265"/>
    <cellStyle name="Normal 47 8 8" xfId="3266"/>
    <cellStyle name="Normal 47 9" xfId="3267"/>
    <cellStyle name="Normal 48" xfId="3268"/>
    <cellStyle name="Normal 49" xfId="3269"/>
    <cellStyle name="Normal 49 2" xfId="3270"/>
    <cellStyle name="Normal 49 2 2" xfId="3271"/>
    <cellStyle name="Normal 49 2 2 2" xfId="3272"/>
    <cellStyle name="Normal 49 2 2 2 2" xfId="3273"/>
    <cellStyle name="Normal 49 2 2 3" xfId="3274"/>
    <cellStyle name="Normal 49 2 3" xfId="3275"/>
    <cellStyle name="Normal 49 2 3 2" xfId="3276"/>
    <cellStyle name="Normal 49 2 4" xfId="3277"/>
    <cellStyle name="Normal 49 3" xfId="3278"/>
    <cellStyle name="Normal 49 3 2" xfId="3279"/>
    <cellStyle name="Normal 49 3 2 2" xfId="3280"/>
    <cellStyle name="Normal 49 3 2 2 2" xfId="3281"/>
    <cellStyle name="Normal 49 3 2 3" xfId="3282"/>
    <cellStyle name="Normal 49 3 3" xfId="3283"/>
    <cellStyle name="Normal 49 3 3 2" xfId="3284"/>
    <cellStyle name="Normal 49 3 4" xfId="3285"/>
    <cellStyle name="Normal 49 4" xfId="3286"/>
    <cellStyle name="Normal 49 4 2" xfId="3287"/>
    <cellStyle name="Normal 49 4 2 2" xfId="3288"/>
    <cellStyle name="Normal 49 4 2 2 2" xfId="3289"/>
    <cellStyle name="Normal 49 4 2 3" xfId="3290"/>
    <cellStyle name="Normal 49 4 3" xfId="3291"/>
    <cellStyle name="Normal 49 4 3 2" xfId="3292"/>
    <cellStyle name="Normal 49 4 4" xfId="3293"/>
    <cellStyle name="Normal 49 5" xfId="3294"/>
    <cellStyle name="Normal 49 5 2" xfId="3295"/>
    <cellStyle name="Normal 49 5 2 2" xfId="3296"/>
    <cellStyle name="Normal 49 5 3" xfId="3297"/>
    <cellStyle name="Normal 49 6" xfId="3298"/>
    <cellStyle name="Normal 49 6 2" xfId="3299"/>
    <cellStyle name="Normal 49 7" xfId="3300"/>
    <cellStyle name="Normal 49 8" xfId="3301"/>
    <cellStyle name="Normal 5" xfId="24"/>
    <cellStyle name="Normal-- 5" xfId="3302"/>
    <cellStyle name="Normal 5 10" xfId="3303"/>
    <cellStyle name="Normal 5 10 2" xfId="3304"/>
    <cellStyle name="Normal 5 100" xfId="3305"/>
    <cellStyle name="Normal 5 101" xfId="3306"/>
    <cellStyle name="Normal 5 102" xfId="3307"/>
    <cellStyle name="Normal 5 103" xfId="3308"/>
    <cellStyle name="Normal 5 104" xfId="3309"/>
    <cellStyle name="Normal 5 105" xfId="3310"/>
    <cellStyle name="Normal 5 106" xfId="3311"/>
    <cellStyle name="Normal 5 107" xfId="3312"/>
    <cellStyle name="Normal 5 108" xfId="3313"/>
    <cellStyle name="Normal 5 109" xfId="3314"/>
    <cellStyle name="Normal 5 11" xfId="3315"/>
    <cellStyle name="Normal 5 11 2" xfId="3316"/>
    <cellStyle name="Normal 5 110" xfId="3317"/>
    <cellStyle name="Normal 5 111" xfId="3318"/>
    <cellStyle name="Normal 5 112" xfId="3319"/>
    <cellStyle name="Normal 5 113" xfId="3320"/>
    <cellStyle name="Normal 5 12" xfId="3321"/>
    <cellStyle name="Normal 5 12 2" xfId="3322"/>
    <cellStyle name="Normal 5 13" xfId="3323"/>
    <cellStyle name="Normal 5 13 2" xfId="3324"/>
    <cellStyle name="Normal 5 14" xfId="3325"/>
    <cellStyle name="Normal 5 14 2" xfId="3326"/>
    <cellStyle name="Normal 5 15" xfId="3327"/>
    <cellStyle name="Normal 5 15 2" xfId="3328"/>
    <cellStyle name="Normal 5 16" xfId="3329"/>
    <cellStyle name="Normal 5 16 2" xfId="3330"/>
    <cellStyle name="Normal 5 17" xfId="3331"/>
    <cellStyle name="Normal 5 17 2" xfId="3332"/>
    <cellStyle name="Normal 5 18" xfId="3333"/>
    <cellStyle name="Normal 5 18 2" xfId="3334"/>
    <cellStyle name="Normal 5 19" xfId="3335"/>
    <cellStyle name="Normal 5 19 2" xfId="3336"/>
    <cellStyle name="Normal 5 2" xfId="3337"/>
    <cellStyle name="Normal 5 2 2" xfId="3338"/>
    <cellStyle name="Normal 5 2 3" xfId="3339"/>
    <cellStyle name="Normal 5 2 4" xfId="3340"/>
    <cellStyle name="Normal 5 2 5" xfId="3341"/>
    <cellStyle name="Normal 5 20" xfId="3342"/>
    <cellStyle name="Normal 5 20 2" xfId="3343"/>
    <cellStyle name="Normal 5 21" xfId="3344"/>
    <cellStyle name="Normal 5 21 2" xfId="3345"/>
    <cellStyle name="Normal 5 22" xfId="3346"/>
    <cellStyle name="Normal 5 22 2" xfId="3347"/>
    <cellStyle name="Normal 5 22 2 2" xfId="3348"/>
    <cellStyle name="Normal 5 22 3" xfId="3349"/>
    <cellStyle name="Normal 5 22 4" xfId="3350"/>
    <cellStyle name="Normal 5 23" xfId="3351"/>
    <cellStyle name="Normal 5 23 2" xfId="3352"/>
    <cellStyle name="Normal 5 24" xfId="3353"/>
    <cellStyle name="Normal 5 24 2" xfId="3354"/>
    <cellStyle name="Normal 5 25" xfId="3355"/>
    <cellStyle name="Normal 5 25 2" xfId="3356"/>
    <cellStyle name="Normal 5 26" xfId="3357"/>
    <cellStyle name="Normal 5 26 2" xfId="3358"/>
    <cellStyle name="Normal 5 27" xfId="3359"/>
    <cellStyle name="Normal 5 27 2" xfId="3360"/>
    <cellStyle name="Normal 5 28" xfId="3361"/>
    <cellStyle name="Normal 5 28 2" xfId="3362"/>
    <cellStyle name="Normal 5 29" xfId="3363"/>
    <cellStyle name="Normal 5 29 2" xfId="3364"/>
    <cellStyle name="Normal 5 3" xfId="3365"/>
    <cellStyle name="Normal 5 3 2" xfId="3366"/>
    <cellStyle name="Normal 5 30" xfId="3367"/>
    <cellStyle name="Normal 5 30 2" xfId="3368"/>
    <cellStyle name="Normal 5 31" xfId="3369"/>
    <cellStyle name="Normal 5 31 2" xfId="3370"/>
    <cellStyle name="Normal 5 32" xfId="3371"/>
    <cellStyle name="Normal 5 32 2" xfId="3372"/>
    <cellStyle name="Normal 5 33" xfId="3373"/>
    <cellStyle name="Normal 5 33 2" xfId="3374"/>
    <cellStyle name="Normal 5 34" xfId="3375"/>
    <cellStyle name="Normal 5 34 2" xfId="3376"/>
    <cellStyle name="Normal 5 35" xfId="3377"/>
    <cellStyle name="Normal 5 35 2" xfId="3378"/>
    <cellStyle name="Normal 5 36" xfId="3379"/>
    <cellStyle name="Normal 5 36 2" xfId="3380"/>
    <cellStyle name="Normal 5 37" xfId="3381"/>
    <cellStyle name="Normal 5 37 2" xfId="3382"/>
    <cellStyle name="Normal 5 38" xfId="3383"/>
    <cellStyle name="Normal 5 39" xfId="3384"/>
    <cellStyle name="Normal 5 4" xfId="3385"/>
    <cellStyle name="Normal 5 4 2" xfId="3386"/>
    <cellStyle name="Normal 5 40" xfId="3387"/>
    <cellStyle name="Normal 5 41" xfId="3388"/>
    <cellStyle name="Normal 5 42" xfId="3389"/>
    <cellStyle name="Normal 5 43" xfId="3390"/>
    <cellStyle name="Normal 5 44" xfId="3391"/>
    <cellStyle name="Normal 5 45" xfId="3392"/>
    <cellStyle name="Normal 5 46" xfId="3393"/>
    <cellStyle name="Normal 5 47" xfId="3394"/>
    <cellStyle name="Normal 5 48" xfId="3395"/>
    <cellStyle name="Normal 5 49" xfId="3396"/>
    <cellStyle name="Normal 5 5" xfId="3397"/>
    <cellStyle name="Normal 5 5 2" xfId="3398"/>
    <cellStyle name="Normal 5 50" xfId="3399"/>
    <cellStyle name="Normal 5 51" xfId="3400"/>
    <cellStyle name="Normal 5 52" xfId="3401"/>
    <cellStyle name="Normal 5 53" xfId="3402"/>
    <cellStyle name="Normal 5 54" xfId="3403"/>
    <cellStyle name="Normal 5 55" xfId="3404"/>
    <cellStyle name="Normal 5 56" xfId="3405"/>
    <cellStyle name="Normal 5 57" xfId="3406"/>
    <cellStyle name="Normal 5 58" xfId="3407"/>
    <cellStyle name="Normal 5 59" xfId="3408"/>
    <cellStyle name="Normal 5 6" xfId="3409"/>
    <cellStyle name="Normal 5 6 2" xfId="3410"/>
    <cellStyle name="Normal 5 60" xfId="3411"/>
    <cellStyle name="Normal 5 61" xfId="3412"/>
    <cellStyle name="Normal 5 62" xfId="3413"/>
    <cellStyle name="Normal 5 63" xfId="3414"/>
    <cellStyle name="Normal 5 64" xfId="3415"/>
    <cellStyle name="Normal 5 65" xfId="3416"/>
    <cellStyle name="Normal 5 66" xfId="3417"/>
    <cellStyle name="Normal 5 67" xfId="3418"/>
    <cellStyle name="Normal 5 68" xfId="3419"/>
    <cellStyle name="Normal 5 69" xfId="3420"/>
    <cellStyle name="Normal 5 7" xfId="3421"/>
    <cellStyle name="Normal 5 7 2" xfId="3422"/>
    <cellStyle name="Normal 5 70" xfId="3423"/>
    <cellStyle name="Normal 5 71" xfId="3424"/>
    <cellStyle name="Normal 5 72" xfId="3425"/>
    <cellStyle name="Normal 5 73" xfId="3426"/>
    <cellStyle name="Normal 5 74" xfId="3427"/>
    <cellStyle name="Normal 5 75" xfId="3428"/>
    <cellStyle name="Normal 5 76" xfId="3429"/>
    <cellStyle name="Normal 5 77" xfId="3430"/>
    <cellStyle name="Normal 5 78" xfId="3431"/>
    <cellStyle name="Normal 5 79" xfId="3432"/>
    <cellStyle name="Normal 5 8" xfId="3433"/>
    <cellStyle name="Normal 5 8 2" xfId="3434"/>
    <cellStyle name="Normal 5 80" xfId="3435"/>
    <cellStyle name="Normal 5 81" xfId="3436"/>
    <cellStyle name="Normal 5 82" xfId="3437"/>
    <cellStyle name="Normal 5 83" xfId="3438"/>
    <cellStyle name="Normal 5 84" xfId="3439"/>
    <cellStyle name="Normal 5 85" xfId="3440"/>
    <cellStyle name="Normal 5 86" xfId="3441"/>
    <cellStyle name="Normal 5 87" xfId="3442"/>
    <cellStyle name="Normal 5 88" xfId="3443"/>
    <cellStyle name="Normal 5 89" xfId="3444"/>
    <cellStyle name="Normal 5 9" xfId="3445"/>
    <cellStyle name="Normal 5 9 2" xfId="3446"/>
    <cellStyle name="Normal 5 90" xfId="3447"/>
    <cellStyle name="Normal 5 91" xfId="3448"/>
    <cellStyle name="Normal 5 92" xfId="3449"/>
    <cellStyle name="Normal 5 93" xfId="3450"/>
    <cellStyle name="Normal 5 94" xfId="3451"/>
    <cellStyle name="Normal 5 95" xfId="3452"/>
    <cellStyle name="Normal 5 96" xfId="3453"/>
    <cellStyle name="Normal 5 97" xfId="3454"/>
    <cellStyle name="Normal 5 98" xfId="3455"/>
    <cellStyle name="Normal 5 99" xfId="3456"/>
    <cellStyle name="Normal 50" xfId="3457"/>
    <cellStyle name="Normal 50 2" xfId="3458"/>
    <cellStyle name="Normal 50 3" xfId="3459"/>
    <cellStyle name="Normal 50 4" xfId="3460"/>
    <cellStyle name="Normal 50 5" xfId="3461"/>
    <cellStyle name="Normal 50 6" xfId="3462"/>
    <cellStyle name="Normal 50 7" xfId="3463"/>
    <cellStyle name="Normal 50 8" xfId="3464"/>
    <cellStyle name="Normal 51" xfId="3465"/>
    <cellStyle name="Normal 51 2" xfId="3466"/>
    <cellStyle name="Normal 51 2 2" xfId="3467"/>
    <cellStyle name="Normal 51 2 2 2" xfId="3468"/>
    <cellStyle name="Normal 51 2 2 2 2" xfId="3469"/>
    <cellStyle name="Normal 51 2 2 3" xfId="3470"/>
    <cellStyle name="Normal 51 2 3" xfId="3471"/>
    <cellStyle name="Normal 51 2 3 2" xfId="3472"/>
    <cellStyle name="Normal 51 2 4" xfId="3473"/>
    <cellStyle name="Normal 51 3" xfId="3474"/>
    <cellStyle name="Normal 51 3 2" xfId="3475"/>
    <cellStyle name="Normal 51 3 2 2" xfId="3476"/>
    <cellStyle name="Normal 51 3 3" xfId="3477"/>
    <cellStyle name="Normal 51 4" xfId="3478"/>
    <cellStyle name="Normal 51 4 2" xfId="3479"/>
    <cellStyle name="Normal 51 5" xfId="3480"/>
    <cellStyle name="Normal 51 6" xfId="3481"/>
    <cellStyle name="Normal 51 7" xfId="3482"/>
    <cellStyle name="Normal 51 8" xfId="3483"/>
    <cellStyle name="Normal 52" xfId="3484"/>
    <cellStyle name="Normal 52 2" xfId="3485"/>
    <cellStyle name="Normal 52 2 2" xfId="3486"/>
    <cellStyle name="Normal 52 3" xfId="3487"/>
    <cellStyle name="Normal 52 4" xfId="3488"/>
    <cellStyle name="Normal 52 5" xfId="3489"/>
    <cellStyle name="Normal 52 6" xfId="3490"/>
    <cellStyle name="Normal 52 7" xfId="3491"/>
    <cellStyle name="Normal 52 8" xfId="3492"/>
    <cellStyle name="Normal 53" xfId="3493"/>
    <cellStyle name="Normal 53 2" xfId="3494"/>
    <cellStyle name="Normal 53 2 2" xfId="3495"/>
    <cellStyle name="Normal 53 2 2 2" xfId="3496"/>
    <cellStyle name="Normal 53 2 3" xfId="3497"/>
    <cellStyle name="Normal 53 3" xfId="3498"/>
    <cellStyle name="Normal 53 3 2" xfId="3499"/>
    <cellStyle name="Normal 53 4" xfId="3500"/>
    <cellStyle name="Normal 53 5" xfId="3501"/>
    <cellStyle name="Normal 53 6" xfId="3502"/>
    <cellStyle name="Normal 53 7" xfId="3503"/>
    <cellStyle name="Normal 53 8" xfId="3504"/>
    <cellStyle name="Normal 54" xfId="3505"/>
    <cellStyle name="Normal 54 2" xfId="3506"/>
    <cellStyle name="Normal 54 3" xfId="3507"/>
    <cellStyle name="Normal 54 4" xfId="3508"/>
    <cellStyle name="Normal 54 5" xfId="3509"/>
    <cellStyle name="Normal 54 6" xfId="3510"/>
    <cellStyle name="Normal 54 7" xfId="3511"/>
    <cellStyle name="Normal 54 8" xfId="3512"/>
    <cellStyle name="Normal 55" xfId="3513"/>
    <cellStyle name="Normal 55 2" xfId="3514"/>
    <cellStyle name="Normal 55 3" xfId="3515"/>
    <cellStyle name="Normal 55 4" xfId="3516"/>
    <cellStyle name="Normal 55 5" xfId="3517"/>
    <cellStyle name="Normal 55 6" xfId="3518"/>
    <cellStyle name="Normal 55 7" xfId="3519"/>
    <cellStyle name="Normal 55 8" xfId="3520"/>
    <cellStyle name="Normal 56" xfId="3521"/>
    <cellStyle name="Normal 56 2" xfId="3522"/>
    <cellStyle name="Normal 56 3" xfId="3523"/>
    <cellStyle name="Normal 56 4" xfId="3524"/>
    <cellStyle name="Normal 56 5" xfId="3525"/>
    <cellStyle name="Normal 56 6" xfId="3526"/>
    <cellStyle name="Normal 56 7" xfId="3527"/>
    <cellStyle name="Normal 56 8" xfId="3528"/>
    <cellStyle name="Normal 57" xfId="3529"/>
    <cellStyle name="Normal 57 2" xfId="3530"/>
    <cellStyle name="Normal 57 3" xfId="3531"/>
    <cellStyle name="Normal 57 4" xfId="3532"/>
    <cellStyle name="Normal 57 5" xfId="3533"/>
    <cellStyle name="Normal 57 6" xfId="3534"/>
    <cellStyle name="Normal 57 7" xfId="3535"/>
    <cellStyle name="Normal 57 8" xfId="3536"/>
    <cellStyle name="Normal 58" xfId="3537"/>
    <cellStyle name="Normal 58 2" xfId="3538"/>
    <cellStyle name="Normal 58 3" xfId="3539"/>
    <cellStyle name="Normal 58 4" xfId="3540"/>
    <cellStyle name="Normal 58 5" xfId="3541"/>
    <cellStyle name="Normal 58 6" xfId="3542"/>
    <cellStyle name="Normal 58 7" xfId="3543"/>
    <cellStyle name="Normal 58 8" xfId="3544"/>
    <cellStyle name="Normal 59" xfId="3545"/>
    <cellStyle name="Normal 59 2" xfId="3546"/>
    <cellStyle name="Normal 59 3" xfId="3547"/>
    <cellStyle name="Normal 59 4" xfId="3548"/>
    <cellStyle name="Normal 59 5" xfId="3549"/>
    <cellStyle name="Normal 59 6" xfId="3550"/>
    <cellStyle name="Normal 59 7" xfId="3551"/>
    <cellStyle name="Normal 59 8" xfId="3552"/>
    <cellStyle name="Normal 6" xfId="3553"/>
    <cellStyle name="Normal-- 6" xfId="3554"/>
    <cellStyle name="Normal 6 10" xfId="3555"/>
    <cellStyle name="Normal 6 10 2" xfId="3556"/>
    <cellStyle name="Normal 6 100" xfId="3557"/>
    <cellStyle name="Normal 6 101" xfId="3558"/>
    <cellStyle name="Normal 6 102" xfId="3559"/>
    <cellStyle name="Normal 6 103" xfId="3560"/>
    <cellStyle name="Normal 6 104" xfId="3561"/>
    <cellStyle name="Normal 6 105" xfId="3562"/>
    <cellStyle name="Normal 6 106" xfId="3563"/>
    <cellStyle name="Normal 6 107" xfId="3564"/>
    <cellStyle name="Normal 6 108" xfId="3565"/>
    <cellStyle name="Normal 6 109" xfId="3566"/>
    <cellStyle name="Normal 6 11" xfId="3567"/>
    <cellStyle name="Normal 6 11 2" xfId="3568"/>
    <cellStyle name="Normal 6 110" xfId="3569"/>
    <cellStyle name="Normal 6 111" xfId="3570"/>
    <cellStyle name="Normal 6 112" xfId="3571"/>
    <cellStyle name="Normal 6 113" xfId="3572"/>
    <cellStyle name="Normal 6 114" xfId="3573"/>
    <cellStyle name="Normal 6 115" xfId="3574"/>
    <cellStyle name="Normal 6 116" xfId="3575"/>
    <cellStyle name="Normal 6 117" xfId="3576"/>
    <cellStyle name="Normal 6 12" xfId="3577"/>
    <cellStyle name="Normal 6 12 2" xfId="3578"/>
    <cellStyle name="Normal 6 13" xfId="3579"/>
    <cellStyle name="Normal 6 13 2" xfId="3580"/>
    <cellStyle name="Normal 6 14" xfId="3581"/>
    <cellStyle name="Normal 6 14 2" xfId="3582"/>
    <cellStyle name="Normal 6 15" xfId="3583"/>
    <cellStyle name="Normal 6 15 2" xfId="3584"/>
    <cellStyle name="Normal 6 16" xfId="3585"/>
    <cellStyle name="Normal 6 16 2" xfId="3586"/>
    <cellStyle name="Normal 6 17" xfId="3587"/>
    <cellStyle name="Normal 6 17 2" xfId="3588"/>
    <cellStyle name="Normal 6 18" xfId="3589"/>
    <cellStyle name="Normal 6 18 2" xfId="3590"/>
    <cellStyle name="Normal 6 19" xfId="3591"/>
    <cellStyle name="Normal 6 19 2" xfId="3592"/>
    <cellStyle name="Normal 6 2" xfId="3593"/>
    <cellStyle name="Normal 6 2 2" xfId="3594"/>
    <cellStyle name="Normal 6 2 3" xfId="3595"/>
    <cellStyle name="Normal 6 2 4" xfId="3596"/>
    <cellStyle name="Normal 6 2 5" xfId="3597"/>
    <cellStyle name="Normal 6 20" xfId="3598"/>
    <cellStyle name="Normal 6 20 2" xfId="3599"/>
    <cellStyle name="Normal 6 21" xfId="3600"/>
    <cellStyle name="Normal 6 21 2" xfId="3601"/>
    <cellStyle name="Normal 6 21 2 2" xfId="3602"/>
    <cellStyle name="Normal 6 21 3" xfId="3603"/>
    <cellStyle name="Normal 6 21 4" xfId="3604"/>
    <cellStyle name="Normal 6 22" xfId="3605"/>
    <cellStyle name="Normal 6 22 2" xfId="3606"/>
    <cellStyle name="Normal 6 22 2 2" xfId="3607"/>
    <cellStyle name="Normal 6 22 3" xfId="3608"/>
    <cellStyle name="Normal 6 22 4" xfId="3609"/>
    <cellStyle name="Normal 6 23" xfId="3610"/>
    <cellStyle name="Normal 6 23 2" xfId="3611"/>
    <cellStyle name="Normal 6 24" xfId="3612"/>
    <cellStyle name="Normal 6 24 2" xfId="3613"/>
    <cellStyle name="Normal 6 25" xfId="3614"/>
    <cellStyle name="Normal 6 25 2" xfId="3615"/>
    <cellStyle name="Normal 6 26" xfId="3616"/>
    <cellStyle name="Normal 6 26 2" xfId="3617"/>
    <cellStyle name="Normal 6 27" xfId="3618"/>
    <cellStyle name="Normal 6 27 2" xfId="3619"/>
    <cellStyle name="Normal 6 28" xfId="3620"/>
    <cellStyle name="Normal 6 28 2" xfId="3621"/>
    <cellStyle name="Normal 6 29" xfId="3622"/>
    <cellStyle name="Normal 6 29 2" xfId="3623"/>
    <cellStyle name="Normal 6 3" xfId="3624"/>
    <cellStyle name="Normal 6 3 2" xfId="3625"/>
    <cellStyle name="Normal 6 3 3" xfId="3626"/>
    <cellStyle name="Normal 6 3 4" xfId="3627"/>
    <cellStyle name="Normal 6 30" xfId="3628"/>
    <cellStyle name="Normal 6 31" xfId="3629"/>
    <cellStyle name="Normal 6 32" xfId="3630"/>
    <cellStyle name="Normal 6 33" xfId="3631"/>
    <cellStyle name="Normal 6 34" xfId="3632"/>
    <cellStyle name="Normal 6 35" xfId="3633"/>
    <cellStyle name="Normal 6 36" xfId="3634"/>
    <cellStyle name="Normal 6 37" xfId="3635"/>
    <cellStyle name="Normal 6 38" xfId="3636"/>
    <cellStyle name="Normal 6 39" xfId="3637"/>
    <cellStyle name="Normal 6 4" xfId="3638"/>
    <cellStyle name="Normal 6 4 2" xfId="3639"/>
    <cellStyle name="Normal 6 40" xfId="3640"/>
    <cellStyle name="Normal 6 41" xfId="3641"/>
    <cellStyle name="Normal 6 42" xfId="3642"/>
    <cellStyle name="Normal 6 43" xfId="3643"/>
    <cellStyle name="Normal 6 44" xfId="3644"/>
    <cellStyle name="Normal 6 45" xfId="3645"/>
    <cellStyle name="Normal 6 46" xfId="3646"/>
    <cellStyle name="Normal 6 47" xfId="3647"/>
    <cellStyle name="Normal 6 48" xfId="3648"/>
    <cellStyle name="Normal 6 49" xfId="3649"/>
    <cellStyle name="Normal 6 5" xfId="3650"/>
    <cellStyle name="Normal 6 5 2" xfId="3651"/>
    <cellStyle name="Normal 6 50" xfId="3652"/>
    <cellStyle name="Normal 6 51" xfId="3653"/>
    <cellStyle name="Normal 6 52" xfId="3654"/>
    <cellStyle name="Normal 6 53" xfId="3655"/>
    <cellStyle name="Normal 6 54" xfId="3656"/>
    <cellStyle name="Normal 6 55" xfId="3657"/>
    <cellStyle name="Normal 6 56" xfId="3658"/>
    <cellStyle name="Normal 6 57" xfId="3659"/>
    <cellStyle name="Normal 6 58" xfId="3660"/>
    <cellStyle name="Normal 6 59" xfId="3661"/>
    <cellStyle name="Normal 6 6" xfId="3662"/>
    <cellStyle name="Normal 6 6 2" xfId="3663"/>
    <cellStyle name="Normal 6 60" xfId="3664"/>
    <cellStyle name="Normal 6 61" xfId="3665"/>
    <cellStyle name="Normal 6 62" xfId="3666"/>
    <cellStyle name="Normal 6 63" xfId="3667"/>
    <cellStyle name="Normal 6 64" xfId="3668"/>
    <cellStyle name="Normal 6 65" xfId="3669"/>
    <cellStyle name="Normal 6 66" xfId="3670"/>
    <cellStyle name="Normal 6 67" xfId="3671"/>
    <cellStyle name="Normal 6 68" xfId="3672"/>
    <cellStyle name="Normal 6 69" xfId="3673"/>
    <cellStyle name="Normal 6 7" xfId="3674"/>
    <cellStyle name="Normal 6 7 2" xfId="3675"/>
    <cellStyle name="Normal 6 70" xfId="3676"/>
    <cellStyle name="Normal 6 71" xfId="3677"/>
    <cellStyle name="Normal 6 72" xfId="3678"/>
    <cellStyle name="Normal 6 73" xfId="3679"/>
    <cellStyle name="Normal 6 74" xfId="3680"/>
    <cellStyle name="Normal 6 75" xfId="3681"/>
    <cellStyle name="Normal 6 76" xfId="3682"/>
    <cellStyle name="Normal 6 77" xfId="3683"/>
    <cellStyle name="Normal 6 78" xfId="3684"/>
    <cellStyle name="Normal 6 79" xfId="3685"/>
    <cellStyle name="Normal 6 8" xfId="3686"/>
    <cellStyle name="Normal 6 8 2" xfId="3687"/>
    <cellStyle name="Normal 6 80" xfId="3688"/>
    <cellStyle name="Normal 6 81" xfId="3689"/>
    <cellStyle name="Normal 6 82" xfId="3690"/>
    <cellStyle name="Normal 6 83" xfId="3691"/>
    <cellStyle name="Normal 6 84" xfId="3692"/>
    <cellStyle name="Normal 6 85" xfId="3693"/>
    <cellStyle name="Normal 6 86" xfId="3694"/>
    <cellStyle name="Normal 6 87" xfId="3695"/>
    <cellStyle name="Normal 6 88" xfId="3696"/>
    <cellStyle name="Normal 6 89" xfId="3697"/>
    <cellStyle name="Normal 6 9" xfId="3698"/>
    <cellStyle name="Normal 6 9 2" xfId="3699"/>
    <cellStyle name="Normal 6 90" xfId="3700"/>
    <cellStyle name="Normal 6 91" xfId="3701"/>
    <cellStyle name="Normal 6 92" xfId="3702"/>
    <cellStyle name="Normal 6 93" xfId="3703"/>
    <cellStyle name="Normal 6 94" xfId="3704"/>
    <cellStyle name="Normal 6 95" xfId="3705"/>
    <cellStyle name="Normal 6 96" xfId="3706"/>
    <cellStyle name="Normal 6 97" xfId="3707"/>
    <cellStyle name="Normal 6 98" xfId="3708"/>
    <cellStyle name="Normal 6 99" xfId="3709"/>
    <cellStyle name="Normal 60 2" xfId="3710"/>
    <cellStyle name="Normal 60 3" xfId="3711"/>
    <cellStyle name="Normal 60 4" xfId="3712"/>
    <cellStyle name="Normal 60 5" xfId="3713"/>
    <cellStyle name="Normal 60 6" xfId="3714"/>
    <cellStyle name="Normal 60 7" xfId="3715"/>
    <cellStyle name="Normal 60 8" xfId="3716"/>
    <cellStyle name="Normal 61 2" xfId="3717"/>
    <cellStyle name="Normal 61 3" xfId="3718"/>
    <cellStyle name="Normal 61 4" xfId="3719"/>
    <cellStyle name="Normal 61 5" xfId="3720"/>
    <cellStyle name="Normal 61 6" xfId="3721"/>
    <cellStyle name="Normal 61 7" xfId="3722"/>
    <cellStyle name="Normal 61 8" xfId="3723"/>
    <cellStyle name="Normal 62 2" xfId="3724"/>
    <cellStyle name="Normal 62 3" xfId="3725"/>
    <cellStyle name="Normal 62 4" xfId="3726"/>
    <cellStyle name="Normal 62 5" xfId="3727"/>
    <cellStyle name="Normal 62 6" xfId="3728"/>
    <cellStyle name="Normal 62 7" xfId="3729"/>
    <cellStyle name="Normal 62 8" xfId="3730"/>
    <cellStyle name="Normal 63 2" xfId="3731"/>
    <cellStyle name="Normal 63 3" xfId="3732"/>
    <cellStyle name="Normal 63 4" xfId="3733"/>
    <cellStyle name="Normal 63 5" xfId="3734"/>
    <cellStyle name="Normal 63 6" xfId="3735"/>
    <cellStyle name="Normal 63 7" xfId="3736"/>
    <cellStyle name="Normal 63 8" xfId="3737"/>
    <cellStyle name="Normal 64 2" xfId="3738"/>
    <cellStyle name="Normal 64 3" xfId="3739"/>
    <cellStyle name="Normal 64 4" xfId="3740"/>
    <cellStyle name="Normal 64 5" xfId="3741"/>
    <cellStyle name="Normal 64 6" xfId="3742"/>
    <cellStyle name="Normal 64 7" xfId="3743"/>
    <cellStyle name="Normal 64 8" xfId="3744"/>
    <cellStyle name="Normal 65" xfId="3745"/>
    <cellStyle name="Normal 65 2" xfId="3746"/>
    <cellStyle name="Normal 65 3" xfId="3747"/>
    <cellStyle name="Normal 65 4" xfId="3748"/>
    <cellStyle name="Normal 65 5" xfId="3749"/>
    <cellStyle name="Normal 65 6" xfId="3750"/>
    <cellStyle name="Normal 65 7" xfId="3751"/>
    <cellStyle name="Normal 65 8" xfId="3752"/>
    <cellStyle name="Normal 67 2" xfId="3753"/>
    <cellStyle name="Normal 67 3" xfId="3754"/>
    <cellStyle name="Normal 67 4" xfId="3755"/>
    <cellStyle name="Normal 67 5" xfId="3756"/>
    <cellStyle name="Normal 67 6" xfId="3757"/>
    <cellStyle name="Normal 67 7" xfId="3758"/>
    <cellStyle name="Normal 67 8" xfId="3759"/>
    <cellStyle name="Normal 69 2" xfId="3760"/>
    <cellStyle name="Normal 69 3" xfId="3761"/>
    <cellStyle name="Normal 69 4" xfId="3762"/>
    <cellStyle name="Normal 69 5" xfId="3763"/>
    <cellStyle name="Normal 69 6" xfId="3764"/>
    <cellStyle name="Normal 69 7" xfId="3765"/>
    <cellStyle name="Normal 69 8" xfId="3766"/>
    <cellStyle name="Normal 7" xfId="3767"/>
    <cellStyle name="Normal-- 7" xfId="3768"/>
    <cellStyle name="Normal 7 10" xfId="3769"/>
    <cellStyle name="Normal 7 11" xfId="3770"/>
    <cellStyle name="Normal 7 12" xfId="3771"/>
    <cellStyle name="Normal 7 13" xfId="3772"/>
    <cellStyle name="Normal 7 14" xfId="3773"/>
    <cellStyle name="Normal 7 15" xfId="3774"/>
    <cellStyle name="Normal 7 16" xfId="3775"/>
    <cellStyle name="Normal 7 17" xfId="3776"/>
    <cellStyle name="Normal 7 18" xfId="3777"/>
    <cellStyle name="Normal 7 19" xfId="3778"/>
    <cellStyle name="Normal 7 2" xfId="3779"/>
    <cellStyle name="Normal 7 2 2" xfId="3780"/>
    <cellStyle name="Normal 7 2 3" xfId="3781"/>
    <cellStyle name="Normal 7 2 4" xfId="3782"/>
    <cellStyle name="Normal 7 20" xfId="3783"/>
    <cellStyle name="Normal 7 21" xfId="3784"/>
    <cellStyle name="Normal 7 22" xfId="3785"/>
    <cellStyle name="Normal 7 23" xfId="3786"/>
    <cellStyle name="Normal 7 24" xfId="3787"/>
    <cellStyle name="Normal 7 25" xfId="3788"/>
    <cellStyle name="Normal 7 26" xfId="3789"/>
    <cellStyle name="Normal 7 27" xfId="3790"/>
    <cellStyle name="Normal 7 28" xfId="3791"/>
    <cellStyle name="Normal 7 29" xfId="3792"/>
    <cellStyle name="Normal 7 3" xfId="3793"/>
    <cellStyle name="Normal 7 30" xfId="3794"/>
    <cellStyle name="Normal 7 31" xfId="3795"/>
    <cellStyle name="Normal 7 32" xfId="3796"/>
    <cellStyle name="Normal 7 33" xfId="3797"/>
    <cellStyle name="Normal 7 34" xfId="3798"/>
    <cellStyle name="Normal 7 35" xfId="3799"/>
    <cellStyle name="Normal 7 36" xfId="3800"/>
    <cellStyle name="Normal 7 37" xfId="3801"/>
    <cellStyle name="Normal 7 38" xfId="3802"/>
    <cellStyle name="Normal 7 4" xfId="3803"/>
    <cellStyle name="Normal 7 5" xfId="3804"/>
    <cellStyle name="Normal 7 6" xfId="3805"/>
    <cellStyle name="Normal 7 7" xfId="3806"/>
    <cellStyle name="Normal 7 8" xfId="3807"/>
    <cellStyle name="Normal 7 9" xfId="3808"/>
    <cellStyle name="Normal 70 2" xfId="3809"/>
    <cellStyle name="Normal 70 3" xfId="3810"/>
    <cellStyle name="Normal 70 4" xfId="3811"/>
    <cellStyle name="Normal 70 5" xfId="3812"/>
    <cellStyle name="Normal 70 6" xfId="3813"/>
    <cellStyle name="Normal 70 7" xfId="3814"/>
    <cellStyle name="Normal 70 8" xfId="3815"/>
    <cellStyle name="Normal 71 2" xfId="3816"/>
    <cellStyle name="Normal 71 3" xfId="3817"/>
    <cellStyle name="Normal 71 4" xfId="3818"/>
    <cellStyle name="Normal 71 5" xfId="3819"/>
    <cellStyle name="Normal 71 6" xfId="3820"/>
    <cellStyle name="Normal 71 7" xfId="3821"/>
    <cellStyle name="Normal 71 8" xfId="3822"/>
    <cellStyle name="Normal 72 2" xfId="3823"/>
    <cellStyle name="Normal 72 3" xfId="3824"/>
    <cellStyle name="Normal 72 4" xfId="3825"/>
    <cellStyle name="Normal 72 5" xfId="3826"/>
    <cellStyle name="Normal 72 6" xfId="3827"/>
    <cellStyle name="Normal 72 7" xfId="3828"/>
    <cellStyle name="Normal 72 8" xfId="3829"/>
    <cellStyle name="Normal 73 2" xfId="3830"/>
    <cellStyle name="Normal 73 3" xfId="3831"/>
    <cellStyle name="Normal 73 4" xfId="3832"/>
    <cellStyle name="Normal 73 5" xfId="3833"/>
    <cellStyle name="Normal 73 6" xfId="3834"/>
    <cellStyle name="Normal 73 7" xfId="3835"/>
    <cellStyle name="Normal 73 8" xfId="3836"/>
    <cellStyle name="Normal 74 2" xfId="3837"/>
    <cellStyle name="Normal 74 3" xfId="3838"/>
    <cellStyle name="Normal 74 4" xfId="3839"/>
    <cellStyle name="Normal 74 5" xfId="3840"/>
    <cellStyle name="Normal 74 6" xfId="3841"/>
    <cellStyle name="Normal 74 7" xfId="3842"/>
    <cellStyle name="Normal 74 8" xfId="3843"/>
    <cellStyle name="Normal 75 2" xfId="3844"/>
    <cellStyle name="Normal 75 3" xfId="3845"/>
    <cellStyle name="Normal 75 4" xfId="3846"/>
    <cellStyle name="Normal 75 5" xfId="3847"/>
    <cellStyle name="Normal 75 6" xfId="3848"/>
    <cellStyle name="Normal 75 7" xfId="3849"/>
    <cellStyle name="Normal 75 8" xfId="3850"/>
    <cellStyle name="Normal 76" xfId="3851"/>
    <cellStyle name="Normal 77" xfId="3852"/>
    <cellStyle name="Normal 8" xfId="3853"/>
    <cellStyle name="Normal-- 8" xfId="3854"/>
    <cellStyle name="Normal 8 10" xfId="3855"/>
    <cellStyle name="Normal 8 11" xfId="3856"/>
    <cellStyle name="Normal 8 12" xfId="3857"/>
    <cellStyle name="Normal 8 13" xfId="3858"/>
    <cellStyle name="Normal 8 14" xfId="3859"/>
    <cellStyle name="Normal 8 15" xfId="3860"/>
    <cellStyle name="Normal 8 16" xfId="3861"/>
    <cellStyle name="Normal 8 17" xfId="3862"/>
    <cellStyle name="Normal 8 18" xfId="3863"/>
    <cellStyle name="Normal 8 19" xfId="3864"/>
    <cellStyle name="Normal 8 2" xfId="3865"/>
    <cellStyle name="Normal 8 2 2" xfId="3866"/>
    <cellStyle name="Normal 8 20" xfId="3867"/>
    <cellStyle name="Normal 8 21" xfId="3868"/>
    <cellStyle name="Normal 8 21 2" xfId="3869"/>
    <cellStyle name="Normal 8 21 2 2" xfId="3870"/>
    <cellStyle name="Normal 8 21 2 2 2" xfId="3871"/>
    <cellStyle name="Normal 8 21 2 3" xfId="3872"/>
    <cellStyle name="Normal 8 21 3" xfId="3873"/>
    <cellStyle name="Normal 8 21 3 2" xfId="3874"/>
    <cellStyle name="Normal 8 21 4" xfId="3875"/>
    <cellStyle name="Normal 8 22" xfId="3876"/>
    <cellStyle name="Normal 8 22 2" xfId="3877"/>
    <cellStyle name="Normal 8 22 2 2" xfId="3878"/>
    <cellStyle name="Normal 8 22 2 2 2" xfId="3879"/>
    <cellStyle name="Normal 8 22 2 3" xfId="3880"/>
    <cellStyle name="Normal 8 22 3" xfId="3881"/>
    <cellStyle name="Normal 8 22 3 2" xfId="3882"/>
    <cellStyle name="Normal 8 22 4" xfId="3883"/>
    <cellStyle name="Normal 8 23" xfId="3884"/>
    <cellStyle name="Normal 8 23 2" xfId="3885"/>
    <cellStyle name="Normal 8 23 2 2" xfId="3886"/>
    <cellStyle name="Normal 8 23 3" xfId="3887"/>
    <cellStyle name="Normal 8 24" xfId="3888"/>
    <cellStyle name="Normal 8 24 2" xfId="3889"/>
    <cellStyle name="Normal 8 25" xfId="3890"/>
    <cellStyle name="Normal 8 26" xfId="3891"/>
    <cellStyle name="Normal 8 27" xfId="3892"/>
    <cellStyle name="Normal 8 28" xfId="3893"/>
    <cellStyle name="Normal 8 29" xfId="3894"/>
    <cellStyle name="Normal 8 3" xfId="3895"/>
    <cellStyle name="Normal 8 3 2" xfId="3896"/>
    <cellStyle name="Normal 8 30" xfId="3897"/>
    <cellStyle name="Normal 8 31" xfId="3898"/>
    <cellStyle name="Normal 8 32" xfId="3899"/>
    <cellStyle name="Normal 8 33" xfId="3900"/>
    <cellStyle name="Normal 8 34" xfId="3901"/>
    <cellStyle name="Normal 8 35" xfId="3902"/>
    <cellStyle name="Normal 8 36" xfId="3903"/>
    <cellStyle name="Normal 8 37" xfId="3904"/>
    <cellStyle name="Normal 8 38" xfId="3905"/>
    <cellStyle name="Normal 8 39" xfId="3906"/>
    <cellStyle name="Normal 8 4" xfId="3907"/>
    <cellStyle name="Normal 8 40" xfId="3908"/>
    <cellStyle name="Normal 8 41" xfId="3909"/>
    <cellStyle name="Normal 8 42" xfId="3910"/>
    <cellStyle name="Normal 8 5" xfId="3911"/>
    <cellStyle name="Normal 8 6" xfId="3912"/>
    <cellStyle name="Normal 8 7" xfId="3913"/>
    <cellStyle name="Normal 8 8" xfId="3914"/>
    <cellStyle name="Normal 8 9" xfId="3915"/>
    <cellStyle name="Normal 9" xfId="3916"/>
    <cellStyle name="Normal 9 2" xfId="3917"/>
    <cellStyle name="Normal 9 2 2" xfId="3918"/>
    <cellStyle name="Normal 9 3" xfId="3919"/>
    <cellStyle name="Normal 9 4" xfId="3920"/>
    <cellStyle name="Normal 9 5" xfId="3921"/>
    <cellStyle name="Normal 9 6" xfId="3922"/>
    <cellStyle name="Normal2" xfId="3923"/>
    <cellStyle name="Normale_97.98.us" xfId="3924"/>
    <cellStyle name="NormalGB" xfId="3925"/>
    <cellStyle name="Normalx" xfId="3926"/>
    <cellStyle name="Note 2" xfId="3927"/>
    <cellStyle name="Note 2 10" xfId="3928"/>
    <cellStyle name="Note 2 11" xfId="3929"/>
    <cellStyle name="Note 2 12" xfId="3930"/>
    <cellStyle name="Note 2 13" xfId="3931"/>
    <cellStyle name="Note 2 2" xfId="3932"/>
    <cellStyle name="Note 2 2 2" xfId="3933"/>
    <cellStyle name="Note 2 2 2 2" xfId="3934"/>
    <cellStyle name="Note 2 2 2 3" xfId="3935"/>
    <cellStyle name="Note 2 2 3" xfId="3936"/>
    <cellStyle name="Note 2 2 4" xfId="3937"/>
    <cellStyle name="Note 2 2 5" xfId="3938"/>
    <cellStyle name="Note 2 2 6" xfId="3939"/>
    <cellStyle name="Note 2 3" xfId="3940"/>
    <cellStyle name="Note 2 3 2" xfId="3941"/>
    <cellStyle name="Note 2 4" xfId="3942"/>
    <cellStyle name="Note 2 5" xfId="3943"/>
    <cellStyle name="Note 2 6" xfId="3944"/>
    <cellStyle name="Note 2 7" xfId="3945"/>
    <cellStyle name="Note 2 8" xfId="3946"/>
    <cellStyle name="Note 2 9" xfId="3947"/>
    <cellStyle name="Note 3" xfId="3948"/>
    <cellStyle name="Note 3 2" xfId="3949"/>
    <cellStyle name="Note 3 3" xfId="3950"/>
    <cellStyle name="Note 4" xfId="3951"/>
    <cellStyle name="Note 4 2" xfId="3952"/>
    <cellStyle name="Note 5" xfId="3953"/>
    <cellStyle name="Note 5 2" xfId="3954"/>
    <cellStyle name="Note 6" xfId="3955"/>
    <cellStyle name="Note 6 2" xfId="3956"/>
    <cellStyle name="Note 7" xfId="3957"/>
    <cellStyle name="Note 7 2" xfId="3958"/>
    <cellStyle name="Note 8" xfId="3959"/>
    <cellStyle name="Note 8 2" xfId="3960"/>
    <cellStyle name="Note 8 2 2" xfId="3961"/>
    <cellStyle name="Note 8 2 2 2" xfId="3962"/>
    <cellStyle name="Note 8 2 2 2 2" xfId="3963"/>
    <cellStyle name="Note 8 2 2 3" xfId="3964"/>
    <cellStyle name="Note 8 2 3" xfId="3965"/>
    <cellStyle name="Note 8 2 3 2" xfId="3966"/>
    <cellStyle name="Note 8 2 4" xfId="3967"/>
    <cellStyle name="Note 8 3" xfId="3968"/>
    <cellStyle name="Note 8 3 2" xfId="3969"/>
    <cellStyle name="Note 8 3 2 2" xfId="3970"/>
    <cellStyle name="Note 8 3 2 2 2" xfId="3971"/>
    <cellStyle name="Note 8 3 2 3" xfId="3972"/>
    <cellStyle name="Note 8 3 3" xfId="3973"/>
    <cellStyle name="Note 8 3 3 2" xfId="3974"/>
    <cellStyle name="Note 8 3 4" xfId="3975"/>
    <cellStyle name="Note 8 4" xfId="3976"/>
    <cellStyle name="Note 8 4 2" xfId="3977"/>
    <cellStyle name="Note 8 4 2 2" xfId="3978"/>
    <cellStyle name="Note 8 4 3" xfId="3979"/>
    <cellStyle name="Note 8 5" xfId="3980"/>
    <cellStyle name="Note 8 5 2" xfId="3981"/>
    <cellStyle name="Note 8 6" xfId="3982"/>
    <cellStyle name="Nr 0 dec" xfId="3983"/>
    <cellStyle name="Nr 0 dec - Input" xfId="3984"/>
    <cellStyle name="Nr 0 dec - Subtotal" xfId="3985"/>
    <cellStyle name="Nr 0 dec_Data" xfId="3986"/>
    <cellStyle name="Nr 1 dec" xfId="3987"/>
    <cellStyle name="Nr 1 dec - Input" xfId="3988"/>
    <cellStyle name="Nr, 0 dec" xfId="3989"/>
    <cellStyle name="number" xfId="3990"/>
    <cellStyle name="Number, 1 dec" xfId="3991"/>
    <cellStyle name="Output (1dp#)" xfId="3992"/>
    <cellStyle name="Output (1dpx)_ Pies " xfId="3993"/>
    <cellStyle name="Output 2" xfId="3994"/>
    <cellStyle name="Output 2 10" xfId="3995"/>
    <cellStyle name="Output 2 11" xfId="3996"/>
    <cellStyle name="Output 2 2" xfId="3997"/>
    <cellStyle name="Output 2 2 2" xfId="3998"/>
    <cellStyle name="Output 2 2 3" xfId="3999"/>
    <cellStyle name="Output 2 2 4" xfId="4000"/>
    <cellStyle name="Output 2 3" xfId="4001"/>
    <cellStyle name="Output 2 4" xfId="4002"/>
    <cellStyle name="Output 2 5" xfId="4003"/>
    <cellStyle name="Output 2 6" xfId="4004"/>
    <cellStyle name="Output 2 7" xfId="4005"/>
    <cellStyle name="Output 2 8" xfId="4006"/>
    <cellStyle name="Output 2 9" xfId="4007"/>
    <cellStyle name="Page Heading" xfId="4008"/>
    <cellStyle name="Page Heading Large" xfId="4009"/>
    <cellStyle name="Page Heading Small" xfId="4010"/>
    <cellStyle name="Page Number" xfId="4011"/>
    <cellStyle name="pb_page_heading_LS" xfId="4012"/>
    <cellStyle name="Per aandeel" xfId="4013"/>
    <cellStyle name="Percent" xfId="21" builtinId="5"/>
    <cellStyle name="Percent (1)" xfId="4014"/>
    <cellStyle name="Percent [0]" xfId="4015"/>
    <cellStyle name="Percent [00]" xfId="4016"/>
    <cellStyle name="Percent [1]" xfId="4017"/>
    <cellStyle name="Percent [2]" xfId="4018"/>
    <cellStyle name="Percent [2] 2" xfId="4019"/>
    <cellStyle name="Percent [2] 3" xfId="4020"/>
    <cellStyle name="Percent 1 dec" xfId="4021"/>
    <cellStyle name="Percent 1 dec - Input" xfId="4022"/>
    <cellStyle name="Percent 1 dec_Data" xfId="4023"/>
    <cellStyle name="Percent 10" xfId="4024"/>
    <cellStyle name="Percent 2" xfId="22"/>
    <cellStyle name="Percent 2 10" xfId="4025"/>
    <cellStyle name="Percent 2 10 2" xfId="4026"/>
    <cellStyle name="Percent 2 10 2 2" xfId="4027"/>
    <cellStyle name="Percent 2 10 3" xfId="4028"/>
    <cellStyle name="Percent 2 11" xfId="4029"/>
    <cellStyle name="Percent 2 12" xfId="4030"/>
    <cellStyle name="Percent 2 12 2" xfId="4031"/>
    <cellStyle name="Percent 2 12 2 2" xfId="4032"/>
    <cellStyle name="Percent 2 12 3" xfId="4033"/>
    <cellStyle name="Percent 2 13" xfId="4034"/>
    <cellStyle name="Percent 2 13 2" xfId="4035"/>
    <cellStyle name="Percent 2 14" xfId="4036"/>
    <cellStyle name="Percent 2 15" xfId="4037"/>
    <cellStyle name="Percent 2 16" xfId="4038"/>
    <cellStyle name="Percent 2 17" xfId="4039"/>
    <cellStyle name="Percent 2 18" xfId="4040"/>
    <cellStyle name="Percent 2 19" xfId="4041"/>
    <cellStyle name="Percent 2 2" xfId="4042"/>
    <cellStyle name="Percent 2 2 2" xfId="4043"/>
    <cellStyle name="Percent 2 2 3" xfId="4044"/>
    <cellStyle name="Percent 2 2 4" xfId="4045"/>
    <cellStyle name="Percent 2 2 4 2" xfId="4046"/>
    <cellStyle name="Percent 2 2 4 2 2" xfId="4047"/>
    <cellStyle name="Percent 2 2 4 2 2 2" xfId="4048"/>
    <cellStyle name="Percent 2 2 4 2 3" xfId="4049"/>
    <cellStyle name="Percent 2 2 4 3" xfId="4050"/>
    <cellStyle name="Percent 2 2 4 3 2" xfId="4051"/>
    <cellStyle name="Percent 2 2 4 4" xfId="4052"/>
    <cellStyle name="Percent 2 2 5" xfId="4053"/>
    <cellStyle name="Percent 2 2 6" xfId="4054"/>
    <cellStyle name="Percent 2 3" xfId="4055"/>
    <cellStyle name="Percent 2 4" xfId="4056"/>
    <cellStyle name="Percent 2 5" xfId="4057"/>
    <cellStyle name="Percent 2 5 2" xfId="4058"/>
    <cellStyle name="Percent 2 5 2 2" xfId="4059"/>
    <cellStyle name="Percent 2 5 2 2 2" xfId="4060"/>
    <cellStyle name="Percent 2 5 2 2 2 2" xfId="4061"/>
    <cellStyle name="Percent 2 5 2 2 3" xfId="4062"/>
    <cellStyle name="Percent 2 5 2 3" xfId="4063"/>
    <cellStyle name="Percent 2 5 2 3 2" xfId="4064"/>
    <cellStyle name="Percent 2 5 2 4" xfId="4065"/>
    <cellStyle name="Percent 2 5 3" xfId="4066"/>
    <cellStyle name="Percent 2 5 3 2" xfId="4067"/>
    <cellStyle name="Percent 2 5 3 2 2" xfId="4068"/>
    <cellStyle name="Percent 2 5 3 2 2 2" xfId="4069"/>
    <cellStyle name="Percent 2 5 3 2 3" xfId="4070"/>
    <cellStyle name="Percent 2 5 3 3" xfId="4071"/>
    <cellStyle name="Percent 2 5 3 3 2" xfId="4072"/>
    <cellStyle name="Percent 2 5 3 4" xfId="4073"/>
    <cellStyle name="Percent 2 5 4" xfId="4074"/>
    <cellStyle name="Percent 2 5 4 2" xfId="4075"/>
    <cellStyle name="Percent 2 5 4 2 2" xfId="4076"/>
    <cellStyle name="Percent 2 5 4 3" xfId="4077"/>
    <cellStyle name="Percent 2 5 5" xfId="4078"/>
    <cellStyle name="Percent 2 5 5 2" xfId="4079"/>
    <cellStyle name="Percent 2 5 6" xfId="4080"/>
    <cellStyle name="Percent 2 6" xfId="4081"/>
    <cellStyle name="Percent 2 6 2" xfId="4082"/>
    <cellStyle name="Percent 2 6 2 2" xfId="4083"/>
    <cellStyle name="Percent 2 6 2 2 2" xfId="4084"/>
    <cellStyle name="Percent 2 6 2 2 2 2" xfId="4085"/>
    <cellStyle name="Percent 2 6 2 2 3" xfId="4086"/>
    <cellStyle name="Percent 2 6 2 3" xfId="4087"/>
    <cellStyle name="Percent 2 6 2 3 2" xfId="4088"/>
    <cellStyle name="Percent 2 6 2 4" xfId="4089"/>
    <cellStyle name="Percent 2 6 3" xfId="4090"/>
    <cellStyle name="Percent 2 6 3 2" xfId="4091"/>
    <cellStyle name="Percent 2 6 3 2 2" xfId="4092"/>
    <cellStyle name="Percent 2 6 3 2 2 2" xfId="4093"/>
    <cellStyle name="Percent 2 6 3 2 3" xfId="4094"/>
    <cellStyle name="Percent 2 6 3 3" xfId="4095"/>
    <cellStyle name="Percent 2 6 3 3 2" xfId="4096"/>
    <cellStyle name="Percent 2 6 3 4" xfId="4097"/>
    <cellStyle name="Percent 2 6 4" xfId="4098"/>
    <cellStyle name="Percent 2 6 4 2" xfId="4099"/>
    <cellStyle name="Percent 2 6 4 2 2" xfId="4100"/>
    <cellStyle name="Percent 2 6 4 3" xfId="4101"/>
    <cellStyle name="Percent 2 6 5" xfId="4102"/>
    <cellStyle name="Percent 2 6 5 2" xfId="4103"/>
    <cellStyle name="Percent 2 6 6" xfId="4104"/>
    <cellStyle name="Percent 2 7" xfId="4105"/>
    <cellStyle name="Percent 2 7 2" xfId="4106"/>
    <cellStyle name="Percent 2 7 3" xfId="4107"/>
    <cellStyle name="Percent 2 7 4" xfId="4108"/>
    <cellStyle name="Percent 2 7 4 2" xfId="4109"/>
    <cellStyle name="Percent 2 7 4 2 2" xfId="4110"/>
    <cellStyle name="Percent 2 7 4 3" xfId="4111"/>
    <cellStyle name="Percent 2 7 5" xfId="4112"/>
    <cellStyle name="Percent 2 7 5 2" xfId="4113"/>
    <cellStyle name="Percent 2 7 6" xfId="4114"/>
    <cellStyle name="Percent 2 8" xfId="4115"/>
    <cellStyle name="Percent 2 8 2" xfId="4116"/>
    <cellStyle name="Percent 2 8 2 2" xfId="4117"/>
    <cellStyle name="Percent 2 8 2 2 2" xfId="4118"/>
    <cellStyle name="Percent 2 8 2 3" xfId="4119"/>
    <cellStyle name="Percent 2 8 3" xfId="4120"/>
    <cellStyle name="Percent 2 8 3 2" xfId="4121"/>
    <cellStyle name="Percent 2 8 4" xfId="4122"/>
    <cellStyle name="Percent 2 9" xfId="4123"/>
    <cellStyle name="Percent 3" xfId="26"/>
    <cellStyle name="Percent 3 2" xfId="4124"/>
    <cellStyle name="Percent 3 2 2" xfId="4125"/>
    <cellStyle name="Percent 3 2 2 2" xfId="4126"/>
    <cellStyle name="Percent 3 2 3" xfId="4127"/>
    <cellStyle name="Percent 3 2 4" xfId="4128"/>
    <cellStyle name="Percent 3 3" xfId="4129"/>
    <cellStyle name="Percent 3 4" xfId="4130"/>
    <cellStyle name="Percent 4" xfId="4131"/>
    <cellStyle name="Percent 4 2" xfId="4132"/>
    <cellStyle name="Percent 4 2 2" xfId="4133"/>
    <cellStyle name="Percent 4 3" xfId="4134"/>
    <cellStyle name="Percent 4 3 2" xfId="4135"/>
    <cellStyle name="Percent 4 3 2 2" xfId="4136"/>
    <cellStyle name="Percent 4 3 3" xfId="4137"/>
    <cellStyle name="Percent 5" xfId="4138"/>
    <cellStyle name="Percent 5 2" xfId="4139"/>
    <cellStyle name="Percent 5 2 2" xfId="4140"/>
    <cellStyle name="Percent 5 2 2 2" xfId="4141"/>
    <cellStyle name="Percent 5 2 3" xfId="4142"/>
    <cellStyle name="Percent 6" xfId="4143"/>
    <cellStyle name="Percent 6 2" xfId="4144"/>
    <cellStyle name="Percent 6 2 2" xfId="4145"/>
    <cellStyle name="Percent 6 2 2 2" xfId="4146"/>
    <cellStyle name="Percent 6 2 3" xfId="4147"/>
    <cellStyle name="Percent 6 3" xfId="4148"/>
    <cellStyle name="Percent 6 3 2" xfId="4149"/>
    <cellStyle name="Percent 6 3 2 2" xfId="4150"/>
    <cellStyle name="Percent 6 3 3" xfId="4151"/>
    <cellStyle name="Percent 7" xfId="4152"/>
    <cellStyle name="Percent 7 2" xfId="4153"/>
    <cellStyle name="Percent 7 2 2" xfId="4154"/>
    <cellStyle name="Percent 7 2 2 2" xfId="4155"/>
    <cellStyle name="Percent 7 2 3" xfId="4156"/>
    <cellStyle name="Percent 7 3" xfId="4157"/>
    <cellStyle name="Percent 7 3 2" xfId="4158"/>
    <cellStyle name="Percent 7 4" xfId="4159"/>
    <cellStyle name="Percent 8" xfId="4160"/>
    <cellStyle name="Percent 9" xfId="4161"/>
    <cellStyle name="Percent Hard" xfId="4162"/>
    <cellStyle name="percentage" xfId="4163"/>
    <cellStyle name="PercentChange" xfId="4164"/>
    <cellStyle name="PLAN1" xfId="4165"/>
    <cellStyle name="Porcentaje" xfId="4166"/>
    <cellStyle name="Pourcentage_Profit &amp; Loss" xfId="4167"/>
    <cellStyle name="PrePop Currency (0)" xfId="4168"/>
    <cellStyle name="PrePop Currency (2)" xfId="4169"/>
    <cellStyle name="PrePop Units (0)" xfId="4170"/>
    <cellStyle name="PrePop Units (1)" xfId="4171"/>
    <cellStyle name="PrePop Units (2)" xfId="4172"/>
    <cellStyle name="Procenten" xfId="4173"/>
    <cellStyle name="Procenten estimate" xfId="4174"/>
    <cellStyle name="Procenten_EMI" xfId="4175"/>
    <cellStyle name="Profit figure" xfId="4176"/>
    <cellStyle name="Protected" xfId="4177"/>
    <cellStyle name="ProtectedDates" xfId="4178"/>
    <cellStyle name="PSChar" xfId="4179"/>
    <cellStyle name="PSDate" xfId="4180"/>
    <cellStyle name="PSDec" xfId="4181"/>
    <cellStyle name="PSHeading" xfId="4182"/>
    <cellStyle name="PSInt" xfId="4183"/>
    <cellStyle name="PSSpacer" xfId="4184"/>
    <cellStyle name="RatioX" xfId="4185"/>
    <cellStyle name="Red font" xfId="4186"/>
    <cellStyle name="ref" xfId="4187"/>
    <cellStyle name="Right" xfId="4188"/>
    <cellStyle name="Salomon Logo" xfId="4189"/>
    <cellStyle name="ScripFactor" xfId="4190"/>
    <cellStyle name="SectionHeading" xfId="4191"/>
    <cellStyle name="Shade" xfId="4192"/>
    <cellStyle name="Shaded" xfId="4193"/>
    <cellStyle name="Single Accounting" xfId="4194"/>
    <cellStyle name="SingleLineAcctgn" xfId="4195"/>
    <cellStyle name="SingleLinePercent" xfId="4196"/>
    <cellStyle name="Source Superscript" xfId="4197"/>
    <cellStyle name="Source Text" xfId="4198"/>
    <cellStyle name="ssp " xfId="4199"/>
    <cellStyle name="Standard" xfId="4200"/>
    <cellStyle name="Style 1" xfId="4201"/>
    <cellStyle name="Style 10" xfId="4202"/>
    <cellStyle name="Style 100" xfId="4203"/>
    <cellStyle name="Style 101" xfId="4204"/>
    <cellStyle name="Style 102" xfId="4205"/>
    <cellStyle name="Style 103" xfId="4206"/>
    <cellStyle name="Style 104" xfId="4207"/>
    <cellStyle name="Style 105" xfId="4208"/>
    <cellStyle name="Style 106" xfId="4209"/>
    <cellStyle name="Style 107" xfId="4210"/>
    <cellStyle name="Style 108" xfId="4211"/>
    <cellStyle name="Style 109" xfId="4212"/>
    <cellStyle name="Style 11" xfId="4213"/>
    <cellStyle name="Style 110" xfId="4214"/>
    <cellStyle name="Style 111" xfId="4215"/>
    <cellStyle name="Style 112" xfId="4216"/>
    <cellStyle name="Style 113" xfId="4217"/>
    <cellStyle name="Style 114" xfId="4218"/>
    <cellStyle name="Style 115" xfId="4219"/>
    <cellStyle name="Style 116" xfId="4220"/>
    <cellStyle name="Style 117" xfId="4221"/>
    <cellStyle name="Style 118" xfId="4222"/>
    <cellStyle name="Style 119" xfId="4223"/>
    <cellStyle name="Style 12" xfId="4224"/>
    <cellStyle name="Style 120" xfId="4225"/>
    <cellStyle name="Style 121" xfId="4226"/>
    <cellStyle name="Style 122" xfId="4227"/>
    <cellStyle name="Style 123" xfId="4228"/>
    <cellStyle name="Style 124" xfId="4229"/>
    <cellStyle name="Style 125" xfId="4230"/>
    <cellStyle name="Style 126" xfId="4231"/>
    <cellStyle name="Style 127" xfId="4232"/>
    <cellStyle name="Style 128" xfId="4233"/>
    <cellStyle name="Style 129" xfId="4234"/>
    <cellStyle name="Style 13" xfId="4235"/>
    <cellStyle name="Style 130" xfId="4236"/>
    <cellStyle name="Style 131" xfId="4237"/>
    <cellStyle name="Style 132" xfId="4238"/>
    <cellStyle name="Style 133" xfId="4239"/>
    <cellStyle name="Style 134" xfId="4240"/>
    <cellStyle name="Style 135" xfId="4241"/>
    <cellStyle name="Style 136" xfId="4242"/>
    <cellStyle name="Style 137" xfId="4243"/>
    <cellStyle name="Style 138" xfId="4244"/>
    <cellStyle name="Style 139" xfId="4245"/>
    <cellStyle name="Style 14" xfId="4246"/>
    <cellStyle name="Style 140" xfId="4247"/>
    <cellStyle name="Style 141" xfId="4248"/>
    <cellStyle name="Style 142" xfId="4249"/>
    <cellStyle name="Style 143" xfId="4250"/>
    <cellStyle name="Style 144" xfId="4251"/>
    <cellStyle name="Style 145" xfId="4252"/>
    <cellStyle name="Style 146" xfId="4253"/>
    <cellStyle name="Style 147" xfId="4254"/>
    <cellStyle name="Style 148" xfId="4255"/>
    <cellStyle name="Style 149" xfId="4256"/>
    <cellStyle name="Style 15" xfId="4257"/>
    <cellStyle name="Style 150" xfId="4258"/>
    <cellStyle name="Style 151" xfId="4259"/>
    <cellStyle name="Style 152" xfId="4260"/>
    <cellStyle name="Style 153" xfId="4261"/>
    <cellStyle name="Style 154" xfId="4262"/>
    <cellStyle name="Style 155" xfId="4263"/>
    <cellStyle name="Style 156" xfId="4264"/>
    <cellStyle name="Style 157" xfId="4265"/>
    <cellStyle name="Style 158" xfId="4266"/>
    <cellStyle name="Style 159" xfId="4267"/>
    <cellStyle name="Style 16" xfId="4268"/>
    <cellStyle name="Style 160" xfId="4269"/>
    <cellStyle name="Style 161" xfId="4270"/>
    <cellStyle name="Style 162" xfId="4271"/>
    <cellStyle name="Style 163" xfId="4272"/>
    <cellStyle name="Style 164" xfId="4273"/>
    <cellStyle name="Style 165" xfId="4274"/>
    <cellStyle name="Style 166" xfId="4275"/>
    <cellStyle name="Style 167" xfId="4276"/>
    <cellStyle name="Style 168" xfId="4277"/>
    <cellStyle name="Style 169" xfId="4278"/>
    <cellStyle name="Style 17" xfId="4279"/>
    <cellStyle name="Style 170" xfId="4280"/>
    <cellStyle name="Style 171" xfId="4281"/>
    <cellStyle name="Style 172" xfId="4282"/>
    <cellStyle name="Style 173" xfId="4283"/>
    <cellStyle name="Style 174" xfId="4284"/>
    <cellStyle name="Style 175" xfId="4285"/>
    <cellStyle name="Style 176" xfId="4286"/>
    <cellStyle name="Style 177" xfId="4287"/>
    <cellStyle name="Style 178" xfId="4288"/>
    <cellStyle name="Style 179" xfId="4289"/>
    <cellStyle name="Style 18" xfId="4290"/>
    <cellStyle name="Style 180" xfId="4291"/>
    <cellStyle name="Style 181" xfId="4292"/>
    <cellStyle name="Style 182" xfId="4293"/>
    <cellStyle name="Style 183" xfId="4294"/>
    <cellStyle name="Style 184" xfId="4295"/>
    <cellStyle name="Style 185" xfId="4296"/>
    <cellStyle name="Style 186" xfId="4297"/>
    <cellStyle name="Style 187" xfId="4298"/>
    <cellStyle name="Style 188" xfId="4299"/>
    <cellStyle name="Style 189" xfId="4300"/>
    <cellStyle name="Style 19" xfId="4301"/>
    <cellStyle name="Style 190" xfId="4302"/>
    <cellStyle name="Style 191" xfId="4303"/>
    <cellStyle name="Style 192" xfId="4304"/>
    <cellStyle name="Style 193" xfId="4305"/>
    <cellStyle name="Style 194" xfId="4306"/>
    <cellStyle name="Style 195" xfId="4307"/>
    <cellStyle name="Style 196" xfId="4308"/>
    <cellStyle name="Style 197" xfId="4309"/>
    <cellStyle name="Style 198" xfId="4310"/>
    <cellStyle name="Style 199" xfId="4311"/>
    <cellStyle name="Style 2" xfId="4312"/>
    <cellStyle name="Style 20" xfId="4313"/>
    <cellStyle name="Style 200" xfId="4314"/>
    <cellStyle name="Style 201" xfId="4315"/>
    <cellStyle name="Style 202" xfId="4316"/>
    <cellStyle name="Style 203" xfId="4317"/>
    <cellStyle name="Style 204" xfId="4318"/>
    <cellStyle name="Style 205" xfId="4319"/>
    <cellStyle name="Style 206" xfId="4320"/>
    <cellStyle name="Style 207" xfId="4321"/>
    <cellStyle name="Style 208" xfId="4322"/>
    <cellStyle name="Style 209" xfId="4323"/>
    <cellStyle name="Style 21" xfId="4324"/>
    <cellStyle name="Style 21 2" xfId="4325"/>
    <cellStyle name="Style 22" xfId="4326"/>
    <cellStyle name="Style 22 2" xfId="4327"/>
    <cellStyle name="Style 22 3" xfId="4328"/>
    <cellStyle name="Style 22 4" xfId="4329"/>
    <cellStyle name="Style 23" xfId="4330"/>
    <cellStyle name="Style 23 2" xfId="4331"/>
    <cellStyle name="Style 23 3" xfId="4332"/>
    <cellStyle name="Style 24" xfId="4333"/>
    <cellStyle name="Style 24 2" xfId="4334"/>
    <cellStyle name="Style 24 3" xfId="4335"/>
    <cellStyle name="Style 24 4" xfId="4336"/>
    <cellStyle name="Style 25" xfId="4337"/>
    <cellStyle name="Style 25 2" xfId="4338"/>
    <cellStyle name="Style 25 3" xfId="4339"/>
    <cellStyle name="Style 26" xfId="4340"/>
    <cellStyle name="Style 26 2" xfId="4341"/>
    <cellStyle name="Style 26 3" xfId="4342"/>
    <cellStyle name="Style 26 4" xfId="4343"/>
    <cellStyle name="Style 27" xfId="4344"/>
    <cellStyle name="Style 28" xfId="4345"/>
    <cellStyle name="Style 29" xfId="4346"/>
    <cellStyle name="Style 3" xfId="4347"/>
    <cellStyle name="Style 30" xfId="4348"/>
    <cellStyle name="Style 31" xfId="4349"/>
    <cellStyle name="Style 32" xfId="4350"/>
    <cellStyle name="Style 33" xfId="4351"/>
    <cellStyle name="Style 34" xfId="4352"/>
    <cellStyle name="Style 35" xfId="4353"/>
    <cellStyle name="Style 36" xfId="4354"/>
    <cellStyle name="Style 37" xfId="4355"/>
    <cellStyle name="Style 38" xfId="4356"/>
    <cellStyle name="Style 39" xfId="4357"/>
    <cellStyle name="Style 4" xfId="4358"/>
    <cellStyle name="Style 40" xfId="4359"/>
    <cellStyle name="Style 41" xfId="4360"/>
    <cellStyle name="Style 42" xfId="4361"/>
    <cellStyle name="Style 43" xfId="4362"/>
    <cellStyle name="Style 44" xfId="4363"/>
    <cellStyle name="Style 45" xfId="4364"/>
    <cellStyle name="Style 46" xfId="4365"/>
    <cellStyle name="Style 47" xfId="4366"/>
    <cellStyle name="Style 48" xfId="4367"/>
    <cellStyle name="Style 49" xfId="4368"/>
    <cellStyle name="Style 5" xfId="4369"/>
    <cellStyle name="Style 50" xfId="4370"/>
    <cellStyle name="Style 51" xfId="4371"/>
    <cellStyle name="Style 52" xfId="4372"/>
    <cellStyle name="Style 53" xfId="4373"/>
    <cellStyle name="Style 54" xfId="4374"/>
    <cellStyle name="Style 55" xfId="4375"/>
    <cellStyle name="Style 56" xfId="4376"/>
    <cellStyle name="Style 57" xfId="4377"/>
    <cellStyle name="Style 58" xfId="4378"/>
    <cellStyle name="Style 59" xfId="4379"/>
    <cellStyle name="Style 6" xfId="4380"/>
    <cellStyle name="Style 60" xfId="4381"/>
    <cellStyle name="Style 61" xfId="4382"/>
    <cellStyle name="Style 62" xfId="4383"/>
    <cellStyle name="Style 63" xfId="4384"/>
    <cellStyle name="Style 64" xfId="4385"/>
    <cellStyle name="Style 65" xfId="4386"/>
    <cellStyle name="Style 66" xfId="4387"/>
    <cellStyle name="Style 67" xfId="4388"/>
    <cellStyle name="Style 68" xfId="4389"/>
    <cellStyle name="Style 69" xfId="4390"/>
    <cellStyle name="Style 7" xfId="4391"/>
    <cellStyle name="Style 70" xfId="4392"/>
    <cellStyle name="Style 71" xfId="4393"/>
    <cellStyle name="Style 72" xfId="4394"/>
    <cellStyle name="Style 73" xfId="4395"/>
    <cellStyle name="Style 74" xfId="4396"/>
    <cellStyle name="Style 75" xfId="4397"/>
    <cellStyle name="Style 76" xfId="4398"/>
    <cellStyle name="Style 77" xfId="4399"/>
    <cellStyle name="Style 78" xfId="4400"/>
    <cellStyle name="Style 79" xfId="4401"/>
    <cellStyle name="Style 8" xfId="4402"/>
    <cellStyle name="Style 80" xfId="4403"/>
    <cellStyle name="Style 81" xfId="4404"/>
    <cellStyle name="Style 82" xfId="4405"/>
    <cellStyle name="Style 83" xfId="4406"/>
    <cellStyle name="Style 84" xfId="4407"/>
    <cellStyle name="Style 85" xfId="4408"/>
    <cellStyle name="Style 86" xfId="4409"/>
    <cellStyle name="Style 87" xfId="4410"/>
    <cellStyle name="Style 88" xfId="4411"/>
    <cellStyle name="Style 89" xfId="4412"/>
    <cellStyle name="Style 9" xfId="4413"/>
    <cellStyle name="Style 90" xfId="4414"/>
    <cellStyle name="Style 91" xfId="4415"/>
    <cellStyle name="Style 92" xfId="4416"/>
    <cellStyle name="Style 93" xfId="4417"/>
    <cellStyle name="Style 94" xfId="4418"/>
    <cellStyle name="Style 95" xfId="4419"/>
    <cellStyle name="Style 96" xfId="4420"/>
    <cellStyle name="Style 97" xfId="4421"/>
    <cellStyle name="Style 98" xfId="4422"/>
    <cellStyle name="Style 99" xfId="4423"/>
    <cellStyle name="STYLE1" xfId="4424"/>
    <cellStyle name="STYLE2" xfId="4425"/>
    <cellStyle name="STYLE3" xfId="4426"/>
    <cellStyle name="Subhead" xfId="4427"/>
    <cellStyle name="Subtotal_left" xfId="4428"/>
    <cellStyle name="SwitchCell" xfId="4429"/>
    <cellStyle name="t" xfId="4430"/>
    <cellStyle name="Table Col Head" xfId="4431"/>
    <cellStyle name="Table Head" xfId="4432"/>
    <cellStyle name="Table Head Aligned" xfId="4433"/>
    <cellStyle name="Table Head Blue" xfId="4434"/>
    <cellStyle name="Table Head Green" xfId="4435"/>
    <cellStyle name="Table Head_Val_Sum_Graph" xfId="4436"/>
    <cellStyle name="Table Sub Head" xfId="4437"/>
    <cellStyle name="Table Text" xfId="4438"/>
    <cellStyle name="Table Title" xfId="4439"/>
    <cellStyle name="Table Units" xfId="4440"/>
    <cellStyle name="Table_Header" xfId="4441"/>
    <cellStyle name="TableBorder" xfId="4442"/>
    <cellStyle name="TableColumnHeader" xfId="4443"/>
    <cellStyle name="TableColumnHeader 2" xfId="4444"/>
    <cellStyle name="TableColumnHeader 3" xfId="4445"/>
    <cellStyle name="TableHeading" xfId="4446"/>
    <cellStyle name="TableHighlight" xfId="4447"/>
    <cellStyle name="TableNote" xfId="4448"/>
    <cellStyle name="test a style" xfId="4449"/>
    <cellStyle name="Text 1" xfId="4450"/>
    <cellStyle name="Text Head 1" xfId="4451"/>
    <cellStyle name="Text Indent A" xfId="4452"/>
    <cellStyle name="Text Indent B" xfId="4453"/>
    <cellStyle name="Text Indent C" xfId="4454"/>
    <cellStyle name="Text Wrap" xfId="4455"/>
    <cellStyle name="Time" xfId="4456"/>
    <cellStyle name="Times 10" xfId="4457"/>
    <cellStyle name="Times 12" xfId="4458"/>
    <cellStyle name="Times New Roman" xfId="4459"/>
    <cellStyle name="Title 2" xfId="4460"/>
    <cellStyle name="Title 2 2" xfId="4461"/>
    <cellStyle name="Title 3" xfId="4462"/>
    <cellStyle name="title1" xfId="4463"/>
    <cellStyle name="title2" xfId="4464"/>
    <cellStyle name="Title-2" xfId="4465"/>
    <cellStyle name="Titles" xfId="4466"/>
    <cellStyle name="titre_col" xfId="4467"/>
    <cellStyle name="TOC" xfId="4468"/>
    <cellStyle name="Total 2" xfId="4469"/>
    <cellStyle name="Total 2 10" xfId="4470"/>
    <cellStyle name="Total 2 11" xfId="4471"/>
    <cellStyle name="Total 2 12" xfId="4472"/>
    <cellStyle name="Total 2 2" xfId="4473"/>
    <cellStyle name="Total 2 2 2" xfId="4474"/>
    <cellStyle name="Total 2 2 3" xfId="4475"/>
    <cellStyle name="Total 2 2 4" xfId="4476"/>
    <cellStyle name="Total 2 3" xfId="4477"/>
    <cellStyle name="Total 2 4" xfId="4478"/>
    <cellStyle name="Total 2 5" xfId="4479"/>
    <cellStyle name="Total 2 6" xfId="4480"/>
    <cellStyle name="Total 2 7" xfId="4481"/>
    <cellStyle name="Total 2 8" xfId="4482"/>
    <cellStyle name="Total 2 9" xfId="4483"/>
    <cellStyle name="Total 3" xfId="4484"/>
    <cellStyle name="Total Bold" xfId="4485"/>
    <cellStyle name="Totals" xfId="4486"/>
    <cellStyle name="Underline_Single" xfId="4487"/>
    <cellStyle name="UnProtectedCalc" xfId="4488"/>
    <cellStyle name="Valuta (0)_Sheet1" xfId="4489"/>
    <cellStyle name="Valuta_piv_polio" xfId="4490"/>
    <cellStyle name="Währung [0]_A17 - 31.03.1998" xfId="4491"/>
    <cellStyle name="Währung_A17 - 31.03.1998" xfId="4492"/>
    <cellStyle name="Warburg" xfId="4493"/>
    <cellStyle name="Warning Text 2" xfId="4494"/>
    <cellStyle name="Warning Text 2 2" xfId="4495"/>
    <cellStyle name="Warning Text 2 3" xfId="4496"/>
    <cellStyle name="Warning Text 2 4" xfId="4497"/>
    <cellStyle name="Warning Text 2 5" xfId="4498"/>
    <cellStyle name="Warning Text 2 6" xfId="4499"/>
    <cellStyle name="Warning Text 2 7" xfId="4500"/>
    <cellStyle name="Warning Text 2 8" xfId="4501"/>
    <cellStyle name="Warning Text 2 9" xfId="4502"/>
    <cellStyle name="wild guess" xfId="4503"/>
    <cellStyle name="Wildguess" xfId="4504"/>
    <cellStyle name="Year" xfId="4505"/>
    <cellStyle name="Year Estimate" xfId="4506"/>
    <cellStyle name="Year, Actual" xfId="4507"/>
    <cellStyle name="YearE_ Pies " xfId="4508"/>
    <cellStyle name="YearFormat" xfId="4509"/>
    <cellStyle name="Yen" xfId="4510"/>
    <cellStyle name="YesNo" xfId="4511"/>
    <cellStyle name="쬞\?1@" xfId="4512"/>
    <cellStyle name="常规 2" xfId="4513"/>
    <cellStyle name="標準_car_JP" xfId="45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537880</xdr:colOff>
      <xdr:row>519</xdr:row>
      <xdr:rowOff>795617</xdr:rowOff>
    </xdr:from>
    <xdr:to>
      <xdr:col>24</xdr:col>
      <xdr:colOff>11203</xdr:colOff>
      <xdr:row>525</xdr:row>
      <xdr:rowOff>78440</xdr:rowOff>
    </xdr:to>
    <xdr:sp macro="" textlink="">
      <xdr:nvSpPr>
        <xdr:cNvPr id="2" name="Rectangle 1"/>
        <xdr:cNvSpPr/>
      </xdr:nvSpPr>
      <xdr:spPr>
        <a:xfrm>
          <a:off x="11519645" y="102040764"/>
          <a:ext cx="3104029" cy="10085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spreadsheet is an internal table developed to fuel the OEB</a:t>
          </a:r>
          <a:r>
            <a:rPr lang="en-US" sz="1100" baseline="0"/>
            <a:t> spreadsheet.  This one is static and is sourced from the IESO CDM report .  Note that there is one set of links for the Retro fit, which has spanned many rate classes.</a:t>
          </a:r>
          <a:endParaRPr lang="en-US" sz="1100"/>
        </a:p>
      </xdr:txBody>
    </xdr:sp>
    <xdr:clientData/>
  </xdr:twoCellAnchor>
  <xdr:twoCellAnchor>
    <xdr:from>
      <xdr:col>4</xdr:col>
      <xdr:colOff>268941</xdr:colOff>
      <xdr:row>582</xdr:row>
      <xdr:rowOff>134470</xdr:rowOff>
    </xdr:from>
    <xdr:to>
      <xdr:col>5</xdr:col>
      <xdr:colOff>35859</xdr:colOff>
      <xdr:row>584</xdr:row>
      <xdr:rowOff>50986</xdr:rowOff>
    </xdr:to>
    <xdr:sp macro="" textlink="">
      <xdr:nvSpPr>
        <xdr:cNvPr id="3" name="Rectangle 2"/>
        <xdr:cNvSpPr/>
      </xdr:nvSpPr>
      <xdr:spPr>
        <a:xfrm>
          <a:off x="3707466" y="115158370"/>
          <a:ext cx="538443" cy="24036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1</a:t>
          </a:r>
        </a:p>
      </xdr:txBody>
    </xdr:sp>
    <xdr:clientData/>
  </xdr:twoCellAnchor>
  <xdr:twoCellAnchor>
    <xdr:from>
      <xdr:col>9</xdr:col>
      <xdr:colOff>470648</xdr:colOff>
      <xdr:row>584</xdr:row>
      <xdr:rowOff>44824</xdr:rowOff>
    </xdr:from>
    <xdr:to>
      <xdr:col>10</xdr:col>
      <xdr:colOff>360830</xdr:colOff>
      <xdr:row>586</xdr:row>
      <xdr:rowOff>84604</xdr:rowOff>
    </xdr:to>
    <xdr:sp macro="" textlink="">
      <xdr:nvSpPr>
        <xdr:cNvPr id="4" name="Rectangle 3"/>
        <xdr:cNvSpPr/>
      </xdr:nvSpPr>
      <xdr:spPr>
        <a:xfrm>
          <a:off x="6290423" y="115392574"/>
          <a:ext cx="499782" cy="41125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3</a:t>
          </a:r>
        </a:p>
      </xdr:txBody>
    </xdr:sp>
    <xdr:clientData/>
  </xdr:twoCellAnchor>
  <xdr:twoCellAnchor>
    <xdr:from>
      <xdr:col>9</xdr:col>
      <xdr:colOff>291353</xdr:colOff>
      <xdr:row>587</xdr:row>
      <xdr:rowOff>134470</xdr:rowOff>
    </xdr:from>
    <xdr:to>
      <xdr:col>10</xdr:col>
      <xdr:colOff>181535</xdr:colOff>
      <xdr:row>589</xdr:row>
      <xdr:rowOff>62192</xdr:rowOff>
    </xdr:to>
    <xdr:sp macro="" textlink="">
      <xdr:nvSpPr>
        <xdr:cNvPr id="5" name="Rectangle 4"/>
        <xdr:cNvSpPr/>
      </xdr:nvSpPr>
      <xdr:spPr>
        <a:xfrm>
          <a:off x="6111128" y="116034670"/>
          <a:ext cx="499782" cy="28967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A-1 </a:t>
          </a:r>
          <a:r>
            <a:rPr lang="en-CA" sz="900" baseline="0"/>
            <a:t> </a:t>
          </a:r>
          <a:r>
            <a:rPr lang="en-CA" sz="900"/>
            <a:t> 1</a:t>
          </a:r>
        </a:p>
      </xdr:txBody>
    </xdr:sp>
    <xdr:clientData/>
  </xdr:twoCellAnchor>
  <xdr:twoCellAnchor>
    <xdr:from>
      <xdr:col>12</xdr:col>
      <xdr:colOff>0</xdr:colOff>
      <xdr:row>583</xdr:row>
      <xdr:rowOff>0</xdr:rowOff>
    </xdr:from>
    <xdr:to>
      <xdr:col>12</xdr:col>
      <xdr:colOff>495300</xdr:colOff>
      <xdr:row>585</xdr:row>
      <xdr:rowOff>28575</xdr:rowOff>
    </xdr:to>
    <xdr:sp macro="" textlink="">
      <xdr:nvSpPr>
        <xdr:cNvPr id="6" name="Rectangle 5"/>
        <xdr:cNvSpPr/>
      </xdr:nvSpPr>
      <xdr:spPr>
        <a:xfrm>
          <a:off x="7324725" y="115157250"/>
          <a:ext cx="495300" cy="4095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4</a:t>
          </a:r>
        </a:p>
      </xdr:txBody>
    </xdr:sp>
    <xdr:clientData/>
  </xdr:twoCellAnchor>
  <xdr:twoCellAnchor>
    <xdr:from>
      <xdr:col>12</xdr:col>
      <xdr:colOff>380999</xdr:colOff>
      <xdr:row>589</xdr:row>
      <xdr:rowOff>100852</xdr:rowOff>
    </xdr:from>
    <xdr:to>
      <xdr:col>13</xdr:col>
      <xdr:colOff>459440</xdr:colOff>
      <xdr:row>590</xdr:row>
      <xdr:rowOff>156882</xdr:rowOff>
    </xdr:to>
    <xdr:sp macro="" textlink="">
      <xdr:nvSpPr>
        <xdr:cNvPr id="7" name="Rectangle 6"/>
        <xdr:cNvSpPr/>
      </xdr:nvSpPr>
      <xdr:spPr>
        <a:xfrm>
          <a:off x="7705724" y="116363002"/>
          <a:ext cx="688041" cy="2370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5</a:t>
          </a:r>
        </a:p>
      </xdr:txBody>
    </xdr:sp>
    <xdr:clientData/>
  </xdr:twoCellAnchor>
  <xdr:twoCellAnchor>
    <xdr:from>
      <xdr:col>4</xdr:col>
      <xdr:colOff>302559</xdr:colOff>
      <xdr:row>591</xdr:row>
      <xdr:rowOff>100853</xdr:rowOff>
    </xdr:from>
    <xdr:to>
      <xdr:col>5</xdr:col>
      <xdr:colOff>69477</xdr:colOff>
      <xdr:row>593</xdr:row>
      <xdr:rowOff>17369</xdr:rowOff>
    </xdr:to>
    <xdr:sp macro="" textlink="">
      <xdr:nvSpPr>
        <xdr:cNvPr id="8" name="Rectangle 7"/>
        <xdr:cNvSpPr/>
      </xdr:nvSpPr>
      <xdr:spPr>
        <a:xfrm>
          <a:off x="3741084" y="116724953"/>
          <a:ext cx="538443" cy="28799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bacon/My%20Documents/Lakeland/2013%20Rate%20Appl/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bacon/Documents/Thunder%20Bay/2013%20Rate%20Application/Load%20Forecast/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abSelected="1" workbookViewId="0">
      <pane xSplit="1" ySplit="3" topLeftCell="B4" activePane="bottomRight" state="frozen"/>
      <selection pane="topRight" activeCell="B1" sqref="B1"/>
      <selection pane="bottomLeft" activeCell="A4" sqref="A4"/>
      <selection pane="bottomRight" activeCell="P15" sqref="P15"/>
    </sheetView>
  </sheetViews>
  <sheetFormatPr defaultRowHeight="12.75"/>
  <cols>
    <col min="1" max="1" width="32.7109375" customWidth="1"/>
    <col min="2" max="2" width="12.7109375" style="1" customWidth="1"/>
    <col min="3" max="3" width="13" style="1" customWidth="1"/>
    <col min="4" max="4" width="12.7109375" style="1" bestFit="1" customWidth="1"/>
    <col min="5" max="7" width="12.85546875" style="1" customWidth="1"/>
    <col min="8" max="9" width="13.140625" style="1" customWidth="1"/>
    <col min="10" max="10" width="12.7109375" style="14" bestFit="1" customWidth="1"/>
    <col min="11" max="11" width="13.140625" style="1" customWidth="1"/>
    <col min="12" max="12" width="11.28515625" customWidth="1"/>
    <col min="13" max="13" width="12.28515625" customWidth="1"/>
    <col min="14" max="14" width="14" bestFit="1" customWidth="1"/>
    <col min="15" max="15" width="9.140625" style="211"/>
    <col min="16" max="16" width="13.28515625" style="211" customWidth="1"/>
    <col min="17" max="19" width="11.5703125" style="211" customWidth="1"/>
    <col min="20" max="20" width="12.7109375" style="211" customWidth="1"/>
    <col min="21" max="21" width="11.7109375" style="211" customWidth="1"/>
    <col min="22" max="22" width="5.42578125" style="211" customWidth="1"/>
    <col min="23" max="28" width="12.140625" style="211" customWidth="1"/>
    <col min="29" max="29" width="9.140625" style="211"/>
    <col min="30" max="31" width="9.7109375" style="211" bestFit="1" customWidth="1"/>
    <col min="32" max="32" width="9.140625" style="211"/>
    <col min="33" max="33" width="9.7109375" style="211" bestFit="1" customWidth="1"/>
    <col min="34" max="79" width="9.140625" style="211"/>
  </cols>
  <sheetData>
    <row r="1" spans="1:34" ht="21" customHeight="1">
      <c r="A1" s="255" t="s">
        <v>275</v>
      </c>
      <c r="B1" s="255"/>
      <c r="C1" s="255"/>
      <c r="D1" s="255"/>
      <c r="E1" s="255"/>
      <c r="K1" s="255" t="s">
        <v>314</v>
      </c>
      <c r="L1" s="255"/>
      <c r="M1" s="255"/>
      <c r="N1" s="255"/>
      <c r="O1" s="255"/>
    </row>
    <row r="2" spans="1:34" ht="13.5" thickBot="1">
      <c r="A2" s="255"/>
      <c r="B2" s="255"/>
      <c r="C2" s="255"/>
      <c r="D2" s="255"/>
      <c r="E2" s="255"/>
      <c r="K2" s="255"/>
      <c r="L2" s="255"/>
      <c r="M2" s="255"/>
      <c r="N2" s="255"/>
      <c r="O2" s="255"/>
    </row>
    <row r="3" spans="1:34" ht="45.75" thickBot="1">
      <c r="B3" s="251" t="s">
        <v>40</v>
      </c>
      <c r="C3" s="252" t="s">
        <v>41</v>
      </c>
      <c r="D3" s="252" t="s">
        <v>48</v>
      </c>
      <c r="E3" s="252" t="s">
        <v>50</v>
      </c>
      <c r="F3" s="252" t="s">
        <v>55</v>
      </c>
      <c r="G3" s="252" t="s">
        <v>57</v>
      </c>
      <c r="H3" s="252" t="s">
        <v>266</v>
      </c>
      <c r="I3" s="252" t="s">
        <v>267</v>
      </c>
      <c r="J3" s="252" t="s">
        <v>268</v>
      </c>
      <c r="K3" s="252" t="s">
        <v>269</v>
      </c>
      <c r="L3" s="252" t="s">
        <v>270</v>
      </c>
      <c r="M3" s="253" t="s">
        <v>271</v>
      </c>
      <c r="P3" s="212"/>
      <c r="Q3" s="212"/>
      <c r="R3" s="212"/>
      <c r="S3" s="212"/>
      <c r="T3" s="212"/>
      <c r="U3" s="212"/>
      <c r="V3" s="212"/>
      <c r="W3" s="212"/>
      <c r="X3" s="212"/>
      <c r="Y3" s="212"/>
      <c r="Z3" s="212"/>
      <c r="AA3" s="212"/>
      <c r="AB3" s="212"/>
    </row>
    <row r="4" spans="1:34">
      <c r="A4" s="13" t="s">
        <v>272</v>
      </c>
      <c r="B4" s="19">
        <f>'Rate Class Energy Model'!P3</f>
        <v>1039037823.4400007</v>
      </c>
      <c r="C4" s="19">
        <f>'Rate Class Energy Model'!P4</f>
        <v>1031120515.9500011</v>
      </c>
      <c r="D4" s="19">
        <f>'Rate Class Energy Model'!P5</f>
        <v>1005493354.6399989</v>
      </c>
      <c r="E4" s="19">
        <f>'Rate Class Energy Model'!P6</f>
        <v>976724641.65999937</v>
      </c>
      <c r="F4" s="19">
        <f>'Rate Class Energy Model'!P7</f>
        <v>944010732.54999959</v>
      </c>
      <c r="G4" s="19">
        <f>'Rate Class Energy Model'!P8</f>
        <v>957941351.48999953</v>
      </c>
      <c r="H4" s="19">
        <f>'Rate Class Energy Model'!P9</f>
        <v>950013126.06999981</v>
      </c>
      <c r="I4" s="19">
        <f>'Rate Class Energy Model'!P10</f>
        <v>963120842.92527807</v>
      </c>
      <c r="J4" s="19">
        <f>'Rate Class Energy Model'!P11</f>
        <v>965070092.80775356</v>
      </c>
      <c r="K4" s="19">
        <f>'Rate Class Energy Model'!P12</f>
        <v>938758818.01477861</v>
      </c>
      <c r="L4" s="19">
        <f>'Rate Class Energy Model'!P47</f>
        <v>953603240.11275148</v>
      </c>
      <c r="M4" s="19">
        <f>'Rate Class Energy Model'!P48</f>
        <v>956147768.66644061</v>
      </c>
      <c r="N4" s="49"/>
      <c r="P4" s="213"/>
      <c r="W4" s="214"/>
    </row>
    <row r="5" spans="1:34" ht="15">
      <c r="A5" s="13" t="s">
        <v>273</v>
      </c>
      <c r="B5" s="19"/>
      <c r="C5" s="19"/>
      <c r="D5" s="19"/>
      <c r="E5" s="19"/>
      <c r="F5" s="19"/>
      <c r="G5" s="19"/>
      <c r="H5" s="19"/>
      <c r="I5" s="19"/>
      <c r="J5" s="19"/>
      <c r="K5" s="19"/>
      <c r="L5" s="282">
        <f>'Rate Class Energy Model'!P56</f>
        <v>23795659</v>
      </c>
      <c r="M5" s="282">
        <f>'Rate Class Energy Model'!P57</f>
        <v>35038559</v>
      </c>
      <c r="N5" s="49"/>
      <c r="P5" s="215"/>
      <c r="Q5" s="215"/>
      <c r="R5" s="215"/>
      <c r="S5" s="215"/>
      <c r="T5" s="215"/>
      <c r="U5" s="215"/>
      <c r="W5" s="215"/>
      <c r="X5" s="215"/>
      <c r="Y5" s="215"/>
      <c r="Z5" s="215"/>
      <c r="AA5" s="215"/>
      <c r="AB5" s="215"/>
    </row>
    <row r="6" spans="1:34" ht="15">
      <c r="A6" s="279" t="s">
        <v>274</v>
      </c>
      <c r="B6" s="280">
        <f>B4</f>
        <v>1039037823.4400007</v>
      </c>
      <c r="C6" s="280">
        <f t="shared" ref="C6:K6" si="0">C4</f>
        <v>1031120515.9500011</v>
      </c>
      <c r="D6" s="280">
        <f t="shared" si="0"/>
        <v>1005493354.6399989</v>
      </c>
      <c r="E6" s="280">
        <f t="shared" si="0"/>
        <v>976724641.65999937</v>
      </c>
      <c r="F6" s="280">
        <f t="shared" si="0"/>
        <v>944010732.54999959</v>
      </c>
      <c r="G6" s="280">
        <f t="shared" si="0"/>
        <v>957941351.48999953</v>
      </c>
      <c r="H6" s="280">
        <f t="shared" si="0"/>
        <v>950013126.06999981</v>
      </c>
      <c r="I6" s="280">
        <f t="shared" si="0"/>
        <v>963120842.92527807</v>
      </c>
      <c r="J6" s="280">
        <f t="shared" si="0"/>
        <v>965070092.80775356</v>
      </c>
      <c r="K6" s="280">
        <f t="shared" si="0"/>
        <v>938758818.01477861</v>
      </c>
      <c r="L6" s="281">
        <f>L4-L5</f>
        <v>929807581.11275148</v>
      </c>
      <c r="M6" s="281">
        <f>M4-M5</f>
        <v>921109209.66644061</v>
      </c>
      <c r="N6" s="49"/>
      <c r="P6" s="216"/>
      <c r="Q6" s="217"/>
      <c r="R6" s="217"/>
      <c r="S6" s="217"/>
      <c r="T6" s="217"/>
      <c r="U6" s="217"/>
      <c r="W6" s="216"/>
      <c r="X6" s="217"/>
      <c r="Y6" s="217"/>
      <c r="Z6" s="217"/>
      <c r="AA6" s="217"/>
      <c r="AB6" s="217"/>
    </row>
    <row r="7" spans="1:34" ht="15">
      <c r="A7" s="13"/>
      <c r="B7" s="19"/>
      <c r="C7" s="19"/>
      <c r="D7" s="19"/>
      <c r="E7" s="19"/>
      <c r="F7" s="19"/>
      <c r="G7" s="19"/>
      <c r="H7" s="19"/>
      <c r="I7" s="19"/>
      <c r="J7" s="19"/>
      <c r="K7" s="19"/>
      <c r="L7" s="45"/>
      <c r="M7" s="45"/>
      <c r="N7" s="240"/>
      <c r="P7" s="218"/>
      <c r="Q7" s="218"/>
      <c r="R7" s="218"/>
      <c r="S7" s="218"/>
      <c r="T7" s="219"/>
      <c r="U7" s="219"/>
      <c r="W7" s="218"/>
      <c r="X7" s="218"/>
      <c r="Y7" s="218"/>
      <c r="Z7" s="218"/>
      <c r="AA7" s="219"/>
      <c r="AB7" s="219"/>
      <c r="AD7" s="220"/>
      <c r="AE7" s="220"/>
    </row>
    <row r="8" spans="1:34" ht="15.75">
      <c r="A8" s="28" t="s">
        <v>44</v>
      </c>
      <c r="N8" s="211"/>
      <c r="P8" s="221"/>
      <c r="Q8" s="222"/>
      <c r="R8" s="222"/>
      <c r="S8" s="222"/>
      <c r="T8" s="223"/>
      <c r="U8" s="222"/>
      <c r="W8" s="221"/>
      <c r="X8" s="222"/>
      <c r="Y8" s="222"/>
      <c r="Z8" s="222"/>
      <c r="AA8" s="223"/>
      <c r="AB8" s="222"/>
      <c r="AD8" s="224"/>
    </row>
    <row r="9" spans="1:34">
      <c r="A9" s="27" t="str">
        <f>'Rate Class Energy Model'!H2</f>
        <v xml:space="preserve">Residential </v>
      </c>
      <c r="N9" s="211"/>
      <c r="P9" s="220"/>
      <c r="Q9" s="220"/>
      <c r="R9" s="220"/>
      <c r="S9" s="225"/>
      <c r="T9" s="226"/>
      <c r="U9" s="227"/>
      <c r="W9" s="220"/>
      <c r="Z9" s="225"/>
      <c r="AA9" s="226"/>
      <c r="AB9" s="227"/>
    </row>
    <row r="10" spans="1:34">
      <c r="A10" t="s">
        <v>37</v>
      </c>
      <c r="B10" s="5">
        <f>'Rate Class Customer Model'!B3</f>
        <v>44312.083333333336</v>
      </c>
      <c r="C10" s="5">
        <f>'Rate Class Customer Model'!B4</f>
        <v>44388.583333333336</v>
      </c>
      <c r="D10" s="5">
        <f>'Rate Class Customer Model'!B5</f>
        <v>44537.5</v>
      </c>
      <c r="E10" s="5">
        <f>'Rate Class Customer Model'!B6</f>
        <v>44613.666666666664</v>
      </c>
      <c r="F10" s="5">
        <f>'Rate Class Customer Model'!B7</f>
        <v>44735.583333333336</v>
      </c>
      <c r="G10" s="5">
        <f>'Rate Class Customer Model'!B8</f>
        <v>44900.666666666664</v>
      </c>
      <c r="H10" s="5">
        <f>'Rate Class Customer Model'!B9</f>
        <v>44736.75</v>
      </c>
      <c r="I10" s="5">
        <f>'Rate Class Customer Model'!B10</f>
        <v>44942.416666666664</v>
      </c>
      <c r="J10" s="5">
        <f>'Rate Class Customer Model'!B11</f>
        <v>45106.2705078125</v>
      </c>
      <c r="K10" s="5">
        <f>'Rate Class Customer Model'!B12</f>
        <v>45272.592574993767</v>
      </c>
      <c r="L10" s="5">
        <f>'Rate Class Customer Model'!B13</f>
        <v>45380.592839159974</v>
      </c>
      <c r="M10" s="5">
        <f>'Rate Class Customer Model'!B14</f>
        <v>45488.850743907307</v>
      </c>
      <c r="N10" s="241"/>
      <c r="P10" s="220"/>
      <c r="Q10" s="220"/>
      <c r="R10" s="220"/>
      <c r="S10" s="225"/>
      <c r="T10" s="226"/>
      <c r="U10" s="227"/>
      <c r="W10" s="220"/>
      <c r="Z10" s="225"/>
      <c r="AA10" s="226"/>
      <c r="AB10" s="227"/>
    </row>
    <row r="11" spans="1:34">
      <c r="A11" s="275" t="s">
        <v>38</v>
      </c>
      <c r="B11" s="276">
        <f>'Rate Class Energy Model'!H3</f>
        <v>344985670.16000092</v>
      </c>
      <c r="C11" s="276">
        <f>'Rate Class Energy Model'!H4</f>
        <v>347356682.25000095</v>
      </c>
      <c r="D11" s="276">
        <f>'Rate Class Energy Model'!H5</f>
        <v>349640195.36999899</v>
      </c>
      <c r="E11" s="276">
        <f>'Rate Class Energy Model'!H6</f>
        <v>344727820.68999922</v>
      </c>
      <c r="F11" s="276">
        <f>'Rate Class Energy Model'!H7</f>
        <v>335588529.46999955</v>
      </c>
      <c r="G11" s="276">
        <f>'Rate Class Energy Model'!H8</f>
        <v>337212306.49999964</v>
      </c>
      <c r="H11" s="276">
        <f>'Rate Class Energy Model'!H9</f>
        <v>331142424.8599996</v>
      </c>
      <c r="I11" s="276">
        <f>'Rate Class Energy Model'!H10</f>
        <v>341035888.63527828</v>
      </c>
      <c r="J11" s="276">
        <f>'Rate Class Energy Model'!H11</f>
        <v>340024795.88802838</v>
      </c>
      <c r="K11" s="276">
        <f>'Rate Class Energy Model'!H12</f>
        <v>324673269.19699794</v>
      </c>
      <c r="L11" s="277">
        <f>'Rate Class Energy Model'!H60</f>
        <v>337179804.64752167</v>
      </c>
      <c r="M11" s="277">
        <f>'Rate Class Energy Model'!H61</f>
        <v>336152124.62590814</v>
      </c>
      <c r="N11" s="241"/>
      <c r="S11" s="225"/>
      <c r="T11" s="227"/>
      <c r="U11" s="228"/>
      <c r="Z11" s="225"/>
      <c r="AA11" s="227"/>
      <c r="AB11" s="226"/>
    </row>
    <row r="12" spans="1:34">
      <c r="D12" s="30"/>
      <c r="E12" s="14"/>
      <c r="F12" s="14"/>
      <c r="K12" s="5"/>
      <c r="N12" s="241"/>
      <c r="P12" s="229"/>
      <c r="Q12" s="229"/>
      <c r="R12" s="229"/>
      <c r="S12" s="229"/>
      <c r="T12" s="229"/>
      <c r="U12" s="229"/>
      <c r="W12" s="229"/>
      <c r="X12" s="229"/>
      <c r="Y12" s="229"/>
      <c r="Z12" s="229"/>
      <c r="AA12" s="229"/>
      <c r="AB12" s="229"/>
      <c r="AD12" s="220"/>
      <c r="AE12" s="220"/>
    </row>
    <row r="13" spans="1:34">
      <c r="A13" s="27" t="str">
        <f>'Rate Class Energy Model'!I2</f>
        <v>General Service
 &lt; 50 kW</v>
      </c>
      <c r="N13" s="241"/>
      <c r="P13" s="229"/>
      <c r="Q13" s="229"/>
      <c r="R13" s="229"/>
      <c r="S13" s="229"/>
      <c r="T13" s="229"/>
      <c r="W13" s="229"/>
      <c r="X13" s="229"/>
      <c r="Y13" s="229"/>
      <c r="Z13" s="229"/>
      <c r="AA13" s="229"/>
      <c r="AD13" s="224"/>
      <c r="AE13" s="224"/>
      <c r="AG13" s="230"/>
      <c r="AH13" s="224"/>
    </row>
    <row r="14" spans="1:34">
      <c r="A14" t="s">
        <v>37</v>
      </c>
      <c r="B14" s="5">
        <f>'Rate Class Customer Model'!C3</f>
        <v>4313.833333333333</v>
      </c>
      <c r="C14" s="5">
        <f>'Rate Class Customer Model'!C4</f>
        <v>4273.25</v>
      </c>
      <c r="D14" s="5">
        <f>'Rate Class Customer Model'!C5</f>
        <v>4256.916666666667</v>
      </c>
      <c r="E14" s="5">
        <f>'Rate Class Customer Model'!C6</f>
        <v>4264.916666666667</v>
      </c>
      <c r="F14" s="5">
        <f>'Rate Class Customer Model'!C7</f>
        <v>4305.75</v>
      </c>
      <c r="G14" s="5">
        <f>'Rate Class Customer Model'!C8</f>
        <v>4339.666666666667</v>
      </c>
      <c r="H14" s="5">
        <f>'Rate Class Customer Model'!C9</f>
        <v>4496.916666666667</v>
      </c>
      <c r="I14" s="5">
        <f>'Rate Class Customer Model'!C10</f>
        <v>4527.75</v>
      </c>
      <c r="J14" s="5">
        <f>'Rate Class Customer Model'!C11</f>
        <v>4577.895263671875</v>
      </c>
      <c r="K14" s="5">
        <f>'Rate Class Customer Model'!C12</f>
        <v>4606.5062813957529</v>
      </c>
      <c r="L14" s="5">
        <f>'Rate Class Customer Model'!C13</f>
        <v>4640.2273254273741</v>
      </c>
      <c r="M14" s="5">
        <f>'Rate Class Customer Model'!C14</f>
        <v>4674.1952178818829</v>
      </c>
      <c r="N14" s="241"/>
      <c r="P14" s="229"/>
      <c r="Q14" s="229"/>
      <c r="R14" s="229"/>
      <c r="S14" s="229"/>
      <c r="T14" s="229"/>
      <c r="W14" s="229"/>
      <c r="X14" s="229"/>
      <c r="Y14" s="229"/>
      <c r="Z14" s="229"/>
      <c r="AA14" s="229"/>
    </row>
    <row r="15" spans="1:34">
      <c r="A15" s="275" t="s">
        <v>38</v>
      </c>
      <c r="B15" s="276">
        <f>'Rate Class Energy Model'!I3</f>
        <v>141631018.54999995</v>
      </c>
      <c r="C15" s="276">
        <f>'Rate Class Energy Model'!I4</f>
        <v>140795615.54000005</v>
      </c>
      <c r="D15" s="276">
        <f>'Rate Class Energy Model'!I5</f>
        <v>140901919.11999995</v>
      </c>
      <c r="E15" s="276">
        <f>'Rate Class Energy Model'!I6</f>
        <v>137506815.68000019</v>
      </c>
      <c r="F15" s="276">
        <f>'Rate Class Energy Model'!I7</f>
        <v>132765784.44999993</v>
      </c>
      <c r="G15" s="276">
        <f>'Rate Class Energy Model'!I8</f>
        <v>135688687.22999996</v>
      </c>
      <c r="H15" s="276">
        <f>'Rate Class Energy Model'!I9</f>
        <v>133678840.49000008</v>
      </c>
      <c r="I15" s="276">
        <f>'Rate Class Energy Model'!I10</f>
        <v>136331185.61000001</v>
      </c>
      <c r="J15" s="276">
        <f>'Rate Class Energy Model'!I11</f>
        <v>139285835.96861196</v>
      </c>
      <c r="K15" s="276">
        <f>'Rate Class Energy Model'!I12</f>
        <v>137179401.47999987</v>
      </c>
      <c r="L15" s="277">
        <f>'Rate Class Energy Model'!I60</f>
        <v>137899249.98812523</v>
      </c>
      <c r="M15" s="277">
        <f>'Rate Class Energy Model'!I61</f>
        <v>140123695.3510406</v>
      </c>
      <c r="N15" s="241"/>
      <c r="P15" s="229"/>
      <c r="Q15" s="229"/>
      <c r="R15" s="229"/>
      <c r="S15" s="229"/>
      <c r="T15" s="229"/>
      <c r="W15" s="229"/>
      <c r="X15" s="229"/>
      <c r="Y15" s="229"/>
      <c r="Z15" s="229"/>
      <c r="AA15" s="229"/>
    </row>
    <row r="16" spans="1:34">
      <c r="D16" s="30"/>
      <c r="E16" s="14"/>
      <c r="F16" s="14"/>
      <c r="K16" s="5"/>
      <c r="N16" s="241"/>
      <c r="P16" s="229"/>
      <c r="Q16" s="229"/>
      <c r="R16" s="229"/>
      <c r="S16" s="229"/>
      <c r="T16" s="229"/>
      <c r="U16" s="229"/>
      <c r="V16" s="229"/>
      <c r="W16" s="229"/>
      <c r="X16" s="229"/>
      <c r="Y16" s="229"/>
      <c r="Z16" s="229"/>
      <c r="AA16" s="229"/>
      <c r="AB16" s="229"/>
      <c r="AD16" s="220"/>
      <c r="AE16" s="220"/>
    </row>
    <row r="17" spans="1:34">
      <c r="A17" s="27" t="str">
        <f>'Rate Class Energy Model'!J2</f>
        <v>General Service
 &gt; 50 to 999 kW</v>
      </c>
      <c r="I17" s="5"/>
      <c r="K17" s="5"/>
      <c r="N17" s="241"/>
      <c r="P17" s="229"/>
      <c r="Q17" s="229"/>
      <c r="R17" s="229"/>
      <c r="S17" s="229"/>
      <c r="T17" s="229"/>
      <c r="W17" s="229"/>
      <c r="X17" s="229"/>
      <c r="Y17" s="229"/>
      <c r="Z17" s="229"/>
      <c r="AA17" s="229"/>
      <c r="AD17" s="224"/>
      <c r="AE17" s="224"/>
      <c r="AG17" s="230"/>
      <c r="AH17" s="224"/>
    </row>
    <row r="18" spans="1:34">
      <c r="A18" t="s">
        <v>37</v>
      </c>
      <c r="B18" s="5">
        <f>'Rate Class Customer Model'!D3</f>
        <v>492.5</v>
      </c>
      <c r="C18" s="5">
        <f>'Rate Class Customer Model'!D4</f>
        <v>500.5</v>
      </c>
      <c r="D18" s="5">
        <f>'Rate Class Customer Model'!D5</f>
        <v>507.25</v>
      </c>
      <c r="E18" s="5">
        <f>'Rate Class Customer Model'!D6</f>
        <v>506.08333333333331</v>
      </c>
      <c r="F18" s="5">
        <f>'Rate Class Customer Model'!D7</f>
        <v>506.66666666666669</v>
      </c>
      <c r="G18" s="18">
        <f>'Rate Class Customer Model'!D8</f>
        <v>505.75</v>
      </c>
      <c r="H18" s="18">
        <f>'Rate Class Customer Model'!D9</f>
        <v>513.5</v>
      </c>
      <c r="I18" s="18">
        <f>'Rate Class Customer Model'!D10</f>
        <v>511.58333333333331</v>
      </c>
      <c r="J18" s="18">
        <f>'Rate Class Customer Model'!D11</f>
        <v>495.30155436197919</v>
      </c>
      <c r="K18" s="5">
        <f>'Rate Class Customer Model'!D12</f>
        <v>471.62621294458705</v>
      </c>
      <c r="L18" s="5">
        <f>'Rate Class Customer Model'!D13</f>
        <v>469.36221429199765</v>
      </c>
      <c r="M18" s="5">
        <f>'Rate Class Customer Model'!D14</f>
        <v>467.10908375860572</v>
      </c>
      <c r="N18" s="241"/>
      <c r="P18" s="229"/>
      <c r="Q18" s="229"/>
      <c r="R18" s="229"/>
      <c r="S18" s="229"/>
      <c r="T18" s="229"/>
      <c r="W18" s="229"/>
      <c r="X18" s="229"/>
      <c r="Y18" s="229"/>
      <c r="Z18" s="229"/>
      <c r="AA18" s="229"/>
    </row>
    <row r="19" spans="1:34">
      <c r="A19" s="275" t="s">
        <v>38</v>
      </c>
      <c r="B19" s="276">
        <f>'Rate Class Energy Model'!J3</f>
        <v>299216792.75999993</v>
      </c>
      <c r="C19" s="276">
        <f>'Rate Class Energy Model'!J4</f>
        <v>298981716.29999995</v>
      </c>
      <c r="D19" s="276">
        <f>'Rate Class Energy Model'!J5</f>
        <v>297548976.91999996</v>
      </c>
      <c r="E19" s="276">
        <f>'Rate Class Energy Model'!J6</f>
        <v>290804126.80000007</v>
      </c>
      <c r="F19" s="276">
        <f>'Rate Class Energy Model'!J7</f>
        <v>285047816.86000013</v>
      </c>
      <c r="G19" s="276">
        <f>'Rate Class Energy Model'!J8</f>
        <v>288525140.48999989</v>
      </c>
      <c r="H19" s="276">
        <f>'Rate Class Energy Model'!J9</f>
        <v>283475240.67000002</v>
      </c>
      <c r="I19" s="276">
        <f>'Rate Class Energy Model'!J10</f>
        <v>285068374.38</v>
      </c>
      <c r="J19" s="276">
        <f>'Rate Class Energy Model'!J11</f>
        <v>280037460.24000001</v>
      </c>
      <c r="K19" s="276">
        <f>'Rate Class Energy Model'!J12</f>
        <v>266548347.92000005</v>
      </c>
      <c r="L19" s="277">
        <f>'Rate Class Energy Model'!J60</f>
        <v>266601417.53053555</v>
      </c>
      <c r="M19" s="277">
        <f>'Rate Class Energy Model'!J61</f>
        <v>264244674.07346129</v>
      </c>
      <c r="N19" s="241"/>
      <c r="P19" s="229"/>
      <c r="Q19" s="229"/>
      <c r="R19" s="229"/>
      <c r="S19" s="229"/>
      <c r="T19" s="229"/>
      <c r="W19" s="229"/>
      <c r="X19" s="229"/>
      <c r="Y19" s="229"/>
      <c r="Z19" s="229"/>
      <c r="AA19" s="229"/>
    </row>
    <row r="20" spans="1:34">
      <c r="A20" t="s">
        <v>39</v>
      </c>
      <c r="B20" s="5">
        <f>'Rate Class Load Model'!B2</f>
        <v>715592.13</v>
      </c>
      <c r="C20" s="5">
        <f>'Rate Class Load Model'!B3</f>
        <v>728766.5</v>
      </c>
      <c r="D20" s="5">
        <f>'Rate Class Load Model'!B4</f>
        <v>747849.27000000014</v>
      </c>
      <c r="E20" s="5">
        <f>'Rate Class Load Model'!B5</f>
        <v>719275.91000000015</v>
      </c>
      <c r="F20" s="18">
        <f>'Rate Class Load Model'!B6</f>
        <v>723294.84999999986</v>
      </c>
      <c r="G20" s="18">
        <f>'Rate Class Load Model'!B7</f>
        <v>732497.42999999993</v>
      </c>
      <c r="H20" s="18">
        <f>'Rate Class Load Model'!B8</f>
        <v>734173.25</v>
      </c>
      <c r="I20" s="18">
        <f>'Rate Class Load Model'!B9</f>
        <v>722899.29</v>
      </c>
      <c r="J20" s="18">
        <f>'Rate Class Load Model'!B10</f>
        <v>690826.75000000012</v>
      </c>
      <c r="K20" s="5">
        <f>'Rate Class Load Model'!B11</f>
        <v>668162.78</v>
      </c>
      <c r="L20" s="5">
        <f>'Rate Class Load Model'!B12</f>
        <v>666275.4416906581</v>
      </c>
      <c r="M20" s="5">
        <f>'Rate Class Load Model'!B13</f>
        <v>660385.59945966594</v>
      </c>
      <c r="N20" s="241"/>
      <c r="P20" s="229"/>
      <c r="Q20" s="229"/>
      <c r="R20" s="229"/>
      <c r="S20" s="229"/>
      <c r="T20" s="229"/>
      <c r="U20" s="229"/>
      <c r="W20" s="229"/>
      <c r="X20" s="229"/>
      <c r="Y20" s="229"/>
      <c r="Z20" s="229"/>
      <c r="AA20" s="229"/>
      <c r="AB20" s="229"/>
      <c r="AD20" s="220"/>
      <c r="AE20" s="220"/>
    </row>
    <row r="21" spans="1:34">
      <c r="D21" s="30"/>
      <c r="E21" s="14"/>
      <c r="F21" s="14"/>
      <c r="N21" s="241"/>
      <c r="P21" s="229"/>
      <c r="Q21" s="229"/>
      <c r="R21" s="229"/>
      <c r="S21" s="229"/>
      <c r="T21" s="229"/>
      <c r="W21" s="229"/>
      <c r="X21" s="229"/>
      <c r="Y21" s="229"/>
      <c r="Z21" s="229"/>
      <c r="AA21" s="229"/>
      <c r="AD21" s="224"/>
      <c r="AE21" s="224"/>
      <c r="AG21" s="230"/>
      <c r="AH21" s="224"/>
    </row>
    <row r="22" spans="1:34">
      <c r="A22" s="27" t="str">
        <f>'Rate Class Energy Model'!K2</f>
        <v>General Service 
&gt; 1000 kW</v>
      </c>
      <c r="I22" s="5"/>
      <c r="K22" s="5"/>
      <c r="N22" s="241"/>
      <c r="P22" s="229"/>
      <c r="Q22" s="229"/>
      <c r="R22" s="229"/>
      <c r="S22" s="229"/>
      <c r="T22" s="229"/>
      <c r="W22" s="229"/>
      <c r="X22" s="229"/>
      <c r="Y22" s="229"/>
      <c r="Z22" s="229"/>
      <c r="AA22" s="229"/>
    </row>
    <row r="23" spans="1:34">
      <c r="A23" t="s">
        <v>37</v>
      </c>
      <c r="B23" s="5">
        <f>'Rate Class Customer Model'!E3</f>
        <v>17</v>
      </c>
      <c r="C23" s="5">
        <f>'Rate Class Customer Model'!E4</f>
        <v>17.666666666666668</v>
      </c>
      <c r="D23" s="5">
        <f>'Rate Class Customer Model'!E5</f>
        <v>18</v>
      </c>
      <c r="E23" s="5">
        <f>'Rate Class Customer Model'!E6</f>
        <v>20.083333333333332</v>
      </c>
      <c r="F23" s="5">
        <f>'Rate Class Customer Model'!E7</f>
        <v>18.916666666666668</v>
      </c>
      <c r="G23" s="5">
        <f>'Rate Class Customer Model'!E8</f>
        <v>17.916666666666668</v>
      </c>
      <c r="H23" s="5">
        <f>'Rate Class Customer Model'!E9</f>
        <v>18.416666666666668</v>
      </c>
      <c r="I23" s="5">
        <f>'Rate Class Customer Model'!E10</f>
        <v>20.083333333333332</v>
      </c>
      <c r="J23" s="5">
        <f>'Rate Class Customer Model'!E11</f>
        <v>19.762959798177082</v>
      </c>
      <c r="K23" s="5">
        <f>'Rate Class Customer Model'!E12</f>
        <v>20.903750717639923</v>
      </c>
      <c r="L23" s="5">
        <f>'Rate Class Customer Model'!E13</f>
        <v>20.903750717639923</v>
      </c>
      <c r="M23" s="5">
        <f>'Rate Class Customer Model'!E14</f>
        <v>20.903750717639923</v>
      </c>
      <c r="N23" s="241"/>
      <c r="P23" s="229"/>
      <c r="Q23" s="229"/>
      <c r="R23" s="229"/>
      <c r="S23" s="229"/>
      <c r="T23" s="229"/>
      <c r="W23" s="229"/>
      <c r="X23" s="229"/>
      <c r="Y23" s="229"/>
      <c r="Z23" s="229"/>
      <c r="AA23" s="229"/>
    </row>
    <row r="24" spans="1:34">
      <c r="A24" s="275" t="s">
        <v>38</v>
      </c>
      <c r="B24" s="276">
        <f>'Rate Class Energy Model'!K3</f>
        <v>216210086.33999994</v>
      </c>
      <c r="C24" s="276">
        <f>'Rate Class Energy Model'!K4</f>
        <v>206642574.96000001</v>
      </c>
      <c r="D24" s="276">
        <f>'Rate Class Energy Model'!K5</f>
        <v>181479430.40000001</v>
      </c>
      <c r="E24" s="276">
        <f>'Rate Class Energy Model'!K6</f>
        <v>170625602.24000001</v>
      </c>
      <c r="F24" s="276">
        <f>'Rate Class Energy Model'!K7</f>
        <v>153278417.59999999</v>
      </c>
      <c r="G24" s="276">
        <f>'Rate Class Energy Model'!K8</f>
        <v>158154293.34</v>
      </c>
      <c r="H24" s="276">
        <f>'Rate Class Energy Model'!K9</f>
        <v>161345729.31</v>
      </c>
      <c r="I24" s="276">
        <f>'Rate Class Energy Model'!K10</f>
        <v>158062714.38999999</v>
      </c>
      <c r="J24" s="276">
        <f>'Rate Class Energy Model'!K11</f>
        <v>162775283.13</v>
      </c>
      <c r="K24" s="276">
        <f>'Rate Class Energy Model'!K12</f>
        <v>161772954.38999999</v>
      </c>
      <c r="L24" s="277">
        <f>'Rate Class Energy Model'!K60</f>
        <v>140313695.38999999</v>
      </c>
      <c r="M24" s="277">
        <f>'Rate Class Energy Model'!K61</f>
        <v>133371195.38999999</v>
      </c>
      <c r="N24" s="241"/>
      <c r="P24" s="229"/>
      <c r="Q24" s="229"/>
      <c r="R24" s="229"/>
      <c r="S24" s="229"/>
      <c r="T24" s="229"/>
      <c r="W24" s="229"/>
      <c r="X24" s="229"/>
      <c r="Y24" s="229"/>
      <c r="Z24" s="229"/>
      <c r="AA24" s="229"/>
    </row>
    <row r="25" spans="1:34">
      <c r="A25" t="s">
        <v>39</v>
      </c>
      <c r="B25" s="5">
        <f>'Rate Class Load Model'!C2</f>
        <v>620478.99559999991</v>
      </c>
      <c r="C25" s="5">
        <f>'Rate Class Load Model'!C3</f>
        <v>570491.53970000008</v>
      </c>
      <c r="D25" s="5">
        <f>'Rate Class Load Model'!C4</f>
        <v>515509.77580000006</v>
      </c>
      <c r="E25" s="5">
        <f>'Rate Class Load Model'!C5</f>
        <v>478301.90339999995</v>
      </c>
      <c r="F25" s="18">
        <f>'Rate Class Load Model'!C6</f>
        <v>460379.54800000007</v>
      </c>
      <c r="G25" s="18">
        <f>'Rate Class Load Model'!C7</f>
        <v>446718.99800000002</v>
      </c>
      <c r="H25" s="18">
        <f>'Rate Class Load Model'!C8</f>
        <v>455363.42530000012</v>
      </c>
      <c r="I25" s="18">
        <f>'Rate Class Load Model'!C9</f>
        <v>450516.03079999995</v>
      </c>
      <c r="J25" s="18">
        <f>'Rate Class Load Model'!C10</f>
        <v>448318.72049999994</v>
      </c>
      <c r="K25" s="18">
        <f>'Rate Class Load Model'!C11</f>
        <v>461433.71559999994</v>
      </c>
      <c r="L25" s="18">
        <f>'Rate Class Load Model'!C12</f>
        <v>398232.75570876617</v>
      </c>
      <c r="M25" s="18">
        <f>'Rate Class Load Model'!C13</f>
        <v>378528.82802855235</v>
      </c>
      <c r="N25" s="241"/>
      <c r="P25" s="229"/>
      <c r="Q25" s="229"/>
      <c r="R25" s="229"/>
      <c r="S25" s="229"/>
      <c r="T25" s="229"/>
      <c r="U25" s="229"/>
      <c r="W25" s="229"/>
      <c r="X25" s="229"/>
      <c r="Y25" s="229"/>
      <c r="Z25" s="229"/>
      <c r="AA25" s="229"/>
      <c r="AB25" s="229"/>
      <c r="AD25" s="220"/>
      <c r="AE25" s="220"/>
    </row>
    <row r="26" spans="1:34">
      <c r="D26" s="30"/>
      <c r="E26" s="14"/>
      <c r="F26" s="14"/>
      <c r="K26" s="14"/>
      <c r="L26" s="14"/>
      <c r="M26" s="14"/>
      <c r="N26" s="241"/>
      <c r="P26" s="229"/>
      <c r="Q26" s="229"/>
      <c r="R26" s="229"/>
      <c r="S26" s="229"/>
      <c r="T26" s="229"/>
      <c r="W26" s="229"/>
      <c r="X26" s="229"/>
      <c r="Y26" s="229"/>
      <c r="Z26" s="229"/>
      <c r="AA26" s="229"/>
      <c r="AD26" s="224"/>
      <c r="AE26" s="224"/>
      <c r="AG26" s="230"/>
      <c r="AH26" s="224"/>
    </row>
    <row r="27" spans="1:34">
      <c r="A27" s="27" t="str">
        <f>'Rate Class Energy Model'!L2</f>
        <v>Large User</v>
      </c>
      <c r="I27" s="5"/>
      <c r="K27" s="14"/>
      <c r="L27" s="14"/>
      <c r="M27" s="14"/>
      <c r="N27" s="241"/>
      <c r="P27" s="229"/>
      <c r="Q27" s="229"/>
      <c r="R27" s="229"/>
      <c r="S27" s="229"/>
      <c r="T27" s="229"/>
      <c r="W27" s="229"/>
      <c r="X27" s="229"/>
      <c r="Y27" s="229"/>
      <c r="Z27" s="229"/>
      <c r="AA27" s="229"/>
    </row>
    <row r="28" spans="1:34">
      <c r="A28" t="s">
        <v>37</v>
      </c>
      <c r="B28" s="5">
        <f>'Rate Class Customer Model'!F3</f>
        <v>1</v>
      </c>
      <c r="C28" s="5">
        <f>'Rate Class Customer Model'!F4</f>
        <v>1</v>
      </c>
      <c r="D28" s="5">
        <f>'Rate Class Customer Model'!F5</f>
        <v>1</v>
      </c>
      <c r="E28" s="5">
        <f>'Rate Class Customer Model'!F6</f>
        <v>1</v>
      </c>
      <c r="F28" s="18">
        <f>'Rate Class Customer Model'!F7</f>
        <v>1</v>
      </c>
      <c r="G28" s="18">
        <f>'Rate Class Customer Model'!F8</f>
        <v>1</v>
      </c>
      <c r="H28" s="18">
        <f>'Rate Class Customer Model'!F9</f>
        <v>1</v>
      </c>
      <c r="I28" s="18">
        <f>'Rate Class Customer Model'!F10</f>
        <v>1</v>
      </c>
      <c r="J28" s="18">
        <f>'Rate Class Customer Model'!F11</f>
        <v>1</v>
      </c>
      <c r="K28" s="18">
        <f>'Rate Class Customer Model'!F12</f>
        <v>1</v>
      </c>
      <c r="L28" s="18">
        <f>'Rate Class Customer Model'!F13</f>
        <v>1</v>
      </c>
      <c r="M28" s="18">
        <f>'Rate Class Customer Model'!F14</f>
        <v>1</v>
      </c>
      <c r="N28" s="241"/>
      <c r="P28" s="229"/>
      <c r="Q28" s="229"/>
      <c r="R28" s="229"/>
      <c r="S28" s="229"/>
      <c r="T28" s="229"/>
      <c r="W28" s="229"/>
      <c r="X28" s="229"/>
      <c r="Y28" s="229"/>
      <c r="Z28" s="229"/>
      <c r="AA28" s="229"/>
    </row>
    <row r="29" spans="1:34">
      <c r="A29" s="275" t="s">
        <v>38</v>
      </c>
      <c r="B29" s="276">
        <f>'Rate Class Energy Model'!L3</f>
        <v>25140575.680000003</v>
      </c>
      <c r="C29" s="276">
        <f>'Rate Class Energy Model'!L4</f>
        <v>24278928.080000002</v>
      </c>
      <c r="D29" s="276">
        <f>'Rate Class Energy Model'!L5</f>
        <v>23012399.890000001</v>
      </c>
      <c r="E29" s="276">
        <f>'Rate Class Energy Model'!L6</f>
        <v>19364352.27</v>
      </c>
      <c r="F29" s="276">
        <f>'Rate Class Energy Model'!L7</f>
        <v>24005424.030000001</v>
      </c>
      <c r="G29" s="276">
        <f>'Rate Class Energy Model'!L8</f>
        <v>25023839.670000002</v>
      </c>
      <c r="H29" s="276">
        <f>'Rate Class Energy Model'!L9</f>
        <v>27185952.089999996</v>
      </c>
      <c r="I29" s="276">
        <f>'Rate Class Energy Model'!L10</f>
        <v>29930112.059999999</v>
      </c>
      <c r="J29" s="276">
        <f>'Rate Class Energy Model'!L11</f>
        <v>30389664.039999999</v>
      </c>
      <c r="K29" s="276">
        <f>'Rate Class Energy Model'!L12</f>
        <v>36734784.189999998</v>
      </c>
      <c r="L29" s="277">
        <f>'Rate Class Energy Model'!L60</f>
        <v>36734784.189999998</v>
      </c>
      <c r="M29" s="277">
        <f>'Rate Class Energy Model'!L61</f>
        <v>36734784.189999998</v>
      </c>
      <c r="N29" s="241"/>
      <c r="P29" s="229"/>
      <c r="Q29" s="229"/>
      <c r="R29" s="229"/>
      <c r="S29" s="229"/>
      <c r="T29" s="229"/>
      <c r="W29" s="229"/>
      <c r="X29" s="229"/>
      <c r="Y29" s="229"/>
      <c r="Z29" s="229"/>
      <c r="AA29" s="229"/>
    </row>
    <row r="30" spans="1:34">
      <c r="A30" t="s">
        <v>39</v>
      </c>
      <c r="B30" s="5">
        <f>'Rate Class Load Model'!D2</f>
        <v>54956.29</v>
      </c>
      <c r="C30" s="5">
        <f>'Rate Class Load Model'!D3</f>
        <v>55549.77</v>
      </c>
      <c r="D30" s="5">
        <f>'Rate Class Load Model'!D4</f>
        <v>56573.250000000007</v>
      </c>
      <c r="E30" s="5">
        <f>'Rate Class Load Model'!D5</f>
        <v>51986.83</v>
      </c>
      <c r="F30" s="18">
        <f>'Rate Class Load Model'!D6</f>
        <v>56576.579999999987</v>
      </c>
      <c r="G30" s="18">
        <f>'Rate Class Load Model'!D7</f>
        <v>57851.85</v>
      </c>
      <c r="H30" s="18">
        <f>'Rate Class Load Model'!D8</f>
        <v>61728.460000000006</v>
      </c>
      <c r="I30" s="18">
        <f>'Rate Class Load Model'!D9</f>
        <v>59516.42</v>
      </c>
      <c r="J30" s="18">
        <f>'Rate Class Load Model'!D10</f>
        <v>63789.840000000011</v>
      </c>
      <c r="K30" s="18">
        <f>'Rate Class Load Model'!D11</f>
        <v>74267.900000000023</v>
      </c>
      <c r="L30" s="18">
        <f>'Rate Class Load Model'!D12</f>
        <v>74267.900000000023</v>
      </c>
      <c r="M30" s="18">
        <f>'Rate Class Load Model'!D13</f>
        <v>74267.900000000023</v>
      </c>
      <c r="N30" s="241"/>
      <c r="P30" s="229"/>
      <c r="Q30" s="229"/>
      <c r="R30" s="229"/>
      <c r="S30" s="229"/>
      <c r="T30" s="229"/>
      <c r="W30" s="229"/>
      <c r="X30" s="229"/>
      <c r="Y30" s="229"/>
      <c r="Z30" s="229"/>
      <c r="AA30" s="229"/>
    </row>
    <row r="31" spans="1:34">
      <c r="K31" s="14"/>
      <c r="L31" s="14"/>
      <c r="M31" s="14"/>
      <c r="N31" s="241"/>
      <c r="P31" s="229"/>
      <c r="Q31" s="229"/>
      <c r="R31" s="229"/>
      <c r="S31" s="229"/>
      <c r="T31" s="229"/>
      <c r="W31" s="229"/>
      <c r="X31" s="229"/>
      <c r="Y31" s="229"/>
      <c r="Z31" s="229"/>
      <c r="AA31" s="229"/>
    </row>
    <row r="32" spans="1:34">
      <c r="A32" s="27" t="str">
        <f>'Rate Class Energy Model'!M2</f>
        <v>Street Lighting</v>
      </c>
      <c r="K32" s="14"/>
      <c r="L32" s="14"/>
      <c r="M32" s="14"/>
      <c r="N32" s="241"/>
      <c r="P32" s="229"/>
      <c r="Q32" s="229"/>
      <c r="R32" s="229"/>
      <c r="S32" s="229"/>
      <c r="T32" s="229"/>
      <c r="W32" s="229"/>
      <c r="X32" s="229"/>
      <c r="Y32" s="229"/>
      <c r="Z32" s="229"/>
      <c r="AA32" s="229"/>
    </row>
    <row r="33" spans="1:34">
      <c r="A33" t="s">
        <v>51</v>
      </c>
      <c r="B33" s="5">
        <f>'Rate Class Customer Model'!G3</f>
        <v>12962</v>
      </c>
      <c r="C33" s="5">
        <f>'Rate Class Customer Model'!G4</f>
        <v>12976</v>
      </c>
      <c r="D33" s="5">
        <f>'Rate Class Customer Model'!G5</f>
        <v>13135</v>
      </c>
      <c r="E33" s="5">
        <f>'Rate Class Customer Model'!G6</f>
        <v>13038.75</v>
      </c>
      <c r="F33" s="18">
        <f>'Rate Class Customer Model'!G7</f>
        <v>13170</v>
      </c>
      <c r="G33" s="18">
        <f>'Rate Class Customer Model'!G8</f>
        <v>13090.833333333334</v>
      </c>
      <c r="H33" s="18">
        <f>'Rate Class Customer Model'!G9</f>
        <v>13172.083333333334</v>
      </c>
      <c r="I33" s="18">
        <f>'Rate Class Customer Model'!G10</f>
        <v>13095.333333333334</v>
      </c>
      <c r="J33" s="18">
        <f>'Rate Class Customer Model'!G11</f>
        <v>13148.318033854166</v>
      </c>
      <c r="K33" s="18">
        <f>'Rate Class Customer Model'!G12</f>
        <v>13197.213741430789</v>
      </c>
      <c r="L33" s="18">
        <f>'Rate Class Customer Model'!G13</f>
        <v>13223.610671331198</v>
      </c>
      <c r="M33" s="18">
        <f>'Rate Class Customer Model'!G14</f>
        <v>13250.060400096718</v>
      </c>
      <c r="N33" s="241"/>
      <c r="P33" s="229"/>
      <c r="Q33" s="229"/>
      <c r="R33" s="229"/>
      <c r="S33" s="229"/>
      <c r="T33" s="229"/>
      <c r="W33" s="229"/>
      <c r="X33" s="229"/>
      <c r="Y33" s="229"/>
      <c r="Z33" s="229"/>
      <c r="AA33" s="229"/>
    </row>
    <row r="34" spans="1:34">
      <c r="A34" s="275" t="s">
        <v>38</v>
      </c>
      <c r="B34" s="276">
        <f>'Rate Class Energy Model'!M3</f>
        <v>9862692.7200000007</v>
      </c>
      <c r="C34" s="276">
        <f>'Rate Class Energy Model'!M4</f>
        <v>10907925.719999999</v>
      </c>
      <c r="D34" s="276">
        <f>'Rate Class Energy Model'!M5</f>
        <v>10834527.1</v>
      </c>
      <c r="E34" s="276">
        <f>'Rate Class Energy Model'!M6</f>
        <v>11591322.310000001</v>
      </c>
      <c r="F34" s="276">
        <f>'Rate Class Energy Model'!M7</f>
        <v>11241250.439999999</v>
      </c>
      <c r="G34" s="276">
        <f>'Rate Class Energy Model'!M8</f>
        <v>11244632.459999999</v>
      </c>
      <c r="H34" s="276">
        <f>'Rate Class Energy Model'!M9</f>
        <v>11062691.710000001</v>
      </c>
      <c r="I34" s="276">
        <f>'Rate Class Energy Model'!M10</f>
        <v>10555413.669999998</v>
      </c>
      <c r="J34" s="276">
        <f>'Rate Class Energy Model'!M11</f>
        <v>10310975.15</v>
      </c>
      <c r="K34" s="276">
        <f>'Rate Class Energy Model'!M12</f>
        <v>9533360.5500000007</v>
      </c>
      <c r="L34" s="277">
        <f>'Rate Class Energy Model'!M60</f>
        <v>8761929.0787882898</v>
      </c>
      <c r="M34" s="277">
        <f>'Rate Class Energy Model'!M61</f>
        <v>8166035.7482498735</v>
      </c>
      <c r="N34" s="241"/>
      <c r="P34" s="229"/>
      <c r="Q34" s="229"/>
      <c r="R34" s="229"/>
      <c r="S34" s="229"/>
      <c r="T34" s="229"/>
      <c r="W34" s="229"/>
      <c r="X34" s="229"/>
      <c r="Y34" s="229"/>
      <c r="Z34" s="229"/>
      <c r="AA34" s="229"/>
    </row>
    <row r="35" spans="1:34">
      <c r="A35" t="s">
        <v>39</v>
      </c>
      <c r="B35" s="5">
        <f>'Rate Class Load Model'!E2</f>
        <v>30656.799999999996</v>
      </c>
      <c r="C35" s="5">
        <f>'Rate Class Load Model'!E3</f>
        <v>30889.010000000002</v>
      </c>
      <c r="D35" s="5">
        <f>'Rate Class Load Model'!E4</f>
        <v>31499.200000000001</v>
      </c>
      <c r="E35" s="5">
        <f>'Rate Class Load Model'!E5</f>
        <v>31053.320000000007</v>
      </c>
      <c r="F35" s="5">
        <f>'Rate Class Load Model'!E6</f>
        <v>31561.720000000008</v>
      </c>
      <c r="G35" s="5">
        <f>'Rate Class Load Model'!E7</f>
        <v>31849.550000000003</v>
      </c>
      <c r="H35" s="5">
        <f>'Rate Class Load Model'!E8</f>
        <v>30858.559999999998</v>
      </c>
      <c r="I35" s="5">
        <f>'Rate Class Load Model'!E9</f>
        <v>29850.29</v>
      </c>
      <c r="J35" s="5">
        <f>'Rate Class Load Model'!E10</f>
        <v>29216.71</v>
      </c>
      <c r="K35" s="5">
        <f>'Rate Class Load Model'!E11</f>
        <v>27043.15</v>
      </c>
      <c r="L35" s="5">
        <f>'Rate Class Load Model'!E12</f>
        <v>24931.356571989825</v>
      </c>
      <c r="M35" s="5">
        <f>'Rate Class Load Model'!E13</f>
        <v>23235.790564900166</v>
      </c>
      <c r="N35" s="241"/>
      <c r="P35" s="229"/>
      <c r="Q35" s="229"/>
      <c r="R35" s="229"/>
      <c r="S35" s="229"/>
      <c r="T35" s="229"/>
      <c r="U35" s="229"/>
      <c r="W35" s="229"/>
      <c r="X35" s="229"/>
      <c r="Y35" s="229"/>
      <c r="Z35" s="229"/>
      <c r="AA35" s="229"/>
      <c r="AB35" s="229"/>
      <c r="AD35" s="220"/>
      <c r="AE35" s="220"/>
    </row>
    <row r="36" spans="1:34">
      <c r="N36" s="241"/>
      <c r="P36" s="229"/>
      <c r="Q36" s="229"/>
      <c r="R36" s="229"/>
      <c r="S36" s="229"/>
      <c r="T36" s="229"/>
      <c r="W36" s="229"/>
      <c r="X36" s="229"/>
      <c r="Y36" s="229"/>
      <c r="Z36" s="229"/>
      <c r="AA36" s="229"/>
      <c r="AD36" s="224"/>
      <c r="AE36" s="224"/>
      <c r="AG36" s="230"/>
      <c r="AH36" s="224"/>
    </row>
    <row r="37" spans="1:34">
      <c r="A37" s="27" t="str">
        <f>'Rate Class Energy Model'!N2</f>
        <v>Sentinel Lighting</v>
      </c>
      <c r="N37" s="241"/>
      <c r="P37" s="229"/>
      <c r="Q37" s="229"/>
      <c r="R37" s="229"/>
      <c r="S37" s="229"/>
      <c r="T37" s="229"/>
      <c r="W37" s="229"/>
      <c r="X37" s="229"/>
      <c r="Y37" s="229"/>
      <c r="Z37" s="229"/>
      <c r="AA37" s="229"/>
    </row>
    <row r="38" spans="1:34">
      <c r="A38" t="s">
        <v>51</v>
      </c>
      <c r="B38" s="5">
        <f>'Rate Class Customer Model'!H3</f>
        <v>164</v>
      </c>
      <c r="C38" s="5">
        <f>'Rate Class Customer Model'!H4</f>
        <v>153</v>
      </c>
      <c r="D38" s="5">
        <f>'Rate Class Customer Model'!H5</f>
        <v>149.83333333333334</v>
      </c>
      <c r="E38" s="5">
        <f>'Rate Class Customer Model'!H6</f>
        <v>157.91666666666666</v>
      </c>
      <c r="F38" s="5">
        <f>'Rate Class Customer Model'!H7</f>
        <v>166.75</v>
      </c>
      <c r="G38" s="5">
        <f>'Rate Class Customer Model'!H8</f>
        <v>147.58333333333334</v>
      </c>
      <c r="H38" s="5">
        <f>'Rate Class Customer Model'!H9</f>
        <v>167.16666666666666</v>
      </c>
      <c r="I38" s="5">
        <f>'Rate Class Customer Model'!H10</f>
        <v>170.83333333333334</v>
      </c>
      <c r="J38" s="5">
        <f>'Rate Class Customer Model'!H11</f>
        <v>172.08199055989584</v>
      </c>
      <c r="K38" s="5">
        <f>'Rate Class Customer Model'!H12</f>
        <v>170.93070442477861</v>
      </c>
      <c r="L38" s="5">
        <f>'Rate Class Customer Model'!H13</f>
        <v>170.93070442477861</v>
      </c>
      <c r="M38" s="5">
        <f>'Rate Class Customer Model'!H14</f>
        <v>170.93070442477861</v>
      </c>
      <c r="N38" s="241"/>
      <c r="P38" s="229"/>
      <c r="Q38" s="229"/>
      <c r="R38" s="229"/>
      <c r="S38" s="229"/>
      <c r="T38" s="229"/>
      <c r="W38" s="229"/>
      <c r="X38" s="229"/>
      <c r="Y38" s="229"/>
      <c r="Z38" s="229"/>
      <c r="AA38" s="229"/>
    </row>
    <row r="39" spans="1:34">
      <c r="A39" s="275" t="s">
        <v>38</v>
      </c>
      <c r="B39" s="276">
        <f>'Rate Class Energy Model'!N3</f>
        <v>134611.20000000004</v>
      </c>
      <c r="C39" s="276">
        <f>'Rate Class Energy Model'!N4</f>
        <v>125582.39999999998</v>
      </c>
      <c r="D39" s="276">
        <f>'Rate Class Energy Model'!N5</f>
        <v>122983.2</v>
      </c>
      <c r="E39" s="276">
        <f>'Rate Class Energy Model'!N6</f>
        <v>129617.99999999999</v>
      </c>
      <c r="F39" s="276">
        <f>'Rate Class Energy Model'!N7</f>
        <v>136868.40000000002</v>
      </c>
      <c r="G39" s="276">
        <f>'Rate Class Energy Model'!N8</f>
        <v>121136.40000000001</v>
      </c>
      <c r="H39" s="276">
        <f>'Rate Class Energy Model'!N9</f>
        <v>141784.07999999999</v>
      </c>
      <c r="I39" s="276">
        <f>'Rate Class Energy Model'!N10</f>
        <v>144894</v>
      </c>
      <c r="J39" s="276">
        <f>'Rate Class Energy Model'!N11</f>
        <v>146313.06111328123</v>
      </c>
      <c r="K39" s="276">
        <f>'Rate Class Energy Model'!N12</f>
        <v>112765.46778066158</v>
      </c>
      <c r="L39" s="277">
        <f>'Rate Class Energy Model'!N60</f>
        <v>112765.46778066158</v>
      </c>
      <c r="M39" s="277">
        <f>'Rate Class Energy Model'!N61</f>
        <v>112765.46778066158</v>
      </c>
      <c r="N39" s="241"/>
      <c r="P39" s="229"/>
      <c r="Q39" s="229"/>
      <c r="R39" s="229"/>
      <c r="S39" s="229"/>
      <c r="T39" s="229"/>
      <c r="W39" s="229"/>
      <c r="X39" s="229"/>
      <c r="Y39" s="229"/>
      <c r="Z39" s="229"/>
      <c r="AA39" s="229"/>
    </row>
    <row r="40" spans="1:34">
      <c r="A40" t="s">
        <v>39</v>
      </c>
      <c r="B40" s="5">
        <f>'Rate Class Load Model'!F2</f>
        <v>373.92000000000007</v>
      </c>
      <c r="C40" s="5">
        <f>'Rate Class Load Model'!F3</f>
        <v>348.84</v>
      </c>
      <c r="D40" s="5">
        <f>'Rate Class Load Model'!F4</f>
        <v>341.62</v>
      </c>
      <c r="E40" s="5">
        <f>'Rate Class Load Model'!F5</f>
        <v>360.04999999999995</v>
      </c>
      <c r="F40" s="5">
        <f>'Rate Class Load Model'!F6</f>
        <v>380.19000000000005</v>
      </c>
      <c r="G40" s="5">
        <f>'Rate Class Load Model'!F7</f>
        <v>336.49</v>
      </c>
      <c r="H40" s="5">
        <f>'Rate Class Load Model'!F8</f>
        <v>381.14000000000004</v>
      </c>
      <c r="I40" s="5">
        <f>'Rate Class Load Model'!F9</f>
        <v>389.5</v>
      </c>
      <c r="J40" s="5">
        <f>'Rate Class Load Model'!F10</f>
        <v>392.34693847656257</v>
      </c>
      <c r="K40" s="5">
        <f>'Rate Class Load Model'!F11</f>
        <v>307.67526796460157</v>
      </c>
      <c r="L40" s="5">
        <f>'Rate Class Load Model'!F12</f>
        <v>307.67526796460157</v>
      </c>
      <c r="M40" s="5">
        <f>'Rate Class Load Model'!F13</f>
        <v>307.67526796460157</v>
      </c>
      <c r="N40" s="241"/>
      <c r="P40" s="229"/>
      <c r="Q40" s="229"/>
      <c r="R40" s="229"/>
      <c r="S40" s="229"/>
      <c r="T40" s="229"/>
      <c r="W40" s="229"/>
      <c r="X40" s="229"/>
      <c r="Y40" s="229"/>
      <c r="Z40" s="229"/>
      <c r="AA40" s="229"/>
      <c r="AD40" s="220"/>
      <c r="AE40" s="220"/>
    </row>
    <row r="41" spans="1:34">
      <c r="M41" s="5"/>
      <c r="N41" s="241"/>
      <c r="P41" s="229"/>
      <c r="Q41" s="229"/>
      <c r="R41" s="229"/>
      <c r="S41" s="229"/>
      <c r="T41" s="231"/>
      <c r="W41" s="229"/>
      <c r="X41" s="229"/>
      <c r="Y41" s="229"/>
      <c r="Z41" s="229"/>
      <c r="AA41" s="231"/>
      <c r="AD41" s="224"/>
      <c r="AE41" s="224"/>
      <c r="AG41" s="230"/>
      <c r="AH41" s="224"/>
    </row>
    <row r="42" spans="1:34">
      <c r="A42" s="27" t="str">
        <f>'Rate Class Energy Model'!O2</f>
        <v>Unmetered Scattered Load</v>
      </c>
      <c r="B42" s="5"/>
      <c r="C42" s="5"/>
      <c r="D42" s="5"/>
      <c r="E42" s="5"/>
      <c r="F42" s="5"/>
      <c r="G42" s="5"/>
      <c r="H42" s="5"/>
      <c r="J42" s="5"/>
      <c r="L42" s="5"/>
      <c r="M42" s="5"/>
      <c r="N42" s="241"/>
      <c r="P42" s="229"/>
      <c r="Q42" s="229"/>
      <c r="R42" s="229"/>
      <c r="S42" s="229"/>
      <c r="T42" s="229"/>
      <c r="W42" s="229"/>
      <c r="X42" s="229"/>
      <c r="Y42" s="229"/>
      <c r="Z42" s="229"/>
      <c r="AA42" s="229"/>
    </row>
    <row r="43" spans="1:34">
      <c r="A43" t="s">
        <v>51</v>
      </c>
      <c r="B43" s="5">
        <f>'Rate Class Customer Model'!I3</f>
        <v>428</v>
      </c>
      <c r="C43" s="5">
        <f>'Rate Class Customer Model'!I4</f>
        <v>435</v>
      </c>
      <c r="D43" s="5">
        <f>'Rate Class Customer Model'!I5</f>
        <v>457</v>
      </c>
      <c r="E43" s="5">
        <f>'Rate Class Customer Model'!I6</f>
        <v>458.5</v>
      </c>
      <c r="F43" s="5">
        <f>'Rate Class Customer Model'!I7</f>
        <v>469.25</v>
      </c>
      <c r="G43" s="5">
        <f>'Rate Class Customer Model'!I8</f>
        <v>470.08333333333331</v>
      </c>
      <c r="H43" s="5">
        <f>'Rate Class Customer Model'!I9</f>
        <v>469.83333333333331</v>
      </c>
      <c r="I43" s="5">
        <f>'Rate Class Customer Model'!I10</f>
        <v>465.5</v>
      </c>
      <c r="J43" s="5">
        <f>'Rate Class Customer Model'!I11</f>
        <v>462.49702962239581</v>
      </c>
      <c r="K43" s="5">
        <f>'Rate Class Customer Model'!I12</f>
        <v>451.08502161006135</v>
      </c>
      <c r="L43" s="5">
        <f>'Rate Class Customer Model'!I13</f>
        <v>451.08502161006135</v>
      </c>
      <c r="M43" s="5">
        <f>'Rate Class Customer Model'!I14</f>
        <v>451.08502161006135</v>
      </c>
      <c r="N43" s="241"/>
      <c r="P43" s="229"/>
      <c r="Q43" s="229"/>
      <c r="R43" s="229"/>
      <c r="S43" s="229"/>
      <c r="T43" s="229"/>
      <c r="W43" s="229"/>
      <c r="X43" s="229"/>
      <c r="Y43" s="229"/>
      <c r="Z43" s="229"/>
      <c r="AA43" s="229"/>
    </row>
    <row r="44" spans="1:34">
      <c r="A44" s="275" t="s">
        <v>38</v>
      </c>
      <c r="B44" s="276">
        <f>'Rate Class Energy Model'!O3</f>
        <v>1856376.03</v>
      </c>
      <c r="C44" s="276">
        <f>'Rate Class Energy Model'!O4</f>
        <v>2031490.7000000002</v>
      </c>
      <c r="D44" s="276">
        <f>'Rate Class Energy Model'!O5</f>
        <v>1952922.6400000001</v>
      </c>
      <c r="E44" s="276">
        <f>'Rate Class Energy Model'!O6</f>
        <v>1974983.6700000004</v>
      </c>
      <c r="F44" s="276">
        <f>'Rate Class Energy Model'!O7</f>
        <v>1946641.3000000003</v>
      </c>
      <c r="G44" s="276">
        <f>'Rate Class Energy Model'!O8</f>
        <v>1971315.4000000004</v>
      </c>
      <c r="H44" s="276">
        <f>'Rate Class Energy Model'!O9</f>
        <v>1980462.86</v>
      </c>
      <c r="I44" s="276">
        <f>'Rate Class Energy Model'!O10</f>
        <v>1992260.1800000002</v>
      </c>
      <c r="J44" s="276">
        <f>'Rate Class Energy Model'!O11</f>
        <v>2099765.3300000005</v>
      </c>
      <c r="K44" s="276">
        <f>'Rate Class Energy Model'!O12</f>
        <v>2203934.8200000003</v>
      </c>
      <c r="L44" s="277">
        <f>'Rate Class Energy Model'!O60</f>
        <v>2203934.8200000003</v>
      </c>
      <c r="M44" s="277">
        <f>'Rate Class Energy Model'!O61</f>
        <v>2203934.8200000003</v>
      </c>
      <c r="N44" s="241"/>
      <c r="P44" s="229"/>
      <c r="Q44" s="229"/>
      <c r="R44" s="229"/>
      <c r="S44" s="229"/>
      <c r="T44" s="229"/>
      <c r="W44" s="229"/>
      <c r="X44" s="229"/>
      <c r="Y44" s="229"/>
      <c r="Z44" s="229"/>
      <c r="AA44" s="229"/>
    </row>
    <row r="45" spans="1:34">
      <c r="K45" s="5"/>
      <c r="N45" s="241"/>
      <c r="Z45" s="229"/>
      <c r="AD45" s="220"/>
      <c r="AE45" s="220"/>
    </row>
    <row r="46" spans="1:34">
      <c r="A46" s="27" t="s">
        <v>52</v>
      </c>
      <c r="B46" s="5"/>
      <c r="D46" s="5"/>
      <c r="E46" s="5"/>
      <c r="F46" s="5"/>
      <c r="H46" s="5"/>
      <c r="J46" s="18"/>
      <c r="N46" s="241"/>
      <c r="AD46" s="224"/>
      <c r="AE46" s="224"/>
      <c r="AG46" s="230"/>
      <c r="AH46" s="224"/>
    </row>
    <row r="47" spans="1:34">
      <c r="A47" t="s">
        <v>43</v>
      </c>
      <c r="B47" s="5">
        <f>SUM(B10+B14+B18+B23+B28+B33+B38+B43)</f>
        <v>62690.416666666672</v>
      </c>
      <c r="C47" s="5">
        <f t="shared" ref="C47:M47" si="1">SUM(C10+C14+C18+C23+C28+C33+C38+C43)</f>
        <v>62745</v>
      </c>
      <c r="D47" s="5">
        <f t="shared" si="1"/>
        <v>63062.5</v>
      </c>
      <c r="E47" s="5">
        <f t="shared" si="1"/>
        <v>63060.916666666664</v>
      </c>
      <c r="F47" s="5">
        <f t="shared" si="1"/>
        <v>63373.916666666664</v>
      </c>
      <c r="G47" s="5">
        <f t="shared" si="1"/>
        <v>63473.5</v>
      </c>
      <c r="H47" s="5">
        <f t="shared" si="1"/>
        <v>63575.666666666664</v>
      </c>
      <c r="I47" s="5">
        <f t="shared" si="1"/>
        <v>63734.500000000007</v>
      </c>
      <c r="J47" s="5">
        <f t="shared" si="1"/>
        <v>63983.127339680992</v>
      </c>
      <c r="K47" s="5">
        <f t="shared" si="1"/>
        <v>64191.858287517374</v>
      </c>
      <c r="L47" s="5">
        <f t="shared" si="1"/>
        <v>64357.71252696302</v>
      </c>
      <c r="M47" s="5">
        <f t="shared" si="1"/>
        <v>64524.134922396988</v>
      </c>
      <c r="N47" s="241"/>
    </row>
    <row r="48" spans="1:34" ht="14.25">
      <c r="A48" s="275" t="s">
        <v>38</v>
      </c>
      <c r="B48" s="276">
        <f>SUM(B11+B15+B19+B24+B29+B34+B39+B44)</f>
        <v>1039037823.4400007</v>
      </c>
      <c r="C48" s="276">
        <f t="shared" ref="C48:M48" si="2">SUM(C11+C15+C19+C24+C29+C34+C39+C44)</f>
        <v>1031120515.9500011</v>
      </c>
      <c r="D48" s="276">
        <f t="shared" si="2"/>
        <v>1005493354.6399989</v>
      </c>
      <c r="E48" s="276">
        <f t="shared" si="2"/>
        <v>976724641.65999937</v>
      </c>
      <c r="F48" s="276">
        <f t="shared" si="2"/>
        <v>944010732.54999959</v>
      </c>
      <c r="G48" s="276">
        <f t="shared" si="2"/>
        <v>957941351.48999953</v>
      </c>
      <c r="H48" s="276">
        <f t="shared" si="2"/>
        <v>950013126.06999981</v>
      </c>
      <c r="I48" s="276">
        <f t="shared" si="2"/>
        <v>963120842.92527807</v>
      </c>
      <c r="J48" s="276">
        <f t="shared" si="2"/>
        <v>965070092.80775356</v>
      </c>
      <c r="K48" s="276">
        <f t="shared" si="2"/>
        <v>938758818.01477861</v>
      </c>
      <c r="L48" s="277">
        <f t="shared" si="2"/>
        <v>929807581.11275148</v>
      </c>
      <c r="M48" s="277">
        <f t="shared" si="2"/>
        <v>921109209.66644061</v>
      </c>
      <c r="N48" s="241"/>
      <c r="P48" s="232"/>
      <c r="Q48" s="232"/>
      <c r="R48" s="232"/>
      <c r="S48" s="232"/>
      <c r="W48" s="232"/>
      <c r="X48" s="232"/>
      <c r="Y48" s="232"/>
      <c r="Z48" s="232"/>
    </row>
    <row r="49" spans="1:28">
      <c r="A49" t="s">
        <v>42</v>
      </c>
      <c r="B49" s="5">
        <f>SUM(B20+B25+B30+B35+B40)</f>
        <v>1422058.1355999999</v>
      </c>
      <c r="C49" s="5">
        <f t="shared" ref="C49:M49" si="3">SUM(C20+C25+C30+C35+C40)</f>
        <v>1386045.6597000002</v>
      </c>
      <c r="D49" s="5">
        <f t="shared" si="3"/>
        <v>1351773.1158000003</v>
      </c>
      <c r="E49" s="5">
        <f t="shared" si="3"/>
        <v>1280978.0134000003</v>
      </c>
      <c r="F49" s="5">
        <f t="shared" si="3"/>
        <v>1272192.888</v>
      </c>
      <c r="G49" s="5">
        <f t="shared" si="3"/>
        <v>1269254.318</v>
      </c>
      <c r="H49" s="5">
        <f t="shared" si="3"/>
        <v>1282504.8353000002</v>
      </c>
      <c r="I49" s="5">
        <f t="shared" si="3"/>
        <v>1263171.5307999998</v>
      </c>
      <c r="J49" s="5">
        <f t="shared" si="3"/>
        <v>1232544.3674384768</v>
      </c>
      <c r="K49" s="5">
        <f t="shared" si="3"/>
        <v>1231215.2208679644</v>
      </c>
      <c r="L49" s="5">
        <f t="shared" si="3"/>
        <v>1164015.1292393787</v>
      </c>
      <c r="M49" s="5">
        <f t="shared" si="3"/>
        <v>1136725.7933210833</v>
      </c>
      <c r="N49" s="241"/>
    </row>
    <row r="50" spans="1:28">
      <c r="N50" s="241"/>
    </row>
    <row r="51" spans="1:28">
      <c r="A51" s="27" t="s">
        <v>53</v>
      </c>
      <c r="I51" s="5"/>
      <c r="K51" s="5"/>
      <c r="N51" s="241"/>
    </row>
    <row r="52" spans="1:28">
      <c r="A52" t="s">
        <v>43</v>
      </c>
      <c r="B52" s="5">
        <f>'Rate Class Customer Model'!J3</f>
        <v>62690.416666666672</v>
      </c>
      <c r="C52" s="5">
        <f>'Rate Class Customer Model'!J4</f>
        <v>62745</v>
      </c>
      <c r="D52" s="5">
        <f>'Rate Class Customer Model'!J5</f>
        <v>63062.5</v>
      </c>
      <c r="E52" s="5">
        <f>'Rate Class Customer Model'!J6</f>
        <v>63060.916666666664</v>
      </c>
      <c r="F52" s="5">
        <f>'Rate Class Customer Model'!J7</f>
        <v>63373.916666666664</v>
      </c>
      <c r="G52" s="5">
        <f>'Rate Class Customer Model'!J8</f>
        <v>63473.5</v>
      </c>
      <c r="H52" s="5">
        <f>'Rate Class Customer Model'!J9</f>
        <v>63575.666666666664</v>
      </c>
      <c r="I52" s="5">
        <f>'Rate Class Customer Model'!J10</f>
        <v>63734.500000000007</v>
      </c>
      <c r="J52" s="5">
        <f>'Rate Class Customer Model'!J11</f>
        <v>63983.127339680992</v>
      </c>
      <c r="K52" s="5">
        <f>'Rate Class Customer Model'!J12</f>
        <v>64191.858287517374</v>
      </c>
      <c r="L52" s="5">
        <f>'Rate Class Customer Model'!J13</f>
        <v>64357.71252696302</v>
      </c>
      <c r="M52" s="5">
        <f>'Rate Class Customer Model'!J14</f>
        <v>64524.134922396988</v>
      </c>
      <c r="N52" s="241"/>
    </row>
    <row r="53" spans="1:28" ht="12" customHeight="1">
      <c r="A53" s="275" t="s">
        <v>38</v>
      </c>
      <c r="B53" s="276">
        <f>'Rate Class Energy Model'!P3</f>
        <v>1039037823.4400007</v>
      </c>
      <c r="C53" s="276">
        <f>'Rate Class Energy Model'!P4</f>
        <v>1031120515.9500011</v>
      </c>
      <c r="D53" s="276">
        <f>'Rate Class Energy Model'!P5</f>
        <v>1005493354.6399989</v>
      </c>
      <c r="E53" s="276">
        <f>'Rate Class Energy Model'!P6</f>
        <v>976724641.65999937</v>
      </c>
      <c r="F53" s="276">
        <f>'Rate Class Energy Model'!P7</f>
        <v>944010732.54999959</v>
      </c>
      <c r="G53" s="276">
        <f>'Rate Class Energy Model'!P8</f>
        <v>957941351.48999953</v>
      </c>
      <c r="H53" s="276">
        <f>'Rate Class Energy Model'!P9</f>
        <v>950013126.06999981</v>
      </c>
      <c r="I53" s="276">
        <f>'Rate Class Energy Model'!P10</f>
        <v>963120842.92527807</v>
      </c>
      <c r="J53" s="276">
        <f>'Rate Class Energy Model'!P11</f>
        <v>965070092.80775356</v>
      </c>
      <c r="K53" s="276">
        <f>'Rate Class Energy Model'!P12</f>
        <v>938758818.01477861</v>
      </c>
      <c r="L53" s="277">
        <f>'Rate Class Energy Model'!P60</f>
        <v>929807581.11275148</v>
      </c>
      <c r="M53" s="277">
        <f>'Rate Class Energy Model'!P61</f>
        <v>921109209.66644061</v>
      </c>
      <c r="N53" s="241"/>
    </row>
    <row r="54" spans="1:28">
      <c r="A54" t="s">
        <v>42</v>
      </c>
      <c r="B54" s="5">
        <f>'Rate Class Load Model'!G2</f>
        <v>1422058.1355999999</v>
      </c>
      <c r="C54" s="5">
        <f>'Rate Class Load Model'!G3</f>
        <v>1386045.6597000002</v>
      </c>
      <c r="D54" s="5">
        <f>'Rate Class Load Model'!G4</f>
        <v>1351773.1158000003</v>
      </c>
      <c r="E54" s="5">
        <f>'Rate Class Load Model'!G5</f>
        <v>1280978.0134000003</v>
      </c>
      <c r="F54" s="18">
        <f>'Rate Class Load Model'!G6</f>
        <v>1272192.888</v>
      </c>
      <c r="G54" s="18">
        <f>'Rate Class Load Model'!G7</f>
        <v>1269254.318</v>
      </c>
      <c r="H54" s="18">
        <f>'Rate Class Load Model'!G8</f>
        <v>1282504.8353000002</v>
      </c>
      <c r="I54" s="18">
        <f>'Rate Class Load Model'!G9</f>
        <v>1263171.5307999998</v>
      </c>
      <c r="J54" s="18">
        <f>'Rate Class Load Model'!G10</f>
        <v>1232544.3674384768</v>
      </c>
      <c r="K54" s="18">
        <f>'Rate Class Load Model'!G11</f>
        <v>1231215.2208679644</v>
      </c>
      <c r="L54" s="18">
        <f>'Rate Class Load Model'!G12</f>
        <v>1164015.1292393787</v>
      </c>
      <c r="M54" s="18">
        <f>'Rate Class Load Model'!G13</f>
        <v>1136725.7933210833</v>
      </c>
      <c r="N54" s="241"/>
      <c r="P54" s="229"/>
      <c r="Q54" s="229"/>
      <c r="R54" s="229"/>
      <c r="S54" s="229"/>
      <c r="T54" s="229"/>
      <c r="U54" s="229"/>
      <c r="W54" s="229"/>
      <c r="X54" s="229"/>
      <c r="Y54" s="229"/>
      <c r="AA54" s="229"/>
      <c r="AB54" s="229"/>
    </row>
    <row r="55" spans="1:28">
      <c r="N55" s="242"/>
    </row>
    <row r="56" spans="1:28">
      <c r="A56" s="27" t="s">
        <v>54</v>
      </c>
      <c r="B56" s="5"/>
      <c r="C56" s="5"/>
      <c r="H56" s="18"/>
      <c r="I56" s="5"/>
      <c r="J56" s="5"/>
      <c r="K56" s="5"/>
      <c r="N56" s="242"/>
    </row>
    <row r="57" spans="1:28">
      <c r="A57" t="s">
        <v>43</v>
      </c>
      <c r="B57" s="5">
        <f t="shared" ref="B57" si="4">B47-B52</f>
        <v>0</v>
      </c>
      <c r="C57" s="5">
        <f t="shared" ref="C57:M57" si="5">C47-C52</f>
        <v>0</v>
      </c>
      <c r="D57" s="5">
        <f t="shared" si="5"/>
        <v>0</v>
      </c>
      <c r="E57" s="5">
        <f t="shared" si="5"/>
        <v>0</v>
      </c>
      <c r="F57" s="5">
        <f t="shared" si="5"/>
        <v>0</v>
      </c>
      <c r="G57" s="5">
        <f t="shared" si="5"/>
        <v>0</v>
      </c>
      <c r="H57" s="5">
        <f t="shared" si="5"/>
        <v>0</v>
      </c>
      <c r="I57" s="5">
        <f t="shared" si="5"/>
        <v>0</v>
      </c>
      <c r="J57" s="5">
        <f t="shared" si="5"/>
        <v>0</v>
      </c>
      <c r="K57" s="5">
        <f t="shared" si="5"/>
        <v>0</v>
      </c>
      <c r="L57" s="5">
        <f t="shared" si="5"/>
        <v>0</v>
      </c>
      <c r="M57" s="5">
        <f t="shared" si="5"/>
        <v>0</v>
      </c>
    </row>
    <row r="58" spans="1:28">
      <c r="A58" s="278" t="s">
        <v>38</v>
      </c>
      <c r="B58" s="276">
        <f t="shared" ref="B58" si="6">B48-B53</f>
        <v>0</v>
      </c>
      <c r="C58" s="276">
        <f t="shared" ref="C58:M58" si="7">C48-C53</f>
        <v>0</v>
      </c>
      <c r="D58" s="276">
        <f t="shared" si="7"/>
        <v>0</v>
      </c>
      <c r="E58" s="276">
        <f t="shared" si="7"/>
        <v>0</v>
      </c>
      <c r="F58" s="276">
        <f t="shared" si="7"/>
        <v>0</v>
      </c>
      <c r="G58" s="276">
        <f t="shared" si="7"/>
        <v>0</v>
      </c>
      <c r="H58" s="276">
        <f t="shared" si="7"/>
        <v>0</v>
      </c>
      <c r="I58" s="276">
        <f t="shared" si="7"/>
        <v>0</v>
      </c>
      <c r="J58" s="276">
        <f t="shared" si="7"/>
        <v>0</v>
      </c>
      <c r="K58" s="276">
        <f t="shared" si="7"/>
        <v>0</v>
      </c>
      <c r="L58" s="276">
        <f t="shared" si="7"/>
        <v>0</v>
      </c>
      <c r="M58" s="276">
        <f t="shared" si="7"/>
        <v>0</v>
      </c>
    </row>
    <row r="59" spans="1:28">
      <c r="A59" t="s">
        <v>42</v>
      </c>
      <c r="B59" s="5">
        <f>B49-B54</f>
        <v>0</v>
      </c>
      <c r="C59" s="5">
        <f t="shared" ref="C59:M59" si="8">C49-C54</f>
        <v>0</v>
      </c>
      <c r="D59" s="5">
        <f t="shared" si="8"/>
        <v>0</v>
      </c>
      <c r="E59" s="5">
        <f t="shared" si="8"/>
        <v>0</v>
      </c>
      <c r="F59" s="5">
        <f t="shared" si="8"/>
        <v>0</v>
      </c>
      <c r="G59" s="5">
        <f t="shared" si="8"/>
        <v>0</v>
      </c>
      <c r="H59" s="5">
        <f t="shared" si="8"/>
        <v>0</v>
      </c>
      <c r="I59" s="5">
        <f t="shared" si="8"/>
        <v>0</v>
      </c>
      <c r="J59" s="5">
        <f t="shared" si="8"/>
        <v>0</v>
      </c>
      <c r="K59" s="5">
        <f t="shared" si="8"/>
        <v>0</v>
      </c>
      <c r="L59" s="5">
        <f t="shared" si="8"/>
        <v>0</v>
      </c>
      <c r="M59" s="5">
        <f t="shared" si="8"/>
        <v>0</v>
      </c>
    </row>
    <row r="61" spans="1:28">
      <c r="K61" s="216"/>
      <c r="L61" s="211"/>
      <c r="M61" s="211"/>
      <c r="N61" s="211"/>
    </row>
    <row r="62" spans="1:28">
      <c r="A62" s="211"/>
      <c r="B62" s="235"/>
      <c r="C62" s="235"/>
      <c r="D62" s="236"/>
      <c r="E62" s="237"/>
      <c r="F62" s="237"/>
      <c r="G62" s="237"/>
      <c r="H62" s="237"/>
      <c r="I62" s="237"/>
      <c r="J62" s="216"/>
      <c r="K62" s="243"/>
      <c r="L62" s="244"/>
      <c r="M62" s="244"/>
      <c r="N62" s="244"/>
    </row>
    <row r="63" spans="1:28">
      <c r="A63" s="211"/>
      <c r="B63" s="216"/>
      <c r="C63" s="233"/>
      <c r="D63" s="238"/>
      <c r="E63" s="239"/>
      <c r="F63" s="239"/>
      <c r="G63" s="239"/>
      <c r="H63" s="239"/>
      <c r="I63" s="239"/>
      <c r="J63" s="216"/>
      <c r="K63" s="245"/>
      <c r="L63" s="246"/>
      <c r="M63" s="246"/>
      <c r="N63" s="246"/>
    </row>
    <row r="64" spans="1:28">
      <c r="A64" s="211"/>
      <c r="B64" s="216"/>
      <c r="C64" s="233"/>
      <c r="D64" s="238"/>
      <c r="E64" s="216"/>
      <c r="F64" s="216"/>
      <c r="G64" s="216"/>
      <c r="H64" s="216"/>
      <c r="I64" s="216"/>
      <c r="J64" s="216"/>
      <c r="K64" s="245"/>
      <c r="L64" s="246"/>
      <c r="M64" s="246"/>
      <c r="N64" s="246"/>
    </row>
    <row r="65" spans="1:14">
      <c r="A65" s="211"/>
      <c r="B65" s="216"/>
      <c r="C65" s="233"/>
      <c r="D65" s="238"/>
      <c r="E65" s="216"/>
      <c r="F65" s="234"/>
      <c r="G65" s="234"/>
      <c r="H65" s="234"/>
      <c r="I65" s="234"/>
      <c r="J65" s="216"/>
      <c r="K65" s="245"/>
      <c r="L65" s="246"/>
      <c r="M65" s="246"/>
      <c r="N65" s="246"/>
    </row>
    <row r="66" spans="1:14">
      <c r="A66" s="211"/>
      <c r="B66" s="216"/>
      <c r="C66" s="233"/>
      <c r="D66" s="238"/>
      <c r="E66" s="239"/>
      <c r="F66" s="239"/>
      <c r="G66" s="234"/>
      <c r="H66" s="234"/>
      <c r="I66" s="234"/>
      <c r="J66" s="216"/>
      <c r="K66" s="245"/>
      <c r="L66" s="246"/>
      <c r="M66" s="246"/>
      <c r="N66" s="246"/>
    </row>
    <row r="67" spans="1:14">
      <c r="A67" s="211"/>
      <c r="B67" s="216"/>
      <c r="C67" s="216"/>
      <c r="D67" s="238"/>
      <c r="E67" s="238"/>
      <c r="F67" s="238"/>
      <c r="G67" s="238"/>
      <c r="H67" s="238"/>
      <c r="I67" s="238"/>
      <c r="J67" s="216"/>
      <c r="K67" s="245"/>
      <c r="L67" s="246"/>
      <c r="M67" s="246"/>
      <c r="N67" s="246"/>
    </row>
    <row r="68" spans="1:14">
      <c r="A68" s="211"/>
      <c r="B68" s="216"/>
      <c r="C68" s="216"/>
      <c r="D68" s="216"/>
      <c r="E68" s="216"/>
      <c r="F68" s="216"/>
      <c r="G68" s="216"/>
      <c r="H68" s="216"/>
      <c r="I68" s="216"/>
      <c r="J68" s="216"/>
      <c r="K68" s="245"/>
      <c r="L68" s="246"/>
      <c r="M68" s="246"/>
      <c r="N68" s="246"/>
    </row>
    <row r="69" spans="1:14">
      <c r="A69" s="211"/>
      <c r="B69" s="216"/>
      <c r="C69" s="216"/>
      <c r="D69" s="216"/>
      <c r="E69" s="216"/>
      <c r="F69" s="216"/>
      <c r="G69" s="216"/>
      <c r="H69" s="216"/>
      <c r="I69" s="216"/>
      <c r="J69" s="216"/>
      <c r="K69" s="245"/>
      <c r="L69" s="246"/>
      <c r="M69" s="246"/>
      <c r="N69" s="246"/>
    </row>
    <row r="70" spans="1:14">
      <c r="A70" s="211"/>
      <c r="B70" s="216"/>
      <c r="C70" s="216"/>
      <c r="D70" s="216"/>
      <c r="E70" s="216"/>
      <c r="F70" s="216"/>
      <c r="G70" s="216"/>
      <c r="H70" s="216"/>
      <c r="I70" s="216"/>
      <c r="J70" s="216"/>
      <c r="K70" s="245"/>
      <c r="L70" s="246"/>
      <c r="M70" s="246"/>
      <c r="N70" s="246"/>
    </row>
    <row r="71" spans="1:14">
      <c r="A71" s="211"/>
      <c r="B71" s="216"/>
      <c r="C71" s="216"/>
      <c r="D71" s="216"/>
      <c r="E71" s="216"/>
      <c r="F71" s="216"/>
      <c r="G71" s="216"/>
      <c r="H71" s="216"/>
      <c r="I71" s="216"/>
      <c r="J71" s="216"/>
      <c r="K71" s="216"/>
      <c r="L71" s="211"/>
      <c r="M71" s="247"/>
      <c r="N71" s="247"/>
    </row>
    <row r="72" spans="1:14">
      <c r="A72" s="211"/>
      <c r="B72" s="216"/>
      <c r="C72" s="216"/>
      <c r="D72" s="216"/>
      <c r="E72" s="216"/>
      <c r="F72" s="216"/>
      <c r="G72" s="216"/>
      <c r="H72" s="216"/>
      <c r="I72" s="216"/>
      <c r="J72" s="216"/>
      <c r="K72" s="216"/>
      <c r="L72" s="211"/>
      <c r="M72" s="211"/>
      <c r="N72" s="211"/>
    </row>
    <row r="73" spans="1:14" ht="15">
      <c r="A73" s="211"/>
      <c r="B73" s="216"/>
      <c r="C73" s="216"/>
      <c r="D73" s="216"/>
      <c r="E73" s="216"/>
      <c r="F73" s="216"/>
      <c r="G73" s="216"/>
      <c r="H73" s="216"/>
      <c r="I73" s="216"/>
      <c r="J73" s="216"/>
      <c r="K73" s="216"/>
      <c r="L73" s="211"/>
      <c r="M73" s="248"/>
      <c r="N73" s="248"/>
    </row>
    <row r="74" spans="1:14">
      <c r="A74" s="211"/>
      <c r="B74" s="216"/>
      <c r="C74" s="216"/>
      <c r="D74" s="216"/>
      <c r="E74" s="216"/>
      <c r="F74" s="216"/>
      <c r="G74" s="216"/>
      <c r="H74" s="216"/>
      <c r="I74" s="216"/>
      <c r="J74" s="216"/>
      <c r="K74" s="216"/>
      <c r="L74" s="211"/>
      <c r="M74" s="211"/>
      <c r="N74" s="211"/>
    </row>
    <row r="75" spans="1:14">
      <c r="A75" s="211"/>
      <c r="B75" s="216"/>
      <c r="C75" s="216"/>
      <c r="D75" s="216"/>
      <c r="E75" s="216"/>
      <c r="F75" s="216"/>
      <c r="G75" s="216"/>
      <c r="H75" s="216"/>
      <c r="I75" s="216"/>
      <c r="J75" s="216"/>
      <c r="K75" s="216"/>
      <c r="L75" s="211"/>
      <c r="M75" s="211"/>
      <c r="N75" s="211"/>
    </row>
    <row r="76" spans="1:14">
      <c r="A76" s="211"/>
      <c r="B76" s="216"/>
      <c r="C76" s="216"/>
      <c r="D76" s="216"/>
      <c r="E76" s="216"/>
      <c r="F76" s="216"/>
      <c r="G76" s="216"/>
      <c r="H76" s="216"/>
      <c r="I76" s="216"/>
      <c r="J76" s="216"/>
      <c r="K76" s="216"/>
      <c r="L76" s="249"/>
      <c r="M76" s="250"/>
      <c r="N76" s="250"/>
    </row>
    <row r="77" spans="1:14">
      <c r="A77" s="211"/>
      <c r="B77" s="216"/>
      <c r="C77" s="216"/>
      <c r="D77" s="216"/>
      <c r="E77" s="216"/>
      <c r="F77" s="216"/>
      <c r="G77" s="216"/>
      <c r="H77" s="216"/>
      <c r="I77" s="216"/>
      <c r="J77" s="216"/>
      <c r="K77" s="216"/>
      <c r="L77" s="211"/>
      <c r="M77" s="211"/>
      <c r="N77" s="211"/>
    </row>
    <row r="78" spans="1:14">
      <c r="K78" s="216"/>
      <c r="L78" s="211"/>
      <c r="M78" s="211"/>
      <c r="N78" s="211"/>
    </row>
  </sheetData>
  <mergeCells count="4">
    <mergeCell ref="P3:AB3"/>
    <mergeCell ref="B62:C62"/>
    <mergeCell ref="A1:E2"/>
    <mergeCell ref="K1:O2"/>
  </mergeCells>
  <phoneticPr fontId="0" type="noConversion"/>
  <pageMargins left="0.39370078740157483" right="0.74803149606299213" top="0.74803149606299213" bottom="0.74803149606299213" header="0.51181102362204722" footer="0.51181102362204722"/>
  <pageSetup paperSize="3" scale="49" orientation="landscape" verticalDpi="300" r:id="rId1"/>
  <headerFooter alignWithMargins="0">
    <oddFooter>&amp;L&amp;Z&amp;F&amp;A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2:T63"/>
  <sheetViews>
    <sheetView workbookViewId="0">
      <pane xSplit="1" ySplit="2" topLeftCell="F36" activePane="bottomRight" state="frozen"/>
      <selection pane="topRight" activeCell="B1" sqref="B1"/>
      <selection pane="bottomLeft" activeCell="A3" sqref="A3"/>
      <selection pane="bottomRight" activeCell="M71" sqref="M71:N71"/>
    </sheetView>
  </sheetViews>
  <sheetFormatPr defaultRowHeight="12.75"/>
  <cols>
    <col min="1" max="1" width="25.42578125" customWidth="1"/>
    <col min="2" max="5" width="18" customWidth="1"/>
    <col min="6" max="7" width="15.7109375" customWidth="1"/>
    <col min="8" max="8" width="15" style="5" customWidth="1"/>
    <col min="9" max="9" width="14.140625" style="5" bestFit="1" customWidth="1"/>
    <col min="10" max="10" width="14.5703125" style="5" customWidth="1"/>
    <col min="11" max="11" width="14.140625" style="5" customWidth="1"/>
    <col min="12" max="12" width="14.7109375" style="5" customWidth="1"/>
    <col min="13" max="14" width="13.85546875" style="5" bestFit="1" customWidth="1"/>
    <col min="15" max="15" width="13.85546875" style="5" customWidth="1"/>
    <col min="16" max="20" width="12.7109375" style="5" bestFit="1" customWidth="1"/>
    <col min="21" max="21" width="11.140625" bestFit="1" customWidth="1"/>
    <col min="23" max="23" width="10.140625" bestFit="1" customWidth="1"/>
  </cols>
  <sheetData>
    <row r="2" spans="1:20" ht="42" customHeight="1">
      <c r="H2" s="259" t="s">
        <v>74</v>
      </c>
      <c r="I2" s="282" t="s">
        <v>141</v>
      </c>
      <c r="J2" s="282" t="s">
        <v>142</v>
      </c>
      <c r="K2" s="282" t="s">
        <v>313</v>
      </c>
      <c r="L2" s="282" t="s">
        <v>276</v>
      </c>
      <c r="M2" s="282" t="s">
        <v>304</v>
      </c>
      <c r="N2" s="282" t="s">
        <v>305</v>
      </c>
      <c r="O2" s="282" t="s">
        <v>312</v>
      </c>
      <c r="P2" s="259"/>
    </row>
    <row r="3" spans="1:20">
      <c r="A3">
        <f>'Purchased Power Model '!A234</f>
        <v>2006</v>
      </c>
      <c r="H3" s="288">
        <f>Residential!B234</f>
        <v>344985670.16000092</v>
      </c>
      <c r="I3" s="288">
        <f>'GS &lt; 50 kW'!B234</f>
        <v>141631018.54999995</v>
      </c>
      <c r="J3" s="288">
        <f>'GS &gt; 50 kW'!B234</f>
        <v>299216792.75999993</v>
      </c>
      <c r="K3" s="189">
        <f>'GS &gt; 1000  kW'!B234</f>
        <v>216210086.33999994</v>
      </c>
      <c r="L3" s="189">
        <v>25140575.680000003</v>
      </c>
      <c r="M3" s="189">
        <v>9862692.7200000007</v>
      </c>
      <c r="N3" s="189">
        <v>134611.20000000004</v>
      </c>
      <c r="O3" s="189">
        <v>1856376.03</v>
      </c>
      <c r="P3" s="189">
        <f>SUM(H3:O3)</f>
        <v>1039037823.4400007</v>
      </c>
      <c r="Q3"/>
      <c r="R3"/>
      <c r="S3"/>
      <c r="T3"/>
    </row>
    <row r="4" spans="1:20">
      <c r="A4">
        <f>'Purchased Power Model '!A235</f>
        <v>2007</v>
      </c>
      <c r="H4" s="288">
        <f>Residential!B235</f>
        <v>347356682.25000095</v>
      </c>
      <c r="I4" s="288">
        <f>'GS &lt; 50 kW'!B235</f>
        <v>140795615.54000005</v>
      </c>
      <c r="J4" s="288">
        <f>'GS &gt; 50 kW'!B235</f>
        <v>298981716.29999995</v>
      </c>
      <c r="K4" s="189">
        <f>'GS &gt; 1000  kW'!B235</f>
        <v>206642574.96000001</v>
      </c>
      <c r="L4" s="189">
        <v>24278928.080000002</v>
      </c>
      <c r="M4" s="189">
        <v>10907925.719999999</v>
      </c>
      <c r="N4" s="189">
        <v>125582.39999999998</v>
      </c>
      <c r="O4" s="189">
        <v>2031490.7000000002</v>
      </c>
      <c r="P4" s="189">
        <f t="shared" ref="P4:P12" si="0">SUM(H4:O4)</f>
        <v>1031120515.9500011</v>
      </c>
      <c r="Q4"/>
      <c r="R4"/>
      <c r="S4"/>
      <c r="T4"/>
    </row>
    <row r="5" spans="1:20">
      <c r="A5">
        <f>'Purchased Power Model '!A236</f>
        <v>2008</v>
      </c>
      <c r="H5" s="288">
        <f>Residential!B236</f>
        <v>349640195.36999899</v>
      </c>
      <c r="I5" s="288">
        <f>'GS &lt; 50 kW'!B236</f>
        <v>140901919.11999995</v>
      </c>
      <c r="J5" s="288">
        <f>'GS &gt; 50 kW'!B236</f>
        <v>297548976.91999996</v>
      </c>
      <c r="K5" s="189">
        <f>'GS &gt; 1000  kW'!B236</f>
        <v>181479430.40000001</v>
      </c>
      <c r="L5" s="189">
        <v>23012399.890000001</v>
      </c>
      <c r="M5" s="189">
        <v>10834527.1</v>
      </c>
      <c r="N5" s="189">
        <v>122983.2</v>
      </c>
      <c r="O5" s="189">
        <v>1952922.6400000001</v>
      </c>
      <c r="P5" s="189">
        <f t="shared" si="0"/>
        <v>1005493354.6399989</v>
      </c>
      <c r="Q5"/>
      <c r="R5"/>
      <c r="S5"/>
      <c r="T5"/>
    </row>
    <row r="6" spans="1:20">
      <c r="A6">
        <f>'Purchased Power Model '!A237</f>
        <v>2009</v>
      </c>
      <c r="H6" s="288">
        <f>Residential!B237</f>
        <v>344727820.68999922</v>
      </c>
      <c r="I6" s="288">
        <f>'GS &lt; 50 kW'!B237</f>
        <v>137506815.68000019</v>
      </c>
      <c r="J6" s="288">
        <f>'GS &gt; 50 kW'!B237</f>
        <v>290804126.80000007</v>
      </c>
      <c r="K6" s="189">
        <f>'GS &gt; 1000  kW'!B237</f>
        <v>170625602.24000001</v>
      </c>
      <c r="L6" s="189">
        <v>19364352.27</v>
      </c>
      <c r="M6" s="189">
        <v>11591322.310000001</v>
      </c>
      <c r="N6" s="189">
        <v>129617.99999999999</v>
      </c>
      <c r="O6" s="189">
        <v>1974983.6700000004</v>
      </c>
      <c r="P6" s="189">
        <f t="shared" si="0"/>
        <v>976724641.65999937</v>
      </c>
      <c r="Q6"/>
      <c r="R6"/>
      <c r="S6"/>
      <c r="T6"/>
    </row>
    <row r="7" spans="1:20">
      <c r="A7">
        <f>'Purchased Power Model '!A238</f>
        <v>2010</v>
      </c>
      <c r="H7" s="288">
        <f>Residential!B238</f>
        <v>335588529.46999955</v>
      </c>
      <c r="I7" s="288">
        <f>'GS &lt; 50 kW'!B238</f>
        <v>132765784.44999993</v>
      </c>
      <c r="J7" s="288">
        <f>'GS &gt; 50 kW'!B238</f>
        <v>285047816.86000013</v>
      </c>
      <c r="K7" s="189">
        <f>'GS &gt; 1000  kW'!B238</f>
        <v>153278417.59999999</v>
      </c>
      <c r="L7" s="189">
        <v>24005424.030000001</v>
      </c>
      <c r="M7" s="189">
        <v>11241250.439999999</v>
      </c>
      <c r="N7" s="189">
        <v>136868.40000000002</v>
      </c>
      <c r="O7" s="189">
        <v>1946641.3000000003</v>
      </c>
      <c r="P7" s="189">
        <f t="shared" si="0"/>
        <v>944010732.54999959</v>
      </c>
      <c r="Q7"/>
      <c r="R7"/>
      <c r="S7"/>
      <c r="T7"/>
    </row>
    <row r="8" spans="1:20">
      <c r="A8">
        <f>'Purchased Power Model '!A239</f>
        <v>2011</v>
      </c>
      <c r="H8" s="288">
        <f>Residential!B239</f>
        <v>337212306.49999964</v>
      </c>
      <c r="I8" s="288">
        <f>'GS &lt; 50 kW'!B239</f>
        <v>135688687.22999996</v>
      </c>
      <c r="J8" s="288">
        <f>'GS &gt; 50 kW'!B239</f>
        <v>288525140.48999989</v>
      </c>
      <c r="K8" s="189">
        <f>'GS &gt; 1000  kW'!B239</f>
        <v>158154293.34</v>
      </c>
      <c r="L8" s="189">
        <v>25023839.670000002</v>
      </c>
      <c r="M8" s="189">
        <v>11244632.459999999</v>
      </c>
      <c r="N8" s="189">
        <v>121136.40000000001</v>
      </c>
      <c r="O8" s="189">
        <v>1971315.4000000004</v>
      </c>
      <c r="P8" s="189">
        <f t="shared" si="0"/>
        <v>957941351.48999953</v>
      </c>
      <c r="Q8"/>
      <c r="R8"/>
      <c r="S8"/>
      <c r="T8"/>
    </row>
    <row r="9" spans="1:20">
      <c r="A9">
        <f>'Purchased Power Model '!A240</f>
        <v>2012</v>
      </c>
      <c r="H9" s="288">
        <f>Residential!B240</f>
        <v>331142424.8599996</v>
      </c>
      <c r="I9" s="288">
        <f>'GS &lt; 50 kW'!B240</f>
        <v>133678840.49000008</v>
      </c>
      <c r="J9" s="288">
        <f>'GS &gt; 50 kW'!B240</f>
        <v>283475240.67000002</v>
      </c>
      <c r="K9" s="189">
        <f>'GS &gt; 1000  kW'!B240</f>
        <v>161345729.31</v>
      </c>
      <c r="L9" s="189">
        <v>27185952.089999996</v>
      </c>
      <c r="M9" s="189">
        <v>11062691.710000001</v>
      </c>
      <c r="N9" s="189">
        <v>141784.07999999999</v>
      </c>
      <c r="O9" s="189">
        <v>1980462.86</v>
      </c>
      <c r="P9" s="189">
        <f t="shared" si="0"/>
        <v>950013126.06999981</v>
      </c>
      <c r="Q9"/>
      <c r="R9"/>
      <c r="S9"/>
      <c r="T9"/>
    </row>
    <row r="10" spans="1:20">
      <c r="A10">
        <f>'Purchased Power Model '!A241</f>
        <v>2013</v>
      </c>
      <c r="H10" s="288">
        <f>Residential!B241</f>
        <v>341035888.63527828</v>
      </c>
      <c r="I10" s="288">
        <f>'GS &lt; 50 kW'!B241</f>
        <v>136331185.61000001</v>
      </c>
      <c r="J10" s="288">
        <f>'GS &gt; 50 kW'!B241</f>
        <v>285068374.38</v>
      </c>
      <c r="K10" s="189">
        <f>'GS &gt; 1000  kW'!B241</f>
        <v>158062714.38999999</v>
      </c>
      <c r="L10" s="189">
        <v>29930112.059999999</v>
      </c>
      <c r="M10" s="189">
        <v>10555413.669999998</v>
      </c>
      <c r="N10" s="189">
        <v>144894</v>
      </c>
      <c r="O10" s="189">
        <v>1992260.1800000002</v>
      </c>
      <c r="P10" s="189">
        <f t="shared" si="0"/>
        <v>963120842.92527807</v>
      </c>
      <c r="Q10"/>
      <c r="R10"/>
      <c r="S10"/>
      <c r="T10"/>
    </row>
    <row r="11" spans="1:20">
      <c r="A11">
        <f>'Purchased Power Model '!A242</f>
        <v>2014</v>
      </c>
      <c r="H11" s="288">
        <f>Residential!B242</f>
        <v>340024795.88802838</v>
      </c>
      <c r="I11" s="288">
        <f>'GS &lt; 50 kW'!B242</f>
        <v>139285835.96861196</v>
      </c>
      <c r="J11" s="288">
        <f>'GS &gt; 50 kW'!B242</f>
        <v>280037460.24000001</v>
      </c>
      <c r="K11" s="189">
        <f>'GS &gt; 1000  kW'!B242</f>
        <v>162775283.13</v>
      </c>
      <c r="L11" s="189">
        <v>30389664.039999999</v>
      </c>
      <c r="M11" s="189">
        <v>10310975.15</v>
      </c>
      <c r="N11" s="189">
        <v>146313.06111328123</v>
      </c>
      <c r="O11" s="189">
        <v>2099765.3300000005</v>
      </c>
      <c r="P11" s="189">
        <f t="shared" si="0"/>
        <v>965070092.80775356</v>
      </c>
      <c r="Q11"/>
      <c r="R11"/>
      <c r="S11"/>
      <c r="T11"/>
    </row>
    <row r="12" spans="1:20">
      <c r="A12">
        <f>'Purchased Power Model '!A243</f>
        <v>2015</v>
      </c>
      <c r="H12" s="288">
        <f>Residential!B243</f>
        <v>324673269.19699794</v>
      </c>
      <c r="I12" s="288">
        <f>'GS &lt; 50 kW'!B243</f>
        <v>137179401.47999987</v>
      </c>
      <c r="J12" s="288">
        <f>'GS &gt; 50 kW'!B243</f>
        <v>266548347.92000005</v>
      </c>
      <c r="K12" s="189">
        <f>'GS &gt; 1000  kW'!B243</f>
        <v>161772954.38999999</v>
      </c>
      <c r="L12" s="189">
        <v>36734784.189999998</v>
      </c>
      <c r="M12" s="189">
        <v>9533360.5500000007</v>
      </c>
      <c r="N12" s="189">
        <v>112765.46778066158</v>
      </c>
      <c r="O12" s="189">
        <v>2203934.8200000003</v>
      </c>
      <c r="P12" s="189">
        <f t="shared" si="0"/>
        <v>938758818.01477861</v>
      </c>
      <c r="Q12"/>
      <c r="R12"/>
      <c r="S12"/>
      <c r="T12"/>
    </row>
    <row r="13" spans="1:20">
      <c r="Q13"/>
      <c r="R13"/>
      <c r="S13"/>
      <c r="T13"/>
    </row>
    <row r="15" spans="1:20" ht="15">
      <c r="A15" s="291" t="s">
        <v>11</v>
      </c>
      <c r="H15" s="18"/>
      <c r="I15" s="18"/>
      <c r="J15" s="18"/>
      <c r="K15" s="18"/>
      <c r="L15" s="18"/>
      <c r="M15" s="18"/>
    </row>
    <row r="16" spans="1:20">
      <c r="H16" s="18"/>
      <c r="I16" s="18"/>
      <c r="J16" s="18"/>
      <c r="K16" s="18"/>
      <c r="L16" s="18"/>
      <c r="M16" s="18"/>
    </row>
    <row r="17" spans="1:20">
      <c r="A17">
        <f t="shared" ref="A17:A26" si="1">A3</f>
        <v>2006</v>
      </c>
      <c r="H17" s="182"/>
      <c r="I17" s="182"/>
      <c r="J17" s="182"/>
      <c r="K17" s="189">
        <f>K3/'Rate Class Customer Model'!E3</f>
        <v>12718240.372941174</v>
      </c>
      <c r="L17" s="189">
        <f>L3/'Rate Class Customer Model'!F3</f>
        <v>25140575.680000003</v>
      </c>
      <c r="M17" s="189">
        <f>M3/'Rate Class Customer Model'!G3</f>
        <v>760.89281900941216</v>
      </c>
      <c r="N17" s="189">
        <f>N3/'Rate Class Customer Model'!H3</f>
        <v>820.8000000000003</v>
      </c>
      <c r="O17" s="189">
        <f>O3/'Rate Class Customer Model'!I3</f>
        <v>4337.3271728971968</v>
      </c>
      <c r="P17" s="189"/>
    </row>
    <row r="18" spans="1:20">
      <c r="A18">
        <f t="shared" si="1"/>
        <v>2007</v>
      </c>
      <c r="H18" s="182"/>
      <c r="I18" s="182"/>
      <c r="J18" s="182"/>
      <c r="K18" s="189">
        <f>K4/'Rate Class Customer Model'!E4</f>
        <v>11696749.526037736</v>
      </c>
      <c r="L18" s="189">
        <f>L4/'Rate Class Customer Model'!F4</f>
        <v>24278928.080000002</v>
      </c>
      <c r="M18" s="189">
        <f>M4/'Rate Class Customer Model'!G4</f>
        <v>840.62312885326753</v>
      </c>
      <c r="N18" s="189">
        <f>N4/'Rate Class Customer Model'!H4</f>
        <v>820.79999999999984</v>
      </c>
      <c r="O18" s="189">
        <f>O4/'Rate Class Customer Model'!I4</f>
        <v>4670.093563218391</v>
      </c>
      <c r="P18" s="189"/>
    </row>
    <row r="19" spans="1:20">
      <c r="A19">
        <f t="shared" si="1"/>
        <v>2008</v>
      </c>
      <c r="H19" s="182"/>
      <c r="I19" s="182"/>
      <c r="J19" s="182"/>
      <c r="K19" s="189">
        <f>K5/'Rate Class Customer Model'!E5</f>
        <v>10082190.577777779</v>
      </c>
      <c r="L19" s="189">
        <f>L5/'Rate Class Customer Model'!F5</f>
        <v>23012399.890000001</v>
      </c>
      <c r="M19" s="189">
        <f>M5/'Rate Class Customer Model'!G5</f>
        <v>824.85931480776549</v>
      </c>
      <c r="N19" s="189">
        <f>N5/'Rate Class Customer Model'!H5</f>
        <v>820.8</v>
      </c>
      <c r="O19" s="189">
        <f>O5/'Rate Class Customer Model'!I5</f>
        <v>4273.3536980306344</v>
      </c>
      <c r="P19" s="189"/>
    </row>
    <row r="20" spans="1:20">
      <c r="A20">
        <f t="shared" si="1"/>
        <v>2009</v>
      </c>
      <c r="H20" s="182"/>
      <c r="I20" s="182"/>
      <c r="J20" s="182"/>
      <c r="K20" s="189">
        <f>K6/'Rate Class Customer Model'!E6</f>
        <v>8495880.6094605811</v>
      </c>
      <c r="L20" s="189">
        <f>L6/'Rate Class Customer Model'!F6</f>
        <v>19364352.27</v>
      </c>
      <c r="M20" s="189">
        <f>M6/'Rate Class Customer Model'!G6</f>
        <v>888.99030275141411</v>
      </c>
      <c r="N20" s="189">
        <f>N6/'Rate Class Customer Model'!H6</f>
        <v>820.8</v>
      </c>
      <c r="O20" s="189">
        <f>O6/'Rate Class Customer Model'!I6</f>
        <v>4307.488920392585</v>
      </c>
      <c r="P20" s="189"/>
    </row>
    <row r="21" spans="1:20">
      <c r="A21">
        <f t="shared" si="1"/>
        <v>2010</v>
      </c>
      <c r="H21" s="182"/>
      <c r="I21" s="182"/>
      <c r="J21" s="182"/>
      <c r="K21" s="189">
        <f>K7/'Rate Class Customer Model'!E7</f>
        <v>8102823.8378854617</v>
      </c>
      <c r="L21" s="189">
        <f>L7/'Rate Class Customer Model'!F7</f>
        <v>24005424.030000001</v>
      </c>
      <c r="M21" s="189">
        <f>M7/'Rate Class Customer Model'!G7</f>
        <v>853.54976765375852</v>
      </c>
      <c r="N21" s="189">
        <f>N7/'Rate Class Customer Model'!H7</f>
        <v>820.80000000000018</v>
      </c>
      <c r="O21" s="189">
        <f>O7/'Rate Class Customer Model'!I7</f>
        <v>4148.4098028769322</v>
      </c>
      <c r="P21" s="189"/>
    </row>
    <row r="22" spans="1:20">
      <c r="A22">
        <f t="shared" si="1"/>
        <v>2011</v>
      </c>
      <c r="H22" s="182"/>
      <c r="I22" s="182"/>
      <c r="J22" s="182"/>
      <c r="K22" s="189">
        <f>K8/'Rate Class Customer Model'!E8</f>
        <v>8827216.372465115</v>
      </c>
      <c r="L22" s="189">
        <f>L8/'Rate Class Customer Model'!F8</f>
        <v>25023839.670000002</v>
      </c>
      <c r="M22" s="189">
        <f>M8/'Rate Class Customer Model'!G8</f>
        <v>858.96995047425037</v>
      </c>
      <c r="N22" s="189">
        <f>N8/'Rate Class Customer Model'!H8</f>
        <v>820.8</v>
      </c>
      <c r="O22" s="189">
        <f>O8/'Rate Class Customer Model'!I8</f>
        <v>4193.5445488388596</v>
      </c>
      <c r="P22" s="189"/>
    </row>
    <row r="23" spans="1:20">
      <c r="A23">
        <f t="shared" si="1"/>
        <v>2012</v>
      </c>
      <c r="H23" s="182"/>
      <c r="I23" s="182"/>
      <c r="J23" s="182"/>
      <c r="K23" s="189">
        <f>K9/'Rate Class Customer Model'!E9</f>
        <v>8760854.0801809952</v>
      </c>
      <c r="L23" s="189">
        <f>L9/'Rate Class Customer Model'!F9</f>
        <v>27185952.089999996</v>
      </c>
      <c r="M23" s="189">
        <f>M9/'Rate Class Customer Model'!G9</f>
        <v>839.85892208901407</v>
      </c>
      <c r="N23" s="189">
        <f>N9/'Rate Class Customer Model'!H9</f>
        <v>848.16</v>
      </c>
      <c r="O23" s="189">
        <f>O9/'Rate Class Customer Model'!I9</f>
        <v>4215.2455338772616</v>
      </c>
      <c r="P23" s="189"/>
    </row>
    <row r="24" spans="1:20">
      <c r="A24">
        <f t="shared" si="1"/>
        <v>2013</v>
      </c>
      <c r="H24" s="182"/>
      <c r="I24" s="182"/>
      <c r="J24" s="182"/>
      <c r="K24" s="189">
        <f>K10/'Rate Class Customer Model'!E10</f>
        <v>7870342.6252282159</v>
      </c>
      <c r="L24" s="189">
        <f>L10/'Rate Class Customer Model'!F10</f>
        <v>29930112.059999999</v>
      </c>
      <c r="M24" s="189">
        <f>M10/'Rate Class Customer Model'!G10</f>
        <v>806.04390902611601</v>
      </c>
      <c r="N24" s="189">
        <f>N10/'Rate Class Customer Model'!H10</f>
        <v>848.16</v>
      </c>
      <c r="O24" s="189">
        <f>O10/'Rate Class Customer Model'!I10</f>
        <v>4279.8285284640178</v>
      </c>
      <c r="P24" s="189"/>
    </row>
    <row r="25" spans="1:20">
      <c r="A25">
        <f t="shared" si="1"/>
        <v>2014</v>
      </c>
      <c r="H25" s="182"/>
      <c r="I25" s="182"/>
      <c r="J25" s="182"/>
      <c r="K25" s="189">
        <f>K11/'Rate Class Customer Model'!E11</f>
        <v>8236381.8371484131</v>
      </c>
      <c r="L25" s="189">
        <f>L11/'Rate Class Customer Model'!F11</f>
        <v>30389664.039999999</v>
      </c>
      <c r="M25" s="189">
        <f>M11/'Rate Class Customer Model'!G11</f>
        <v>784.20487878764402</v>
      </c>
      <c r="N25" s="189">
        <f>N11/'Rate Class Customer Model'!H11</f>
        <v>850.25202600939622</v>
      </c>
      <c r="O25" s="189">
        <f>O11/'Rate Class Customer Model'!I11</f>
        <v>4540.0623042148982</v>
      </c>
      <c r="P25" s="189"/>
    </row>
    <row r="26" spans="1:20">
      <c r="A26">
        <f t="shared" si="1"/>
        <v>2015</v>
      </c>
      <c r="H26" s="182"/>
      <c r="I26" s="182"/>
      <c r="J26" s="182"/>
      <c r="K26" s="189">
        <f>K12/'Rate Class Customer Model'!E12</f>
        <v>7738943.9137104526</v>
      </c>
      <c r="L26" s="189">
        <f>L12/'Rate Class Customer Model'!F12</f>
        <v>36734784.189999998</v>
      </c>
      <c r="M26" s="189">
        <f>M12/'Rate Class Customer Model'!G12</f>
        <v>722.37676351875405</v>
      </c>
      <c r="N26" s="189">
        <f>N12/'Rate Class Customer Model'!H12</f>
        <v>659.71452092322136</v>
      </c>
      <c r="O26" s="189">
        <f>O12/'Rate Class Customer Model'!I12</f>
        <v>4885.8523657768073</v>
      </c>
      <c r="P26" s="189"/>
    </row>
    <row r="27" spans="1:20">
      <c r="A27">
        <v>2016</v>
      </c>
      <c r="H27" s="182"/>
      <c r="I27" s="182"/>
      <c r="J27" s="182"/>
      <c r="K27" s="189">
        <f>K26*K41</f>
        <v>7738943.9137104526</v>
      </c>
      <c r="L27" s="189">
        <f t="shared" ref="L27:N27" si="2">L26*L41</f>
        <v>36734784.189999998</v>
      </c>
      <c r="M27" s="189">
        <f t="shared" si="2"/>
        <v>722.37676351875405</v>
      </c>
      <c r="N27" s="189">
        <f t="shared" si="2"/>
        <v>659.71452092322136</v>
      </c>
      <c r="O27" s="189">
        <f t="shared" ref="O27" si="3">O26*O41</f>
        <v>4885.8523657768073</v>
      </c>
      <c r="P27" s="189"/>
    </row>
    <row r="28" spans="1:20">
      <c r="A28">
        <v>2017</v>
      </c>
      <c r="H28" s="182"/>
      <c r="I28" s="182"/>
      <c r="J28" s="182"/>
      <c r="K28" s="189">
        <f>K27*K41</f>
        <v>7738943.9137104526</v>
      </c>
      <c r="L28" s="189">
        <f t="shared" ref="L28:N28" si="4">L27*L41</f>
        <v>36734784.189999998</v>
      </c>
      <c r="M28" s="189">
        <f t="shared" si="4"/>
        <v>722.37676351875405</v>
      </c>
      <c r="N28" s="189">
        <f t="shared" si="4"/>
        <v>659.71452092322136</v>
      </c>
      <c r="O28" s="189">
        <f t="shared" ref="O28" si="5">O27*O41</f>
        <v>4885.8523657768073</v>
      </c>
      <c r="P28" s="189"/>
    </row>
    <row r="29" spans="1:20">
      <c r="H29"/>
      <c r="I29"/>
      <c r="J29"/>
      <c r="K29"/>
      <c r="L29"/>
      <c r="M29"/>
      <c r="N29"/>
      <c r="O29"/>
      <c r="P29"/>
      <c r="Q29"/>
      <c r="R29"/>
      <c r="S29"/>
      <c r="T29"/>
    </row>
    <row r="30" spans="1:20">
      <c r="H30"/>
      <c r="I30"/>
      <c r="J30"/>
    </row>
    <row r="31" spans="1:20">
      <c r="A31" s="26">
        <v>2007</v>
      </c>
      <c r="H31" s="181"/>
      <c r="I31" s="181"/>
      <c r="J31" s="181"/>
      <c r="K31" s="289">
        <f>K18/K17</f>
        <v>0.91968300512099765</v>
      </c>
      <c r="L31" s="289">
        <f t="shared" ref="L31:N31" si="6">L18/L17</f>
        <v>0.96572681505119773</v>
      </c>
      <c r="M31" s="289">
        <f t="shared" si="6"/>
        <v>1.1047852047646531</v>
      </c>
      <c r="N31" s="289">
        <f t="shared" si="6"/>
        <v>0.99999999999999944</v>
      </c>
      <c r="O31" s="289">
        <f t="shared" ref="O31" si="7">O18/O17</f>
        <v>1.0767215331138871</v>
      </c>
      <c r="P31" s="180"/>
      <c r="Q31"/>
      <c r="R31"/>
      <c r="S31"/>
      <c r="T31"/>
    </row>
    <row r="32" spans="1:20">
      <c r="A32" s="26">
        <v>2008</v>
      </c>
      <c r="H32" s="181"/>
      <c r="I32" s="181"/>
      <c r="J32" s="181"/>
      <c r="K32" s="289">
        <f t="shared" ref="K32:N39" si="8">K19/K18</f>
        <v>0.86196516009290935</v>
      </c>
      <c r="L32" s="289">
        <f t="shared" si="8"/>
        <v>0.94783426245892144</v>
      </c>
      <c r="M32" s="289">
        <f t="shared" si="8"/>
        <v>0.98124746571390897</v>
      </c>
      <c r="N32" s="289">
        <f t="shared" si="8"/>
        <v>1.0000000000000002</v>
      </c>
      <c r="O32" s="289">
        <f t="shared" ref="O32" si="9">O19/O18</f>
        <v>0.91504669878298039</v>
      </c>
      <c r="P32" s="180"/>
      <c r="Q32"/>
      <c r="R32"/>
      <c r="S32"/>
      <c r="T32"/>
    </row>
    <row r="33" spans="1:20">
      <c r="A33" s="26">
        <v>2009</v>
      </c>
      <c r="H33" s="181"/>
      <c r="I33" s="181"/>
      <c r="J33" s="181"/>
      <c r="K33" s="289">
        <f t="shared" si="8"/>
        <v>0.84266217186832459</v>
      </c>
      <c r="L33" s="289">
        <f t="shared" si="8"/>
        <v>0.84147469896934768</v>
      </c>
      <c r="M33" s="289">
        <f t="shared" si="8"/>
        <v>1.0777477889773173</v>
      </c>
      <c r="N33" s="289">
        <f t="shared" si="8"/>
        <v>1</v>
      </c>
      <c r="O33" s="289">
        <f t="shared" ref="O33" si="10">O20/O19</f>
        <v>1.0079879234844711</v>
      </c>
      <c r="P33" s="180"/>
      <c r="Q33"/>
      <c r="R33"/>
      <c r="S33"/>
      <c r="T33"/>
    </row>
    <row r="34" spans="1:20">
      <c r="A34" s="26">
        <v>2010</v>
      </c>
      <c r="H34" s="181"/>
      <c r="I34" s="181"/>
      <c r="J34" s="181"/>
      <c r="K34" s="289">
        <f t="shared" si="8"/>
        <v>0.95373560556660464</v>
      </c>
      <c r="L34" s="289">
        <f t="shared" si="8"/>
        <v>1.2396709012152256</v>
      </c>
      <c r="M34" s="289">
        <f t="shared" si="8"/>
        <v>0.9601339463569315</v>
      </c>
      <c r="N34" s="289">
        <f t="shared" si="8"/>
        <v>1.0000000000000002</v>
      </c>
      <c r="O34" s="289">
        <f t="shared" ref="O34" si="11">O21/O20</f>
        <v>0.96306917546263726</v>
      </c>
      <c r="P34" s="180"/>
      <c r="Q34"/>
      <c r="R34"/>
      <c r="S34"/>
      <c r="T34"/>
    </row>
    <row r="35" spans="1:20">
      <c r="A35" s="26">
        <v>2011</v>
      </c>
      <c r="H35" s="181"/>
      <c r="I35" s="181"/>
      <c r="J35" s="181"/>
      <c r="K35" s="289">
        <f t="shared" si="8"/>
        <v>1.0894000103016794</v>
      </c>
      <c r="L35" s="289">
        <f t="shared" si="8"/>
        <v>1.0424243970332401</v>
      </c>
      <c r="M35" s="289">
        <f t="shared" si="8"/>
        <v>1.0063501661249243</v>
      </c>
      <c r="N35" s="289">
        <f t="shared" si="8"/>
        <v>0.99999999999999978</v>
      </c>
      <c r="O35" s="289">
        <f t="shared" ref="O35" si="12">O22/O21</f>
        <v>1.0108800114035568</v>
      </c>
      <c r="P35" s="180"/>
      <c r="Q35"/>
      <c r="R35"/>
      <c r="S35"/>
      <c r="T35"/>
    </row>
    <row r="36" spans="1:20">
      <c r="A36" s="26">
        <v>2012</v>
      </c>
      <c r="H36" s="181"/>
      <c r="I36" s="181"/>
      <c r="J36" s="181"/>
      <c r="K36" s="289">
        <f t="shared" si="8"/>
        <v>0.99248208161169305</v>
      </c>
      <c r="L36" s="289">
        <f t="shared" si="8"/>
        <v>1.0864021048932813</v>
      </c>
      <c r="M36" s="289">
        <f t="shared" si="8"/>
        <v>0.97775122590180852</v>
      </c>
      <c r="N36" s="289">
        <f t="shared" si="8"/>
        <v>1.0333333333333334</v>
      </c>
      <c r="O36" s="289">
        <f t="shared" ref="O36" si="13">O23/O22</f>
        <v>1.0051748550148134</v>
      </c>
      <c r="P36" s="180"/>
      <c r="Q36"/>
      <c r="R36"/>
      <c r="S36"/>
      <c r="T36"/>
    </row>
    <row r="37" spans="1:20">
      <c r="A37" s="26">
        <v>2013</v>
      </c>
      <c r="H37" s="181"/>
      <c r="I37" s="181"/>
      <c r="J37" s="181"/>
      <c r="K37" s="289">
        <f t="shared" si="8"/>
        <v>0.89835335153369178</v>
      </c>
      <c r="L37" s="289">
        <f t="shared" si="8"/>
        <v>1.1009403665876909</v>
      </c>
      <c r="M37" s="289">
        <f t="shared" si="8"/>
        <v>0.9597372699467327</v>
      </c>
      <c r="N37" s="289">
        <f t="shared" si="8"/>
        <v>1</v>
      </c>
      <c r="O37" s="289">
        <f t="shared" ref="O37" si="14">O24/O23</f>
        <v>1.0153212888947305</v>
      </c>
      <c r="P37" s="180"/>
      <c r="Q37"/>
      <c r="R37"/>
      <c r="S37"/>
      <c r="T37"/>
    </row>
    <row r="38" spans="1:20">
      <c r="A38" s="26">
        <v>2014</v>
      </c>
      <c r="H38" s="181"/>
      <c r="I38" s="181"/>
      <c r="J38" s="181"/>
      <c r="K38" s="289">
        <f t="shared" si="8"/>
        <v>1.0465086755876252</v>
      </c>
      <c r="L38" s="289">
        <f t="shared" si="8"/>
        <v>1.0153541683732674</v>
      </c>
      <c r="M38" s="289">
        <f t="shared" si="8"/>
        <v>0.97290590500850194</v>
      </c>
      <c r="N38" s="289">
        <f t="shared" si="8"/>
        <v>1.0024665464174167</v>
      </c>
      <c r="O38" s="289">
        <f t="shared" ref="O38" si="15">O25/O24</f>
        <v>1.060804720100381</v>
      </c>
      <c r="P38" s="180"/>
      <c r="Q38"/>
      <c r="R38"/>
      <c r="S38"/>
      <c r="T38"/>
    </row>
    <row r="39" spans="1:20">
      <c r="A39" s="26">
        <v>2015</v>
      </c>
      <c r="H39" s="181"/>
      <c r="I39" s="181"/>
      <c r="J39" s="181"/>
      <c r="K39" s="289">
        <f t="shared" si="8"/>
        <v>0.93960480059406981</v>
      </c>
      <c r="L39" s="289">
        <f t="shared" si="8"/>
        <v>1.2087920465869026</v>
      </c>
      <c r="M39" s="289">
        <f t="shared" si="8"/>
        <v>0.92115821140455756</v>
      </c>
      <c r="N39" s="289">
        <f t="shared" si="8"/>
        <v>0.77590467384070749</v>
      </c>
      <c r="O39" s="289">
        <f t="shared" ref="O39" si="16">O26/O25</f>
        <v>1.0761641665668078</v>
      </c>
      <c r="P39" s="180"/>
      <c r="Q39"/>
      <c r="R39"/>
      <c r="S39"/>
      <c r="T39"/>
    </row>
    <row r="40" spans="1:20">
      <c r="A40" s="2"/>
      <c r="H40"/>
      <c r="I40"/>
      <c r="J40"/>
      <c r="Q40"/>
      <c r="R40"/>
      <c r="S40"/>
      <c r="T40"/>
    </row>
    <row r="41" spans="1:20" ht="15">
      <c r="A41" s="260" t="s">
        <v>13</v>
      </c>
      <c r="H41" s="181"/>
      <c r="I41" s="181"/>
      <c r="J41" s="181"/>
      <c r="K41" s="289">
        <v>1</v>
      </c>
      <c r="L41" s="289">
        <v>1</v>
      </c>
      <c r="M41" s="289">
        <v>1</v>
      </c>
      <c r="N41" s="289">
        <v>1</v>
      </c>
      <c r="O41" s="289">
        <v>1</v>
      </c>
      <c r="P41" s="180"/>
      <c r="Q41"/>
      <c r="R41"/>
      <c r="S41"/>
      <c r="T41"/>
    </row>
    <row r="42" spans="1:20">
      <c r="A42" s="2"/>
      <c r="H42"/>
      <c r="I42"/>
      <c r="J42"/>
      <c r="L42" s="7"/>
      <c r="M42" s="7"/>
      <c r="N42" s="7"/>
      <c r="O42" s="7"/>
      <c r="Q42"/>
      <c r="R42"/>
      <c r="S42"/>
      <c r="T42"/>
    </row>
    <row r="43" spans="1:20" ht="15">
      <c r="A43" s="260" t="s">
        <v>10</v>
      </c>
      <c r="H43" s="181"/>
      <c r="I43" s="181"/>
      <c r="J43" s="181"/>
      <c r="K43" s="289">
        <f>GEOMEAN(K31:K39)</f>
        <v>0.94629881600747634</v>
      </c>
      <c r="L43" s="289">
        <f t="shared" ref="L43:N43" si="17">GEOMEAN(L31:L39)</f>
        <v>1.0430382925059332</v>
      </c>
      <c r="M43" s="289">
        <f t="shared" si="17"/>
        <v>0.99424488341714612</v>
      </c>
      <c r="N43" s="289">
        <f t="shared" si="17"/>
        <v>0.97601756339682566</v>
      </c>
      <c r="O43" s="289">
        <f t="shared" ref="O43" si="18">GEOMEAN(O31:O39)</f>
        <v>1.0133196439962662</v>
      </c>
      <c r="P43" s="180"/>
      <c r="Q43"/>
      <c r="R43"/>
      <c r="S43"/>
      <c r="T43"/>
    </row>
    <row r="46" spans="1:20" ht="15">
      <c r="A46" s="260" t="s">
        <v>262</v>
      </c>
      <c r="R46"/>
      <c r="S46"/>
      <c r="T46"/>
    </row>
    <row r="47" spans="1:20" ht="15">
      <c r="A47" s="260">
        <v>2016</v>
      </c>
      <c r="H47" s="180">
        <f>Residential!K244</f>
        <v>337654654.64752167</v>
      </c>
      <c r="I47" s="180">
        <f>'GS &lt; 50 kW'!K244</f>
        <v>138119702.98812523</v>
      </c>
      <c r="J47" s="180">
        <f>'GS &gt; 50 kW'!K244</f>
        <v>267452014.53053555</v>
      </c>
      <c r="K47" s="180">
        <f>K27*'Rate Class Customer Model'!E13</f>
        <v>161772954.38999999</v>
      </c>
      <c r="L47" s="180">
        <f>L27*'Rate Class Customer Model'!F13</f>
        <v>36734784.189999998</v>
      </c>
      <c r="M47" s="180">
        <f>M27*'Rate Class Customer Model'!G13</f>
        <v>9552429.0787882898</v>
      </c>
      <c r="N47" s="180">
        <f>N27*'Rate Class Customer Model'!H13</f>
        <v>112765.46778066158</v>
      </c>
      <c r="O47" s="180">
        <f>O27*'Rate Class Customer Model'!I13</f>
        <v>2203934.8200000003</v>
      </c>
      <c r="P47" s="290">
        <f>SUM(H47:O47)</f>
        <v>953603240.11275148</v>
      </c>
      <c r="Q47"/>
      <c r="R47"/>
      <c r="S47"/>
      <c r="T47"/>
    </row>
    <row r="48" spans="1:20" ht="15">
      <c r="A48" s="260">
        <v>2017</v>
      </c>
      <c r="H48" s="180">
        <f>Residential!K245</f>
        <v>338086124.62590814</v>
      </c>
      <c r="I48" s="180">
        <f>'GS &lt; 50 kW'!K245</f>
        <v>140823893.8510406</v>
      </c>
      <c r="J48" s="180">
        <f>'GS &gt; 50 kW'!K245</f>
        <v>266841775.57346129</v>
      </c>
      <c r="K48" s="180">
        <f>K28*'Rate Class Customer Model'!E14</f>
        <v>161772954.38999999</v>
      </c>
      <c r="L48" s="180">
        <f>L28*'Rate Class Customer Model'!F14</f>
        <v>36734784.189999998</v>
      </c>
      <c r="M48" s="180">
        <f>M28*'Rate Class Customer Model'!G14</f>
        <v>9571535.7482498735</v>
      </c>
      <c r="N48" s="180">
        <f>N28*'Rate Class Customer Model'!H14</f>
        <v>112765.46778066158</v>
      </c>
      <c r="O48" s="180">
        <f>O28*'Rate Class Customer Model'!I14</f>
        <v>2203934.8200000003</v>
      </c>
      <c r="P48" s="290">
        <f>SUM(H48:O48)</f>
        <v>956147768.66644061</v>
      </c>
      <c r="Q48"/>
      <c r="R48"/>
      <c r="S48"/>
      <c r="T48"/>
    </row>
    <row r="49" spans="1:20">
      <c r="P49" s="25"/>
      <c r="Q49"/>
      <c r="R49"/>
      <c r="S49"/>
      <c r="T49"/>
    </row>
    <row r="50" spans="1:20" ht="15">
      <c r="A50" s="260" t="s">
        <v>263</v>
      </c>
      <c r="Q50"/>
      <c r="R50"/>
      <c r="S50"/>
      <c r="T50"/>
    </row>
    <row r="51" spans="1:20" s="21" customFormat="1" ht="15">
      <c r="A51" s="260">
        <v>2015</v>
      </c>
      <c r="H51" s="189"/>
      <c r="I51" s="189"/>
      <c r="J51" s="189"/>
      <c r="K51" s="189">
        <v>14616759</v>
      </c>
      <c r="L51" s="189"/>
      <c r="M51" s="189">
        <v>966000</v>
      </c>
      <c r="N51" s="189"/>
      <c r="O51" s="189"/>
      <c r="P51" s="189">
        <f>SUM(H51:O51)</f>
        <v>15582759</v>
      </c>
    </row>
    <row r="52" spans="1:20" s="21" customFormat="1" ht="15">
      <c r="A52" s="260">
        <v>2016</v>
      </c>
      <c r="H52" s="189">
        <v>949699.99999999988</v>
      </c>
      <c r="I52" s="189">
        <v>440905.99999999994</v>
      </c>
      <c r="J52" s="189">
        <v>1701193.9999999998</v>
      </c>
      <c r="K52" s="189">
        <v>13685000</v>
      </c>
      <c r="L52" s="189">
        <v>0</v>
      </c>
      <c r="M52" s="189">
        <v>615000</v>
      </c>
      <c r="N52" s="189">
        <v>0</v>
      </c>
      <c r="O52" s="189">
        <v>0</v>
      </c>
      <c r="P52" s="189">
        <f>SUM(H52:O52)</f>
        <v>17391800</v>
      </c>
    </row>
    <row r="53" spans="1:20" s="21" customFormat="1" ht="15">
      <c r="A53" s="260">
        <v>2017</v>
      </c>
      <c r="H53" s="189">
        <v>1968600</v>
      </c>
      <c r="I53" s="189">
        <v>518584.99999999994</v>
      </c>
      <c r="J53" s="189">
        <v>1791814.9999999998</v>
      </c>
      <c r="K53" s="189">
        <v>200000</v>
      </c>
      <c r="L53" s="189">
        <v>0</v>
      </c>
      <c r="M53" s="189">
        <v>615000</v>
      </c>
      <c r="N53" s="189">
        <v>0</v>
      </c>
      <c r="O53" s="189">
        <v>0</v>
      </c>
      <c r="P53" s="189">
        <f>SUM(H53:O53)</f>
        <v>5094000</v>
      </c>
      <c r="Q53" s="18"/>
      <c r="R53" s="18"/>
      <c r="S53" s="18"/>
      <c r="T53" s="18"/>
    </row>
    <row r="54" spans="1:20">
      <c r="L54"/>
      <c r="M54"/>
      <c r="N54"/>
      <c r="O54"/>
      <c r="P54" s="25"/>
      <c r="Q54"/>
      <c r="R54"/>
      <c r="S54"/>
      <c r="T54"/>
    </row>
    <row r="55" spans="1:20" ht="15">
      <c r="A55" s="260" t="s">
        <v>264</v>
      </c>
      <c r="H55"/>
      <c r="I55"/>
      <c r="J55"/>
      <c r="K55"/>
      <c r="L55"/>
      <c r="M55"/>
      <c r="N55"/>
      <c r="O55"/>
      <c r="P55" s="25"/>
      <c r="Q55"/>
      <c r="S55"/>
      <c r="T55"/>
    </row>
    <row r="56" spans="1:20" ht="15">
      <c r="A56" s="260">
        <v>2016</v>
      </c>
      <c r="H56" s="180">
        <f>+H52*0.5</f>
        <v>474849.99999999994</v>
      </c>
      <c r="I56" s="180">
        <f t="shared" ref="I56:O56" si="19">+I52*0.5</f>
        <v>220452.99999999997</v>
      </c>
      <c r="J56" s="180">
        <f t="shared" si="19"/>
        <v>850596.99999999988</v>
      </c>
      <c r="K56" s="180">
        <f>K51+K52*0.5</f>
        <v>21459259</v>
      </c>
      <c r="L56" s="180">
        <f t="shared" si="19"/>
        <v>0</v>
      </c>
      <c r="M56" s="180">
        <f>+M51*0.5+ M52*0.5</f>
        <v>790500</v>
      </c>
      <c r="N56" s="180">
        <f t="shared" si="19"/>
        <v>0</v>
      </c>
      <c r="O56" s="180">
        <f t="shared" si="19"/>
        <v>0</v>
      </c>
      <c r="P56" s="180">
        <f>SUM(H56:O56)</f>
        <v>23795659</v>
      </c>
      <c r="Q56" s="180">
        <f>K51+M51*0.5+P52*0.5</f>
        <v>23795659</v>
      </c>
      <c r="R56" s="180">
        <f>P56-Q56</f>
        <v>0</v>
      </c>
      <c r="S56"/>
      <c r="T56"/>
    </row>
    <row r="57" spans="1:20" ht="15">
      <c r="A57" s="260">
        <v>2017</v>
      </c>
      <c r="H57" s="180">
        <f>H52+H53*0.5</f>
        <v>1934000</v>
      </c>
      <c r="I57" s="180">
        <f t="shared" ref="I57:O57" si="20">I52+I53*0.5</f>
        <v>700198.49999999988</v>
      </c>
      <c r="J57" s="180">
        <f t="shared" si="20"/>
        <v>2597101.4999999995</v>
      </c>
      <c r="K57" s="180">
        <f>K51+K52+K53*0.5</f>
        <v>28401759</v>
      </c>
      <c r="L57" s="180">
        <f t="shared" si="20"/>
        <v>0</v>
      </c>
      <c r="M57" s="180">
        <f>M51*0.5+ M52+M53*0.5</f>
        <v>1405500</v>
      </c>
      <c r="N57" s="180">
        <f t="shared" si="20"/>
        <v>0</v>
      </c>
      <c r="O57" s="180">
        <f t="shared" si="20"/>
        <v>0</v>
      </c>
      <c r="P57" s="180">
        <f>SUM(H57:O57)</f>
        <v>35038559</v>
      </c>
      <c r="Q57" s="180">
        <f>K51+M51*0.5+P52+P53*0.5</f>
        <v>35038559</v>
      </c>
      <c r="R57" s="180">
        <f>P57-Q57</f>
        <v>0</v>
      </c>
      <c r="S57"/>
      <c r="T57"/>
    </row>
    <row r="58" spans="1:20">
      <c r="H58"/>
      <c r="I58"/>
      <c r="J58"/>
      <c r="K58"/>
      <c r="L58"/>
      <c r="M58"/>
      <c r="N58"/>
      <c r="O58"/>
      <c r="Q58"/>
      <c r="S58"/>
      <c r="T58"/>
    </row>
    <row r="59" spans="1:20" ht="15">
      <c r="A59" s="260" t="s">
        <v>265</v>
      </c>
      <c r="H59"/>
      <c r="I59"/>
      <c r="J59"/>
      <c r="K59"/>
      <c r="L59"/>
      <c r="M59"/>
      <c r="N59"/>
      <c r="O59"/>
      <c r="Q59"/>
      <c r="R59"/>
      <c r="S59"/>
      <c r="T59"/>
    </row>
    <row r="60" spans="1:20" ht="15">
      <c r="A60" s="260">
        <v>2016</v>
      </c>
      <c r="H60" s="189">
        <f t="shared" ref="H60:O61" si="21">H47-H56</f>
        <v>337179804.64752167</v>
      </c>
      <c r="I60" s="189">
        <f t="shared" si="21"/>
        <v>137899249.98812523</v>
      </c>
      <c r="J60" s="189">
        <f t="shared" si="21"/>
        <v>266601417.53053555</v>
      </c>
      <c r="K60" s="189">
        <f t="shared" si="21"/>
        <v>140313695.38999999</v>
      </c>
      <c r="L60" s="189">
        <f t="shared" si="21"/>
        <v>36734784.189999998</v>
      </c>
      <c r="M60" s="189">
        <f t="shared" si="21"/>
        <v>8761929.0787882898</v>
      </c>
      <c r="N60" s="189">
        <f t="shared" si="21"/>
        <v>112765.46778066158</v>
      </c>
      <c r="O60" s="189">
        <f t="shared" si="21"/>
        <v>2203934.8200000003</v>
      </c>
      <c r="P60" s="322">
        <f>SUM(H60:O60)</f>
        <v>929807581.11275148</v>
      </c>
      <c r="Q60" s="189">
        <f>P47-P60</f>
        <v>23795659</v>
      </c>
      <c r="R60" s="18"/>
    </row>
    <row r="61" spans="1:20" ht="15">
      <c r="A61" s="260">
        <v>2017</v>
      </c>
      <c r="H61" s="189">
        <f t="shared" si="21"/>
        <v>336152124.62590814</v>
      </c>
      <c r="I61" s="189">
        <f t="shared" si="21"/>
        <v>140123695.3510406</v>
      </c>
      <c r="J61" s="189">
        <f t="shared" si="21"/>
        <v>264244674.07346129</v>
      </c>
      <c r="K61" s="189">
        <f t="shared" si="21"/>
        <v>133371195.38999999</v>
      </c>
      <c r="L61" s="189">
        <f>L48-L57</f>
        <v>36734784.189999998</v>
      </c>
      <c r="M61" s="189">
        <f t="shared" si="21"/>
        <v>8166035.7482498735</v>
      </c>
      <c r="N61" s="189">
        <f t="shared" si="21"/>
        <v>112765.46778066158</v>
      </c>
      <c r="O61" s="189">
        <f t="shared" si="21"/>
        <v>2203934.8200000003</v>
      </c>
      <c r="P61" s="322">
        <f>SUM(H61:O61)</f>
        <v>921109209.66644061</v>
      </c>
      <c r="Q61" s="189">
        <f>P48-P61</f>
        <v>35038559</v>
      </c>
      <c r="R61" s="18"/>
    </row>
    <row r="63" spans="1:20">
      <c r="J63" s="44"/>
      <c r="K63"/>
      <c r="L63"/>
      <c r="M63"/>
      <c r="N63"/>
      <c r="O63"/>
      <c r="P63"/>
      <c r="Q63"/>
      <c r="R63"/>
      <c r="S63"/>
      <c r="T63"/>
    </row>
  </sheetData>
  <phoneticPr fontId="0" type="noConversion"/>
  <pageMargins left="0.38" right="0.75" top="0.73" bottom="0.74" header="0.5" footer="0.5"/>
  <pageSetup scale="66" orientation="portrait"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pane xSplit="1" ySplit="2" topLeftCell="B24" activePane="bottomRight" state="frozen"/>
      <selection pane="topRight" activeCell="B1" sqref="B1"/>
      <selection pane="bottomLeft" activeCell="A3" sqref="A3"/>
      <selection pane="bottomRight" activeCell="M29" sqref="M29"/>
    </sheetView>
  </sheetViews>
  <sheetFormatPr defaultRowHeight="12.75"/>
  <cols>
    <col min="1" max="1" width="11" customWidth="1"/>
    <col min="2" max="2" width="15" style="5" customWidth="1"/>
    <col min="3" max="4" width="14.140625" style="5" bestFit="1" customWidth="1"/>
    <col min="5" max="5" width="14.140625" style="5" customWidth="1"/>
    <col min="6" max="6" width="17.5703125" style="5" customWidth="1"/>
    <col min="7" max="9" width="12.5703125" style="5" customWidth="1"/>
    <col min="10" max="11" width="12.7109375" style="5" bestFit="1" customWidth="1"/>
  </cols>
  <sheetData>
    <row r="1" spans="1:12">
      <c r="A1" s="21"/>
      <c r="B1" s="18"/>
      <c r="C1" s="18"/>
      <c r="D1" s="18"/>
      <c r="E1" s="18"/>
      <c r="F1" s="18"/>
      <c r="G1" s="18"/>
      <c r="H1" s="18"/>
      <c r="I1" s="18"/>
      <c r="J1" s="18"/>
      <c r="K1" s="18"/>
      <c r="L1" s="21"/>
    </row>
    <row r="2" spans="1:12" ht="42" customHeight="1">
      <c r="A2" s="21"/>
      <c r="B2" s="282" t="str">
        <f>'Rate Class Energy Model'!H2</f>
        <v xml:space="preserve">Residential </v>
      </c>
      <c r="C2" s="282" t="str">
        <f>'Rate Class Energy Model'!I2</f>
        <v>General Service
 &lt; 50 kW</v>
      </c>
      <c r="D2" s="282" t="str">
        <f>'Rate Class Energy Model'!J2</f>
        <v>General Service
 &gt; 50 to 999 kW</v>
      </c>
      <c r="E2" s="282" t="str">
        <f>'Rate Class Energy Model'!K2</f>
        <v>General Service 
&gt; 1000 kW</v>
      </c>
      <c r="F2" s="282" t="str">
        <f>'Rate Class Energy Model'!L2</f>
        <v>Large User</v>
      </c>
      <c r="G2" s="282" t="str">
        <f>'Rate Class Energy Model'!M2</f>
        <v>Street Lighting</v>
      </c>
      <c r="H2" s="282" t="str">
        <f>'Rate Class Energy Model'!N2</f>
        <v>Sentinel Lighting</v>
      </c>
      <c r="I2" s="282" t="str">
        <f>'Rate Class Energy Model'!O2</f>
        <v>Unmetered Scattered Load</v>
      </c>
      <c r="J2" s="259" t="s">
        <v>5</v>
      </c>
      <c r="K2" s="18"/>
      <c r="L2" s="21"/>
    </row>
    <row r="3" spans="1:12" ht="15">
      <c r="A3" s="296">
        <v>2006</v>
      </c>
      <c r="B3" s="189">
        <v>44312.083333333336</v>
      </c>
      <c r="C3" s="189">
        <v>4313.833333333333</v>
      </c>
      <c r="D3" s="189">
        <v>492.5</v>
      </c>
      <c r="E3" s="189">
        <v>17</v>
      </c>
      <c r="F3" s="189">
        <v>1</v>
      </c>
      <c r="G3" s="189">
        <v>12962</v>
      </c>
      <c r="H3" s="189">
        <v>164</v>
      </c>
      <c r="I3" s="189">
        <v>428</v>
      </c>
      <c r="J3" s="189">
        <f>SUM(B3:I3)</f>
        <v>62690.416666666672</v>
      </c>
      <c r="K3" s="21"/>
      <c r="L3" s="21"/>
    </row>
    <row r="4" spans="1:12" ht="15">
      <c r="A4" s="296">
        <v>2007</v>
      </c>
      <c r="B4" s="189">
        <v>44388.583333333336</v>
      </c>
      <c r="C4" s="189">
        <v>4273.25</v>
      </c>
      <c r="D4" s="189">
        <v>500.5</v>
      </c>
      <c r="E4" s="189">
        <v>17.666666666666668</v>
      </c>
      <c r="F4" s="189">
        <v>1</v>
      </c>
      <c r="G4" s="189">
        <v>12976</v>
      </c>
      <c r="H4" s="189">
        <v>153</v>
      </c>
      <c r="I4" s="189">
        <v>435</v>
      </c>
      <c r="J4" s="189">
        <f t="shared" ref="J4:J12" si="0">SUM(B4:I4)</f>
        <v>62745</v>
      </c>
      <c r="K4" s="21"/>
      <c r="L4" s="21"/>
    </row>
    <row r="5" spans="1:12" ht="15">
      <c r="A5" s="296">
        <v>2008</v>
      </c>
      <c r="B5" s="189">
        <v>44537.5</v>
      </c>
      <c r="C5" s="189">
        <v>4256.916666666667</v>
      </c>
      <c r="D5" s="189">
        <v>507.25</v>
      </c>
      <c r="E5" s="189">
        <v>18</v>
      </c>
      <c r="F5" s="189">
        <v>1</v>
      </c>
      <c r="G5" s="189">
        <v>13135</v>
      </c>
      <c r="H5" s="189">
        <v>149.83333333333334</v>
      </c>
      <c r="I5" s="189">
        <v>457</v>
      </c>
      <c r="J5" s="189">
        <f t="shared" si="0"/>
        <v>63062.5</v>
      </c>
      <c r="K5" s="21"/>
      <c r="L5" s="21"/>
    </row>
    <row r="6" spans="1:12" ht="15">
      <c r="A6" s="296">
        <v>2009</v>
      </c>
      <c r="B6" s="189">
        <v>44613.666666666664</v>
      </c>
      <c r="C6" s="189">
        <v>4264.916666666667</v>
      </c>
      <c r="D6" s="189">
        <v>506.08333333333331</v>
      </c>
      <c r="E6" s="189">
        <v>20.083333333333332</v>
      </c>
      <c r="F6" s="189">
        <v>1</v>
      </c>
      <c r="G6" s="189">
        <v>13038.75</v>
      </c>
      <c r="H6" s="189">
        <v>157.91666666666666</v>
      </c>
      <c r="I6" s="189">
        <v>458.5</v>
      </c>
      <c r="J6" s="189">
        <f t="shared" si="0"/>
        <v>63060.916666666664</v>
      </c>
      <c r="K6" s="21"/>
      <c r="L6" s="21"/>
    </row>
    <row r="7" spans="1:12" ht="15">
      <c r="A7" s="296">
        <v>2010</v>
      </c>
      <c r="B7" s="189">
        <v>44735.583333333336</v>
      </c>
      <c r="C7" s="189">
        <v>4305.75</v>
      </c>
      <c r="D7" s="189">
        <v>506.66666666666669</v>
      </c>
      <c r="E7" s="189">
        <v>18.916666666666668</v>
      </c>
      <c r="F7" s="189">
        <v>1</v>
      </c>
      <c r="G7" s="189">
        <v>13170</v>
      </c>
      <c r="H7" s="189">
        <v>166.75</v>
      </c>
      <c r="I7" s="189">
        <v>469.25</v>
      </c>
      <c r="J7" s="189">
        <f t="shared" si="0"/>
        <v>63373.916666666664</v>
      </c>
      <c r="K7" s="21"/>
      <c r="L7" s="21"/>
    </row>
    <row r="8" spans="1:12" ht="15">
      <c r="A8" s="296">
        <v>2011</v>
      </c>
      <c r="B8" s="189">
        <v>44900.666666666664</v>
      </c>
      <c r="C8" s="189">
        <v>4339.666666666667</v>
      </c>
      <c r="D8" s="189">
        <v>505.75</v>
      </c>
      <c r="E8" s="189">
        <v>17.916666666666668</v>
      </c>
      <c r="F8" s="189">
        <v>1</v>
      </c>
      <c r="G8" s="189">
        <v>13090.833333333334</v>
      </c>
      <c r="H8" s="189">
        <v>147.58333333333334</v>
      </c>
      <c r="I8" s="189">
        <v>470.08333333333331</v>
      </c>
      <c r="J8" s="189">
        <f t="shared" si="0"/>
        <v>63473.5</v>
      </c>
      <c r="K8" s="21"/>
      <c r="L8" s="21"/>
    </row>
    <row r="9" spans="1:12" ht="15">
      <c r="A9" s="296">
        <v>2012</v>
      </c>
      <c r="B9" s="189">
        <v>44736.75</v>
      </c>
      <c r="C9" s="189">
        <v>4496.916666666667</v>
      </c>
      <c r="D9" s="189">
        <v>513.5</v>
      </c>
      <c r="E9" s="189">
        <v>18.416666666666668</v>
      </c>
      <c r="F9" s="189">
        <v>1</v>
      </c>
      <c r="G9" s="189">
        <v>13172.083333333334</v>
      </c>
      <c r="H9" s="189">
        <v>167.16666666666666</v>
      </c>
      <c r="I9" s="189">
        <v>469.83333333333331</v>
      </c>
      <c r="J9" s="189">
        <f t="shared" si="0"/>
        <v>63575.666666666664</v>
      </c>
      <c r="K9" s="21"/>
      <c r="L9" s="21"/>
    </row>
    <row r="10" spans="1:12" ht="15">
      <c r="A10" s="296">
        <v>2013</v>
      </c>
      <c r="B10" s="189">
        <v>44942.416666666664</v>
      </c>
      <c r="C10" s="189">
        <v>4527.75</v>
      </c>
      <c r="D10" s="189">
        <v>511.58333333333331</v>
      </c>
      <c r="E10" s="189">
        <v>20.083333333333332</v>
      </c>
      <c r="F10" s="189">
        <v>1</v>
      </c>
      <c r="G10" s="189">
        <v>13095.333333333334</v>
      </c>
      <c r="H10" s="189">
        <v>170.83333333333334</v>
      </c>
      <c r="I10" s="189">
        <v>465.5</v>
      </c>
      <c r="J10" s="189">
        <f t="shared" si="0"/>
        <v>63734.500000000007</v>
      </c>
      <c r="K10" s="21"/>
      <c r="L10" s="21"/>
    </row>
    <row r="11" spans="1:12" ht="15">
      <c r="A11" s="296">
        <v>2014</v>
      </c>
      <c r="B11" s="189">
        <v>45106.2705078125</v>
      </c>
      <c r="C11" s="189">
        <v>4577.895263671875</v>
      </c>
      <c r="D11" s="189">
        <v>495.30155436197919</v>
      </c>
      <c r="E11" s="189">
        <v>19.762959798177082</v>
      </c>
      <c r="F11" s="189">
        <v>1</v>
      </c>
      <c r="G11" s="189">
        <v>13148.318033854166</v>
      </c>
      <c r="H11" s="189">
        <v>172.08199055989584</v>
      </c>
      <c r="I11" s="189">
        <v>462.49702962239581</v>
      </c>
      <c r="J11" s="189">
        <f t="shared" si="0"/>
        <v>63983.127339680992</v>
      </c>
      <c r="K11" s="21"/>
      <c r="L11" s="21"/>
    </row>
    <row r="12" spans="1:12" ht="15">
      <c r="A12" s="296">
        <v>2015</v>
      </c>
      <c r="B12" s="189">
        <v>45272.592574993767</v>
      </c>
      <c r="C12" s="189">
        <v>4606.5062813957529</v>
      </c>
      <c r="D12" s="189">
        <v>471.62621294458705</v>
      </c>
      <c r="E12" s="189">
        <v>20.903750717639923</v>
      </c>
      <c r="F12" s="189">
        <v>1</v>
      </c>
      <c r="G12" s="189">
        <v>13197.213741430789</v>
      </c>
      <c r="H12" s="189">
        <v>170.93070442477861</v>
      </c>
      <c r="I12" s="189">
        <v>451.08502161006135</v>
      </c>
      <c r="J12" s="189">
        <f t="shared" si="0"/>
        <v>64191.858287517374</v>
      </c>
      <c r="K12" s="21"/>
      <c r="L12" s="21"/>
    </row>
    <row r="13" spans="1:12" ht="15">
      <c r="A13" s="296">
        <v>2016</v>
      </c>
      <c r="B13" s="189">
        <f>B12*B28</f>
        <v>45380.592839159974</v>
      </c>
      <c r="C13" s="189">
        <f t="shared" ref="C13:I13" si="1">C12*C28</f>
        <v>4640.2273254273741</v>
      </c>
      <c r="D13" s="189">
        <f t="shared" si="1"/>
        <v>469.36221429199765</v>
      </c>
      <c r="E13" s="189">
        <f t="shared" si="1"/>
        <v>20.903750717639923</v>
      </c>
      <c r="F13" s="189">
        <f t="shared" si="1"/>
        <v>1</v>
      </c>
      <c r="G13" s="189">
        <f t="shared" si="1"/>
        <v>13223.610671331198</v>
      </c>
      <c r="H13" s="189">
        <f t="shared" si="1"/>
        <v>170.93070442477861</v>
      </c>
      <c r="I13" s="189">
        <f t="shared" si="1"/>
        <v>451.08502161006135</v>
      </c>
      <c r="J13" s="189">
        <f>SUM(B13:I13)</f>
        <v>64357.71252696302</v>
      </c>
      <c r="K13" s="18"/>
      <c r="L13" s="21"/>
    </row>
    <row r="14" spans="1:12" ht="15">
      <c r="A14" s="296">
        <v>2017</v>
      </c>
      <c r="B14" s="189">
        <f>B13*B28</f>
        <v>45488.850743907307</v>
      </c>
      <c r="C14" s="189">
        <f t="shared" ref="C14:I14" si="2">C13*C28</f>
        <v>4674.1952178818829</v>
      </c>
      <c r="D14" s="189">
        <f t="shared" si="2"/>
        <v>467.10908375860572</v>
      </c>
      <c r="E14" s="189">
        <f t="shared" si="2"/>
        <v>20.903750717639923</v>
      </c>
      <c r="F14" s="189">
        <f t="shared" si="2"/>
        <v>1</v>
      </c>
      <c r="G14" s="189">
        <f t="shared" si="2"/>
        <v>13250.060400096718</v>
      </c>
      <c r="H14" s="189">
        <f t="shared" si="2"/>
        <v>170.93070442477861</v>
      </c>
      <c r="I14" s="189">
        <f t="shared" si="2"/>
        <v>451.08502161006135</v>
      </c>
      <c r="J14" s="189">
        <f>SUM(B14:I14)</f>
        <v>64524.134922396988</v>
      </c>
      <c r="K14" s="18"/>
      <c r="L14" s="21"/>
    </row>
    <row r="15" spans="1:12">
      <c r="A15" s="293"/>
      <c r="B15" s="18"/>
      <c r="C15" s="18"/>
      <c r="D15" s="18"/>
      <c r="E15" s="18"/>
      <c r="F15" s="18"/>
      <c r="G15" s="18"/>
      <c r="H15" s="18"/>
      <c r="I15" s="18"/>
      <c r="J15" s="18"/>
      <c r="K15" s="18"/>
      <c r="L15" s="21"/>
    </row>
    <row r="16" spans="1:12" ht="11.25" customHeight="1">
      <c r="A16" s="298" t="s">
        <v>36</v>
      </c>
      <c r="B16" s="298"/>
      <c r="C16" s="298"/>
      <c r="D16" s="294"/>
      <c r="E16" s="294"/>
      <c r="F16" s="294"/>
      <c r="G16" s="294"/>
      <c r="H16" s="294"/>
      <c r="I16" s="294"/>
      <c r="J16" s="18"/>
      <c r="K16" s="18"/>
      <c r="L16" s="21"/>
    </row>
    <row r="17" spans="1:12" ht="15">
      <c r="A17" s="296">
        <v>2007</v>
      </c>
      <c r="B17" s="297">
        <f>B4/B3</f>
        <v>1.0017263914094161</v>
      </c>
      <c r="C17" s="297">
        <f t="shared" ref="C17:H17" si="3">C4/C3</f>
        <v>0.99059228064752936</v>
      </c>
      <c r="D17" s="297">
        <f t="shared" si="3"/>
        <v>1.016243654822335</v>
      </c>
      <c r="E17" s="297">
        <f t="shared" si="3"/>
        <v>1.0392156862745099</v>
      </c>
      <c r="F17" s="297">
        <f t="shared" si="3"/>
        <v>1</v>
      </c>
      <c r="G17" s="297">
        <f t="shared" si="3"/>
        <v>1.0010800802345317</v>
      </c>
      <c r="H17" s="297">
        <f t="shared" si="3"/>
        <v>0.93292682926829273</v>
      </c>
      <c r="I17" s="297">
        <f t="shared" ref="I17" si="4">I4/I3</f>
        <v>1.016355140186916</v>
      </c>
      <c r="J17" s="18"/>
      <c r="K17" s="18"/>
      <c r="L17" s="21"/>
    </row>
    <row r="18" spans="1:12" ht="15">
      <c r="A18" s="296">
        <v>2008</v>
      </c>
      <c r="B18" s="297">
        <f t="shared" ref="B18:H25" si="5">B5/B4</f>
        <v>1.0033548416165567</v>
      </c>
      <c r="C18" s="297">
        <f t="shared" si="5"/>
        <v>0.99617777257746842</v>
      </c>
      <c r="D18" s="297">
        <f t="shared" si="5"/>
        <v>1.0134865134865134</v>
      </c>
      <c r="E18" s="297">
        <f t="shared" si="5"/>
        <v>1.0188679245283019</v>
      </c>
      <c r="F18" s="297">
        <f t="shared" si="5"/>
        <v>1</v>
      </c>
      <c r="G18" s="297">
        <f t="shared" si="5"/>
        <v>1.0122533908754623</v>
      </c>
      <c r="H18" s="297">
        <f t="shared" si="5"/>
        <v>0.97930283224400883</v>
      </c>
      <c r="I18" s="297">
        <f t="shared" ref="I18" si="6">I5/I4</f>
        <v>1.0505747126436782</v>
      </c>
      <c r="J18" s="18"/>
      <c r="K18" s="18"/>
      <c r="L18" s="21"/>
    </row>
    <row r="19" spans="1:12" ht="15">
      <c r="A19" s="296">
        <v>2009</v>
      </c>
      <c r="B19" s="297">
        <f t="shared" si="5"/>
        <v>1.0017101693329591</v>
      </c>
      <c r="C19" s="297">
        <f t="shared" si="5"/>
        <v>1.00187929448153</v>
      </c>
      <c r="D19" s="297">
        <f t="shared" si="5"/>
        <v>0.99770001642845407</v>
      </c>
      <c r="E19" s="297">
        <f t="shared" si="5"/>
        <v>1.1157407407407407</v>
      </c>
      <c r="F19" s="297">
        <f t="shared" si="5"/>
        <v>1</v>
      </c>
      <c r="G19" s="297">
        <f t="shared" si="5"/>
        <v>0.99267224971450319</v>
      </c>
      <c r="H19" s="297">
        <f t="shared" si="5"/>
        <v>1.053948832035595</v>
      </c>
      <c r="I19" s="297">
        <f t="shared" ref="I19" si="7">I6/I5</f>
        <v>1.0032822757111597</v>
      </c>
      <c r="J19" s="18"/>
      <c r="K19" s="18"/>
      <c r="L19" s="21"/>
    </row>
    <row r="20" spans="1:12" ht="15">
      <c r="A20" s="296">
        <v>2010</v>
      </c>
      <c r="B20" s="297">
        <f t="shared" si="5"/>
        <v>1.0027327201679606</v>
      </c>
      <c r="C20" s="297">
        <f t="shared" si="5"/>
        <v>1.0095742394341429</v>
      </c>
      <c r="D20" s="297">
        <f t="shared" si="5"/>
        <v>1.0011526428453812</v>
      </c>
      <c r="E20" s="297">
        <f t="shared" si="5"/>
        <v>0.94190871369294615</v>
      </c>
      <c r="F20" s="297">
        <f t="shared" si="5"/>
        <v>1</v>
      </c>
      <c r="G20" s="297">
        <f t="shared" si="5"/>
        <v>1.0100661489790048</v>
      </c>
      <c r="H20" s="297">
        <f t="shared" si="5"/>
        <v>1.0559366754617414</v>
      </c>
      <c r="I20" s="297">
        <f t="shared" ref="I20" si="8">I7/I6</f>
        <v>1.0234460196292257</v>
      </c>
      <c r="J20" s="18"/>
      <c r="K20" s="18"/>
      <c r="L20" s="21"/>
    </row>
    <row r="21" spans="1:12" ht="15">
      <c r="A21" s="296">
        <v>2011</v>
      </c>
      <c r="B21" s="297">
        <f t="shared" si="5"/>
        <v>1.0036902018713663</v>
      </c>
      <c r="C21" s="297">
        <f t="shared" si="5"/>
        <v>1.007877063616482</v>
      </c>
      <c r="D21" s="297">
        <f t="shared" si="5"/>
        <v>0.99819078947368423</v>
      </c>
      <c r="E21" s="297">
        <f t="shared" si="5"/>
        <v>0.94713656387665202</v>
      </c>
      <c r="F21" s="297">
        <f t="shared" si="5"/>
        <v>1</v>
      </c>
      <c r="G21" s="297">
        <f t="shared" si="5"/>
        <v>0.99398886357884086</v>
      </c>
      <c r="H21" s="297">
        <f t="shared" si="5"/>
        <v>0.88505747126436785</v>
      </c>
      <c r="I21" s="297">
        <f t="shared" ref="I21" si="9">I8/I7</f>
        <v>1.0017758835020423</v>
      </c>
      <c r="J21" s="18"/>
      <c r="K21" s="18"/>
      <c r="L21" s="21"/>
    </row>
    <row r="22" spans="1:12" ht="15">
      <c r="A22" s="296">
        <v>2012</v>
      </c>
      <c r="B22" s="297">
        <f t="shared" si="5"/>
        <v>0.99634934893320071</v>
      </c>
      <c r="C22" s="297">
        <f t="shared" si="5"/>
        <v>1.0362355019586758</v>
      </c>
      <c r="D22" s="297">
        <f t="shared" si="5"/>
        <v>1.0153237765694514</v>
      </c>
      <c r="E22" s="297">
        <f t="shared" si="5"/>
        <v>1.027906976744186</v>
      </c>
      <c r="F22" s="297">
        <f t="shared" si="5"/>
        <v>1</v>
      </c>
      <c r="G22" s="297">
        <f t="shared" si="5"/>
        <v>1.0062066331402382</v>
      </c>
      <c r="H22" s="297">
        <f t="shared" si="5"/>
        <v>1.1326933935629586</v>
      </c>
      <c r="I22" s="297">
        <f t="shared" ref="I22" si="10">I9/I8</f>
        <v>0.99946817940081545</v>
      </c>
      <c r="J22" s="18"/>
      <c r="K22" s="18"/>
      <c r="L22" s="21"/>
    </row>
    <row r="23" spans="1:12" ht="15">
      <c r="A23" s="296">
        <v>2013</v>
      </c>
      <c r="B23" s="297">
        <f t="shared" si="5"/>
        <v>1.0045972643669168</v>
      </c>
      <c r="C23" s="297">
        <f t="shared" si="5"/>
        <v>1.006856549858236</v>
      </c>
      <c r="D23" s="297">
        <f t="shared" si="5"/>
        <v>0.99626744563453418</v>
      </c>
      <c r="E23" s="297">
        <f t="shared" si="5"/>
        <v>1.090497737556561</v>
      </c>
      <c r="F23" s="297">
        <f t="shared" si="5"/>
        <v>1</v>
      </c>
      <c r="G23" s="297">
        <f t="shared" si="5"/>
        <v>0.99417328314301079</v>
      </c>
      <c r="H23" s="297">
        <f t="shared" si="5"/>
        <v>1.0219341974077767</v>
      </c>
      <c r="I23" s="297">
        <f t="shared" ref="I23" si="11">I10/I9</f>
        <v>0.99077687123093294</v>
      </c>
      <c r="J23" s="18"/>
      <c r="K23" s="18"/>
      <c r="L23" s="21"/>
    </row>
    <row r="24" spans="1:12" ht="15">
      <c r="A24" s="296">
        <v>2014</v>
      </c>
      <c r="B24" s="297">
        <f t="shared" si="5"/>
        <v>1.0036458618227213</v>
      </c>
      <c r="C24" s="297">
        <f t="shared" si="5"/>
        <v>1.0110750955048038</v>
      </c>
      <c r="D24" s="297">
        <f t="shared" si="5"/>
        <v>0.96817375017816432</v>
      </c>
      <c r="E24" s="297">
        <f t="shared" si="5"/>
        <v>0.98404779078060167</v>
      </c>
      <c r="F24" s="297">
        <f t="shared" si="5"/>
        <v>1</v>
      </c>
      <c r="G24" s="297">
        <f t="shared" si="5"/>
        <v>1.0040460749774092</v>
      </c>
      <c r="H24" s="297">
        <f t="shared" si="5"/>
        <v>1.0073092130335366</v>
      </c>
      <c r="I24" s="297">
        <f t="shared" ref="I24" si="12">I11/I10</f>
        <v>0.99354893581610271</v>
      </c>
      <c r="J24" s="18"/>
      <c r="K24" s="18"/>
      <c r="L24" s="21"/>
    </row>
    <row r="25" spans="1:12" ht="15">
      <c r="A25" s="296">
        <v>2015</v>
      </c>
      <c r="B25" s="297">
        <f t="shared" si="5"/>
        <v>1.0036873380421123</v>
      </c>
      <c r="C25" s="297">
        <f t="shared" si="5"/>
        <v>1.0062498192020517</v>
      </c>
      <c r="D25" s="297">
        <f t="shared" si="5"/>
        <v>0.95220014714492585</v>
      </c>
      <c r="E25" s="297">
        <f t="shared" si="5"/>
        <v>1.0577236877022878</v>
      </c>
      <c r="F25" s="297">
        <f t="shared" si="5"/>
        <v>1</v>
      </c>
      <c r="G25" s="297">
        <f t="shared" si="5"/>
        <v>1.0037187804136412</v>
      </c>
      <c r="H25" s="297">
        <f t="shared" si="5"/>
        <v>0.99330966516965924</v>
      </c>
      <c r="I25" s="297">
        <f t="shared" ref="I25" si="13">I12/I11</f>
        <v>0.97532522960925438</v>
      </c>
      <c r="J25" s="18"/>
      <c r="K25" s="18"/>
      <c r="L25" s="21"/>
    </row>
    <row r="26" spans="1:12">
      <c r="A26" s="292"/>
      <c r="B26" s="295"/>
      <c r="C26" s="295"/>
      <c r="D26" s="295"/>
      <c r="E26" s="295"/>
      <c r="F26" s="295"/>
      <c r="G26" s="295"/>
      <c r="H26" s="295"/>
      <c r="I26" s="295"/>
      <c r="J26" s="18"/>
      <c r="K26" s="18"/>
      <c r="L26" s="21"/>
    </row>
    <row r="27" spans="1:12">
      <c r="A27" s="21"/>
      <c r="B27" s="18"/>
      <c r="C27" s="18"/>
      <c r="D27" s="18"/>
      <c r="E27" s="18"/>
      <c r="F27" s="18"/>
      <c r="G27" s="18"/>
      <c r="H27" s="18"/>
      <c r="I27" s="18"/>
      <c r="J27" s="18"/>
      <c r="K27" s="18"/>
      <c r="L27" s="21"/>
    </row>
    <row r="28" spans="1:12">
      <c r="A28" s="182" t="s">
        <v>45</v>
      </c>
      <c r="B28" s="299">
        <f t="shared" ref="B28:G28" si="14">B30</f>
        <v>1.0023855551012968</v>
      </c>
      <c r="C28" s="299">
        <f t="shared" si="14"/>
        <v>1.0073203078367243</v>
      </c>
      <c r="D28" s="299">
        <f>D30</f>
        <v>0.9951995911371122</v>
      </c>
      <c r="E28" s="299">
        <v>1</v>
      </c>
      <c r="F28" s="299">
        <f t="shared" si="14"/>
        <v>1</v>
      </c>
      <c r="G28" s="299">
        <f t="shared" si="14"/>
        <v>1.0020001896171113</v>
      </c>
      <c r="H28" s="299">
        <v>1</v>
      </c>
      <c r="I28" s="299">
        <v>1</v>
      </c>
      <c r="J28" s="18"/>
      <c r="K28" s="18"/>
      <c r="L28" s="21"/>
    </row>
    <row r="29" spans="1:12">
      <c r="A29" s="21"/>
      <c r="B29" s="178"/>
      <c r="C29" s="178"/>
      <c r="D29" s="178"/>
      <c r="E29" s="178"/>
      <c r="F29" s="178"/>
      <c r="G29" s="178"/>
      <c r="H29" s="178"/>
      <c r="I29" s="178"/>
      <c r="J29" s="18"/>
      <c r="K29" s="18"/>
      <c r="L29" s="21"/>
    </row>
    <row r="30" spans="1:12">
      <c r="A30" s="182" t="s">
        <v>10</v>
      </c>
      <c r="B30" s="299">
        <f>GEOMEAN(B17:B25)</f>
        <v>1.0023855551012968</v>
      </c>
      <c r="C30" s="299">
        <f t="shared" ref="C30:H30" si="15">GEOMEAN(C17:C25)</f>
        <v>1.0073203078367243</v>
      </c>
      <c r="D30" s="299">
        <f t="shared" si="15"/>
        <v>0.9951995911371122</v>
      </c>
      <c r="E30" s="299">
        <f t="shared" si="15"/>
        <v>1.0232341660648492</v>
      </c>
      <c r="F30" s="299">
        <f t="shared" si="15"/>
        <v>1</v>
      </c>
      <c r="G30" s="299">
        <f t="shared" si="15"/>
        <v>1.0020001896171113</v>
      </c>
      <c r="H30" s="299">
        <f t="shared" si="15"/>
        <v>1.0046096819641426</v>
      </c>
      <c r="I30" s="299">
        <f t="shared" ref="I30" si="16">GEOMEAN(I17:I25)</f>
        <v>1.0058540287059921</v>
      </c>
      <c r="J30" s="18"/>
      <c r="K30" s="18"/>
      <c r="L30" s="21"/>
    </row>
    <row r="31" spans="1:12">
      <c r="A31" s="292"/>
      <c r="B31" s="178"/>
      <c r="C31" s="178"/>
      <c r="D31" s="178"/>
      <c r="E31" s="178"/>
      <c r="F31" s="178"/>
      <c r="G31" s="178"/>
      <c r="H31" s="178"/>
      <c r="I31" s="178"/>
      <c r="J31" s="18"/>
      <c r="K31" s="18"/>
      <c r="L31" s="21"/>
    </row>
    <row r="32" spans="1:12">
      <c r="A32" s="292"/>
      <c r="B32" s="178"/>
      <c r="C32" s="178"/>
      <c r="D32" s="178"/>
      <c r="E32" s="178"/>
      <c r="F32" s="178"/>
      <c r="G32" s="178"/>
      <c r="H32" s="178"/>
      <c r="I32" s="178"/>
      <c r="J32" s="18"/>
      <c r="K32" s="18"/>
      <c r="L32" s="21"/>
    </row>
    <row r="33" spans="1:12">
      <c r="A33" s="292"/>
      <c r="B33" s="178"/>
      <c r="C33" s="178"/>
      <c r="D33" s="178"/>
      <c r="E33" s="178"/>
      <c r="F33" s="178"/>
      <c r="G33" s="178"/>
      <c r="H33" s="178"/>
      <c r="I33" s="178"/>
      <c r="J33" s="18"/>
      <c r="K33" s="18"/>
      <c r="L33" s="21"/>
    </row>
    <row r="34" spans="1:12">
      <c r="A34" s="292"/>
      <c r="B34" s="178"/>
      <c r="C34" s="178"/>
      <c r="D34" s="178"/>
      <c r="E34" s="178"/>
      <c r="F34" s="178"/>
      <c r="G34" s="178"/>
      <c r="H34" s="178"/>
      <c r="I34" s="178"/>
      <c r="J34" s="18"/>
      <c r="K34" s="18"/>
      <c r="L34" s="21"/>
    </row>
    <row r="35" spans="1:12">
      <c r="A35" s="3"/>
      <c r="B35" s="16"/>
      <c r="C35" s="16"/>
      <c r="D35" s="16"/>
      <c r="E35" s="16"/>
      <c r="F35" s="16"/>
      <c r="G35" s="16"/>
      <c r="H35" s="16"/>
      <c r="I35" s="16"/>
    </row>
    <row r="36" spans="1:12">
      <c r="A36" s="3"/>
      <c r="B36" s="16"/>
      <c r="C36" s="16"/>
      <c r="D36" s="16"/>
      <c r="E36" s="16"/>
      <c r="F36" s="16"/>
      <c r="G36" s="16"/>
      <c r="H36" s="16"/>
      <c r="I36" s="16"/>
    </row>
    <row r="37" spans="1:12">
      <c r="A37" s="3"/>
      <c r="B37" s="16"/>
      <c r="C37" s="16"/>
      <c r="D37" s="16"/>
      <c r="E37" s="16"/>
      <c r="F37" s="16"/>
      <c r="G37" s="16"/>
      <c r="H37" s="16"/>
      <c r="I37" s="16"/>
    </row>
    <row r="38" spans="1:12">
      <c r="A38" s="3"/>
      <c r="B38" s="16"/>
      <c r="C38" s="16"/>
      <c r="D38" s="16"/>
      <c r="E38" s="16"/>
      <c r="F38" s="16"/>
      <c r="G38" s="16"/>
      <c r="H38" s="16"/>
      <c r="I38" s="16"/>
    </row>
    <row r="39" spans="1:12">
      <c r="B39" s="16"/>
      <c r="C39" s="16"/>
      <c r="D39" s="16"/>
      <c r="E39" s="16"/>
      <c r="F39" s="16"/>
      <c r="G39" s="16"/>
      <c r="H39" s="16"/>
      <c r="I39" s="16"/>
    </row>
    <row r="40" spans="1:12">
      <c r="B40" s="16"/>
      <c r="C40" s="16"/>
      <c r="D40" s="16"/>
      <c r="E40" s="16"/>
      <c r="F40" s="16"/>
      <c r="G40" s="16"/>
      <c r="H40" s="16"/>
      <c r="I40" s="16"/>
    </row>
    <row r="41" spans="1:12">
      <c r="B41" s="16"/>
      <c r="C41" s="16"/>
      <c r="D41" s="16"/>
      <c r="E41" s="16"/>
      <c r="F41" s="16"/>
      <c r="G41" s="16"/>
      <c r="H41" s="16"/>
      <c r="I41" s="16"/>
    </row>
    <row r="42" spans="1:12">
      <c r="B42" s="16"/>
      <c r="C42" s="16"/>
      <c r="D42" s="16"/>
      <c r="E42" s="16"/>
      <c r="F42" s="16"/>
      <c r="G42" s="16"/>
      <c r="H42" s="16"/>
      <c r="I42" s="16"/>
    </row>
    <row r="43" spans="1:12">
      <c r="B43" s="16"/>
      <c r="C43" s="16"/>
      <c r="D43" s="16"/>
      <c r="E43" s="16"/>
      <c r="F43" s="16"/>
      <c r="G43" s="16"/>
      <c r="H43" s="16"/>
      <c r="I43" s="16"/>
    </row>
    <row r="44" spans="1:12">
      <c r="B44" s="16"/>
      <c r="C44" s="16"/>
      <c r="D44" s="16"/>
      <c r="E44" s="16"/>
      <c r="F44" s="16"/>
      <c r="G44" s="16"/>
      <c r="H44" s="16"/>
      <c r="I44" s="16"/>
    </row>
    <row r="45" spans="1:12">
      <c r="B45" s="16"/>
      <c r="C45" s="16"/>
      <c r="D45" s="16"/>
      <c r="E45" s="16"/>
      <c r="F45" s="16"/>
      <c r="G45" s="16"/>
      <c r="H45" s="16"/>
      <c r="I45" s="16"/>
    </row>
    <row r="46" spans="1:12">
      <c r="B46" s="16"/>
      <c r="C46" s="16"/>
      <c r="D46" s="16"/>
      <c r="E46" s="16"/>
      <c r="F46" s="16"/>
      <c r="G46" s="16"/>
      <c r="H46" s="16"/>
      <c r="I46" s="16"/>
    </row>
    <row r="47" spans="1:12">
      <c r="B47" s="16"/>
      <c r="C47" s="16"/>
      <c r="D47" s="16"/>
      <c r="E47" s="16"/>
      <c r="F47" s="16"/>
      <c r="G47" s="16"/>
      <c r="H47" s="16"/>
      <c r="I47" s="16"/>
    </row>
    <row r="48" spans="1:12">
      <c r="B48" s="16"/>
      <c r="C48" s="16"/>
      <c r="D48" s="16"/>
      <c r="E48" s="16"/>
      <c r="F48" s="16"/>
      <c r="G48" s="16"/>
      <c r="H48" s="16"/>
      <c r="I48" s="16"/>
    </row>
    <row r="49" spans="2:9">
      <c r="B49" s="16"/>
      <c r="C49" s="16"/>
      <c r="D49" s="16"/>
      <c r="E49" s="16"/>
      <c r="F49" s="16"/>
      <c r="G49" s="16"/>
      <c r="H49" s="16"/>
      <c r="I49" s="16"/>
    </row>
    <row r="50" spans="2:9">
      <c r="B50" s="16"/>
      <c r="C50" s="16"/>
      <c r="D50" s="16"/>
      <c r="E50" s="16"/>
      <c r="F50" s="16"/>
      <c r="G50" s="16"/>
      <c r="H50" s="16"/>
      <c r="I50" s="16"/>
    </row>
    <row r="51" spans="2:9">
      <c r="B51" s="16"/>
      <c r="C51" s="16"/>
      <c r="D51" s="16"/>
      <c r="E51" s="16"/>
      <c r="F51" s="16"/>
      <c r="G51" s="16"/>
      <c r="H51" s="16"/>
      <c r="I51" s="16"/>
    </row>
    <row r="52" spans="2:9">
      <c r="B52" s="16"/>
      <c r="C52" s="16"/>
      <c r="D52" s="16"/>
      <c r="E52" s="16"/>
      <c r="F52" s="16"/>
      <c r="G52" s="16"/>
      <c r="H52" s="16"/>
      <c r="I52" s="16"/>
    </row>
    <row r="53" spans="2:9">
      <c r="B53" s="16"/>
      <c r="C53" s="16"/>
      <c r="D53" s="16"/>
      <c r="E53" s="16"/>
      <c r="F53" s="16"/>
      <c r="G53" s="16"/>
      <c r="H53" s="16"/>
      <c r="I53" s="16"/>
    </row>
    <row r="54" spans="2:9">
      <c r="B54" s="16"/>
      <c r="C54" s="16"/>
      <c r="D54" s="16"/>
      <c r="E54" s="16"/>
      <c r="F54" s="16"/>
      <c r="G54" s="16"/>
      <c r="H54" s="16"/>
      <c r="I54" s="16"/>
    </row>
    <row r="55" spans="2:9">
      <c r="B55" s="16"/>
      <c r="C55" s="16"/>
      <c r="D55" s="16"/>
      <c r="E55" s="16"/>
      <c r="F55" s="16"/>
      <c r="G55" s="16"/>
      <c r="H55" s="16"/>
      <c r="I55" s="16"/>
    </row>
    <row r="56" spans="2:9">
      <c r="B56" s="16"/>
      <c r="C56" s="16"/>
      <c r="D56" s="16"/>
      <c r="E56" s="16"/>
      <c r="F56" s="16"/>
      <c r="G56" s="16"/>
      <c r="H56" s="16"/>
      <c r="I56" s="16"/>
    </row>
    <row r="57" spans="2:9">
      <c r="B57" s="16"/>
      <c r="C57" s="16"/>
      <c r="F57" s="16"/>
      <c r="G57" s="16"/>
      <c r="H57" s="16"/>
      <c r="I57" s="16"/>
    </row>
    <row r="63" spans="2:9">
      <c r="D63" s="17"/>
      <c r="E63" s="17"/>
    </row>
    <row r="64" spans="2:9">
      <c r="B64" s="17"/>
      <c r="C64" s="17"/>
      <c r="D64" s="17"/>
      <c r="E64" s="17"/>
      <c r="F64" s="17"/>
      <c r="G64" s="17"/>
      <c r="H64" s="17"/>
      <c r="I64" s="17"/>
    </row>
    <row r="65" spans="2:9">
      <c r="B65" s="17"/>
      <c r="C65" s="17"/>
      <c r="F65" s="17"/>
      <c r="G65" s="17"/>
      <c r="H65" s="17"/>
      <c r="I65" s="17"/>
    </row>
    <row r="83" spans="2:9">
      <c r="D83" s="10"/>
      <c r="E83" s="10"/>
    </row>
    <row r="84" spans="2:9">
      <c r="B84" s="10"/>
      <c r="C84" s="10"/>
      <c r="D84" s="10"/>
      <c r="E84" s="10"/>
      <c r="F84" s="10"/>
      <c r="G84" s="10"/>
      <c r="H84" s="10"/>
      <c r="I84" s="10"/>
    </row>
    <row r="85" spans="2:9">
      <c r="B85" s="10"/>
      <c r="C85" s="10"/>
      <c r="F85" s="10"/>
      <c r="G85" s="10"/>
      <c r="H85" s="10"/>
      <c r="I85" s="10"/>
    </row>
  </sheetData>
  <mergeCells count="1">
    <mergeCell ref="A16:C16"/>
  </mergeCells>
  <phoneticPr fontId="0" type="noConversion"/>
  <pageMargins left="0.39370078740157483" right="0.74803149606299213" top="0.74803149606299213" bottom="0.74803149606299213" header="0.51181102362204722" footer="0.51181102362204722"/>
  <pageSetup orientation="landscape" verticalDpi="300" r:id="rId1"/>
  <headerFooter alignWithMargins="0">
    <oddFooter>&amp;L&amp;Z&amp;F&amp;A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workbookViewId="0">
      <pane xSplit="1" ySplit="1" topLeftCell="B32" activePane="bottomRight" state="frozen"/>
      <selection pane="topRight" activeCell="B1" sqref="B1"/>
      <selection pane="bottomLeft" activeCell="A3" sqref="A3"/>
      <selection pane="bottomRight" activeCell="E43" sqref="E43:E45"/>
    </sheetView>
  </sheetViews>
  <sheetFormatPr defaultRowHeight="12.75"/>
  <cols>
    <col min="1" max="1" width="11" style="21" customWidth="1"/>
    <col min="2" max="2" width="14.140625" style="18" bestFit="1" customWidth="1"/>
    <col min="3" max="3" width="14.140625" style="18" customWidth="1"/>
    <col min="4" max="6" width="17.7109375" style="18" customWidth="1"/>
    <col min="7" max="8" width="12.7109375" style="18" bestFit="1" customWidth="1"/>
    <col min="9" max="9" width="11.7109375" style="18" bestFit="1" customWidth="1"/>
    <col min="10" max="10" width="10.7109375" style="18" bestFit="1" customWidth="1"/>
    <col min="11" max="12" width="9.140625" style="18"/>
    <col min="13" max="16384" width="9.140625" style="21"/>
  </cols>
  <sheetData>
    <row r="1" spans="1:12" ht="42" customHeight="1">
      <c r="B1" s="282" t="str">
        <f>'Rate Class Customer Model'!D2</f>
        <v>General Service
 &gt; 50 to 999 kW</v>
      </c>
      <c r="C1" s="282" t="str">
        <f>'Rate Class Customer Model'!E2</f>
        <v>General Service 
&gt; 1000 kW</v>
      </c>
      <c r="D1" s="282" t="str">
        <f>'Rate Class Customer Model'!F2</f>
        <v>Large User</v>
      </c>
      <c r="E1" s="282" t="str">
        <f>'Rate Class Customer Model'!G2</f>
        <v>Street Lighting</v>
      </c>
      <c r="F1" s="282" t="str">
        <f>'Rate Class Customer Model'!H2</f>
        <v>Sentinel Lighting</v>
      </c>
      <c r="G1" s="259" t="s">
        <v>5</v>
      </c>
    </row>
    <row r="2" spans="1:12" ht="15">
      <c r="A2" s="307">
        <v>2006</v>
      </c>
      <c r="B2" s="189">
        <v>715592.13</v>
      </c>
      <c r="C2" s="189">
        <v>620478.99559999991</v>
      </c>
      <c r="D2" s="189">
        <v>54956.29</v>
      </c>
      <c r="E2" s="189">
        <v>30656.799999999996</v>
      </c>
      <c r="F2" s="189">
        <v>373.92000000000007</v>
      </c>
      <c r="G2" s="189">
        <f>SUM(B2:F2)</f>
        <v>1422058.1355999999</v>
      </c>
      <c r="H2" s="21"/>
      <c r="I2" s="21"/>
      <c r="J2" s="21"/>
      <c r="K2" s="21"/>
      <c r="L2" s="21"/>
    </row>
    <row r="3" spans="1:12" ht="15">
      <c r="A3" s="307">
        <v>2007</v>
      </c>
      <c r="B3" s="189">
        <v>728766.5</v>
      </c>
      <c r="C3" s="189">
        <v>570491.53970000008</v>
      </c>
      <c r="D3" s="189">
        <v>55549.77</v>
      </c>
      <c r="E3" s="189">
        <v>30889.010000000002</v>
      </c>
      <c r="F3" s="189">
        <v>348.84</v>
      </c>
      <c r="G3" s="189">
        <f t="shared" ref="G3:G13" si="0">SUM(B3:F3)</f>
        <v>1386045.6597000002</v>
      </c>
      <c r="H3" s="21"/>
      <c r="I3" s="21"/>
      <c r="J3" s="21"/>
      <c r="K3" s="21"/>
      <c r="L3" s="21"/>
    </row>
    <row r="4" spans="1:12" ht="15">
      <c r="A4" s="307">
        <v>2008</v>
      </c>
      <c r="B4" s="189">
        <v>747849.27000000014</v>
      </c>
      <c r="C4" s="189">
        <v>515509.77580000006</v>
      </c>
      <c r="D4" s="189">
        <v>56573.250000000007</v>
      </c>
      <c r="E4" s="189">
        <v>31499.200000000001</v>
      </c>
      <c r="F4" s="189">
        <v>341.62</v>
      </c>
      <c r="G4" s="189">
        <f t="shared" si="0"/>
        <v>1351773.1158000003</v>
      </c>
      <c r="H4" s="21"/>
      <c r="I4" s="21"/>
      <c r="J4" s="21"/>
      <c r="K4" s="21"/>
      <c r="L4" s="21"/>
    </row>
    <row r="5" spans="1:12" ht="15">
      <c r="A5" s="307">
        <v>2009</v>
      </c>
      <c r="B5" s="189">
        <v>719275.91000000015</v>
      </c>
      <c r="C5" s="189">
        <v>478301.90339999995</v>
      </c>
      <c r="D5" s="189">
        <v>51986.83</v>
      </c>
      <c r="E5" s="189">
        <v>31053.320000000007</v>
      </c>
      <c r="F5" s="189">
        <v>360.04999999999995</v>
      </c>
      <c r="G5" s="189">
        <f t="shared" si="0"/>
        <v>1280978.0134000003</v>
      </c>
      <c r="H5" s="21"/>
      <c r="I5" s="21"/>
      <c r="J5" s="21"/>
      <c r="K5" s="21"/>
      <c r="L5" s="21"/>
    </row>
    <row r="6" spans="1:12" ht="15">
      <c r="A6" s="307">
        <v>2010</v>
      </c>
      <c r="B6" s="189">
        <v>723294.84999999986</v>
      </c>
      <c r="C6" s="189">
        <v>460379.54800000007</v>
      </c>
      <c r="D6" s="189">
        <v>56576.579999999987</v>
      </c>
      <c r="E6" s="189">
        <v>31561.720000000008</v>
      </c>
      <c r="F6" s="189">
        <v>380.19000000000005</v>
      </c>
      <c r="G6" s="189">
        <f t="shared" si="0"/>
        <v>1272192.888</v>
      </c>
      <c r="H6" s="21"/>
      <c r="I6" s="21"/>
      <c r="J6" s="21"/>
      <c r="K6" s="21"/>
      <c r="L6" s="21"/>
    </row>
    <row r="7" spans="1:12" ht="15">
      <c r="A7" s="307">
        <v>2011</v>
      </c>
      <c r="B7" s="189">
        <v>732497.42999999993</v>
      </c>
      <c r="C7" s="189">
        <v>446718.99800000002</v>
      </c>
      <c r="D7" s="189">
        <v>57851.85</v>
      </c>
      <c r="E7" s="189">
        <v>31849.550000000003</v>
      </c>
      <c r="F7" s="189">
        <v>336.49</v>
      </c>
      <c r="G7" s="189">
        <f t="shared" si="0"/>
        <v>1269254.318</v>
      </c>
      <c r="H7" s="21"/>
      <c r="I7" s="21"/>
      <c r="J7" s="21"/>
      <c r="K7" s="21"/>
      <c r="L7" s="21"/>
    </row>
    <row r="8" spans="1:12" ht="15">
      <c r="A8" s="307">
        <v>2012</v>
      </c>
      <c r="B8" s="189">
        <v>734173.25</v>
      </c>
      <c r="C8" s="189">
        <v>455363.42530000012</v>
      </c>
      <c r="D8" s="189">
        <v>61728.460000000006</v>
      </c>
      <c r="E8" s="189">
        <v>30858.559999999998</v>
      </c>
      <c r="F8" s="189">
        <v>381.14000000000004</v>
      </c>
      <c r="G8" s="189">
        <f t="shared" si="0"/>
        <v>1282504.8353000002</v>
      </c>
      <c r="H8" s="21"/>
      <c r="I8" s="21"/>
      <c r="J8" s="21"/>
      <c r="K8" s="21"/>
      <c r="L8" s="21"/>
    </row>
    <row r="9" spans="1:12" ht="15">
      <c r="A9" s="307">
        <v>2013</v>
      </c>
      <c r="B9" s="189">
        <v>722899.29</v>
      </c>
      <c r="C9" s="189">
        <v>450516.03079999995</v>
      </c>
      <c r="D9" s="189">
        <v>59516.42</v>
      </c>
      <c r="E9" s="189">
        <v>29850.29</v>
      </c>
      <c r="F9" s="189">
        <v>389.5</v>
      </c>
      <c r="G9" s="189">
        <f t="shared" si="0"/>
        <v>1263171.5307999998</v>
      </c>
      <c r="H9" s="21"/>
      <c r="I9" s="21"/>
      <c r="J9" s="21"/>
      <c r="K9" s="21"/>
      <c r="L9" s="21"/>
    </row>
    <row r="10" spans="1:12" ht="15">
      <c r="A10" s="307">
        <v>2014</v>
      </c>
      <c r="B10" s="189">
        <v>690826.75000000012</v>
      </c>
      <c r="C10" s="189">
        <v>448318.72049999994</v>
      </c>
      <c r="D10" s="189">
        <v>63789.840000000011</v>
      </c>
      <c r="E10" s="189">
        <v>29216.71</v>
      </c>
      <c r="F10" s="189">
        <v>392.34693847656257</v>
      </c>
      <c r="G10" s="189">
        <f t="shared" si="0"/>
        <v>1232544.3674384768</v>
      </c>
      <c r="H10" s="21"/>
      <c r="I10" s="21"/>
      <c r="J10" s="21"/>
      <c r="K10" s="21"/>
      <c r="L10" s="21"/>
    </row>
    <row r="11" spans="1:12" ht="15">
      <c r="A11" s="307">
        <v>2015</v>
      </c>
      <c r="B11" s="189">
        <v>668162.78</v>
      </c>
      <c r="C11" s="189">
        <v>461433.71559999994</v>
      </c>
      <c r="D11" s="189">
        <v>74267.900000000023</v>
      </c>
      <c r="E11" s="189">
        <v>27043.15</v>
      </c>
      <c r="F11" s="189">
        <v>307.67526796460157</v>
      </c>
      <c r="G11" s="189">
        <f t="shared" si="0"/>
        <v>1231215.2208679644</v>
      </c>
      <c r="H11" s="21"/>
      <c r="I11" s="21"/>
      <c r="J11" s="21"/>
      <c r="K11" s="21"/>
      <c r="L11" s="21"/>
    </row>
    <row r="12" spans="1:12" ht="15">
      <c r="A12" s="307">
        <v>2016</v>
      </c>
      <c r="B12" s="302">
        <f>'Rate Class Energy Model'!J60*'Rate Class Load Model'!B27</f>
        <v>666275.4416906581</v>
      </c>
      <c r="C12" s="302">
        <f>'Rate Class Energy Model'!K60*'Rate Class Load Model'!C27</f>
        <v>398232.75570876617</v>
      </c>
      <c r="D12" s="302">
        <f>'Rate Class Energy Model'!L60*'Rate Class Load Model'!D27</f>
        <v>74267.900000000023</v>
      </c>
      <c r="E12" s="302">
        <f>'Rate Class Energy Model'!M60*'Rate Class Load Model'!E27</f>
        <v>24931.356571989825</v>
      </c>
      <c r="F12" s="302">
        <f>'Rate Class Energy Model'!N60*'Rate Class Load Model'!F27</f>
        <v>307.67526796460157</v>
      </c>
      <c r="G12" s="189">
        <f t="shared" si="0"/>
        <v>1164015.1292393787</v>
      </c>
      <c r="H12" s="21"/>
      <c r="I12" s="21"/>
      <c r="J12" s="21"/>
      <c r="K12" s="21"/>
      <c r="L12" s="21"/>
    </row>
    <row r="13" spans="1:12" ht="15">
      <c r="A13" s="307">
        <v>2017</v>
      </c>
      <c r="B13" s="302">
        <f>'Rate Class Energy Model'!J61*'Rate Class Load Model'!B27</f>
        <v>660385.59945966594</v>
      </c>
      <c r="C13" s="302">
        <f>'Rate Class Energy Model'!K61*'Rate Class Load Model'!C27</f>
        <v>378528.82802855235</v>
      </c>
      <c r="D13" s="302">
        <f>'Rate Class Energy Model'!L61*'Rate Class Load Model'!D27</f>
        <v>74267.900000000023</v>
      </c>
      <c r="E13" s="302">
        <f>'Rate Class Energy Model'!M61*'Rate Class Load Model'!E27</f>
        <v>23235.790564900166</v>
      </c>
      <c r="F13" s="302">
        <f>'Rate Class Energy Model'!N61*'Rate Class Load Model'!F27</f>
        <v>307.67526796460157</v>
      </c>
      <c r="G13" s="189">
        <f t="shared" si="0"/>
        <v>1136725.7933210833</v>
      </c>
      <c r="H13" s="21"/>
      <c r="I13" s="21"/>
      <c r="J13" s="21"/>
      <c r="K13" s="21"/>
      <c r="L13" s="21"/>
    </row>
    <row r="14" spans="1:12">
      <c r="A14" s="293"/>
      <c r="H14" s="21"/>
      <c r="I14" s="21"/>
      <c r="J14" s="21"/>
      <c r="K14" s="21"/>
      <c r="L14" s="21"/>
    </row>
    <row r="15" spans="1:12">
      <c r="A15" s="210" t="s">
        <v>46</v>
      </c>
      <c r="B15" s="294"/>
      <c r="C15" s="294"/>
      <c r="D15" s="294"/>
      <c r="E15" s="294"/>
      <c r="F15" s="294"/>
      <c r="H15" s="21"/>
      <c r="I15" s="21"/>
      <c r="J15" s="21"/>
      <c r="K15" s="21"/>
      <c r="L15" s="21"/>
    </row>
    <row r="16" spans="1:12">
      <c r="A16" s="301">
        <v>2006</v>
      </c>
      <c r="B16" s="303">
        <f>B2/'Rate Class Energy Model'!J3</f>
        <v>2.3915506994086804E-3</v>
      </c>
      <c r="C16" s="303">
        <f>C2/'Rate Class Energy Model'!K3</f>
        <v>2.8697967153311671E-3</v>
      </c>
      <c r="D16" s="303">
        <f>D2/'Rate Class Energy Model'!L3</f>
        <v>2.1859598880911543E-3</v>
      </c>
      <c r="E16" s="303">
        <f>E2/'Rate Class Energy Model'!M3</f>
        <v>3.1083600463221155E-3</v>
      </c>
      <c r="F16" s="303">
        <f>F2/'Rate Class Energy Model'!N3</f>
        <v>2.7777777777777775E-3</v>
      </c>
      <c r="H16" s="21"/>
      <c r="I16" s="21"/>
      <c r="J16" s="21"/>
      <c r="K16" s="21"/>
      <c r="L16" s="21"/>
    </row>
    <row r="17" spans="1:6">
      <c r="A17" s="301">
        <v>2007</v>
      </c>
      <c r="B17" s="303">
        <f>B3/'Rate Class Energy Model'!J4</f>
        <v>2.4374952054551442E-3</v>
      </c>
      <c r="C17" s="303">
        <f>C3/'Rate Class Energy Model'!K4</f>
        <v>2.7607647640396984E-3</v>
      </c>
      <c r="D17" s="303">
        <f>D3/'Rate Class Energy Model'!L4</f>
        <v>2.2879828061997368E-3</v>
      </c>
      <c r="E17" s="303">
        <f>E3/'Rate Class Energy Model'!M4</f>
        <v>2.8317950445302452E-3</v>
      </c>
      <c r="F17" s="303">
        <f>F3/'Rate Class Energy Model'!N4</f>
        <v>2.7777777777777779E-3</v>
      </c>
    </row>
    <row r="18" spans="1:6">
      <c r="A18" s="301">
        <v>2008</v>
      </c>
      <c r="B18" s="303">
        <f>B4/'Rate Class Energy Model'!J5</f>
        <v>2.5133652877625907E-3</v>
      </c>
      <c r="C18" s="303">
        <f>C4/'Rate Class Energy Model'!K5</f>
        <v>2.8405961748048337E-3</v>
      </c>
      <c r="D18" s="303">
        <f>D4/'Rate Class Energy Model'!L5</f>
        <v>2.4583811454008246E-3</v>
      </c>
      <c r="E18" s="303">
        <f>E4/'Rate Class Energy Model'!M5</f>
        <v>2.9072980951794381E-3</v>
      </c>
      <c r="F18" s="303">
        <f>F4/'Rate Class Energy Model'!N5</f>
        <v>2.7777777777777779E-3</v>
      </c>
    </row>
    <row r="19" spans="1:6">
      <c r="A19" s="301">
        <v>2009</v>
      </c>
      <c r="B19" s="303">
        <f>B5/'Rate Class Energy Model'!J6</f>
        <v>2.4734033795011465E-3</v>
      </c>
      <c r="C19" s="303">
        <f>C5/'Rate Class Energy Model'!K6</f>
        <v>2.8032247043865434E-3</v>
      </c>
      <c r="D19" s="303">
        <f>D5/'Rate Class Energy Model'!L6</f>
        <v>2.6846666118824952E-3</v>
      </c>
      <c r="E19" s="303">
        <f>E5/'Rate Class Energy Model'!M6</f>
        <v>2.6790144531836425E-3</v>
      </c>
      <c r="F19" s="303">
        <f>F5/'Rate Class Energy Model'!N6</f>
        <v>2.7777777777777779E-3</v>
      </c>
    </row>
    <row r="20" spans="1:6">
      <c r="A20" s="301">
        <v>2010</v>
      </c>
      <c r="B20" s="303">
        <f>B6/'Rate Class Energy Model'!J7</f>
        <v>2.537450937065912E-3</v>
      </c>
      <c r="C20" s="303">
        <f>C6/'Rate Class Energy Model'!K7</f>
        <v>3.0035510230893726E-3</v>
      </c>
      <c r="D20" s="303">
        <f>D6/'Rate Class Energy Model'!L7</f>
        <v>2.3568248546368205E-3</v>
      </c>
      <c r="E20" s="303">
        <f>E6/'Rate Class Energy Model'!M7</f>
        <v>2.8076698556321828E-3</v>
      </c>
      <c r="F20" s="303">
        <f>F6/'Rate Class Energy Model'!N7</f>
        <v>2.7777777777777779E-3</v>
      </c>
    </row>
    <row r="21" spans="1:6">
      <c r="A21" s="301">
        <v>2011</v>
      </c>
      <c r="B21" s="303">
        <f>B7/'Rate Class Energy Model'!J8</f>
        <v>2.5387646593153217E-3</v>
      </c>
      <c r="C21" s="303">
        <f>C7/'Rate Class Energy Model'!K8</f>
        <v>2.8245771174838976E-3</v>
      </c>
      <c r="D21" s="303">
        <f>D7/'Rate Class Energy Model'!L8</f>
        <v>2.3118694318264867E-3</v>
      </c>
      <c r="E21" s="303">
        <f>E7/'Rate Class Energy Model'!M8</f>
        <v>2.8324225014287399E-3</v>
      </c>
      <c r="F21" s="303">
        <f>F7/'Rate Class Energy Model'!N8</f>
        <v>2.7777777777777775E-3</v>
      </c>
    </row>
    <row r="22" spans="1:6">
      <c r="A22" s="301">
        <v>2012</v>
      </c>
      <c r="B22" s="303">
        <f>B8/'Rate Class Energy Model'!J9</f>
        <v>2.5899025546808436E-3</v>
      </c>
      <c r="C22" s="303">
        <f>C8/'Rate Class Energy Model'!K9</f>
        <v>2.8222837210961573E-3</v>
      </c>
      <c r="D22" s="303">
        <f>D8/'Rate Class Energy Model'!L9</f>
        <v>2.2706013677816356E-3</v>
      </c>
      <c r="E22" s="303">
        <f>E8/'Rate Class Energy Model'!M9</f>
        <v>2.7894260103177001E-3</v>
      </c>
      <c r="F22" s="303">
        <f>F8/'Rate Class Energy Model'!N9</f>
        <v>2.6881720430107533E-3</v>
      </c>
    </row>
    <row r="23" spans="1:6">
      <c r="A23" s="301">
        <v>2013</v>
      </c>
      <c r="B23" s="303">
        <f>B9/'Rate Class Energy Model'!J10</f>
        <v>2.5358803535195577E-3</v>
      </c>
      <c r="C23" s="303">
        <f>C9/'Rate Class Energy Model'!K10</f>
        <v>2.8502359493106514E-3</v>
      </c>
      <c r="D23" s="303">
        <f>D9/'Rate Class Energy Model'!L10</f>
        <v>1.988513102813956E-3</v>
      </c>
      <c r="E23" s="303">
        <f>E9/'Rate Class Energy Model'!M10</f>
        <v>2.827960223372279E-3</v>
      </c>
      <c r="F23" s="303">
        <f>F9/'Rate Class Energy Model'!N10</f>
        <v>2.6881720430107529E-3</v>
      </c>
    </row>
    <row r="24" spans="1:6">
      <c r="A24" s="301">
        <v>2014</v>
      </c>
      <c r="B24" s="303">
        <f>B10/'Rate Class Energy Model'!J11</f>
        <v>2.4669083536464805E-3</v>
      </c>
      <c r="C24" s="303">
        <f>C10/'Rate Class Energy Model'!K11</f>
        <v>2.7542186496579552E-3</v>
      </c>
      <c r="D24" s="303">
        <f>D10/'Rate Class Energy Model'!L11</f>
        <v>2.0990636788888969E-3</v>
      </c>
      <c r="E24" s="303">
        <f>E10/'Rate Class Energy Model'!M11</f>
        <v>2.8335544965405138E-3</v>
      </c>
      <c r="F24" s="303">
        <f>F10/'Rate Class Energy Model'!N11</f>
        <v>2.6815578560877239E-3</v>
      </c>
    </row>
    <row r="25" spans="1:6">
      <c r="A25" s="301">
        <v>2015</v>
      </c>
      <c r="B25" s="303">
        <f>B11/'Rate Class Energy Model'!J12</f>
        <v>2.5067226460564586E-3</v>
      </c>
      <c r="C25" s="303">
        <f>C11/'Rate Class Energy Model'!K12</f>
        <v>2.8523538890659187E-3</v>
      </c>
      <c r="D25" s="303">
        <f>D11/'Rate Class Energy Model'!L12</f>
        <v>2.0217323073376692E-3</v>
      </c>
      <c r="E25" s="303">
        <f>E11/'Rate Class Energy Model'!M12</f>
        <v>2.8366859575032015E-3</v>
      </c>
      <c r="F25" s="303">
        <f>F11/'Rate Class Energy Model'!N12</f>
        <v>2.7284529033574012E-3</v>
      </c>
    </row>
    <row r="27" spans="1:6">
      <c r="A27" s="308" t="s">
        <v>9</v>
      </c>
      <c r="B27" s="309">
        <f>AVERAGE(B16:B25)</f>
        <v>2.4991444076412133E-3</v>
      </c>
      <c r="C27" s="309">
        <f>AVERAGE(C16:C25)</f>
        <v>2.8381602708266195E-3</v>
      </c>
      <c r="D27" s="309">
        <f>D25</f>
        <v>2.0217323073376692E-3</v>
      </c>
      <c r="E27" s="309">
        <f t="shared" ref="E27" si="1">AVERAGE(E16:E25)</f>
        <v>2.8454186684010057E-3</v>
      </c>
      <c r="F27" s="309">
        <f>F25</f>
        <v>2.7284529033574012E-3</v>
      </c>
    </row>
    <row r="28" spans="1:6">
      <c r="B28" s="21"/>
      <c r="C28" s="21"/>
      <c r="D28" s="21"/>
      <c r="E28" s="21"/>
      <c r="F28" s="21"/>
    </row>
    <row r="29" spans="1:6">
      <c r="B29" s="21"/>
      <c r="C29" s="21"/>
      <c r="D29" s="21"/>
      <c r="E29" s="21"/>
      <c r="F29" s="21"/>
    </row>
    <row r="31" spans="1:6" ht="15">
      <c r="A31" s="291">
        <v>42005</v>
      </c>
      <c r="D31" s="189">
        <v>6361</v>
      </c>
    </row>
    <row r="32" spans="1:6" ht="15">
      <c r="A32" s="291">
        <v>42036</v>
      </c>
      <c r="D32" s="189">
        <v>6520.35</v>
      </c>
    </row>
    <row r="33" spans="1:6" ht="15">
      <c r="A33" s="291">
        <v>42064</v>
      </c>
      <c r="D33" s="189">
        <v>6449.01</v>
      </c>
    </row>
    <row r="34" spans="1:6" ht="15">
      <c r="A34" s="291">
        <v>42095</v>
      </c>
      <c r="B34" s="305"/>
      <c r="C34" s="305"/>
      <c r="D34" s="189">
        <v>6124.85</v>
      </c>
      <c r="E34" s="305"/>
      <c r="F34" s="305"/>
    </row>
    <row r="35" spans="1:6" ht="15">
      <c r="A35" s="291">
        <v>42125</v>
      </c>
      <c r="B35" s="305"/>
      <c r="C35" s="305"/>
      <c r="D35" s="189">
        <v>6254.63</v>
      </c>
      <c r="E35" s="305"/>
      <c r="F35" s="305"/>
    </row>
    <row r="36" spans="1:6" ht="15">
      <c r="A36" s="291">
        <v>42156</v>
      </c>
      <c r="D36" s="189">
        <v>6224.3</v>
      </c>
    </row>
    <row r="37" spans="1:6" ht="15">
      <c r="A37" s="291">
        <v>42186</v>
      </c>
      <c r="D37" s="189">
        <v>6014.97</v>
      </c>
    </row>
    <row r="38" spans="1:6" ht="15">
      <c r="A38" s="291">
        <v>42217</v>
      </c>
      <c r="D38" s="189">
        <v>6124.33</v>
      </c>
    </row>
    <row r="39" spans="1:6" ht="15">
      <c r="A39" s="291">
        <v>42248</v>
      </c>
      <c r="D39" s="189">
        <v>5867.16</v>
      </c>
    </row>
    <row r="40" spans="1:6" ht="15">
      <c r="A40" s="291">
        <v>42278</v>
      </c>
      <c r="D40" s="189">
        <v>5944.91</v>
      </c>
    </row>
    <row r="41" spans="1:6" ht="15">
      <c r="A41" s="291">
        <v>42309</v>
      </c>
      <c r="D41" s="189">
        <v>6108.96</v>
      </c>
    </row>
    <row r="42" spans="1:6" ht="15">
      <c r="A42" s="291">
        <v>42339</v>
      </c>
      <c r="D42" s="189">
        <v>6273.43</v>
      </c>
    </row>
    <row r="43" spans="1:6">
      <c r="D43" s="189">
        <f>SUM(D31:D42)</f>
        <v>74267.900000000023</v>
      </c>
      <c r="E43" s="304" t="s">
        <v>306</v>
      </c>
    </row>
    <row r="44" spans="1:6">
      <c r="D44" s="189">
        <f>SUM(D31:D33,D42)</f>
        <v>25603.79</v>
      </c>
      <c r="E44" s="304" t="s">
        <v>308</v>
      </c>
    </row>
    <row r="45" spans="1:6">
      <c r="D45" s="189">
        <f>MAX(D31:D42)</f>
        <v>6520.35</v>
      </c>
      <c r="E45" s="304" t="s">
        <v>307</v>
      </c>
    </row>
    <row r="54" spans="2:6">
      <c r="B54" s="306"/>
      <c r="C54" s="306"/>
      <c r="D54" s="306"/>
      <c r="E54" s="306"/>
      <c r="F54" s="306"/>
    </row>
    <row r="55" spans="2:6">
      <c r="B55" s="306"/>
      <c r="C55" s="306"/>
      <c r="D55" s="306"/>
      <c r="E55" s="306"/>
      <c r="F55" s="306"/>
    </row>
  </sheetData>
  <phoneticPr fontId="0" type="noConversion"/>
  <pageMargins left="0.38" right="0.75" top="0.73" bottom="0.74" header="0.5" footer="0.5"/>
  <pageSetup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75"/>
  <sheetViews>
    <sheetView workbookViewId="0">
      <selection activeCell="AA1" sqref="AA1:AE15"/>
    </sheetView>
  </sheetViews>
  <sheetFormatPr defaultRowHeight="12.75"/>
  <cols>
    <col min="2" max="2" width="12.85546875" customWidth="1"/>
    <col min="3" max="3" width="12.85546875" bestFit="1" customWidth="1"/>
    <col min="4" max="4" width="13" bestFit="1" customWidth="1"/>
    <col min="5" max="5" width="12.85546875" bestFit="1" customWidth="1"/>
    <col min="6" max="6" width="13.7109375" customWidth="1"/>
    <col min="7" max="7" width="10.28515625" bestFit="1" customWidth="1"/>
    <col min="8" max="8" width="2" customWidth="1"/>
    <col min="9" max="9" width="12.85546875" bestFit="1" customWidth="1"/>
    <col min="10" max="10" width="13" bestFit="1" customWidth="1"/>
    <col min="11" max="11" width="12.85546875" bestFit="1" customWidth="1"/>
    <col min="12" max="12" width="13.7109375" customWidth="1"/>
    <col min="13" max="13" width="10.7109375" customWidth="1"/>
    <col min="14" max="14" width="2" customWidth="1"/>
    <col min="15" max="15" width="12.85546875" bestFit="1" customWidth="1"/>
    <col min="16" max="16" width="13" bestFit="1" customWidth="1"/>
    <col min="17" max="17" width="12.85546875" bestFit="1" customWidth="1"/>
    <col min="18" max="18" width="13.7109375" customWidth="1"/>
    <col min="19" max="19" width="10.7109375" customWidth="1"/>
    <col min="20" max="20" width="2" customWidth="1"/>
    <col min="21" max="21" width="12.85546875" bestFit="1" customWidth="1"/>
    <col min="22" max="22" width="13" bestFit="1" customWidth="1"/>
    <col min="23" max="23" width="12.85546875" bestFit="1" customWidth="1"/>
    <col min="24" max="24" width="13.7109375" customWidth="1"/>
    <col min="25" max="25" width="10.7109375" customWidth="1"/>
    <col min="26" max="26" width="2" customWidth="1"/>
    <col min="27" max="27" width="12.85546875" bestFit="1" customWidth="1"/>
    <col min="28" max="28" width="13" bestFit="1" customWidth="1"/>
    <col min="29" max="29" width="12.85546875" bestFit="1" customWidth="1"/>
    <col min="30" max="30" width="13.7109375" customWidth="1"/>
    <col min="31" max="31" width="10.7109375" customWidth="1"/>
    <col min="37" max="37" width="59.42578125" bestFit="1" customWidth="1"/>
    <col min="38" max="38" width="48.140625" bestFit="1" customWidth="1"/>
    <col min="39" max="42" width="12.42578125" customWidth="1"/>
    <col min="43" max="43" width="13.5703125" customWidth="1"/>
    <col min="44" max="44" width="12.28515625" customWidth="1"/>
    <col min="45" max="56" width="11.7109375" customWidth="1"/>
    <col min="58" max="58" width="44" bestFit="1" customWidth="1"/>
    <col min="59" max="59" width="30.140625" bestFit="1" customWidth="1"/>
    <col min="60" max="60" width="5.7109375" bestFit="1" customWidth="1"/>
    <col min="61" max="62" width="11.42578125" bestFit="1" customWidth="1"/>
    <col min="63" max="63" width="10" bestFit="1" customWidth="1"/>
    <col min="64" max="64" width="12.42578125" bestFit="1" customWidth="1"/>
    <col min="65" max="65" width="12.85546875" bestFit="1" customWidth="1"/>
    <col min="66" max="66" width="10.28515625" bestFit="1" customWidth="1"/>
    <col min="67" max="70" width="11.28515625" bestFit="1" customWidth="1"/>
    <col min="71" max="71" width="11.42578125" customWidth="1"/>
    <col min="73" max="73" width="11.28515625" bestFit="1" customWidth="1"/>
    <col min="74" max="74" width="12" customWidth="1"/>
    <col min="75" max="75" width="14" bestFit="1" customWidth="1"/>
    <col min="76" max="76" width="13.5703125" customWidth="1"/>
    <col min="77" max="77" width="11.85546875" bestFit="1" customWidth="1"/>
  </cols>
  <sheetData>
    <row r="1" spans="1:74" ht="75.75" thickBot="1">
      <c r="C1" s="310" t="s">
        <v>259</v>
      </c>
      <c r="D1" s="310" t="s">
        <v>59</v>
      </c>
      <c r="I1" s="310" t="s">
        <v>116</v>
      </c>
      <c r="J1" s="310" t="s">
        <v>59</v>
      </c>
      <c r="O1" s="310" t="s">
        <v>117</v>
      </c>
      <c r="P1" s="310" t="s">
        <v>59</v>
      </c>
      <c r="U1" s="310" t="s">
        <v>118</v>
      </c>
      <c r="V1" s="310" t="s">
        <v>59</v>
      </c>
      <c r="AA1" s="310" t="s">
        <v>119</v>
      </c>
      <c r="AB1" s="310" t="s">
        <v>59</v>
      </c>
      <c r="AJ1" t="s">
        <v>81</v>
      </c>
      <c r="AK1" t="s">
        <v>82</v>
      </c>
      <c r="AL1" t="s">
        <v>83</v>
      </c>
      <c r="AM1" s="1" t="s">
        <v>110</v>
      </c>
      <c r="AN1" s="1" t="s">
        <v>79</v>
      </c>
      <c r="AO1" s="1" t="s">
        <v>80</v>
      </c>
      <c r="AP1" s="1" t="s">
        <v>111</v>
      </c>
      <c r="AQ1" t="s">
        <v>84</v>
      </c>
      <c r="AR1">
        <v>2006</v>
      </c>
      <c r="AS1">
        <v>2007</v>
      </c>
      <c r="AT1">
        <v>2008</v>
      </c>
      <c r="AU1">
        <v>2009</v>
      </c>
      <c r="AV1">
        <v>2010</v>
      </c>
      <c r="AW1">
        <v>2011</v>
      </c>
      <c r="AX1">
        <v>2012</v>
      </c>
      <c r="AY1">
        <v>2013</v>
      </c>
      <c r="AZ1">
        <v>2014</v>
      </c>
      <c r="BA1">
        <v>2015</v>
      </c>
      <c r="BB1">
        <v>2016</v>
      </c>
      <c r="BC1">
        <v>2017</v>
      </c>
      <c r="BF1" t="s">
        <v>82</v>
      </c>
      <c r="BG1" t="s">
        <v>83</v>
      </c>
      <c r="BH1" s="62" t="s">
        <v>152</v>
      </c>
      <c r="BI1" s="62" t="s">
        <v>164</v>
      </c>
      <c r="BJ1" s="62" t="s">
        <v>165</v>
      </c>
      <c r="BK1" s="62" t="s">
        <v>111</v>
      </c>
      <c r="BL1" t="s">
        <v>84</v>
      </c>
      <c r="BM1">
        <v>2011</v>
      </c>
      <c r="BN1">
        <v>2012</v>
      </c>
      <c r="BO1">
        <v>2013</v>
      </c>
      <c r="BP1">
        <v>2014</v>
      </c>
      <c r="BQ1">
        <v>2015</v>
      </c>
      <c r="BR1">
        <v>2016</v>
      </c>
      <c r="BS1">
        <v>2017</v>
      </c>
    </row>
    <row r="2" spans="1:74" ht="15.75" thickBot="1">
      <c r="A2" s="260">
        <v>2005</v>
      </c>
      <c r="C2" s="38"/>
      <c r="D2" s="39">
        <f>C2</f>
        <v>0</v>
      </c>
      <c r="E2" s="39">
        <f t="shared" ref="E2:E14" si="0">D2/$AH$14</f>
        <v>0</v>
      </c>
      <c r="F2" s="254" t="s">
        <v>60</v>
      </c>
      <c r="G2" s="254"/>
      <c r="H2" s="1"/>
      <c r="I2" s="38"/>
      <c r="J2" s="39">
        <f>I2</f>
        <v>0</v>
      </c>
      <c r="K2" s="39">
        <f t="shared" ref="K2:K14" si="1">J2/$AH$14</f>
        <v>0</v>
      </c>
      <c r="L2" s="254" t="s">
        <v>60</v>
      </c>
      <c r="M2" s="254"/>
      <c r="N2" s="1"/>
      <c r="O2" s="38"/>
      <c r="P2" s="39">
        <f>O2</f>
        <v>0</v>
      </c>
      <c r="Q2" s="39">
        <f t="shared" ref="Q2:Q14" si="2">P2/$AH$14</f>
        <v>0</v>
      </c>
      <c r="R2" s="254" t="s">
        <v>60</v>
      </c>
      <c r="S2" s="254"/>
      <c r="T2" s="1"/>
      <c r="U2" s="38"/>
      <c r="V2" s="39">
        <f>U2</f>
        <v>0</v>
      </c>
      <c r="W2" s="39">
        <f t="shared" ref="W2:W14" si="3">V2/$AH$14</f>
        <v>0</v>
      </c>
      <c r="X2" s="254" t="s">
        <v>60</v>
      </c>
      <c r="Y2" s="254"/>
      <c r="Z2" s="1"/>
      <c r="AA2" s="38"/>
      <c r="AB2" s="39">
        <f>AA2</f>
        <v>0</v>
      </c>
      <c r="AC2" s="39">
        <f t="shared" ref="AC2:AC14" si="4">AB2/$AH$14</f>
        <v>0</v>
      </c>
      <c r="AD2" s="254" t="s">
        <v>60</v>
      </c>
      <c r="AE2" s="254"/>
      <c r="AG2" s="37" t="s">
        <v>61</v>
      </c>
      <c r="AH2" s="37">
        <v>1</v>
      </c>
      <c r="AR2" s="202" t="s">
        <v>260</v>
      </c>
      <c r="AS2" s="203"/>
      <c r="AT2" s="203"/>
      <c r="AU2" s="203"/>
      <c r="AV2" s="203"/>
      <c r="AW2" s="203"/>
      <c r="AX2" s="203"/>
      <c r="AY2" s="203"/>
      <c r="AZ2" s="203"/>
      <c r="BA2" s="203"/>
      <c r="BB2" s="203"/>
      <c r="BC2" s="204"/>
      <c r="BM2" s="202" t="s">
        <v>260</v>
      </c>
      <c r="BN2" s="203"/>
      <c r="BO2" s="203"/>
      <c r="BP2" s="203"/>
      <c r="BQ2" s="203"/>
      <c r="BR2" s="203"/>
      <c r="BS2" s="204"/>
    </row>
    <row r="3" spans="1:74" ht="15">
      <c r="A3" s="260">
        <v>2006</v>
      </c>
      <c r="C3" s="311">
        <f>$AR$69</f>
        <v>1623155.213645139</v>
      </c>
      <c r="D3" s="311">
        <f>C3</f>
        <v>1623155.213645139</v>
      </c>
      <c r="E3" s="311">
        <f t="shared" si="0"/>
        <v>20809.682226219731</v>
      </c>
      <c r="F3" s="312">
        <f>D30</f>
        <v>1623155.2136451395</v>
      </c>
      <c r="G3" s="312">
        <f>C3-F3</f>
        <v>0</v>
      </c>
      <c r="H3" s="40"/>
      <c r="I3" s="311">
        <f>$AR$64</f>
        <v>1623155.213645139</v>
      </c>
      <c r="J3" s="311">
        <f>I3</f>
        <v>1623155.213645139</v>
      </c>
      <c r="K3" s="311">
        <f t="shared" si="1"/>
        <v>20809.682226219731</v>
      </c>
      <c r="L3" s="312">
        <f>J30</f>
        <v>1623155.2136451395</v>
      </c>
      <c r="M3" s="312">
        <f>I3-L3</f>
        <v>0</v>
      </c>
      <c r="N3" s="40"/>
      <c r="O3" s="311">
        <f>$AR$65</f>
        <v>0</v>
      </c>
      <c r="P3" s="311">
        <f>O3</f>
        <v>0</v>
      </c>
      <c r="Q3" s="311">
        <f t="shared" si="2"/>
        <v>0</v>
      </c>
      <c r="R3" s="312">
        <f>P30</f>
        <v>0</v>
      </c>
      <c r="S3" s="312">
        <f>O3-R3</f>
        <v>0</v>
      </c>
      <c r="T3" s="40"/>
      <c r="U3" s="311">
        <f>$AR$66</f>
        <v>0</v>
      </c>
      <c r="V3" s="311">
        <f>U3</f>
        <v>0</v>
      </c>
      <c r="W3" s="311">
        <f t="shared" si="3"/>
        <v>0</v>
      </c>
      <c r="X3" s="312">
        <f>V30</f>
        <v>0</v>
      </c>
      <c r="Y3" s="312">
        <f>U3-X3</f>
        <v>0</v>
      </c>
      <c r="Z3" s="40"/>
      <c r="AA3" s="311">
        <f>$AR$67</f>
        <v>0</v>
      </c>
      <c r="AB3" s="311">
        <f>AA3</f>
        <v>0</v>
      </c>
      <c r="AC3" s="311">
        <f t="shared" si="4"/>
        <v>0</v>
      </c>
      <c r="AD3" s="312">
        <f>AB30</f>
        <v>0</v>
      </c>
      <c r="AE3" s="312">
        <f>AA3-AD3</f>
        <v>0</v>
      </c>
      <c r="AG3" s="37" t="s">
        <v>62</v>
      </c>
      <c r="AH3" s="37">
        <v>2</v>
      </c>
      <c r="AJ3">
        <v>1</v>
      </c>
      <c r="AK3" t="s">
        <v>85</v>
      </c>
      <c r="AL3" t="s">
        <v>86</v>
      </c>
      <c r="AM3" s="17">
        <v>1</v>
      </c>
      <c r="AQ3">
        <v>2006</v>
      </c>
      <c r="AR3" s="47">
        <v>24038.770774203331</v>
      </c>
      <c r="AS3" s="47">
        <v>48077.541548406662</v>
      </c>
      <c r="AT3" s="47">
        <v>48077.541548406662</v>
      </c>
      <c r="AU3" s="47">
        <v>48077.541548406662</v>
      </c>
      <c r="AV3" s="47">
        <v>48077.541548406662</v>
      </c>
      <c r="AW3" s="47">
        <v>48077.541548406662</v>
      </c>
      <c r="AX3" s="47">
        <v>0</v>
      </c>
      <c r="AY3" s="47">
        <v>0</v>
      </c>
      <c r="AZ3" s="47">
        <v>0</v>
      </c>
      <c r="BA3" s="47">
        <v>0</v>
      </c>
      <c r="BB3" s="47">
        <v>0</v>
      </c>
      <c r="BC3" s="47">
        <v>0</v>
      </c>
      <c r="BF3" s="45" t="str">
        <f>'5. Static CDM Result by Program'!B9</f>
        <v>Appliance Retirement</v>
      </c>
      <c r="BG3" s="45" t="str">
        <f>'5. Static CDM Result by Program'!C9</f>
        <v>RS</v>
      </c>
      <c r="BH3" s="17">
        <v>1</v>
      </c>
      <c r="BL3">
        <v>2011</v>
      </c>
      <c r="BM3" s="47">
        <f>'5. Static CDM Result by Program'!E9*0.5</f>
        <v>154891.53049999999</v>
      </c>
      <c r="BN3" s="47">
        <f>'5. Static CDM Result by Program'!H9</f>
        <v>309783.06099999999</v>
      </c>
      <c r="BO3" s="47">
        <f>'5. Static CDM Result by Program'!K9</f>
        <v>309783.06099999999</v>
      </c>
      <c r="BP3" s="47">
        <f>'5. Static CDM Result by Program'!N9</f>
        <v>309783.06099999999</v>
      </c>
      <c r="BQ3" s="47">
        <f>BP3</f>
        <v>309783.06099999999</v>
      </c>
      <c r="BR3" s="47">
        <f>BQ3</f>
        <v>309783.06099999999</v>
      </c>
      <c r="BS3" s="47">
        <f>BR3</f>
        <v>309783.06099999999</v>
      </c>
    </row>
    <row r="4" spans="1:74" ht="15">
      <c r="A4" s="260">
        <v>2007</v>
      </c>
      <c r="C4" s="311">
        <f>$AS$69</f>
        <v>4646180.5660392176</v>
      </c>
      <c r="D4" s="311">
        <f>C4-E30</f>
        <v>1649586.3254635758</v>
      </c>
      <c r="E4" s="311">
        <f t="shared" si="0"/>
        <v>21148.542634148409</v>
      </c>
      <c r="F4" s="312">
        <f>D42</f>
        <v>4646180.5660392158</v>
      </c>
      <c r="G4" s="312">
        <f t="shared" ref="G4:G14" si="5">C4-F4</f>
        <v>0</v>
      </c>
      <c r="H4" s="40"/>
      <c r="I4" s="311">
        <f>$AS$64</f>
        <v>4646180.5660392176</v>
      </c>
      <c r="J4" s="311">
        <f>I4-K30</f>
        <v>1649586.3254635758</v>
      </c>
      <c r="K4" s="311">
        <f t="shared" si="1"/>
        <v>21148.542634148409</v>
      </c>
      <c r="L4" s="312">
        <f>J42</f>
        <v>4646180.5660392158</v>
      </c>
      <c r="M4" s="312">
        <f t="shared" ref="M4:M14" si="6">I4-L4</f>
        <v>0</v>
      </c>
      <c r="N4" s="40"/>
      <c r="O4" s="311">
        <f>$AS$65</f>
        <v>0</v>
      </c>
      <c r="P4" s="311">
        <f>O4-Q30</f>
        <v>0</v>
      </c>
      <c r="Q4" s="311">
        <f t="shared" si="2"/>
        <v>0</v>
      </c>
      <c r="R4" s="312">
        <f>P42</f>
        <v>0</v>
      </c>
      <c r="S4" s="312">
        <f t="shared" ref="S4:S14" si="7">O4-R4</f>
        <v>0</v>
      </c>
      <c r="T4" s="40"/>
      <c r="U4" s="311">
        <f>$AS$66</f>
        <v>0</v>
      </c>
      <c r="V4" s="311">
        <f>U4-W30</f>
        <v>0</v>
      </c>
      <c r="W4" s="311">
        <f t="shared" si="3"/>
        <v>0</v>
      </c>
      <c r="X4" s="312">
        <f>V42</f>
        <v>0</v>
      </c>
      <c r="Y4" s="312">
        <f t="shared" ref="Y4:Y14" si="8">U4-X4</f>
        <v>0</v>
      </c>
      <c r="Z4" s="40"/>
      <c r="AA4" s="311">
        <f>$AS$67</f>
        <v>0</v>
      </c>
      <c r="AB4" s="311">
        <f>AA4-AC30</f>
        <v>0</v>
      </c>
      <c r="AC4" s="311">
        <f t="shared" si="4"/>
        <v>0</v>
      </c>
      <c r="AD4" s="312">
        <f>AB42</f>
        <v>0</v>
      </c>
      <c r="AE4" s="312">
        <f t="shared" ref="AE4:AE14" si="9">AA4-AD4</f>
        <v>0</v>
      </c>
      <c r="AG4" s="37" t="s">
        <v>63</v>
      </c>
      <c r="AH4" s="37">
        <v>3</v>
      </c>
      <c r="AJ4">
        <v>2</v>
      </c>
      <c r="AK4" t="s">
        <v>87</v>
      </c>
      <c r="AL4" t="s">
        <v>86</v>
      </c>
      <c r="AM4" s="17">
        <v>1</v>
      </c>
      <c r="AQ4">
        <v>2006</v>
      </c>
      <c r="AR4" s="47">
        <v>59341.623937688659</v>
      </c>
      <c r="AS4" s="47">
        <v>118683.24787537732</v>
      </c>
      <c r="AT4" s="47">
        <v>118683.24787537732</v>
      </c>
      <c r="AU4" s="47">
        <v>118683.24787537732</v>
      </c>
      <c r="AV4" s="47">
        <v>118683.24787537732</v>
      </c>
      <c r="AW4" s="47">
        <v>118683.24787537732</v>
      </c>
      <c r="AX4" s="47">
        <v>118683.24787537732</v>
      </c>
      <c r="AY4" s="47">
        <v>118683.24787537732</v>
      </c>
      <c r="AZ4" s="47">
        <v>87560.759981566574</v>
      </c>
      <c r="BA4" s="47">
        <v>87560.759981566574</v>
      </c>
      <c r="BB4" s="47">
        <v>87560.759981566574</v>
      </c>
      <c r="BC4" s="47">
        <v>87560.759981566574</v>
      </c>
      <c r="BF4" s="45" t="str">
        <f>'5. Static CDM Result by Program'!B10</f>
        <v>Appliance Exchange</v>
      </c>
      <c r="BG4" s="45" t="str">
        <f>'5. Static CDM Result by Program'!C10</f>
        <v>RS</v>
      </c>
      <c r="BH4" s="17">
        <v>1</v>
      </c>
      <c r="BL4">
        <v>2011</v>
      </c>
      <c r="BM4" s="47">
        <f>'5. Static CDM Result by Program'!E10*0.5</f>
        <v>984.2835</v>
      </c>
      <c r="BN4" s="47">
        <f>'5. Static CDM Result by Program'!H10</f>
        <v>1968.567</v>
      </c>
      <c r="BO4" s="47">
        <f>'5. Static CDM Result by Program'!K10</f>
        <v>1968.567</v>
      </c>
      <c r="BP4" s="47">
        <f>'5. Static CDM Result by Program'!N10</f>
        <v>1968.567</v>
      </c>
      <c r="BQ4" s="47">
        <f t="shared" ref="BQ4:BR67" si="10">BP4</f>
        <v>1968.567</v>
      </c>
      <c r="BR4" s="47">
        <f t="shared" si="10"/>
        <v>1968.567</v>
      </c>
      <c r="BS4" s="47">
        <f t="shared" ref="BS4" si="11">BR4</f>
        <v>1968.567</v>
      </c>
    </row>
    <row r="5" spans="1:74" ht="15">
      <c r="A5" s="260">
        <v>2008</v>
      </c>
      <c r="C5" s="311">
        <f>$AT$69</f>
        <v>6995958.7480950691</v>
      </c>
      <c r="D5" s="311">
        <f>C5-E42</f>
        <v>953974.36820205953</v>
      </c>
      <c r="E5" s="311">
        <f t="shared" si="0"/>
        <v>12230.440617975122</v>
      </c>
      <c r="F5" s="312">
        <f>D54</f>
        <v>6995958.7480950672</v>
      </c>
      <c r="G5" s="312">
        <f t="shared" si="5"/>
        <v>0</v>
      </c>
      <c r="H5" s="40"/>
      <c r="I5" s="311">
        <f>$AT$64</f>
        <v>6816130.0086207483</v>
      </c>
      <c r="J5" s="311">
        <f>I5-K42</f>
        <v>774145.62872773875</v>
      </c>
      <c r="K5" s="311">
        <f t="shared" si="1"/>
        <v>9924.943958047932</v>
      </c>
      <c r="L5" s="312">
        <f>J54</f>
        <v>6816130.0086207455</v>
      </c>
      <c r="M5" s="312">
        <f t="shared" si="6"/>
        <v>0</v>
      </c>
      <c r="N5" s="40"/>
      <c r="O5" s="311">
        <f>$AT$65</f>
        <v>50032.177031538566</v>
      </c>
      <c r="P5" s="311">
        <f>O5-Q42</f>
        <v>50032.177031538566</v>
      </c>
      <c r="Q5" s="311">
        <f t="shared" si="2"/>
        <v>641.43816707100723</v>
      </c>
      <c r="R5" s="312">
        <f>P54</f>
        <v>50032.177031538566</v>
      </c>
      <c r="S5" s="312">
        <f t="shared" si="7"/>
        <v>0</v>
      </c>
      <c r="T5" s="40"/>
      <c r="U5" s="311">
        <f>$AT$66</f>
        <v>129796.56244278199</v>
      </c>
      <c r="V5" s="311">
        <f>U5-W42</f>
        <v>129796.56244278199</v>
      </c>
      <c r="W5" s="311">
        <f t="shared" si="3"/>
        <v>1664.0584928561793</v>
      </c>
      <c r="X5" s="312">
        <f>V54</f>
        <v>129796.56244278203</v>
      </c>
      <c r="Y5" s="312">
        <f t="shared" si="8"/>
        <v>0</v>
      </c>
      <c r="Z5" s="40"/>
      <c r="AA5" s="311">
        <f>$AT$67</f>
        <v>0</v>
      </c>
      <c r="AB5" s="311">
        <f>AA5-AC42</f>
        <v>0</v>
      </c>
      <c r="AC5" s="311">
        <f t="shared" si="4"/>
        <v>0</v>
      </c>
      <c r="AD5" s="312">
        <f>AB54</f>
        <v>0</v>
      </c>
      <c r="AE5" s="312">
        <f t="shared" si="9"/>
        <v>0</v>
      </c>
      <c r="AG5" s="37" t="s">
        <v>64</v>
      </c>
      <c r="AH5" s="37">
        <v>4</v>
      </c>
      <c r="AJ5">
        <v>3</v>
      </c>
      <c r="AK5" t="s">
        <v>88</v>
      </c>
      <c r="AL5" t="s">
        <v>86</v>
      </c>
      <c r="AM5" s="17">
        <v>1</v>
      </c>
      <c r="AQ5">
        <v>2006</v>
      </c>
      <c r="AR5" s="47">
        <v>1539774.8189332471</v>
      </c>
      <c r="AS5" s="47">
        <v>3079549.6378664942</v>
      </c>
      <c r="AT5" s="47">
        <v>3079549.6378664942</v>
      </c>
      <c r="AU5" s="47">
        <v>3079549.6378664942</v>
      </c>
      <c r="AV5" s="47">
        <v>397051.45020394842</v>
      </c>
      <c r="AW5" s="47">
        <v>397051.45020394842</v>
      </c>
      <c r="AX5" s="47">
        <v>397051.45020394842</v>
      </c>
      <c r="AY5" s="47">
        <v>397051.45020394842</v>
      </c>
      <c r="AZ5" s="47">
        <v>397051.45020394842</v>
      </c>
      <c r="BA5" s="47">
        <v>397051.45020394842</v>
      </c>
      <c r="BB5" s="47">
        <v>370290.88381848071</v>
      </c>
      <c r="BC5" s="47">
        <v>370290.88381848071</v>
      </c>
      <c r="BF5" s="45" t="str">
        <f>'5. Static CDM Result by Program'!B11</f>
        <v>HVAC Incentives</v>
      </c>
      <c r="BG5" s="45" t="str">
        <f>'5. Static CDM Result by Program'!C11</f>
        <v>RS</v>
      </c>
      <c r="BH5" s="17">
        <v>1</v>
      </c>
      <c r="BL5">
        <v>2011</v>
      </c>
      <c r="BM5" s="47">
        <f>'5. Static CDM Result by Program'!E11*0.5</f>
        <v>176272.255</v>
      </c>
      <c r="BN5" s="47">
        <f>'5. Static CDM Result by Program'!H11</f>
        <v>352544.51</v>
      </c>
      <c r="BO5" s="47">
        <f>'5. Static CDM Result by Program'!K11</f>
        <v>352544.51</v>
      </c>
      <c r="BP5" s="47">
        <f>'5. Static CDM Result by Program'!N11</f>
        <v>352544.51</v>
      </c>
      <c r="BQ5" s="47">
        <f t="shared" si="10"/>
        <v>352544.51</v>
      </c>
      <c r="BR5" s="47">
        <f t="shared" si="10"/>
        <v>352544.51</v>
      </c>
      <c r="BS5" s="47">
        <f t="shared" ref="BS5" si="12">BR5</f>
        <v>352544.51</v>
      </c>
    </row>
    <row r="6" spans="1:74" ht="15">
      <c r="A6" s="260">
        <v>2009</v>
      </c>
      <c r="C6" s="311">
        <f>$AU$69</f>
        <v>10186807.960330183</v>
      </c>
      <c r="D6" s="311">
        <f>C6-E54</f>
        <v>2383640.1314487606</v>
      </c>
      <c r="E6" s="311">
        <f t="shared" si="0"/>
        <v>30559.4888647277</v>
      </c>
      <c r="F6" s="312">
        <f>D66</f>
        <v>10186807.960330181</v>
      </c>
      <c r="G6" s="312">
        <f t="shared" si="5"/>
        <v>0</v>
      </c>
      <c r="H6" s="40"/>
      <c r="I6" s="311">
        <f>$AU$64</f>
        <v>8262415.9752332782</v>
      </c>
      <c r="J6" s="311">
        <f>I6-K54</f>
        <v>791239.66538137104</v>
      </c>
      <c r="K6" s="311">
        <f t="shared" si="1"/>
        <v>10144.098274120142</v>
      </c>
      <c r="L6" s="312">
        <f>J66</f>
        <v>8262415.9752332764</v>
      </c>
      <c r="M6" s="312">
        <f t="shared" si="6"/>
        <v>0</v>
      </c>
      <c r="N6" s="40"/>
      <c r="O6" s="311">
        <f>$AU$65</f>
        <v>713364.2645495201</v>
      </c>
      <c r="P6" s="311">
        <f>O6-Q54</f>
        <v>620997.16849129507</v>
      </c>
      <c r="Q6" s="311">
        <f t="shared" si="2"/>
        <v>7961.5021601448088</v>
      </c>
      <c r="R6" s="312">
        <f>P66</f>
        <v>713364.2645495201</v>
      </c>
      <c r="S6" s="312">
        <f t="shared" si="7"/>
        <v>0</v>
      </c>
      <c r="T6" s="40"/>
      <c r="U6" s="311">
        <f>$AU$66</f>
        <v>1205415.6887927018</v>
      </c>
      <c r="V6" s="311">
        <f>U6-W54</f>
        <v>965791.26582141197</v>
      </c>
      <c r="W6" s="311">
        <f t="shared" si="3"/>
        <v>12381.939305402717</v>
      </c>
      <c r="X6" s="312">
        <f>V66</f>
        <v>1205415.6887927018</v>
      </c>
      <c r="Y6" s="312">
        <f t="shared" si="8"/>
        <v>0</v>
      </c>
      <c r="Z6" s="40"/>
      <c r="AA6" s="311">
        <f>$AU$67</f>
        <v>5612.0317546812485</v>
      </c>
      <c r="AB6" s="311">
        <f>AA6-AC54</f>
        <v>5612.0317546812485</v>
      </c>
      <c r="AC6" s="311">
        <f t="shared" si="4"/>
        <v>71.949125060016001</v>
      </c>
      <c r="AD6" s="312">
        <f>AB66</f>
        <v>5612.0317546812494</v>
      </c>
      <c r="AE6" s="312">
        <f t="shared" si="9"/>
        <v>0</v>
      </c>
      <c r="AG6" s="37" t="s">
        <v>65</v>
      </c>
      <c r="AH6" s="37">
        <v>5</v>
      </c>
      <c r="AJ6">
        <v>6</v>
      </c>
      <c r="AK6" t="s">
        <v>91</v>
      </c>
      <c r="AL6" t="s">
        <v>86</v>
      </c>
      <c r="AM6" s="17">
        <v>1</v>
      </c>
      <c r="AQ6">
        <v>2007</v>
      </c>
      <c r="AR6" s="47">
        <v>0</v>
      </c>
      <c r="AS6" s="47">
        <v>106203.87384696097</v>
      </c>
      <c r="AT6" s="47">
        <v>212407.74769392193</v>
      </c>
      <c r="AU6" s="47">
        <v>212407.74769392193</v>
      </c>
      <c r="AV6" s="47">
        <v>212407.74769392193</v>
      </c>
      <c r="AW6" s="47">
        <v>212200.71928367164</v>
      </c>
      <c r="AX6" s="47">
        <v>211993.69087342132</v>
      </c>
      <c r="AY6" s="47">
        <v>211993.69087342132</v>
      </c>
      <c r="AZ6" s="47">
        <v>211993.69087342132</v>
      </c>
      <c r="BA6" s="47">
        <v>176317.27387376598</v>
      </c>
      <c r="BB6" s="47">
        <v>0</v>
      </c>
      <c r="BC6" s="47">
        <v>0</v>
      </c>
      <c r="BF6" s="45" t="str">
        <f>'5. Static CDM Result by Program'!B12</f>
        <v>Conservation Instant Coupon Booklet</v>
      </c>
      <c r="BG6" s="45" t="str">
        <f>'5. Static CDM Result by Program'!C12</f>
        <v>RS</v>
      </c>
      <c r="BH6" s="17">
        <v>1</v>
      </c>
      <c r="BL6">
        <v>2011</v>
      </c>
      <c r="BM6" s="47">
        <f>'5. Static CDM Result by Program'!E12*0.5</f>
        <v>83451.001999999993</v>
      </c>
      <c r="BN6" s="47">
        <f>'5. Static CDM Result by Program'!H12</f>
        <v>166902.00399999999</v>
      </c>
      <c r="BO6" s="47">
        <f>'5. Static CDM Result by Program'!K12</f>
        <v>166902.00399999999</v>
      </c>
      <c r="BP6" s="47">
        <f>'5. Static CDM Result by Program'!N12</f>
        <v>166902.00399999999</v>
      </c>
      <c r="BQ6" s="47">
        <f t="shared" si="10"/>
        <v>166902.00399999999</v>
      </c>
      <c r="BR6" s="47">
        <f t="shared" si="10"/>
        <v>166902.00399999999</v>
      </c>
      <c r="BS6" s="47">
        <f t="shared" ref="BS6" si="13">BR6</f>
        <v>166902.00399999999</v>
      </c>
    </row>
    <row r="7" spans="1:74" ht="15">
      <c r="A7" s="260">
        <v>2010</v>
      </c>
      <c r="C7" s="311">
        <f>$AV$69</f>
        <v>10803490.516097954</v>
      </c>
      <c r="D7" s="311">
        <f>C7-E66</f>
        <v>-1400243.7093042526</v>
      </c>
      <c r="E7" s="311">
        <f t="shared" si="0"/>
        <v>-17951.842426977597</v>
      </c>
      <c r="F7" s="312">
        <f>D78</f>
        <v>10803490.516097954</v>
      </c>
      <c r="G7" s="312">
        <f t="shared" si="5"/>
        <v>0</v>
      </c>
      <c r="H7" s="40"/>
      <c r="I7" s="311">
        <f>$AV$64</f>
        <v>6707812.2110402873</v>
      </c>
      <c r="J7" s="311">
        <f>I7-K66</f>
        <v>-2224114.2502849186</v>
      </c>
      <c r="K7" s="311">
        <f t="shared" si="1"/>
        <v>-28514.285260063058</v>
      </c>
      <c r="L7" s="312">
        <f>J78</f>
        <v>6707812.2110402901</v>
      </c>
      <c r="M7" s="312">
        <f t="shared" si="6"/>
        <v>0</v>
      </c>
      <c r="N7" s="40"/>
      <c r="O7" s="311">
        <f>$AV$65</f>
        <v>1834512.0953367227</v>
      </c>
      <c r="P7" s="311">
        <f>O7-Q66</f>
        <v>595688.68821764505</v>
      </c>
      <c r="Q7" s="311">
        <f t="shared" si="2"/>
        <v>7637.0344643287826</v>
      </c>
      <c r="R7" s="312">
        <f>P78</f>
        <v>1834512.0953367229</v>
      </c>
      <c r="S7" s="312">
        <f t="shared" si="7"/>
        <v>0</v>
      </c>
      <c r="T7" s="40"/>
      <c r="U7" s="311">
        <f>$AV$66</f>
        <v>2242150.1214050464</v>
      </c>
      <c r="V7" s="311">
        <f>U7-W66</f>
        <v>219526.43845576514</v>
      </c>
      <c r="W7" s="311">
        <f t="shared" si="3"/>
        <v>2814.4415186636556</v>
      </c>
      <c r="X7" s="312">
        <f>V78</f>
        <v>2242150.1214050474</v>
      </c>
      <c r="Y7" s="312">
        <f t="shared" si="8"/>
        <v>0</v>
      </c>
      <c r="Z7" s="40"/>
      <c r="AA7" s="311">
        <f>$AV$67</f>
        <v>19016.088315895944</v>
      </c>
      <c r="AB7" s="311">
        <f>AA7-AC66</f>
        <v>8655.4143072536372</v>
      </c>
      <c r="AC7" s="311">
        <f t="shared" si="4"/>
        <v>110.96685009299534</v>
      </c>
      <c r="AD7" s="312">
        <f>AB78</f>
        <v>19016.088315895948</v>
      </c>
      <c r="AE7" s="312">
        <f t="shared" si="9"/>
        <v>0</v>
      </c>
      <c r="AG7" s="37" t="s">
        <v>66</v>
      </c>
      <c r="AH7" s="37">
        <v>6</v>
      </c>
      <c r="AJ7">
        <v>7</v>
      </c>
      <c r="AK7" t="s">
        <v>87</v>
      </c>
      <c r="AL7" t="s">
        <v>86</v>
      </c>
      <c r="AM7" s="17">
        <v>1</v>
      </c>
      <c r="AQ7">
        <v>2007</v>
      </c>
      <c r="AR7" s="47">
        <v>0</v>
      </c>
      <c r="AS7" s="47">
        <v>91478.165909908057</v>
      </c>
      <c r="AT7" s="47">
        <v>182956.33181981611</v>
      </c>
      <c r="AU7" s="47">
        <v>182956.33181981611</v>
      </c>
      <c r="AV7" s="47">
        <v>182956.33181981611</v>
      </c>
      <c r="AW7" s="47">
        <v>182956.33181981611</v>
      </c>
      <c r="AX7" s="47">
        <v>174282.4483182508</v>
      </c>
      <c r="AY7" s="47">
        <v>174282.4483182508</v>
      </c>
      <c r="AZ7" s="47">
        <v>174282.4483182508</v>
      </c>
      <c r="BA7" s="47">
        <v>174282.4483182508</v>
      </c>
      <c r="BB7" s="47">
        <v>174282.4483182508</v>
      </c>
      <c r="BC7" s="47">
        <v>174282.4483182508</v>
      </c>
      <c r="BF7" s="45" t="str">
        <f>'5. Static CDM Result by Program'!B13</f>
        <v>Bi-Annual Retailer Event</v>
      </c>
      <c r="BG7" s="45" t="str">
        <f>'5. Static CDM Result by Program'!C13</f>
        <v>RS</v>
      </c>
      <c r="BH7" s="17">
        <v>1</v>
      </c>
      <c r="BL7">
        <v>2011</v>
      </c>
      <c r="BM7" s="47">
        <f>'5. Static CDM Result by Program'!E13*0.5</f>
        <v>128395.3615</v>
      </c>
      <c r="BN7" s="47">
        <f>'5. Static CDM Result by Program'!H13</f>
        <v>256790.723</v>
      </c>
      <c r="BO7" s="47">
        <f>'5. Static CDM Result by Program'!K13</f>
        <v>256790.723</v>
      </c>
      <c r="BP7" s="47">
        <f>'5. Static CDM Result by Program'!N13</f>
        <v>256790.723</v>
      </c>
      <c r="BQ7" s="47">
        <f t="shared" si="10"/>
        <v>256790.723</v>
      </c>
      <c r="BR7" s="47">
        <f t="shared" si="10"/>
        <v>256790.723</v>
      </c>
      <c r="BS7" s="47">
        <f t="shared" ref="BS7" si="14">BR7</f>
        <v>256790.723</v>
      </c>
      <c r="BU7" s="46">
        <f>SUM(BM3:BP7)</f>
        <v>3807961.0275000008</v>
      </c>
      <c r="BV7" s="46">
        <f>BU7-'5. Static CDM Result by Program'!Q14</f>
        <v>-543994.43249999918</v>
      </c>
    </row>
    <row r="8" spans="1:74" ht="15">
      <c r="A8" s="260">
        <v>2011</v>
      </c>
      <c r="C8" s="311">
        <f>$AW$69</f>
        <v>12098105.961378258</v>
      </c>
      <c r="D8" s="311">
        <f>C8-E78</f>
        <v>2479437.0454608239</v>
      </c>
      <c r="E8" s="311">
        <f t="shared" si="0"/>
        <v>31787.654428984923</v>
      </c>
      <c r="F8" s="312">
        <f>D90</f>
        <v>12098105.961378263</v>
      </c>
      <c r="G8" s="312">
        <f t="shared" si="5"/>
        <v>0</v>
      </c>
      <c r="H8" s="40"/>
      <c r="I8" s="311">
        <f>$AW$64</f>
        <v>7261361.956700353</v>
      </c>
      <c r="J8" s="311">
        <f>I8-K78</f>
        <v>2435492.5728242239</v>
      </c>
      <c r="K8" s="311">
        <f t="shared" si="1"/>
        <v>31224.263754156716</v>
      </c>
      <c r="L8" s="312">
        <f>J90</f>
        <v>7261361.9567003557</v>
      </c>
      <c r="M8" s="312">
        <f t="shared" si="6"/>
        <v>0</v>
      </c>
      <c r="N8" s="40"/>
      <c r="O8" s="311">
        <f>$AW$65</f>
        <v>2578640.3991112872</v>
      </c>
      <c r="P8" s="311">
        <f>O8-Q78</f>
        <v>240084.02912886487</v>
      </c>
      <c r="Q8" s="311">
        <f t="shared" si="2"/>
        <v>3078.0003734469856</v>
      </c>
      <c r="R8" s="312">
        <f>P90</f>
        <v>2578640.3991112877</v>
      </c>
      <c r="S8" s="312">
        <f t="shared" si="7"/>
        <v>0</v>
      </c>
      <c r="T8" s="40"/>
      <c r="U8" s="311">
        <f>$AW$66</f>
        <v>2174585.6490233717</v>
      </c>
      <c r="V8" s="311">
        <f>U8-W78</f>
        <v>-253317.61261347681</v>
      </c>
      <c r="W8" s="311">
        <f t="shared" si="3"/>
        <v>-3247.6617001727795</v>
      </c>
      <c r="X8" s="312">
        <f>V90</f>
        <v>2174585.6490233713</v>
      </c>
      <c r="Y8" s="312">
        <f t="shared" si="8"/>
        <v>0</v>
      </c>
      <c r="Z8" s="40"/>
      <c r="AA8" s="311">
        <f>$AW$67</f>
        <v>83517.956543244305</v>
      </c>
      <c r="AB8" s="311">
        <f>AA8-AC78</f>
        <v>57178.05612121067</v>
      </c>
      <c r="AC8" s="311">
        <f t="shared" si="4"/>
        <v>733.0520015539829</v>
      </c>
      <c r="AD8" s="312">
        <f>AB90</f>
        <v>83517.956543244305</v>
      </c>
      <c r="AE8" s="312">
        <f t="shared" si="9"/>
        <v>0</v>
      </c>
      <c r="AG8" s="37" t="s">
        <v>67</v>
      </c>
      <c r="AH8" s="37">
        <v>7</v>
      </c>
      <c r="AJ8">
        <v>8</v>
      </c>
      <c r="AK8" t="s">
        <v>88</v>
      </c>
      <c r="AL8" t="s">
        <v>86</v>
      </c>
      <c r="AM8" s="17">
        <v>1</v>
      </c>
      <c r="AQ8">
        <v>2007</v>
      </c>
      <c r="AR8" s="47">
        <v>0</v>
      </c>
      <c r="AS8" s="47">
        <v>548359.55116949079</v>
      </c>
      <c r="AT8" s="47">
        <v>1083306.3093436284</v>
      </c>
      <c r="AU8" s="47">
        <v>1083306.3093436284</v>
      </c>
      <c r="AV8" s="47">
        <v>1083306.3093436284</v>
      </c>
      <c r="AW8" s="47">
        <v>1083306.3093436284</v>
      </c>
      <c r="AX8" s="47">
        <v>1046311.8721829965</v>
      </c>
      <c r="AY8" s="47">
        <v>1046311.8721829965</v>
      </c>
      <c r="AZ8" s="47">
        <v>1046311.8721829965</v>
      </c>
      <c r="BA8" s="47">
        <v>84977.039720991204</v>
      </c>
      <c r="BB8" s="47">
        <v>84977.039720991204</v>
      </c>
      <c r="BC8" s="47">
        <v>16011.971167969257</v>
      </c>
      <c r="BF8" s="45" t="str">
        <f>'5. Static CDM Result by Program'!B17</f>
        <v>Retrofit</v>
      </c>
      <c r="BG8" s="45" t="str">
        <f>'5. Static CDM Result by Program'!C17</f>
        <v>GS &lt; 50</v>
      </c>
      <c r="BH8" s="17"/>
      <c r="BI8" s="17">
        <v>1</v>
      </c>
      <c r="BL8">
        <v>2011</v>
      </c>
      <c r="BM8" s="47">
        <f>'5. Static CDM Result by Program'!E17*0.5</f>
        <v>85270.5</v>
      </c>
      <c r="BN8" s="47">
        <f>'5. Static CDM Result by Program'!H17</f>
        <v>170541</v>
      </c>
      <c r="BO8" s="47">
        <f>'5. Static CDM Result by Program'!K17</f>
        <v>170541</v>
      </c>
      <c r="BP8" s="47">
        <f>'5. Static CDM Result by Program'!N17</f>
        <v>170541</v>
      </c>
      <c r="BQ8" s="47">
        <f t="shared" si="10"/>
        <v>170541</v>
      </c>
      <c r="BR8" s="47">
        <f t="shared" si="10"/>
        <v>170541</v>
      </c>
      <c r="BS8" s="47">
        <f t="shared" ref="BS8" si="15">BR8</f>
        <v>170541</v>
      </c>
    </row>
    <row r="9" spans="1:74" ht="15">
      <c r="A9" s="260">
        <v>2012</v>
      </c>
      <c r="C9" s="311">
        <f>$AX$69</f>
        <v>14377494.801644679</v>
      </c>
      <c r="D9" s="311">
        <f>C9-E90</f>
        <v>181403.6479534097</v>
      </c>
      <c r="E9" s="311">
        <f t="shared" si="0"/>
        <v>2325.6877942744832</v>
      </c>
      <c r="F9" s="312">
        <f>D102</f>
        <v>14377494.801644674</v>
      </c>
      <c r="G9" s="312">
        <f t="shared" si="5"/>
        <v>0</v>
      </c>
      <c r="H9" s="40"/>
      <c r="I9" s="311">
        <f>$AX$64</f>
        <v>7818796.6494667754</v>
      </c>
      <c r="J9" s="311">
        <f>I9-K90</f>
        <v>-1503366.7150079254</v>
      </c>
      <c r="K9" s="311">
        <f t="shared" si="1"/>
        <v>-19273.93224369135</v>
      </c>
      <c r="L9" s="312">
        <f>J102</f>
        <v>7818796.6494667791</v>
      </c>
      <c r="M9" s="312">
        <f t="shared" si="6"/>
        <v>0</v>
      </c>
      <c r="N9" s="40"/>
      <c r="O9" s="311">
        <f>$AX$65</f>
        <v>3414927.0870990683</v>
      </c>
      <c r="P9" s="311">
        <f>O9-Q90</f>
        <v>633138.6633402789</v>
      </c>
      <c r="Q9" s="311">
        <f t="shared" si="2"/>
        <v>8117.1623505163961</v>
      </c>
      <c r="R9" s="312">
        <f>P102</f>
        <v>3414927.0870990688</v>
      </c>
      <c r="S9" s="312">
        <f t="shared" si="7"/>
        <v>0</v>
      </c>
      <c r="T9" s="40"/>
      <c r="U9" s="311">
        <f>$AX$66</f>
        <v>2956747.926992347</v>
      </c>
      <c r="V9" s="311">
        <f>U9-W90</f>
        <v>996507.95018037967</v>
      </c>
      <c r="W9" s="311">
        <f t="shared" si="3"/>
        <v>12775.742951030508</v>
      </c>
      <c r="X9" s="312">
        <f>V102</f>
        <v>2956747.9269923461</v>
      </c>
      <c r="Y9" s="312">
        <f t="shared" si="8"/>
        <v>0</v>
      </c>
      <c r="Z9" s="40"/>
      <c r="AA9" s="311">
        <f>$AX$67</f>
        <v>187023.13808648862</v>
      </c>
      <c r="AB9" s="311">
        <f>AA9-AC90</f>
        <v>55123.749440681451</v>
      </c>
      <c r="AC9" s="311">
        <f t="shared" si="4"/>
        <v>706.71473641899297</v>
      </c>
      <c r="AD9" s="312">
        <f>AB102</f>
        <v>187023.13808648862</v>
      </c>
      <c r="AE9" s="312">
        <f t="shared" si="9"/>
        <v>0</v>
      </c>
      <c r="AG9" s="37" t="s">
        <v>68</v>
      </c>
      <c r="AH9" s="37">
        <v>8</v>
      </c>
      <c r="AJ9">
        <v>10</v>
      </c>
      <c r="AK9" t="s">
        <v>93</v>
      </c>
      <c r="AL9" t="s">
        <v>86</v>
      </c>
      <c r="AM9" s="17">
        <v>1</v>
      </c>
      <c r="AQ9">
        <v>2007</v>
      </c>
      <c r="AR9" s="47">
        <v>0</v>
      </c>
      <c r="AS9" s="47">
        <v>375465.68360921496</v>
      </c>
      <c r="AT9" s="47">
        <v>126571.30791977121</v>
      </c>
      <c r="AU9" s="47">
        <v>47909.279003399221</v>
      </c>
      <c r="AV9" s="47">
        <v>47909.279003399221</v>
      </c>
      <c r="AW9" s="47">
        <v>47909.279003399221</v>
      </c>
      <c r="AX9" s="47">
        <v>47909.279003399221</v>
      </c>
      <c r="AY9" s="47">
        <v>47909.279003399221</v>
      </c>
      <c r="AZ9" s="47">
        <v>47909.279003399221</v>
      </c>
      <c r="BA9" s="47">
        <v>30427.403100223848</v>
      </c>
      <c r="BB9" s="47">
        <v>30427.403100223848</v>
      </c>
      <c r="BC9" s="47">
        <v>30427.403100223848</v>
      </c>
      <c r="BF9" s="45" t="str">
        <f>'5. Static CDM Result by Program'!B18</f>
        <v>Retrofit</v>
      </c>
      <c r="BG9" s="45" t="str">
        <f>'5. Static CDM Result by Program'!C18</f>
        <v>GS 50-999</v>
      </c>
      <c r="BH9" s="17"/>
      <c r="BJ9" s="17">
        <v>1</v>
      </c>
      <c r="BL9">
        <v>2011</v>
      </c>
      <c r="BM9" s="47">
        <f>'5. Static CDM Result by Program'!E18*0.5</f>
        <v>175113</v>
      </c>
      <c r="BN9" s="47">
        <f>'5. Static CDM Result by Program'!H18</f>
        <v>350226</v>
      </c>
      <c r="BO9" s="47">
        <f>'5. Static CDM Result by Program'!K18</f>
        <v>350226</v>
      </c>
      <c r="BP9" s="47">
        <f>'5. Static CDM Result by Program'!N18</f>
        <v>350226</v>
      </c>
      <c r="BQ9" s="47">
        <f t="shared" si="10"/>
        <v>350226</v>
      </c>
      <c r="BR9" s="47">
        <f t="shared" si="10"/>
        <v>350226</v>
      </c>
      <c r="BS9" s="47">
        <f t="shared" ref="BS9" si="16">BR9</f>
        <v>350226</v>
      </c>
    </row>
    <row r="10" spans="1:74" ht="15">
      <c r="A10" s="260">
        <v>2013</v>
      </c>
      <c r="C10" s="311">
        <f>$AY$69</f>
        <v>20154699.025604852</v>
      </c>
      <c r="D10" s="311">
        <f>C10-E102</f>
        <v>5623708.8295380659</v>
      </c>
      <c r="E10" s="311">
        <f t="shared" si="0"/>
        <v>72098.83114792392</v>
      </c>
      <c r="F10" s="312">
        <f>D114</f>
        <v>20154699.02560484</v>
      </c>
      <c r="G10" s="312">
        <f t="shared" si="5"/>
        <v>0</v>
      </c>
      <c r="H10" s="40"/>
      <c r="I10" s="311">
        <f>$AY$64</f>
        <v>8253039.4154269472</v>
      </c>
      <c r="J10" s="311">
        <f>I10-K102</f>
        <v>1706322.2940437933</v>
      </c>
      <c r="K10" s="311">
        <f t="shared" si="1"/>
        <v>21875.926846715298</v>
      </c>
      <c r="L10" s="312">
        <f>J114</f>
        <v>8253039.4154269453</v>
      </c>
      <c r="M10" s="312">
        <f t="shared" si="6"/>
        <v>0</v>
      </c>
      <c r="N10" s="40"/>
      <c r="O10" s="311">
        <f>$AY$65</f>
        <v>4753896.410753727</v>
      </c>
      <c r="P10" s="311">
        <f>O10-Q102</f>
        <v>803236.60852057487</v>
      </c>
      <c r="Q10" s="311">
        <f t="shared" si="2"/>
        <v>10297.905237443267</v>
      </c>
      <c r="R10" s="312">
        <f>P114</f>
        <v>4753896.4107537279</v>
      </c>
      <c r="S10" s="312">
        <f t="shared" si="7"/>
        <v>0</v>
      </c>
      <c r="T10" s="40"/>
      <c r="U10" s="311">
        <f>$AY$66</f>
        <v>4629625.0914507657</v>
      </c>
      <c r="V10" s="311">
        <f>U10-W102</f>
        <v>829678.12969040684</v>
      </c>
      <c r="W10" s="311">
        <f t="shared" si="3"/>
        <v>10636.89909859496</v>
      </c>
      <c r="X10" s="312">
        <f>V114</f>
        <v>4629625.0914507657</v>
      </c>
      <c r="Y10" s="312">
        <f t="shared" si="8"/>
        <v>0</v>
      </c>
      <c r="Z10" s="40"/>
      <c r="AA10" s="311">
        <f>$AY$67</f>
        <v>2518138.1079734107</v>
      </c>
      <c r="AB10" s="311">
        <f>AA10-AC102</f>
        <v>2284471.7972832685</v>
      </c>
      <c r="AC10" s="311">
        <f t="shared" si="4"/>
        <v>29288.099965170109</v>
      </c>
      <c r="AD10" s="312">
        <f>AB114</f>
        <v>2518138.1079734103</v>
      </c>
      <c r="AE10" s="312">
        <f t="shared" si="9"/>
        <v>0</v>
      </c>
      <c r="AG10" s="37" t="s">
        <v>69</v>
      </c>
      <c r="AH10" s="37">
        <v>9</v>
      </c>
      <c r="AJ10">
        <v>11</v>
      </c>
      <c r="AK10" t="s">
        <v>94</v>
      </c>
      <c r="AL10" t="s">
        <v>86</v>
      </c>
      <c r="AM10" s="17">
        <v>1</v>
      </c>
      <c r="AQ10">
        <v>2007</v>
      </c>
      <c r="AR10" s="47">
        <v>0</v>
      </c>
      <c r="AS10" s="47">
        <v>192150</v>
      </c>
      <c r="AT10" s="47">
        <v>384300</v>
      </c>
      <c r="AU10" s="47">
        <v>384300</v>
      </c>
      <c r="AV10" s="47">
        <v>384300</v>
      </c>
      <c r="AW10" s="47">
        <v>0</v>
      </c>
      <c r="AX10" s="47">
        <v>0</v>
      </c>
      <c r="AY10" s="47">
        <v>0</v>
      </c>
      <c r="AZ10" s="47">
        <v>0</v>
      </c>
      <c r="BA10" s="47">
        <v>0</v>
      </c>
      <c r="BB10" s="47">
        <v>0</v>
      </c>
      <c r="BC10" s="47">
        <v>0</v>
      </c>
      <c r="BF10" s="45" t="str">
        <f>'5. Static CDM Result by Program'!B19</f>
        <v>Retrofit</v>
      </c>
      <c r="BG10" s="45" t="str">
        <f>'5. Static CDM Result by Program'!C19</f>
        <v>GS &gt; 1000</v>
      </c>
      <c r="BH10" s="17"/>
      <c r="BK10" s="17">
        <v>1</v>
      </c>
      <c r="BL10">
        <v>2011</v>
      </c>
      <c r="BM10" s="47">
        <f>'5. Static CDM Result by Program'!E19*0.5</f>
        <v>27937</v>
      </c>
      <c r="BN10" s="47">
        <f>'5. Static CDM Result by Program'!H19</f>
        <v>55874</v>
      </c>
      <c r="BO10" s="47">
        <f>'5. Static CDM Result by Program'!K19</f>
        <v>55874</v>
      </c>
      <c r="BP10" s="47">
        <f>'5. Static CDM Result by Program'!N19</f>
        <v>55874</v>
      </c>
      <c r="BQ10" s="47">
        <f t="shared" si="10"/>
        <v>55874</v>
      </c>
      <c r="BR10" s="47">
        <f t="shared" si="10"/>
        <v>55874</v>
      </c>
      <c r="BS10" s="47">
        <f t="shared" ref="BS10" si="17">BR10</f>
        <v>55874</v>
      </c>
    </row>
    <row r="11" spans="1:74" ht="15">
      <c r="A11" s="260">
        <v>2014</v>
      </c>
      <c r="C11" s="311">
        <f>$AZ$69</f>
        <v>29397195.420202538</v>
      </c>
      <c r="D11" s="311">
        <f>C11-E114</f>
        <v>4483973.5388347208</v>
      </c>
      <c r="E11" s="311">
        <f t="shared" si="0"/>
        <v>57486.840241470782</v>
      </c>
      <c r="F11" s="312">
        <f>D126</f>
        <v>29397195.420202542</v>
      </c>
      <c r="G11" s="312">
        <f t="shared" si="5"/>
        <v>0</v>
      </c>
      <c r="H11" s="40"/>
      <c r="I11" s="311">
        <f>$AZ$64</f>
        <v>8521067.2610246353</v>
      </c>
      <c r="J11" s="311">
        <f>I11-K114</f>
        <v>-1175783.3262855187</v>
      </c>
      <c r="K11" s="311">
        <f t="shared" si="1"/>
        <v>-15074.145208788701</v>
      </c>
      <c r="L11" s="312">
        <f>J126</f>
        <v>8521067.2610246353</v>
      </c>
      <c r="M11" s="312">
        <f t="shared" si="6"/>
        <v>0</v>
      </c>
      <c r="N11" s="40"/>
      <c r="O11" s="311">
        <f>$AZ$65</f>
        <v>6286049.7442220245</v>
      </c>
      <c r="P11" s="311">
        <f>O11-Q114</f>
        <v>852491.58779704012</v>
      </c>
      <c r="Q11" s="311">
        <f t="shared" si="2"/>
        <v>10929.379330731284</v>
      </c>
      <c r="R11" s="312">
        <f>P126</f>
        <v>6286049.7442220245</v>
      </c>
      <c r="S11" s="312">
        <f t="shared" si="7"/>
        <v>0</v>
      </c>
      <c r="T11" s="40"/>
      <c r="U11" s="311">
        <f>$AZ$66</f>
        <v>7058796.8645823402</v>
      </c>
      <c r="V11" s="311">
        <f>U11-W114</f>
        <v>1727136.4326243065</v>
      </c>
      <c r="W11" s="311">
        <f t="shared" si="3"/>
        <v>22142.774777234699</v>
      </c>
      <c r="X11" s="312">
        <f>V126</f>
        <v>7058796.8645823374</v>
      </c>
      <c r="Y11" s="312">
        <f t="shared" si="8"/>
        <v>0</v>
      </c>
      <c r="Z11" s="40"/>
      <c r="AA11" s="311">
        <f>$AZ$67</f>
        <v>7531281.5503735412</v>
      </c>
      <c r="AB11" s="311">
        <f>AA11-AC114</f>
        <v>3080128.8446989041</v>
      </c>
      <c r="AC11" s="311">
        <f t="shared" si="4"/>
        <v>39488.831342293641</v>
      </c>
      <c r="AD11" s="312">
        <f>AB126</f>
        <v>7531281.5503735421</v>
      </c>
      <c r="AE11" s="312">
        <f t="shared" si="9"/>
        <v>0</v>
      </c>
      <c r="AG11" s="37" t="s">
        <v>70</v>
      </c>
      <c r="AH11" s="37">
        <v>10</v>
      </c>
      <c r="AJ11">
        <v>13</v>
      </c>
      <c r="AK11" t="s">
        <v>96</v>
      </c>
      <c r="AL11" t="s">
        <v>95</v>
      </c>
      <c r="AM11" s="17">
        <v>1</v>
      </c>
      <c r="AQ11">
        <v>2007</v>
      </c>
      <c r="AR11" s="47">
        <v>0</v>
      </c>
      <c r="AS11" s="47">
        <v>49838.918241127074</v>
      </c>
      <c r="AT11" s="47">
        <v>99677.836482254148</v>
      </c>
      <c r="AU11" s="47">
        <v>99677.836482254148</v>
      </c>
      <c r="AV11" s="47">
        <v>99677.836482254148</v>
      </c>
      <c r="AW11" s="47">
        <v>99677.836482254148</v>
      </c>
      <c r="AX11" s="47">
        <v>99677.836482254148</v>
      </c>
      <c r="AY11" s="47">
        <v>99677.836482254148</v>
      </c>
      <c r="AZ11" s="47">
        <v>99677.836482254148</v>
      </c>
      <c r="BA11" s="47">
        <v>99677.836482254148</v>
      </c>
      <c r="BB11" s="47">
        <v>99677.836482254148</v>
      </c>
      <c r="BC11" s="47">
        <v>0</v>
      </c>
      <c r="BF11" s="45" t="str">
        <f>'5. Static CDM Result by Program'!B21</f>
        <v>Direct Install Lighting</v>
      </c>
      <c r="BG11" s="45" t="str">
        <f>'5. Static CDM Result by Program'!C21</f>
        <v>GS &lt; 50</v>
      </c>
      <c r="BI11" s="17">
        <v>1</v>
      </c>
      <c r="BL11">
        <v>2011</v>
      </c>
      <c r="BM11" s="47">
        <f>'5. Static CDM Result by Program'!E21*0.5</f>
        <v>147855.39799999999</v>
      </c>
      <c r="BN11" s="47">
        <f>'5. Static CDM Result by Program'!H21</f>
        <v>295710.79599999997</v>
      </c>
      <c r="BO11" s="47">
        <f>'5. Static CDM Result by Program'!K21</f>
        <v>295710.79599999997</v>
      </c>
      <c r="BP11" s="47">
        <f>'5. Static CDM Result by Program'!N21</f>
        <v>295710.79599999997</v>
      </c>
      <c r="BQ11" s="47">
        <f t="shared" si="10"/>
        <v>295710.79599999997</v>
      </c>
      <c r="BR11" s="47">
        <f t="shared" si="10"/>
        <v>295710.79599999997</v>
      </c>
      <c r="BS11" s="47">
        <f t="shared" ref="BS11" si="18">BR11</f>
        <v>295710.79599999997</v>
      </c>
      <c r="BU11" s="46">
        <f>SUM(BM8:BP11)</f>
        <v>3053231.2860000003</v>
      </c>
      <c r="BV11" s="46">
        <f>BU11-'5. Static CDM Result by Program'!Q28</f>
        <v>-436175.89799999958</v>
      </c>
    </row>
    <row r="12" spans="1:74" ht="15">
      <c r="A12" s="260">
        <v>2015</v>
      </c>
      <c r="C12" s="311">
        <f>$BA$69</f>
        <v>42876251.801438883</v>
      </c>
      <c r="D12" s="311">
        <f>C12-E126</f>
        <v>9684924.9252992682</v>
      </c>
      <c r="E12" s="311">
        <f t="shared" si="0"/>
        <v>124165.70417050344</v>
      </c>
      <c r="F12" s="312">
        <f>D138</f>
        <v>42876251.801438905</v>
      </c>
      <c r="G12" s="312">
        <f t="shared" si="5"/>
        <v>0</v>
      </c>
      <c r="H12" s="40"/>
      <c r="I12" s="311">
        <f>$BA$64</f>
        <v>8395774.5567609761</v>
      </c>
      <c r="J12" s="311">
        <f>I12-K126</f>
        <v>869600.87951639388</v>
      </c>
      <c r="K12" s="311">
        <f t="shared" si="1"/>
        <v>11148.729224569151</v>
      </c>
      <c r="L12" s="312">
        <f>J138</f>
        <v>8395774.556760978</v>
      </c>
      <c r="M12" s="312">
        <f t="shared" si="6"/>
        <v>0</v>
      </c>
      <c r="N12" s="40"/>
      <c r="O12" s="311">
        <f>$BA$65</f>
        <v>7461235.875187018</v>
      </c>
      <c r="P12" s="311">
        <f>O12-Q126</f>
        <v>453847.09513673093</v>
      </c>
      <c r="Q12" s="311">
        <f t="shared" si="2"/>
        <v>5818.5525017529608</v>
      </c>
      <c r="R12" s="312">
        <f>P138</f>
        <v>7461235.875187018</v>
      </c>
      <c r="S12" s="312">
        <f t="shared" si="7"/>
        <v>0</v>
      </c>
      <c r="T12" s="40"/>
      <c r="U12" s="311">
        <f>$BA$66</f>
        <v>8999332.331604138</v>
      </c>
      <c r="V12" s="311">
        <f>U12-W126</f>
        <v>479112.33172431216</v>
      </c>
      <c r="W12" s="311">
        <f t="shared" si="3"/>
        <v>6142.4657913373358</v>
      </c>
      <c r="X12" s="312">
        <f>V138</f>
        <v>8999332.3316041343</v>
      </c>
      <c r="Y12" s="312">
        <f t="shared" si="8"/>
        <v>0</v>
      </c>
      <c r="Z12" s="40"/>
      <c r="AA12" s="311">
        <f>$BA$67</f>
        <v>17536909.03788675</v>
      </c>
      <c r="AB12" s="311">
        <f>AA12-AC126</f>
        <v>7399364.6189218275</v>
      </c>
      <c r="AC12" s="311">
        <f t="shared" si="4"/>
        <v>94863.648960536244</v>
      </c>
      <c r="AD12" s="312">
        <f>AB138</f>
        <v>17536909.037886754</v>
      </c>
      <c r="AE12" s="312">
        <f t="shared" si="9"/>
        <v>0</v>
      </c>
      <c r="AG12" s="37" t="s">
        <v>71</v>
      </c>
      <c r="AH12" s="37">
        <v>11</v>
      </c>
      <c r="AJ12">
        <v>14</v>
      </c>
      <c r="AK12" t="s">
        <v>97</v>
      </c>
      <c r="AL12" t="s">
        <v>95</v>
      </c>
      <c r="AM12" s="17">
        <v>1</v>
      </c>
      <c r="AQ12">
        <v>2007</v>
      </c>
      <c r="AR12" s="47">
        <v>0</v>
      </c>
      <c r="AS12" s="47">
        <v>36373.945972236696</v>
      </c>
      <c r="AT12" s="47">
        <v>72747.891944473391</v>
      </c>
      <c r="AU12" s="47">
        <v>72747.891944473391</v>
      </c>
      <c r="AV12" s="47">
        <v>72747.891944473391</v>
      </c>
      <c r="AW12" s="47">
        <v>72747.891944473391</v>
      </c>
      <c r="AX12" s="47">
        <v>72747.891944473391</v>
      </c>
      <c r="AY12" s="47">
        <v>72747.891944473391</v>
      </c>
      <c r="AZ12" s="47">
        <v>72747.891944473391</v>
      </c>
      <c r="BA12" s="47">
        <v>72747.891944473391</v>
      </c>
      <c r="BB12" s="47">
        <v>72747.891944473391</v>
      </c>
      <c r="BC12" s="47">
        <v>72747.891944473391</v>
      </c>
      <c r="BF12" s="45" t="str">
        <f>'5. Static CDM Result by Program'!B34</f>
        <v>Retrofit</v>
      </c>
      <c r="BG12" s="45" t="str">
        <f>'5. Static CDM Result by Program'!C34</f>
        <v>GS &gt; 1000</v>
      </c>
      <c r="BK12" s="17">
        <v>1</v>
      </c>
      <c r="BL12">
        <v>2011</v>
      </c>
      <c r="BM12" s="47">
        <f>'5. Static CDM Result by Program'!E34*0.5</f>
        <v>54547.031499999997</v>
      </c>
      <c r="BN12" s="47">
        <f>'5. Static CDM Result by Program'!H34</f>
        <v>109094.06299999999</v>
      </c>
      <c r="BO12" s="47">
        <f>'5. Static CDM Result by Program'!K34</f>
        <v>109094.06299999999</v>
      </c>
      <c r="BP12" s="47">
        <f>'5. Static CDM Result by Program'!N34</f>
        <v>109094.06299999999</v>
      </c>
      <c r="BQ12" s="47">
        <f t="shared" si="10"/>
        <v>109094.06299999999</v>
      </c>
      <c r="BR12" s="47">
        <f t="shared" si="10"/>
        <v>109094.06299999999</v>
      </c>
      <c r="BS12" s="47">
        <f t="shared" ref="BS12" si="19">BR12</f>
        <v>109094.06299999999</v>
      </c>
      <c r="BU12" s="46">
        <f>SUM(BM12:BP12)</f>
        <v>381829.22049999994</v>
      </c>
      <c r="BV12" s="46">
        <f>BU12-'5. Static CDM Result by Program'!Q36</f>
        <v>-54547.031500000041</v>
      </c>
    </row>
    <row r="13" spans="1:74" ht="15">
      <c r="A13" s="260">
        <v>2016</v>
      </c>
      <c r="C13" s="311">
        <f>$BB$69</f>
        <v>51549649.559722133</v>
      </c>
      <c r="D13" s="311">
        <f>C13-E138</f>
        <v>478461.28302999586</v>
      </c>
      <c r="E13" s="311">
        <f t="shared" si="0"/>
        <v>6134.1190132050751</v>
      </c>
      <c r="F13" s="312">
        <f>D150</f>
        <v>51549649.559722148</v>
      </c>
      <c r="G13" s="312">
        <f t="shared" si="5"/>
        <v>0</v>
      </c>
      <c r="H13" s="40"/>
      <c r="I13" s="311">
        <f>$BB$64</f>
        <v>8364041.6171837654</v>
      </c>
      <c r="J13" s="311">
        <f>I13-K138</f>
        <v>-767549.06839877553</v>
      </c>
      <c r="K13" s="311">
        <f t="shared" si="1"/>
        <v>-9840.3726717791742</v>
      </c>
      <c r="L13" s="312">
        <f>J150</f>
        <v>8364041.6171837701</v>
      </c>
      <c r="M13" s="312">
        <f t="shared" si="6"/>
        <v>0</v>
      </c>
      <c r="N13" s="40"/>
      <c r="O13" s="311">
        <f>$BB$65</f>
        <v>7728686.0105879465</v>
      </c>
      <c r="P13" s="311">
        <f>O13-Q138</f>
        <v>-116574.32971476857</v>
      </c>
      <c r="Q13" s="311">
        <f t="shared" si="2"/>
        <v>-1494.542688650879</v>
      </c>
      <c r="R13" s="312">
        <f>P150</f>
        <v>7728686.0105879437</v>
      </c>
      <c r="S13" s="312">
        <f t="shared" si="7"/>
        <v>0</v>
      </c>
      <c r="T13" s="40"/>
      <c r="U13" s="311">
        <f>$BB$66</f>
        <v>9645633.3940636702</v>
      </c>
      <c r="V13" s="311">
        <f>U13-W138</f>
        <v>240898.32023127377</v>
      </c>
      <c r="W13" s="311">
        <f t="shared" si="3"/>
        <v>3088.4400029650483</v>
      </c>
      <c r="X13" s="312">
        <f>V150</f>
        <v>9645633.3940636702</v>
      </c>
      <c r="Y13" s="312">
        <f t="shared" si="8"/>
        <v>0</v>
      </c>
      <c r="Z13" s="40"/>
      <c r="AA13" s="311">
        <f>$BB$67</f>
        <v>24845288.53788675</v>
      </c>
      <c r="AB13" s="311">
        <f>AA13-AC138</f>
        <v>1047378.6686045974</v>
      </c>
      <c r="AC13" s="311">
        <f t="shared" si="4"/>
        <v>13427.93164877689</v>
      </c>
      <c r="AD13" s="312">
        <f>AB150</f>
        <v>24845288.537886754</v>
      </c>
      <c r="AE13" s="312">
        <f t="shared" si="9"/>
        <v>0</v>
      </c>
      <c r="AG13" s="37" t="s">
        <v>73</v>
      </c>
      <c r="AH13" s="37">
        <v>12</v>
      </c>
      <c r="AJ13">
        <v>20</v>
      </c>
      <c r="AK13" t="s">
        <v>91</v>
      </c>
      <c r="AL13" t="s">
        <v>86</v>
      </c>
      <c r="AM13" s="17">
        <v>1</v>
      </c>
      <c r="AQ13">
        <v>2008</v>
      </c>
      <c r="AR13" s="47">
        <v>0</v>
      </c>
      <c r="AS13" s="47">
        <v>0</v>
      </c>
      <c r="AT13" s="47">
        <v>307051.19500000001</v>
      </c>
      <c r="AU13" s="47">
        <v>614102.39</v>
      </c>
      <c r="AV13" s="47">
        <v>614102.39</v>
      </c>
      <c r="AW13" s="47">
        <v>614102.39</v>
      </c>
      <c r="AX13" s="47">
        <v>613322.27</v>
      </c>
      <c r="AY13" s="47">
        <v>612542.15</v>
      </c>
      <c r="AZ13" s="47">
        <v>612542.15</v>
      </c>
      <c r="BA13" s="47">
        <v>612542.15</v>
      </c>
      <c r="BB13" s="47">
        <v>494023.75</v>
      </c>
      <c r="BC13" s="47">
        <v>0</v>
      </c>
      <c r="BF13" s="45" t="str">
        <f>'5. Static CDM Result by Program'!B48</f>
        <v>Electricity Retrofit Incentive Program</v>
      </c>
      <c r="BG13" s="45" t="str">
        <f>'5. Static CDM Result by Program'!C48</f>
        <v>GS 50-999</v>
      </c>
      <c r="BH13" s="17"/>
      <c r="BJ13" s="17">
        <v>1</v>
      </c>
      <c r="BL13">
        <v>2011</v>
      </c>
      <c r="BM13" s="47">
        <f>'5. Static CDM Result by Program'!E48*0.5</f>
        <v>42658.289499999999</v>
      </c>
      <c r="BN13" s="47">
        <f>'5. Static CDM Result by Program'!H48</f>
        <v>85316.578999999998</v>
      </c>
      <c r="BO13" s="47">
        <f>'5. Static CDM Result by Program'!K48</f>
        <v>85316.578999999998</v>
      </c>
      <c r="BP13" s="47">
        <f>'5. Static CDM Result by Program'!N48</f>
        <v>85316.578999999998</v>
      </c>
      <c r="BQ13" s="47">
        <f t="shared" si="10"/>
        <v>85316.578999999998</v>
      </c>
      <c r="BR13" s="47">
        <f t="shared" si="10"/>
        <v>85316.578999999998</v>
      </c>
      <c r="BS13" s="47">
        <f t="shared" ref="BS13" si="20">BR13</f>
        <v>85316.578999999998</v>
      </c>
    </row>
    <row r="14" spans="1:74" ht="15">
      <c r="A14" s="260">
        <v>2017</v>
      </c>
      <c r="C14" s="311">
        <f>$BC$69</f>
        <v>50122929.347183049</v>
      </c>
      <c r="D14" s="311">
        <f>C14-E150</f>
        <v>-1831572.067410633</v>
      </c>
      <c r="E14" s="311">
        <f t="shared" si="0"/>
        <v>-23481.693171931191</v>
      </c>
      <c r="F14" s="312">
        <f>D162</f>
        <v>50122929.347183041</v>
      </c>
      <c r="G14" s="312">
        <f t="shared" si="5"/>
        <v>0</v>
      </c>
      <c r="H14" s="40"/>
      <c r="I14" s="311">
        <f>$BC$64</f>
        <v>7581503.4870431665</v>
      </c>
      <c r="J14" s="311">
        <f>I14-K150</f>
        <v>-133073.53380318079</v>
      </c>
      <c r="K14" s="311">
        <f t="shared" si="1"/>
        <v>-1706.0709461946255</v>
      </c>
      <c r="L14" s="312">
        <f>J162</f>
        <v>7581503.4870431703</v>
      </c>
      <c r="M14" s="312">
        <f t="shared" si="6"/>
        <v>0</v>
      </c>
      <c r="N14" s="40"/>
      <c r="O14" s="311">
        <f>$BC$65</f>
        <v>7084503.9281894667</v>
      </c>
      <c r="P14" s="311">
        <f>O14-Q150</f>
        <v>-545542.26494751964</v>
      </c>
      <c r="Q14" s="311">
        <f t="shared" si="2"/>
        <v>-6994.1316018912776</v>
      </c>
      <c r="R14" s="312">
        <f>P162</f>
        <v>7084503.9281894686</v>
      </c>
      <c r="S14" s="312">
        <f t="shared" si="7"/>
        <v>0</v>
      </c>
      <c r="T14" s="40"/>
      <c r="U14" s="311">
        <f>$BC$66</f>
        <v>9645633.3940636702</v>
      </c>
      <c r="V14" s="311">
        <f>U14-W150</f>
        <v>-203837.04019569233</v>
      </c>
      <c r="W14" s="311">
        <f t="shared" si="3"/>
        <v>-2613.2953871242607</v>
      </c>
      <c r="X14" s="312">
        <f>V162</f>
        <v>9645633.3940636683</v>
      </c>
      <c r="Y14" s="312">
        <f t="shared" si="8"/>
        <v>0</v>
      </c>
      <c r="Z14" s="40"/>
      <c r="AA14" s="311">
        <f>$BC$67</f>
        <v>24845288.53788675</v>
      </c>
      <c r="AB14" s="311">
        <f>AA14-AC150</f>
        <v>-886243.48881927505</v>
      </c>
      <c r="AC14" s="311">
        <f t="shared" si="4"/>
        <v>-11362.096010503526</v>
      </c>
      <c r="AD14" s="312">
        <f>AB162</f>
        <v>24845288.537886754</v>
      </c>
      <c r="AE14" s="312">
        <f t="shared" si="9"/>
        <v>0</v>
      </c>
      <c r="AG14" s="37" t="s">
        <v>5</v>
      </c>
      <c r="AH14" s="37">
        <f>SUM(AH2:AH13)</f>
        <v>78</v>
      </c>
      <c r="AJ14">
        <v>21</v>
      </c>
      <c r="AK14" t="s">
        <v>100</v>
      </c>
      <c r="AL14" t="s">
        <v>86</v>
      </c>
      <c r="AM14" s="17">
        <v>1</v>
      </c>
      <c r="AQ14">
        <v>2008</v>
      </c>
      <c r="AR14" s="47">
        <v>0</v>
      </c>
      <c r="AS14" s="47">
        <v>0</v>
      </c>
      <c r="AT14" s="47">
        <v>101191.54598535939</v>
      </c>
      <c r="AU14" s="47">
        <v>202383.09197071879</v>
      </c>
      <c r="AV14" s="47">
        <v>202383.09197071879</v>
      </c>
      <c r="AW14" s="47">
        <v>202383.09197071879</v>
      </c>
      <c r="AX14" s="47">
        <v>202383.09197071879</v>
      </c>
      <c r="AY14" s="47">
        <v>202383.09197071879</v>
      </c>
      <c r="AZ14" s="47">
        <v>202383.09197071879</v>
      </c>
      <c r="BA14" s="47">
        <v>202383.09197071879</v>
      </c>
      <c r="BB14" s="47">
        <v>202383.09197071879</v>
      </c>
      <c r="BC14" s="47">
        <v>202383.09197071879</v>
      </c>
      <c r="BF14" s="45" t="str">
        <f>'5. Static CDM Result by Program'!B49</f>
        <v>High Performance New Construction</v>
      </c>
      <c r="BG14" s="45" t="str">
        <f>'5. Static CDM Result by Program'!C49</f>
        <v>GS 50-999</v>
      </c>
      <c r="BH14" s="17"/>
      <c r="BJ14" s="17">
        <v>1</v>
      </c>
      <c r="BL14">
        <v>2011</v>
      </c>
      <c r="BM14" s="47">
        <f>'5. Static CDM Result by Program'!E49*0.5</f>
        <v>1363.2815000000001</v>
      </c>
      <c r="BN14" s="47">
        <f>'5. Static CDM Result by Program'!H49</f>
        <v>2726.5630000000001</v>
      </c>
      <c r="BO14" s="47">
        <f>'5. Static CDM Result by Program'!K49</f>
        <v>2726.5630000000001</v>
      </c>
      <c r="BP14" s="47">
        <f>'5. Static CDM Result by Program'!N49</f>
        <v>2726.5630000000001</v>
      </c>
      <c r="BQ14" s="47">
        <f t="shared" si="10"/>
        <v>2726.5630000000001</v>
      </c>
      <c r="BR14" s="47">
        <f t="shared" si="10"/>
        <v>2726.5630000000001</v>
      </c>
      <c r="BS14" s="47">
        <f t="shared" ref="BS14" si="21">BR14</f>
        <v>2726.5630000000001</v>
      </c>
      <c r="BU14" s="46">
        <f>SUM(BM13:BP14)</f>
        <v>308150.99700000009</v>
      </c>
      <c r="BV14" s="46">
        <f>BU14-'5. Static CDM Result by Program'!Q53</f>
        <v>-44021.57099999988</v>
      </c>
    </row>
    <row r="15" spans="1:74">
      <c r="A15" s="275" t="s">
        <v>5</v>
      </c>
      <c r="C15" s="313">
        <f>SUM(C3:C14)</f>
        <v>254831918.92138195</v>
      </c>
      <c r="D15" s="313"/>
      <c r="E15" s="313"/>
      <c r="F15" s="275"/>
      <c r="G15" s="275"/>
      <c r="I15" s="313">
        <f>SUM(I3:I14)</f>
        <v>84251278.918185294</v>
      </c>
      <c r="J15" s="313"/>
      <c r="K15" s="313"/>
      <c r="L15" s="275"/>
      <c r="M15" s="275"/>
      <c r="O15" s="313">
        <f>SUM(O3:O14)</f>
        <v>41905847.992068313</v>
      </c>
      <c r="P15" s="313"/>
      <c r="Q15" s="313"/>
      <c r="R15" s="275"/>
      <c r="S15" s="275"/>
      <c r="U15" s="313">
        <f>SUM(U3:U14)</f>
        <v>48687717.024420828</v>
      </c>
      <c r="V15" s="313"/>
      <c r="W15" s="313"/>
      <c r="X15" s="275"/>
      <c r="Y15" s="275"/>
      <c r="AA15" s="313">
        <f>SUM(AA3:AA14)</f>
        <v>77572074.986707509</v>
      </c>
      <c r="AB15" s="313"/>
      <c r="AC15" s="313"/>
      <c r="AD15" s="275"/>
      <c r="AE15" s="275"/>
      <c r="AJ15">
        <v>22</v>
      </c>
      <c r="AK15" t="s">
        <v>101</v>
      </c>
      <c r="AL15" t="s">
        <v>86</v>
      </c>
      <c r="AM15" s="17">
        <v>1</v>
      </c>
      <c r="AQ15">
        <v>2008</v>
      </c>
      <c r="AR15" s="47">
        <v>0</v>
      </c>
      <c r="AS15" s="47">
        <v>0</v>
      </c>
      <c r="AT15" s="47">
        <v>513673.47901891754</v>
      </c>
      <c r="AU15" s="47">
        <v>1022877.8502854062</v>
      </c>
      <c r="AV15" s="47">
        <v>1022877.8502854062</v>
      </c>
      <c r="AW15" s="47">
        <v>1022877.8502854062</v>
      </c>
      <c r="AX15" s="47">
        <v>868184.79677149886</v>
      </c>
      <c r="AY15" s="47">
        <v>868184.79677149886</v>
      </c>
      <c r="AZ15" s="47">
        <v>707098.90904116095</v>
      </c>
      <c r="BA15" s="47">
        <v>586754.11016507423</v>
      </c>
      <c r="BB15" s="47">
        <v>370457.41603335878</v>
      </c>
      <c r="BC15" s="47">
        <v>365735.50937175634</v>
      </c>
      <c r="BF15" s="45" t="str">
        <f>'5. Static CDM Result by Program'!B77</f>
        <v>Appliance Retirement</v>
      </c>
      <c r="BG15" s="45" t="str">
        <f>'5. Static CDM Result by Program'!C77</f>
        <v>RS</v>
      </c>
      <c r="BH15" s="17">
        <v>1</v>
      </c>
      <c r="BL15">
        <v>2011</v>
      </c>
      <c r="BM15" s="47">
        <f>'5. Static CDM Result by Program'!E77</f>
        <v>0</v>
      </c>
      <c r="BN15" s="47">
        <f>'5. Static CDM Result by Program'!H77</f>
        <v>0</v>
      </c>
      <c r="BO15" s="47">
        <f>'5. Static CDM Result by Program'!K77</f>
        <v>0</v>
      </c>
      <c r="BP15" s="47">
        <f>'5. Static CDM Result by Program'!N77</f>
        <v>-63231</v>
      </c>
      <c r="BQ15" s="47">
        <f t="shared" si="10"/>
        <v>-63231</v>
      </c>
      <c r="BR15" s="47">
        <f t="shared" si="10"/>
        <v>-63231</v>
      </c>
      <c r="BS15" s="47">
        <f t="shared" ref="BS15" si="22">BR15</f>
        <v>-63231</v>
      </c>
    </row>
    <row r="16" spans="1:74">
      <c r="C16" s="39">
        <f>C15-SUM($AR$69:$BC$69)</f>
        <v>0</v>
      </c>
      <c r="D16" s="39">
        <f>C15-I15-O15-U15-AA15</f>
        <v>2415000</v>
      </c>
      <c r="E16" s="39">
        <f>D16-SUM(BA68:BC68)</f>
        <v>0</v>
      </c>
      <c r="I16" s="39">
        <f>I15-SUM($AR$64:$BC$64)</f>
        <v>0</v>
      </c>
      <c r="O16" s="39">
        <f>O15-SUM($AR$65:$BC$65)</f>
        <v>0</v>
      </c>
      <c r="U16" s="39">
        <f>U15-SUM($AR$66:$BC$66)</f>
        <v>0</v>
      </c>
      <c r="AA16" s="39">
        <f>AA15-SUM($AR$67:$BC$67)</f>
        <v>0</v>
      </c>
      <c r="AJ16">
        <v>24</v>
      </c>
      <c r="AK16" t="s">
        <v>102</v>
      </c>
      <c r="AL16" t="s">
        <v>86</v>
      </c>
      <c r="AM16" s="17">
        <v>1</v>
      </c>
      <c r="AQ16">
        <v>2008</v>
      </c>
      <c r="AR16" s="47">
        <v>0</v>
      </c>
      <c r="AS16" s="47">
        <v>0</v>
      </c>
      <c r="AT16" s="47">
        <v>485935.93612232769</v>
      </c>
      <c r="AU16" s="47">
        <v>350703.22985059145</v>
      </c>
      <c r="AV16" s="47">
        <v>350703.22985059145</v>
      </c>
      <c r="AW16" s="47">
        <v>350703.22985059145</v>
      </c>
      <c r="AX16" s="47">
        <v>350703.22985059145</v>
      </c>
      <c r="AY16" s="47">
        <v>350703.22985059145</v>
      </c>
      <c r="AZ16" s="47">
        <v>350703.22985059145</v>
      </c>
      <c r="BA16" s="47">
        <v>350703.22985059145</v>
      </c>
      <c r="BB16" s="47">
        <v>192127.73701447042</v>
      </c>
      <c r="BC16" s="47">
        <v>192127.73701447042</v>
      </c>
      <c r="BF16" s="45" t="str">
        <f>'5. Static CDM Result by Program'!B79</f>
        <v>HVAC Incentives</v>
      </c>
      <c r="BG16" s="45" t="str">
        <f>'5. Static CDM Result by Program'!C79</f>
        <v>RS</v>
      </c>
      <c r="BH16" s="17">
        <v>1</v>
      </c>
      <c r="BL16">
        <v>2011</v>
      </c>
      <c r="BM16" s="47">
        <f>'5. Static CDM Result by Program'!E79*0.5</f>
        <v>-36960.809500000003</v>
      </c>
      <c r="BN16" s="47">
        <f>'5. Static CDM Result by Program'!H79</f>
        <v>-73921.619000000006</v>
      </c>
      <c r="BO16" s="47">
        <f>'5. Static CDM Result by Program'!K79</f>
        <v>-73921.619000000006</v>
      </c>
      <c r="BP16" s="47">
        <f>'5. Static CDM Result by Program'!N79</f>
        <v>-73921.619000000006</v>
      </c>
      <c r="BQ16" s="47">
        <f t="shared" si="10"/>
        <v>-73921.619000000006</v>
      </c>
      <c r="BR16" s="47">
        <f t="shared" si="10"/>
        <v>-73921.619000000006</v>
      </c>
      <c r="BS16" s="47">
        <f t="shared" ref="BS16" si="23">BR16</f>
        <v>-73921.619000000006</v>
      </c>
    </row>
    <row r="17" spans="1:78">
      <c r="C17" s="39" t="s">
        <v>72</v>
      </c>
      <c r="I17" s="39" t="s">
        <v>72</v>
      </c>
      <c r="O17" s="39" t="s">
        <v>72</v>
      </c>
      <c r="U17" s="39" t="s">
        <v>72</v>
      </c>
      <c r="AA17" s="39" t="s">
        <v>72</v>
      </c>
      <c r="AJ17">
        <v>25</v>
      </c>
      <c r="AK17" t="s">
        <v>98</v>
      </c>
      <c r="AL17" t="s">
        <v>92</v>
      </c>
      <c r="AM17" s="17">
        <v>0</v>
      </c>
      <c r="AN17" s="17">
        <v>0.28000000000000003</v>
      </c>
      <c r="AO17" s="17">
        <v>0.72</v>
      </c>
      <c r="AQ17">
        <v>2008</v>
      </c>
      <c r="AR17" s="47">
        <v>0</v>
      </c>
      <c r="AS17" s="47">
        <v>0</v>
      </c>
      <c r="AT17" s="47">
        <v>178686.34654120915</v>
      </c>
      <c r="AU17" s="47">
        <v>357370.25250163663</v>
      </c>
      <c r="AV17" s="47">
        <v>357370.25250163663</v>
      </c>
      <c r="AW17" s="47">
        <v>357370.25250163663</v>
      </c>
      <c r="AX17" s="47">
        <v>357370.25250163663</v>
      </c>
      <c r="AY17" s="47">
        <v>357370.25250163663</v>
      </c>
      <c r="AZ17" s="47">
        <v>357370.25250163663</v>
      </c>
      <c r="BA17" s="47">
        <v>357370.25250163663</v>
      </c>
      <c r="BB17" s="47">
        <v>328218.9503620973</v>
      </c>
      <c r="BC17" s="47">
        <v>328218.9503620973</v>
      </c>
      <c r="BF17" s="45" t="str">
        <f>'5. Static CDM Result by Program'!B80</f>
        <v>Conservation Instant Coupon Booklet</v>
      </c>
      <c r="BG17" s="45" t="str">
        <f>'5. Static CDM Result by Program'!C80</f>
        <v>RS</v>
      </c>
      <c r="BH17" s="17">
        <v>1</v>
      </c>
      <c r="BI17" s="17"/>
      <c r="BJ17" s="17"/>
      <c r="BL17">
        <v>2011</v>
      </c>
      <c r="BM17" s="47">
        <f>'5. Static CDM Result by Program'!E80*0.5</f>
        <v>1204.3515</v>
      </c>
      <c r="BN17" s="47">
        <f>'5. Static CDM Result by Program'!H80</f>
        <v>2408.703</v>
      </c>
      <c r="BO17" s="47">
        <f>'5. Static CDM Result by Program'!K80</f>
        <v>2408.703</v>
      </c>
      <c r="BP17" s="47">
        <f>'5. Static CDM Result by Program'!N80</f>
        <v>2408.703</v>
      </c>
      <c r="BQ17" s="47">
        <f t="shared" si="10"/>
        <v>2408.703</v>
      </c>
      <c r="BR17" s="47">
        <f t="shared" si="10"/>
        <v>2408.703</v>
      </c>
      <c r="BS17" s="47">
        <f t="shared" ref="BS17" si="24">BR17</f>
        <v>2408.703</v>
      </c>
    </row>
    <row r="18" spans="1:78">
      <c r="C18" s="39"/>
      <c r="I18" s="39"/>
      <c r="O18" s="39"/>
      <c r="U18" s="39"/>
      <c r="AA18" s="39"/>
      <c r="AJ18">
        <v>27</v>
      </c>
      <c r="AK18" t="s">
        <v>103</v>
      </c>
      <c r="AL18" t="s">
        <v>99</v>
      </c>
      <c r="AM18" s="17">
        <v>0</v>
      </c>
      <c r="AO18" s="17">
        <v>1</v>
      </c>
      <c r="AQ18">
        <v>2008</v>
      </c>
      <c r="AR18" s="47">
        <v>0</v>
      </c>
      <c r="AS18" s="47">
        <v>0</v>
      </c>
      <c r="AT18" s="47">
        <v>1142.3929331114118</v>
      </c>
      <c r="AU18" s="47">
        <v>2284.7858662228236</v>
      </c>
      <c r="AV18" s="47">
        <v>2284.7858662228236</v>
      </c>
      <c r="AW18" s="47">
        <v>2284.7858662228236</v>
      </c>
      <c r="AX18" s="47">
        <v>2284.7858662228236</v>
      </c>
      <c r="AY18" s="47">
        <v>2284.7858662228236</v>
      </c>
      <c r="AZ18" s="47">
        <v>2284.7858662228236</v>
      </c>
      <c r="BA18" s="47">
        <v>2284.7858662228236</v>
      </c>
      <c r="BB18" s="47">
        <v>2284.7858662228236</v>
      </c>
      <c r="BC18" s="47">
        <v>2284.7858662228236</v>
      </c>
      <c r="BF18" s="45" t="str">
        <f>'5. Static CDM Result by Program'!B81</f>
        <v>Bi-Annual Retailer Event</v>
      </c>
      <c r="BG18" s="45" t="str">
        <f>'5. Static CDM Result by Program'!C81</f>
        <v>RS</v>
      </c>
      <c r="BH18" s="17">
        <v>1</v>
      </c>
      <c r="BJ18" s="17"/>
      <c r="BL18">
        <v>2011</v>
      </c>
      <c r="BM18" s="47">
        <f>'5. Static CDM Result by Program'!E81*0.5</f>
        <v>9539.3464999999997</v>
      </c>
      <c r="BN18" s="47">
        <f>'5. Static CDM Result by Program'!H81</f>
        <v>19078.692999999999</v>
      </c>
      <c r="BO18" s="47">
        <f>'5. Static CDM Result by Program'!K81</f>
        <v>19078.692999999999</v>
      </c>
      <c r="BP18" s="47">
        <f>'5. Static CDM Result by Program'!N81</f>
        <v>19078.692999999999</v>
      </c>
      <c r="BQ18" s="47">
        <f t="shared" si="10"/>
        <v>19078.692999999999</v>
      </c>
      <c r="BR18" s="47">
        <f t="shared" si="10"/>
        <v>19078.692999999999</v>
      </c>
      <c r="BS18" s="47">
        <f t="shared" ref="BS18" si="25">BR18</f>
        <v>19078.692999999999</v>
      </c>
      <c r="BU18" s="46">
        <f>SUM(BM15:BP18)</f>
        <v>-246750.7805000002</v>
      </c>
      <c r="BV18" s="46">
        <f>BU18-'5. Static CDM Result by Program'!Q86</f>
        <v>26217.111499999854</v>
      </c>
    </row>
    <row r="19" spans="1:78">
      <c r="A19" s="2">
        <v>38718</v>
      </c>
      <c r="B19" s="2"/>
      <c r="C19" s="39">
        <f>E3</f>
        <v>20809.682226219731</v>
      </c>
      <c r="I19" s="39">
        <f>K3</f>
        <v>20809.682226219731</v>
      </c>
      <c r="O19" s="39">
        <f>Q3</f>
        <v>0</v>
      </c>
      <c r="U19" s="39">
        <f>W3</f>
        <v>0</v>
      </c>
      <c r="AA19" s="39">
        <f>AC3</f>
        <v>0</v>
      </c>
      <c r="AJ19">
        <v>35</v>
      </c>
      <c r="AK19" t="s">
        <v>91</v>
      </c>
      <c r="AL19" t="s">
        <v>86</v>
      </c>
      <c r="AM19" s="17">
        <v>1</v>
      </c>
      <c r="AQ19">
        <v>2009</v>
      </c>
      <c r="AR19" s="47">
        <v>0</v>
      </c>
      <c r="AS19" s="47">
        <v>0</v>
      </c>
      <c r="AT19" s="47">
        <v>0</v>
      </c>
      <c r="AU19" s="47">
        <v>377262.96411811473</v>
      </c>
      <c r="AV19" s="47">
        <v>754525.92823622946</v>
      </c>
      <c r="AW19" s="47">
        <v>754525.92823622946</v>
      </c>
      <c r="AX19" s="47">
        <v>753309.11574211658</v>
      </c>
      <c r="AY19" s="47">
        <v>575607.77665463416</v>
      </c>
      <c r="AZ19" s="47">
        <v>0</v>
      </c>
      <c r="BA19" s="47">
        <v>0</v>
      </c>
      <c r="BB19" s="47">
        <v>0</v>
      </c>
      <c r="BC19" s="47">
        <v>0</v>
      </c>
      <c r="BF19" s="45" t="str">
        <f>'5. Static CDM Result by Program'!B89</f>
        <v>Retrofit</v>
      </c>
      <c r="BG19" s="45" t="str">
        <f>'5. Static CDM Result by Program'!C89</f>
        <v>GS &lt; 50</v>
      </c>
      <c r="BH19" s="17"/>
      <c r="BI19" s="17">
        <v>1</v>
      </c>
      <c r="BL19">
        <v>2011</v>
      </c>
      <c r="BM19" s="47">
        <f>'5. Static CDM Result by Program'!E89*0.5</f>
        <v>3155.1688364239235</v>
      </c>
      <c r="BN19" s="47">
        <f>'5. Static CDM Result by Program'!H89</f>
        <v>6310.337672847847</v>
      </c>
      <c r="BO19" s="47">
        <f>'5. Static CDM Result by Program'!K89</f>
        <v>6310.337672847847</v>
      </c>
      <c r="BP19" s="47">
        <f>'5. Static CDM Result by Program'!N89</f>
        <v>6310.337672847847</v>
      </c>
      <c r="BQ19" s="47">
        <f t="shared" si="10"/>
        <v>6310.337672847847</v>
      </c>
      <c r="BR19" s="47">
        <f t="shared" si="10"/>
        <v>6310.337672847847</v>
      </c>
      <c r="BS19" s="47">
        <f t="shared" ref="BS19" si="26">BR19</f>
        <v>6310.337672847847</v>
      </c>
    </row>
    <row r="20" spans="1:78">
      <c r="A20" s="2">
        <v>38749</v>
      </c>
      <c r="B20" s="2"/>
      <c r="C20" s="39">
        <f>C19+E3</f>
        <v>41619.364452439462</v>
      </c>
      <c r="I20" s="39">
        <f>I19+K3</f>
        <v>41619.364452439462</v>
      </c>
      <c r="O20" s="39">
        <f>O19+Q3</f>
        <v>0</v>
      </c>
      <c r="U20" s="39">
        <f>U19+W3</f>
        <v>0</v>
      </c>
      <c r="AA20" s="39">
        <f>AA19+AC3</f>
        <v>0</v>
      </c>
      <c r="AJ20">
        <v>36</v>
      </c>
      <c r="AK20" t="s">
        <v>100</v>
      </c>
      <c r="AL20" t="s">
        <v>86</v>
      </c>
      <c r="AM20" s="17">
        <v>1</v>
      </c>
      <c r="AQ20">
        <v>2009</v>
      </c>
      <c r="AR20" s="47">
        <v>0</v>
      </c>
      <c r="AS20" s="47">
        <v>0</v>
      </c>
      <c r="AT20" s="47">
        <v>0</v>
      </c>
      <c r="AU20" s="47">
        <v>126885.73054090477</v>
      </c>
      <c r="AV20" s="47">
        <v>253771.46108180954</v>
      </c>
      <c r="AW20" s="47">
        <v>253771.46108180954</v>
      </c>
      <c r="AX20" s="47">
        <v>252868.97155354352</v>
      </c>
      <c r="AY20" s="47">
        <v>251571.15721532991</v>
      </c>
      <c r="AZ20" s="47">
        <v>250044.15551587933</v>
      </c>
      <c r="BA20" s="47">
        <v>250044.15551587933</v>
      </c>
      <c r="BB20" s="47">
        <v>250044.15551587933</v>
      </c>
      <c r="BC20" s="47">
        <v>250044.15551587933</v>
      </c>
      <c r="BF20" s="45" t="str">
        <f>'5. Static CDM Result by Program'!B90</f>
        <v>Retrofit</v>
      </c>
      <c r="BG20" s="45" t="str">
        <f>'5. Static CDM Result by Program'!C90</f>
        <v>GS 50-999</v>
      </c>
      <c r="BH20" s="17"/>
      <c r="BJ20" s="17">
        <v>1</v>
      </c>
      <c r="BL20">
        <v>2011</v>
      </c>
      <c r="BM20" s="47">
        <f>'5. Static CDM Result by Program'!E90*0.5</f>
        <v>6479.4061203317833</v>
      </c>
      <c r="BN20" s="47">
        <f>'5. Static CDM Result by Program'!H90</f>
        <v>12958.812240663567</v>
      </c>
      <c r="BO20" s="47">
        <f>'5. Static CDM Result by Program'!K90</f>
        <v>12958.812240663567</v>
      </c>
      <c r="BP20" s="47">
        <f>'5. Static CDM Result by Program'!N90</f>
        <v>12958.812240663567</v>
      </c>
      <c r="BQ20" s="47">
        <f t="shared" si="10"/>
        <v>12958.812240663567</v>
      </c>
      <c r="BR20" s="47">
        <f t="shared" si="10"/>
        <v>12958.812240663567</v>
      </c>
      <c r="BS20" s="47">
        <f t="shared" ref="BS20" si="27">BR20</f>
        <v>12958.812240663567</v>
      </c>
    </row>
    <row r="21" spans="1:78">
      <c r="A21" s="2">
        <v>38777</v>
      </c>
      <c r="B21" s="2"/>
      <c r="C21" s="39">
        <f>C20+E3</f>
        <v>62429.046678659193</v>
      </c>
      <c r="I21" s="39">
        <f>I20+K3</f>
        <v>62429.046678659193</v>
      </c>
      <c r="O21" s="39">
        <f>O20+Q3</f>
        <v>0</v>
      </c>
      <c r="U21" s="39">
        <f>U20+W3</f>
        <v>0</v>
      </c>
      <c r="AA21" s="39">
        <f>AA20+AC3</f>
        <v>0</v>
      </c>
      <c r="AJ21">
        <v>37</v>
      </c>
      <c r="AK21" t="s">
        <v>101</v>
      </c>
      <c r="AL21" t="s">
        <v>86</v>
      </c>
      <c r="AM21" s="17">
        <v>1</v>
      </c>
      <c r="AQ21">
        <v>2009</v>
      </c>
      <c r="AR21" s="47">
        <v>0</v>
      </c>
      <c r="AS21" s="47">
        <v>0</v>
      </c>
      <c r="AT21" s="47">
        <v>0</v>
      </c>
      <c r="AU21" s="47">
        <v>220634.8948897722</v>
      </c>
      <c r="AV21" s="47">
        <v>422959.13980731642</v>
      </c>
      <c r="AW21" s="47">
        <v>422959.13980731642</v>
      </c>
      <c r="AX21" s="47">
        <v>422933.28810947627</v>
      </c>
      <c r="AY21" s="47">
        <v>420119.43022914539</v>
      </c>
      <c r="AZ21" s="47">
        <v>403546.91692606825</v>
      </c>
      <c r="BA21" s="47">
        <v>321287.36325140443</v>
      </c>
      <c r="BB21" s="47">
        <v>319492.51882401668</v>
      </c>
      <c r="BC21" s="47">
        <v>204342.95038029717</v>
      </c>
      <c r="BF21" s="45" t="str">
        <f>'5. Static CDM Result by Program'!B91</f>
        <v>Retrofit</v>
      </c>
      <c r="BG21" s="45" t="str">
        <f>'5. Static CDM Result by Program'!C91</f>
        <v>GS &gt; 1000</v>
      </c>
      <c r="BH21" s="17"/>
      <c r="BK21" s="17">
        <v>1</v>
      </c>
      <c r="BL21">
        <v>2011</v>
      </c>
      <c r="BM21" s="47">
        <f>'5. Static CDM Result by Program'!E91*0.5</f>
        <v>1033.925043244315</v>
      </c>
      <c r="BN21" s="47">
        <f>'5. Static CDM Result by Program'!H91</f>
        <v>2067.85008648863</v>
      </c>
      <c r="BO21" s="47">
        <f>'5. Static CDM Result by Program'!K91</f>
        <v>2067.85008648863</v>
      </c>
      <c r="BP21" s="47">
        <f>'5. Static CDM Result by Program'!N91</f>
        <v>2067.85008648863</v>
      </c>
      <c r="BQ21" s="47">
        <f t="shared" si="10"/>
        <v>2067.85008648863</v>
      </c>
      <c r="BR21" s="47">
        <f t="shared" si="10"/>
        <v>2067.85008648863</v>
      </c>
      <c r="BS21" s="47">
        <f t="shared" ref="BS21" si="28">BR21</f>
        <v>2067.85008648863</v>
      </c>
    </row>
    <row r="22" spans="1:78">
      <c r="A22" s="2">
        <v>38808</v>
      </c>
      <c r="B22" s="2"/>
      <c r="C22" s="39">
        <f>C21+E3</f>
        <v>83238.728904878924</v>
      </c>
      <c r="I22" s="39">
        <f>I21+K3</f>
        <v>83238.728904878924</v>
      </c>
      <c r="O22" s="39">
        <f>O21+Q3</f>
        <v>0</v>
      </c>
      <c r="U22" s="39">
        <f>U21+W3</f>
        <v>0</v>
      </c>
      <c r="AA22" s="39">
        <f>AA21+AC3</f>
        <v>0</v>
      </c>
      <c r="AJ22">
        <v>39</v>
      </c>
      <c r="AK22" t="s">
        <v>98</v>
      </c>
      <c r="AL22" t="s">
        <v>92</v>
      </c>
      <c r="AM22" s="17">
        <v>0</v>
      </c>
      <c r="AN22" s="17">
        <v>0.28000000000000003</v>
      </c>
      <c r="AO22" s="17">
        <v>0.72</v>
      </c>
      <c r="AQ22">
        <v>2009</v>
      </c>
      <c r="AR22" s="47">
        <v>0</v>
      </c>
      <c r="AS22" s="47">
        <v>0</v>
      </c>
      <c r="AT22" s="47">
        <v>0</v>
      </c>
      <c r="AU22" s="47">
        <v>813409.09090909082</v>
      </c>
      <c r="AV22" s="47">
        <v>1626818.1818181816</v>
      </c>
      <c r="AW22" s="47">
        <v>1626818.1818181816</v>
      </c>
      <c r="AX22" s="47">
        <v>1626818.1818181816</v>
      </c>
      <c r="AY22" s="47">
        <v>1626818.1818181816</v>
      </c>
      <c r="AZ22" s="47">
        <v>1626818.1818181816</v>
      </c>
      <c r="BA22" s="47">
        <v>1626818.1818181816</v>
      </c>
      <c r="BB22" s="47">
        <v>1626818.1818181816</v>
      </c>
      <c r="BC22" s="47">
        <v>1626818.1818181816</v>
      </c>
      <c r="BF22" s="45" t="str">
        <f>'5. Static CDM Result by Program'!B93</f>
        <v>Direct Install Lighting</v>
      </c>
      <c r="BG22" s="45" t="str">
        <f>'5. Static CDM Result by Program'!C93</f>
        <v>GS &lt; 50</v>
      </c>
      <c r="BI22" s="17">
        <v>1</v>
      </c>
      <c r="BL22">
        <v>2011</v>
      </c>
      <c r="BM22" s="47">
        <f>'5. Static CDM Result by Program'!E93*0.5</f>
        <v>0</v>
      </c>
      <c r="BN22" s="47">
        <f>'5. Static CDM Result by Program'!H93</f>
        <v>0</v>
      </c>
      <c r="BO22" s="47">
        <f>'5. Static CDM Result by Program'!K93</f>
        <v>0</v>
      </c>
      <c r="BP22" s="47">
        <f>'5. Static CDM Result by Program'!N93</f>
        <v>-63231</v>
      </c>
      <c r="BQ22" s="47">
        <f t="shared" si="10"/>
        <v>-63231</v>
      </c>
      <c r="BR22" s="47">
        <f t="shared" si="10"/>
        <v>-63231</v>
      </c>
      <c r="BS22" s="47">
        <f t="shared" ref="BS22" si="29">BR22</f>
        <v>-63231</v>
      </c>
    </row>
    <row r="23" spans="1:78">
      <c r="A23" s="2">
        <v>38838</v>
      </c>
      <c r="B23" s="2"/>
      <c r="C23" s="39">
        <f>C22+E3</f>
        <v>104048.41113109866</v>
      </c>
      <c r="I23" s="39">
        <f>I22+K3</f>
        <v>104048.41113109866</v>
      </c>
      <c r="O23" s="39">
        <f>O22+Q3</f>
        <v>0</v>
      </c>
      <c r="U23" s="39">
        <f>U22+W3</f>
        <v>0</v>
      </c>
      <c r="AA23" s="39">
        <f>AA22+AC3</f>
        <v>0</v>
      </c>
      <c r="AJ23">
        <v>41</v>
      </c>
      <c r="AK23" t="s">
        <v>103</v>
      </c>
      <c r="AL23" t="s">
        <v>99</v>
      </c>
      <c r="AM23" s="17">
        <v>0</v>
      </c>
      <c r="AO23" s="17">
        <v>1</v>
      </c>
      <c r="AQ23">
        <v>2009</v>
      </c>
      <c r="AR23" s="47">
        <v>0</v>
      </c>
      <c r="AS23" s="47">
        <v>0</v>
      </c>
      <c r="AT23" s="47">
        <v>0</v>
      </c>
      <c r="AU23" s="47">
        <v>35473.652721340171</v>
      </c>
      <c r="AV23" s="47">
        <v>70947.305442680343</v>
      </c>
      <c r="AW23" s="47">
        <v>70947.305442680343</v>
      </c>
      <c r="AX23" s="47">
        <v>70947.305442680343</v>
      </c>
      <c r="AY23" s="47">
        <v>70947.305442680343</v>
      </c>
      <c r="AZ23" s="47">
        <v>70947.305442680343</v>
      </c>
      <c r="BA23" s="47">
        <v>70947.305442680343</v>
      </c>
      <c r="BB23" s="47">
        <v>70947.305442680343</v>
      </c>
      <c r="BC23" s="47">
        <v>70947.305442680343</v>
      </c>
      <c r="BF23" s="45" t="str">
        <f>'5. Static CDM Result by Program'!B96</f>
        <v>Energy Audit</v>
      </c>
      <c r="BG23" s="45" t="str">
        <f>'5. Static CDM Result by Program'!C96</f>
        <v>GS 50-999</v>
      </c>
      <c r="BH23" s="17"/>
      <c r="BI23" s="17"/>
      <c r="BJ23" s="17">
        <v>1</v>
      </c>
      <c r="BL23">
        <v>2011</v>
      </c>
      <c r="BM23" s="47">
        <f>'5. Static CDM Result by Program'!E96*0.5</f>
        <v>39597.442499999997</v>
      </c>
      <c r="BN23" s="47">
        <f>'5. Static CDM Result by Program'!H96</f>
        <v>79194.884999999995</v>
      </c>
      <c r="BO23" s="47">
        <f>'5. Static CDM Result by Program'!K96</f>
        <v>79194.884999999995</v>
      </c>
      <c r="BP23" s="47">
        <f>'5. Static CDM Result by Program'!N96</f>
        <v>79194.884999999995</v>
      </c>
      <c r="BQ23" s="47">
        <f t="shared" si="10"/>
        <v>79194.884999999995</v>
      </c>
      <c r="BR23" s="47">
        <f t="shared" si="10"/>
        <v>79194.884999999995</v>
      </c>
      <c r="BS23" s="47">
        <f t="shared" ref="BS23" si="30">BR23</f>
        <v>79194.884999999995</v>
      </c>
      <c r="BU23" s="46">
        <f>SUM(BM19:BP23)</f>
        <v>288630.59750000015</v>
      </c>
      <c r="BV23" s="46">
        <f>BU23-'5. Static CDM Result by Program'!Q100</f>
        <v>-50265.942500000005</v>
      </c>
      <c r="BW23" s="46">
        <f>BU7+BU11+BU12+BU14+BU18+BU23</f>
        <v>7593052.3480000012</v>
      </c>
      <c r="BX23" s="46">
        <f>BW23-'5. Static CDM Result by Program'!E579</f>
        <v>-1102787.7639999986</v>
      </c>
      <c r="BY23" s="46">
        <f>('5. Static CDM Result by Program'!E61+'5. Static CDM Result by Program'!E133)*0.5</f>
        <v>1102787.764</v>
      </c>
      <c r="BZ23" s="46">
        <f>BX23+BY23</f>
        <v>0</v>
      </c>
    </row>
    <row r="24" spans="1:78">
      <c r="A24" s="2">
        <v>38869</v>
      </c>
      <c r="B24" s="2"/>
      <c r="C24" s="39">
        <f>C23+E3</f>
        <v>124858.0933573184</v>
      </c>
      <c r="I24" s="39">
        <f>I23+K3</f>
        <v>124858.0933573184</v>
      </c>
      <c r="O24" s="39">
        <f>O23+Q3</f>
        <v>0</v>
      </c>
      <c r="U24" s="39">
        <f>U23+W3</f>
        <v>0</v>
      </c>
      <c r="AA24" s="39">
        <f>AA23+AC3</f>
        <v>0</v>
      </c>
      <c r="AJ24">
        <v>42</v>
      </c>
      <c r="AK24" t="s">
        <v>104</v>
      </c>
      <c r="AL24" t="s">
        <v>99</v>
      </c>
      <c r="AM24" s="17">
        <v>0</v>
      </c>
      <c r="AN24" s="17">
        <v>1</v>
      </c>
      <c r="AQ24">
        <v>2009</v>
      </c>
      <c r="AR24" s="47">
        <v>0</v>
      </c>
      <c r="AS24" s="47">
        <v>0</v>
      </c>
      <c r="AT24" s="47">
        <v>0</v>
      </c>
      <c r="AU24" s="47">
        <v>385546.04839451646</v>
      </c>
      <c r="AV24" s="47">
        <v>771092.09678903292</v>
      </c>
      <c r="AW24" s="47">
        <v>771092.09678903292</v>
      </c>
      <c r="AX24" s="47">
        <v>771092.09678903292</v>
      </c>
      <c r="AY24" s="47">
        <v>771092.09678903292</v>
      </c>
      <c r="AZ24" s="47">
        <v>771092.09678903292</v>
      </c>
      <c r="BA24" s="47">
        <v>771092.09678903292</v>
      </c>
      <c r="BB24" s="47">
        <v>771092.09678903292</v>
      </c>
      <c r="BC24" s="47">
        <v>434293.2499157025</v>
      </c>
      <c r="BF24" s="45" t="str">
        <f>'5. Static CDM Result by Program'!B153</f>
        <v>Appliance Retirement</v>
      </c>
      <c r="BG24" s="45" t="str">
        <f>'5. Static CDM Result by Program'!C153</f>
        <v>RS</v>
      </c>
      <c r="BH24" s="17">
        <v>1</v>
      </c>
      <c r="BI24" s="17"/>
      <c r="BL24">
        <v>2012</v>
      </c>
      <c r="BM24" s="47"/>
      <c r="BN24" s="47">
        <f>'5. Static CDM Result by Program'!E153*0.5</f>
        <v>86865.348499999993</v>
      </c>
      <c r="BO24" s="47">
        <f>'5. Static CDM Result by Program'!K153</f>
        <v>173730.69699999999</v>
      </c>
      <c r="BP24" s="47">
        <f>'5. Static CDM Result by Program'!N153</f>
        <v>173730.69699999999</v>
      </c>
      <c r="BQ24" s="47">
        <f t="shared" si="10"/>
        <v>173730.69699999999</v>
      </c>
      <c r="BR24" s="47">
        <f t="shared" si="10"/>
        <v>173730.69699999999</v>
      </c>
      <c r="BS24" s="47">
        <f t="shared" ref="BS24" si="31">BR24</f>
        <v>173730.69699999999</v>
      </c>
      <c r="BU24" s="47"/>
    </row>
    <row r="25" spans="1:78">
      <c r="A25" s="2">
        <v>38899</v>
      </c>
      <c r="B25" s="2"/>
      <c r="C25" s="39">
        <f>C24+E3</f>
        <v>145667.77558353814</v>
      </c>
      <c r="I25" s="39">
        <f>I24+K3</f>
        <v>145667.77558353814</v>
      </c>
      <c r="O25" s="39">
        <f>O24+Q3</f>
        <v>0</v>
      </c>
      <c r="U25" s="39">
        <f>U24+W3</f>
        <v>0</v>
      </c>
      <c r="AA25" s="39">
        <f>AA24+AC3</f>
        <v>0</v>
      </c>
      <c r="AJ25">
        <v>44</v>
      </c>
      <c r="AK25" t="s">
        <v>89</v>
      </c>
      <c r="AL25" t="s">
        <v>90</v>
      </c>
      <c r="AM25" s="17">
        <v>0</v>
      </c>
      <c r="AO25" s="17">
        <v>1</v>
      </c>
      <c r="AQ25">
        <v>2009</v>
      </c>
      <c r="AR25" s="47">
        <v>0</v>
      </c>
      <c r="AS25" s="47">
        <v>0</v>
      </c>
      <c r="AT25" s="47">
        <v>0</v>
      </c>
      <c r="AU25" s="47">
        <v>30866.174650746863</v>
      </c>
      <c r="AV25" s="47">
        <v>0</v>
      </c>
      <c r="AW25" s="47">
        <v>0</v>
      </c>
      <c r="AX25" s="47">
        <v>0</v>
      </c>
      <c r="AY25" s="47">
        <v>0</v>
      </c>
      <c r="AZ25" s="47">
        <v>0</v>
      </c>
      <c r="BA25" s="47">
        <v>0</v>
      </c>
      <c r="BB25" s="47">
        <v>0</v>
      </c>
      <c r="BC25" s="47">
        <v>0</v>
      </c>
      <c r="BF25" s="45" t="str">
        <f>'5. Static CDM Result by Program'!B154</f>
        <v>Appliance Exchange</v>
      </c>
      <c r="BG25" s="45" t="str">
        <f>'5. Static CDM Result by Program'!C154</f>
        <v>RS</v>
      </c>
      <c r="BH25" s="17">
        <v>1</v>
      </c>
      <c r="BJ25" s="17"/>
      <c r="BL25">
        <v>2012</v>
      </c>
      <c r="BM25" s="47"/>
      <c r="BN25" s="47">
        <f>'5. Static CDM Result by Program'!E154*0.5</f>
        <v>5985.5990000000002</v>
      </c>
      <c r="BO25" s="47">
        <f>'5. Static CDM Result by Program'!K154</f>
        <v>11971.198</v>
      </c>
      <c r="BP25" s="47">
        <f>'5. Static CDM Result by Program'!N154</f>
        <v>11971.198</v>
      </c>
      <c r="BQ25" s="47">
        <f t="shared" si="10"/>
        <v>11971.198</v>
      </c>
      <c r="BR25" s="47">
        <f t="shared" si="10"/>
        <v>11971.198</v>
      </c>
      <c r="BS25" s="47">
        <f t="shared" ref="BS25" si="32">BR25</f>
        <v>11971.198</v>
      </c>
      <c r="BU25" s="47"/>
    </row>
    <row r="26" spans="1:78">
      <c r="A26" s="2">
        <v>38930</v>
      </c>
      <c r="B26" s="2"/>
      <c r="C26" s="39">
        <f>C25+E3</f>
        <v>166477.45780975788</v>
      </c>
      <c r="I26" s="39">
        <f>I25+K3</f>
        <v>166477.45780975788</v>
      </c>
      <c r="O26" s="39">
        <f>O25+Q3</f>
        <v>0</v>
      </c>
      <c r="U26" s="39">
        <f>U25+W3</f>
        <v>0</v>
      </c>
      <c r="AA26" s="39">
        <f>AA25+AC3</f>
        <v>0</v>
      </c>
      <c r="AJ26">
        <v>45</v>
      </c>
      <c r="AK26" t="s">
        <v>108</v>
      </c>
      <c r="AL26" t="s">
        <v>90</v>
      </c>
      <c r="AM26" s="17">
        <v>0</v>
      </c>
      <c r="AO26" s="17">
        <v>1</v>
      </c>
      <c r="AQ26">
        <v>2009</v>
      </c>
      <c r="AR26" s="47">
        <v>0</v>
      </c>
      <c r="AS26" s="47">
        <v>0</v>
      </c>
      <c r="AT26" s="47">
        <v>0</v>
      </c>
      <c r="AU26" s="47">
        <v>293829.9482986682</v>
      </c>
      <c r="AV26" s="47">
        <v>0</v>
      </c>
      <c r="AW26" s="47">
        <v>0</v>
      </c>
      <c r="AX26" s="47">
        <v>0</v>
      </c>
      <c r="AY26" s="47">
        <v>0</v>
      </c>
      <c r="AZ26" s="47">
        <v>0</v>
      </c>
      <c r="BA26" s="47">
        <v>0</v>
      </c>
      <c r="BB26" s="47">
        <v>0</v>
      </c>
      <c r="BC26" s="47">
        <v>0</v>
      </c>
      <c r="BF26" s="45" t="str">
        <f>'5. Static CDM Result by Program'!B155</f>
        <v>HVAC Incentives</v>
      </c>
      <c r="BG26" s="45" t="str">
        <f>'5. Static CDM Result by Program'!C155</f>
        <v>RS</v>
      </c>
      <c r="BH26" s="17">
        <v>1</v>
      </c>
      <c r="BJ26" s="17"/>
      <c r="BL26">
        <v>2012</v>
      </c>
      <c r="BM26" s="47"/>
      <c r="BN26" s="47">
        <f>'5. Static CDM Result by Program'!E155*0.5</f>
        <v>75986.223499999993</v>
      </c>
      <c r="BO26" s="47">
        <f>'5. Static CDM Result by Program'!K155</f>
        <v>151972.44699999999</v>
      </c>
      <c r="BP26" s="47">
        <f>'5. Static CDM Result by Program'!N155</f>
        <v>151972.44699999999</v>
      </c>
      <c r="BQ26" s="47">
        <f t="shared" si="10"/>
        <v>151972.44699999999</v>
      </c>
      <c r="BR26" s="47">
        <f t="shared" si="10"/>
        <v>151972.44699999999</v>
      </c>
      <c r="BS26" s="47">
        <f t="shared" ref="BS26" si="33">BR26</f>
        <v>151972.44699999999</v>
      </c>
      <c r="BU26" s="47"/>
    </row>
    <row r="27" spans="1:78">
      <c r="A27" s="2">
        <v>38961</v>
      </c>
      <c r="B27" s="2"/>
      <c r="C27" s="39">
        <f>C26+E3</f>
        <v>187287.14003597762</v>
      </c>
      <c r="I27" s="39">
        <f>I26+K3</f>
        <v>187287.14003597762</v>
      </c>
      <c r="O27" s="39">
        <f>O26+Q3</f>
        <v>0</v>
      </c>
      <c r="U27" s="39">
        <f>U26+W3</f>
        <v>0</v>
      </c>
      <c r="AA27" s="39">
        <f>AA26+AC3</f>
        <v>0</v>
      </c>
      <c r="AJ27">
        <v>46</v>
      </c>
      <c r="AK27" t="s">
        <v>105</v>
      </c>
      <c r="AL27" t="s">
        <v>90</v>
      </c>
      <c r="AM27" s="17">
        <v>0</v>
      </c>
      <c r="AP27" s="17">
        <v>1</v>
      </c>
      <c r="AQ27">
        <v>2009</v>
      </c>
      <c r="AR27" s="47">
        <v>0</v>
      </c>
      <c r="AS27" s="47">
        <v>0</v>
      </c>
      <c r="AT27" s="47">
        <v>0</v>
      </c>
      <c r="AU27" s="47">
        <v>5612.0317546812485</v>
      </c>
      <c r="AV27" s="47">
        <v>0</v>
      </c>
      <c r="AW27" s="47">
        <v>0</v>
      </c>
      <c r="AX27" s="47">
        <v>0</v>
      </c>
      <c r="AY27" s="47">
        <v>0</v>
      </c>
      <c r="AZ27" s="47">
        <v>0</v>
      </c>
      <c r="BA27" s="47">
        <v>0</v>
      </c>
      <c r="BB27" s="47">
        <v>0</v>
      </c>
      <c r="BC27" s="47">
        <v>0</v>
      </c>
      <c r="BF27" s="45" t="str">
        <f>'5. Static CDM Result by Program'!B156</f>
        <v>Conservation Instant Coupon Booklet</v>
      </c>
      <c r="BG27" s="45" t="str">
        <f>'5. Static CDM Result by Program'!C156</f>
        <v>RS</v>
      </c>
      <c r="BH27" s="17">
        <v>1</v>
      </c>
      <c r="BK27" s="17"/>
      <c r="BL27">
        <v>2012</v>
      </c>
      <c r="BM27" s="47"/>
      <c r="BN27" s="47">
        <f>'5. Static CDM Result by Program'!E156*0.5</f>
        <v>6108.8159999999998</v>
      </c>
      <c r="BO27" s="47">
        <f>'5. Static CDM Result by Program'!K156</f>
        <v>12217.632</v>
      </c>
      <c r="BP27" s="47">
        <f>'5. Static CDM Result by Program'!N156</f>
        <v>12217.632</v>
      </c>
      <c r="BQ27" s="47">
        <f t="shared" si="10"/>
        <v>12217.632</v>
      </c>
      <c r="BR27" s="47">
        <f t="shared" si="10"/>
        <v>12217.632</v>
      </c>
      <c r="BS27" s="47">
        <f t="shared" ref="BS27" si="34">BR27</f>
        <v>12217.632</v>
      </c>
      <c r="BU27" s="47"/>
    </row>
    <row r="28" spans="1:78">
      <c r="A28" s="2">
        <v>38991</v>
      </c>
      <c r="B28" s="2"/>
      <c r="C28" s="39">
        <f>C27+E3</f>
        <v>208096.82226219735</v>
      </c>
      <c r="I28" s="39">
        <f>I27+K3</f>
        <v>208096.82226219735</v>
      </c>
      <c r="O28" s="39">
        <f>O27+Q3</f>
        <v>0</v>
      </c>
      <c r="U28" s="39">
        <f>U27+W3</f>
        <v>0</v>
      </c>
      <c r="AA28" s="39">
        <f>AA27+AC3</f>
        <v>0</v>
      </c>
      <c r="AJ28">
        <v>48</v>
      </c>
      <c r="AK28" t="s">
        <v>109</v>
      </c>
      <c r="AL28" t="s">
        <v>86</v>
      </c>
      <c r="AM28" s="17">
        <v>1</v>
      </c>
      <c r="AQ28">
        <v>2009</v>
      </c>
      <c r="AR28" s="47">
        <v>0</v>
      </c>
      <c r="AS28" s="47">
        <v>0</v>
      </c>
      <c r="AT28" s="47">
        <v>0</v>
      </c>
      <c r="AU28" s="47">
        <v>17950</v>
      </c>
      <c r="AV28" s="47">
        <v>0</v>
      </c>
      <c r="AW28" s="47">
        <v>0</v>
      </c>
      <c r="AX28" s="47">
        <v>0</v>
      </c>
      <c r="AY28" s="47">
        <v>0</v>
      </c>
      <c r="AZ28" s="47">
        <v>0</v>
      </c>
      <c r="BA28" s="47">
        <v>0</v>
      </c>
      <c r="BB28" s="47">
        <v>0</v>
      </c>
      <c r="BC28" s="47">
        <v>0</v>
      </c>
      <c r="BF28" s="45" t="str">
        <f>'5. Static CDM Result by Program'!B157</f>
        <v>Bi-Annual Retailer Event</v>
      </c>
      <c r="BG28" s="45" t="str">
        <f>'5. Static CDM Result by Program'!C157</f>
        <v>RS</v>
      </c>
      <c r="BH28" s="17">
        <v>1</v>
      </c>
      <c r="BL28">
        <v>2012</v>
      </c>
      <c r="BM28" s="47"/>
      <c r="BN28" s="47">
        <f>'5. Static CDM Result by Program'!E157*0.5</f>
        <v>117010.5125</v>
      </c>
      <c r="BO28" s="47">
        <f>'5. Static CDM Result by Program'!K157</f>
        <v>234021.02499999999</v>
      </c>
      <c r="BP28" s="47">
        <f>'5. Static CDM Result by Program'!N157</f>
        <v>234021.02499999999</v>
      </c>
      <c r="BQ28" s="47">
        <f t="shared" si="10"/>
        <v>234021.02499999999</v>
      </c>
      <c r="BR28" s="47">
        <f t="shared" si="10"/>
        <v>234021.02499999999</v>
      </c>
      <c r="BS28" s="47">
        <f t="shared" ref="BS28" si="35">BR28</f>
        <v>234021.02499999999</v>
      </c>
      <c r="BU28" s="47">
        <f>SUM(BN24:BP28)</f>
        <v>1459782.4974999996</v>
      </c>
      <c r="BV28" s="46">
        <f>BU28-'5. Static CDM Result by Program'!Q162</f>
        <v>-291956.49950000038</v>
      </c>
    </row>
    <row r="29" spans="1:78">
      <c r="A29" s="2">
        <v>39022</v>
      </c>
      <c r="B29" s="2"/>
      <c r="C29" s="39">
        <f>C28+E3</f>
        <v>228906.50448841709</v>
      </c>
      <c r="D29" s="175" t="s">
        <v>60</v>
      </c>
      <c r="I29" s="39">
        <f>I28+K3</f>
        <v>228906.50448841709</v>
      </c>
      <c r="J29" s="175" t="s">
        <v>60</v>
      </c>
      <c r="O29" s="39">
        <f>O28+Q3</f>
        <v>0</v>
      </c>
      <c r="P29" s="175" t="s">
        <v>60</v>
      </c>
      <c r="U29" s="39">
        <f>U28+W3</f>
        <v>0</v>
      </c>
      <c r="V29" s="175" t="s">
        <v>60</v>
      </c>
      <c r="AA29" s="39">
        <f>AA28+AC3</f>
        <v>0</v>
      </c>
      <c r="AB29" s="175" t="s">
        <v>60</v>
      </c>
      <c r="AJ29">
        <v>53</v>
      </c>
      <c r="AK29" t="s">
        <v>91</v>
      </c>
      <c r="AL29" t="s">
        <v>86</v>
      </c>
      <c r="AM29" s="17">
        <v>1</v>
      </c>
      <c r="AQ29">
        <v>2010</v>
      </c>
      <c r="AR29" s="47">
        <v>0</v>
      </c>
      <c r="AS29" s="47">
        <v>0</v>
      </c>
      <c r="AT29" s="47">
        <v>0</v>
      </c>
      <c r="AU29" s="47">
        <v>0</v>
      </c>
      <c r="AV29" s="47">
        <v>291164.12048880087</v>
      </c>
      <c r="AW29" s="47">
        <v>582328.24097760173</v>
      </c>
      <c r="AX29" s="47">
        <v>582328.24097760173</v>
      </c>
      <c r="AY29" s="47">
        <v>580178.31161520293</v>
      </c>
      <c r="AZ29" s="47">
        <v>468203.75986560137</v>
      </c>
      <c r="BA29" s="47">
        <v>0</v>
      </c>
      <c r="BB29" s="47">
        <v>0</v>
      </c>
      <c r="BC29" s="47">
        <v>0</v>
      </c>
      <c r="BF29" s="45" t="str">
        <f>'5. Static CDM Result by Program'!B165</f>
        <v>Retrofit</v>
      </c>
      <c r="BG29" s="45" t="str">
        <f>'5. Static CDM Result by Program'!C165</f>
        <v>GS &lt; 50</v>
      </c>
      <c r="BH29" s="17"/>
      <c r="BI29" s="17">
        <v>1</v>
      </c>
      <c r="BL29">
        <v>2012</v>
      </c>
      <c r="BM29" s="47"/>
      <c r="BN29" s="47">
        <f>'5. Static CDM Result by Program'!E165*0.5</f>
        <v>201997</v>
      </c>
      <c r="BO29" s="47">
        <f>'5. Static CDM Result by Program'!K165</f>
        <v>403994</v>
      </c>
      <c r="BP29" s="47">
        <f>'5. Static CDM Result by Program'!N165</f>
        <v>403994</v>
      </c>
      <c r="BQ29" s="47">
        <f t="shared" si="10"/>
        <v>403994</v>
      </c>
      <c r="BR29" s="47">
        <f t="shared" si="10"/>
        <v>403994</v>
      </c>
      <c r="BS29" s="47">
        <f t="shared" ref="BS29" si="36">BR29</f>
        <v>403994</v>
      </c>
      <c r="BT29" s="47"/>
    </row>
    <row r="30" spans="1:78">
      <c r="A30" s="2">
        <v>39052</v>
      </c>
      <c r="B30" s="2"/>
      <c r="C30" s="39">
        <f>C29+E3</f>
        <v>249716.18671463683</v>
      </c>
      <c r="D30" s="39">
        <f>SUM(C19:C30)</f>
        <v>1623155.2136451395</v>
      </c>
      <c r="E30" s="39">
        <f>C30*12</f>
        <v>2996594.2405756419</v>
      </c>
      <c r="I30" s="39">
        <f>I29+K3</f>
        <v>249716.18671463683</v>
      </c>
      <c r="J30" s="39">
        <f>SUM(I19:I30)</f>
        <v>1623155.2136451395</v>
      </c>
      <c r="K30" s="39">
        <f>I30*12</f>
        <v>2996594.2405756419</v>
      </c>
      <c r="O30" s="39">
        <f>O29+Q3</f>
        <v>0</v>
      </c>
      <c r="P30" s="39">
        <f>SUM(O19:O30)</f>
        <v>0</v>
      </c>
      <c r="Q30" s="39">
        <f>O30*12</f>
        <v>0</v>
      </c>
      <c r="U30" s="39">
        <f>U29+W3</f>
        <v>0</v>
      </c>
      <c r="V30" s="39">
        <f>SUM(U19:U30)</f>
        <v>0</v>
      </c>
      <c r="W30" s="39">
        <f>U30*12</f>
        <v>0</v>
      </c>
      <c r="AA30" s="39">
        <f>AA29+AC3</f>
        <v>0</v>
      </c>
      <c r="AB30" s="39">
        <f>SUM(AA19:AA30)</f>
        <v>0</v>
      </c>
      <c r="AC30" s="39">
        <f>AA30*12</f>
        <v>0</v>
      </c>
      <c r="AJ30">
        <v>54</v>
      </c>
      <c r="AK30" t="s">
        <v>100</v>
      </c>
      <c r="AL30" t="s">
        <v>86</v>
      </c>
      <c r="AM30" s="17">
        <v>1</v>
      </c>
      <c r="AQ30">
        <v>2010</v>
      </c>
      <c r="AR30" s="47">
        <v>0</v>
      </c>
      <c r="AS30" s="47">
        <v>0</v>
      </c>
      <c r="AT30" s="47">
        <v>0</v>
      </c>
      <c r="AU30" s="47">
        <v>0</v>
      </c>
      <c r="AV30" s="47">
        <v>56936.76690712526</v>
      </c>
      <c r="AW30" s="47">
        <v>113873.53381425052</v>
      </c>
      <c r="AX30" s="47">
        <v>113873.53381425052</v>
      </c>
      <c r="AY30" s="47">
        <v>113873.53381425052</v>
      </c>
      <c r="AZ30" s="47">
        <v>113873.53381425052</v>
      </c>
      <c r="BA30" s="47">
        <v>113873.53381425052</v>
      </c>
      <c r="BB30" s="47">
        <v>113873.53381425052</v>
      </c>
      <c r="BC30" s="47">
        <v>113873.53381425052</v>
      </c>
      <c r="BF30" s="45" t="str">
        <f>'5. Static CDM Result by Program'!B166</f>
        <v>Retrofit</v>
      </c>
      <c r="BG30" s="45" t="str">
        <f>'5. Static CDM Result by Program'!C166</f>
        <v>GS 50-999</v>
      </c>
      <c r="BH30" s="17"/>
      <c r="BJ30" s="17">
        <v>1</v>
      </c>
      <c r="BL30">
        <v>2012</v>
      </c>
      <c r="BM30" s="47"/>
      <c r="BN30" s="47">
        <f>'5. Static CDM Result by Program'!E166*0.5</f>
        <v>415206</v>
      </c>
      <c r="BO30" s="47">
        <f>'5. Static CDM Result by Program'!K166</f>
        <v>830412</v>
      </c>
      <c r="BP30" s="47">
        <f>'5. Static CDM Result by Program'!N166</f>
        <v>830412</v>
      </c>
      <c r="BQ30" s="47">
        <f t="shared" si="10"/>
        <v>830412</v>
      </c>
      <c r="BR30" s="47">
        <f t="shared" si="10"/>
        <v>830412</v>
      </c>
      <c r="BS30" s="47">
        <f t="shared" ref="BS30" si="37">BR30</f>
        <v>830412</v>
      </c>
      <c r="BT30" s="47"/>
    </row>
    <row r="31" spans="1:78">
      <c r="A31" s="2">
        <v>39083</v>
      </c>
      <c r="B31" s="2"/>
      <c r="C31" s="39">
        <f>C30+E4</f>
        <v>270864.72934878524</v>
      </c>
      <c r="I31" s="39">
        <f>I30+K4</f>
        <v>270864.72934878524</v>
      </c>
      <c r="O31" s="39">
        <f>O30+Q4</f>
        <v>0</v>
      </c>
      <c r="U31" s="39">
        <f>U30+W4</f>
        <v>0</v>
      </c>
      <c r="AA31" s="39">
        <f>AA30+AC4</f>
        <v>0</v>
      </c>
      <c r="AJ31">
        <v>55</v>
      </c>
      <c r="AK31" t="s">
        <v>101</v>
      </c>
      <c r="AL31" t="s">
        <v>86</v>
      </c>
      <c r="AM31" s="17">
        <v>1</v>
      </c>
      <c r="AQ31">
        <v>2010</v>
      </c>
      <c r="AR31" s="47">
        <v>0</v>
      </c>
      <c r="AS31" s="47">
        <v>0</v>
      </c>
      <c r="AT31" s="47">
        <v>0</v>
      </c>
      <c r="AU31" s="47">
        <v>0</v>
      </c>
      <c r="AV31" s="47">
        <v>78844.230158789753</v>
      </c>
      <c r="AW31" s="47">
        <v>138596.42949490619</v>
      </c>
      <c r="AX31" s="47">
        <v>134185.4741163096</v>
      </c>
      <c r="AY31" s="47">
        <v>134185.4741163096</v>
      </c>
      <c r="AZ31" s="47">
        <v>134185.4741163096</v>
      </c>
      <c r="BA31" s="47">
        <v>69067.7246338361</v>
      </c>
      <c r="BB31" s="47">
        <v>52735.556711083707</v>
      </c>
      <c r="BC31" s="47">
        <v>52735.556711083707</v>
      </c>
      <c r="BF31" s="45" t="str">
        <f>'5. Static CDM Result by Program'!B169</f>
        <v>Direct Install Lighting</v>
      </c>
      <c r="BG31" s="45" t="str">
        <f>'5. Static CDM Result by Program'!C169</f>
        <v>GS &lt; 50</v>
      </c>
      <c r="BH31" s="17"/>
      <c r="BI31" s="17">
        <v>1</v>
      </c>
      <c r="BL31">
        <v>2012</v>
      </c>
      <c r="BM31" s="47"/>
      <c r="BN31" s="47">
        <f>'5. Static CDM Result by Program'!E169*0.5</f>
        <v>394008.864</v>
      </c>
      <c r="BO31" s="47">
        <f>'5. Static CDM Result by Program'!K169</f>
        <v>788017.728</v>
      </c>
      <c r="BP31" s="47">
        <f>'5. Static CDM Result by Program'!N169</f>
        <v>788017.728</v>
      </c>
      <c r="BQ31" s="47">
        <f t="shared" si="10"/>
        <v>788017.728</v>
      </c>
      <c r="BR31" s="47">
        <f t="shared" si="10"/>
        <v>788017.728</v>
      </c>
      <c r="BS31" s="47">
        <f t="shared" ref="BS31" si="38">BR31</f>
        <v>788017.728</v>
      </c>
      <c r="BT31" s="47"/>
    </row>
    <row r="32" spans="1:78">
      <c r="A32" s="2">
        <v>39114</v>
      </c>
      <c r="B32" s="2"/>
      <c r="C32" s="39">
        <f>C31+E4</f>
        <v>292013.27198293363</v>
      </c>
      <c r="I32" s="39">
        <f>I31+K4</f>
        <v>292013.27198293363</v>
      </c>
      <c r="O32" s="39">
        <f>O31+Q4</f>
        <v>0</v>
      </c>
      <c r="U32" s="39">
        <f>U31+W4</f>
        <v>0</v>
      </c>
      <c r="AA32" s="39">
        <f>AA31+AC4</f>
        <v>0</v>
      </c>
      <c r="AJ32">
        <v>57</v>
      </c>
      <c r="AK32" t="s">
        <v>98</v>
      </c>
      <c r="AL32" t="s">
        <v>92</v>
      </c>
      <c r="AM32" s="17">
        <v>0</v>
      </c>
      <c r="AN32" s="17">
        <v>0.28000000000000003</v>
      </c>
      <c r="AO32" s="17">
        <v>0.72</v>
      </c>
      <c r="AQ32">
        <v>2010</v>
      </c>
      <c r="AR32" s="47">
        <v>0</v>
      </c>
      <c r="AS32" s="47">
        <v>0</v>
      </c>
      <c r="AT32" s="47">
        <v>0</v>
      </c>
      <c r="AU32" s="47">
        <v>0</v>
      </c>
      <c r="AV32" s="47">
        <v>125322.71588437117</v>
      </c>
      <c r="AW32" s="47">
        <v>250645.43176874233</v>
      </c>
      <c r="AX32" s="47">
        <v>250645.43176874233</v>
      </c>
      <c r="AY32" s="47">
        <v>250645.43176874233</v>
      </c>
      <c r="AZ32" s="47">
        <v>250645.43176874233</v>
      </c>
      <c r="BA32" s="47">
        <v>250645.43176874233</v>
      </c>
      <c r="BB32" s="47">
        <v>250645.43176874233</v>
      </c>
      <c r="BC32" s="47">
        <v>250645.43176874233</v>
      </c>
      <c r="BF32" s="45" t="str">
        <f>'5. Static CDM Result by Program'!B172</f>
        <v>Energy Audit</v>
      </c>
      <c r="BG32" s="45" t="str">
        <f>'5. Static CDM Result by Program'!C172</f>
        <v>GS 50-999</v>
      </c>
      <c r="BH32" s="17"/>
      <c r="BI32" s="17"/>
      <c r="BJ32" s="17">
        <v>1</v>
      </c>
      <c r="BL32">
        <v>2012</v>
      </c>
      <c r="BM32" s="47"/>
      <c r="BN32" s="47">
        <f>'5. Static CDM Result by Program'!E172*0.5</f>
        <v>50352.508999999998</v>
      </c>
      <c r="BO32" s="47">
        <f>'5. Static CDM Result by Program'!K172</f>
        <v>100705.018</v>
      </c>
      <c r="BP32" s="47">
        <f>'5. Static CDM Result by Program'!N172</f>
        <v>100705.018</v>
      </c>
      <c r="BQ32" s="47">
        <f t="shared" si="10"/>
        <v>100705.018</v>
      </c>
      <c r="BR32" s="47">
        <f t="shared" si="10"/>
        <v>100705.018</v>
      </c>
      <c r="BS32" s="47">
        <f t="shared" ref="BS32" si="39">BR32</f>
        <v>100705.018</v>
      </c>
      <c r="BT32" s="47"/>
      <c r="BU32" s="46">
        <f>SUM(BN29:BP32)</f>
        <v>5307821.8650000002</v>
      </c>
      <c r="BV32" s="46">
        <f>BU32-'5. Static CDM Result by Program'!Q176</f>
        <v>-1061564.3730000006</v>
      </c>
    </row>
    <row r="33" spans="1:78">
      <c r="A33" s="2">
        <v>39142</v>
      </c>
      <c r="B33" s="2"/>
      <c r="C33" s="39">
        <f>C32+E4</f>
        <v>313161.81461708201</v>
      </c>
      <c r="I33" s="39">
        <f>I32+K4</f>
        <v>313161.81461708201</v>
      </c>
      <c r="O33" s="39">
        <f>O32+Q4</f>
        <v>0</v>
      </c>
      <c r="U33" s="39">
        <f>U32+W4</f>
        <v>0</v>
      </c>
      <c r="AA33" s="39">
        <f>AA32+AC4</f>
        <v>0</v>
      </c>
      <c r="AJ33">
        <v>59</v>
      </c>
      <c r="AK33" t="s">
        <v>103</v>
      </c>
      <c r="AL33" t="s">
        <v>99</v>
      </c>
      <c r="AM33" s="17">
        <v>0</v>
      </c>
      <c r="AO33" s="17">
        <v>1</v>
      </c>
      <c r="AQ33">
        <v>2010</v>
      </c>
      <c r="AR33" s="47">
        <v>0</v>
      </c>
      <c r="AS33" s="47">
        <v>0</v>
      </c>
      <c r="AT33" s="47">
        <v>0</v>
      </c>
      <c r="AU33" s="47">
        <v>0</v>
      </c>
      <c r="AV33" s="47">
        <v>113530.87725518666</v>
      </c>
      <c r="AW33" s="47">
        <v>227061.75451037331</v>
      </c>
      <c r="AX33" s="47">
        <v>227061.75451037331</v>
      </c>
      <c r="AY33" s="47">
        <v>227061.75451037331</v>
      </c>
      <c r="AZ33" s="47">
        <v>227061.75451037331</v>
      </c>
      <c r="BA33" s="47">
        <v>227061.75451037331</v>
      </c>
      <c r="BB33" s="47">
        <v>227061.75451037331</v>
      </c>
      <c r="BC33" s="47">
        <v>227061.75451037331</v>
      </c>
      <c r="BF33" s="45" t="str">
        <f>'5. Static CDM Result by Program'!B183</f>
        <v>Demand Response 3</v>
      </c>
      <c r="BG33" s="45" t="str">
        <f>'5. Static CDM Result by Program'!C183</f>
        <v>GS &gt; 1000</v>
      </c>
      <c r="BH33" s="17"/>
      <c r="BJ33" s="17"/>
      <c r="BK33" s="17">
        <v>1</v>
      </c>
      <c r="BL33">
        <v>2012</v>
      </c>
      <c r="BM33" s="47"/>
      <c r="BN33" s="47">
        <f>'5. Static CDM Result by Program'!E183*0.5</f>
        <v>19987.224999999999</v>
      </c>
      <c r="BO33" s="47"/>
      <c r="BP33" s="47"/>
      <c r="BQ33" s="47">
        <f t="shared" si="10"/>
        <v>0</v>
      </c>
      <c r="BR33" s="47">
        <f t="shared" si="10"/>
        <v>0</v>
      </c>
      <c r="BS33" s="47">
        <f t="shared" ref="BS33" si="40">BR33</f>
        <v>0</v>
      </c>
      <c r="BU33" s="46">
        <f>SUM(BN33:BP33)</f>
        <v>19987.224999999999</v>
      </c>
      <c r="BV33" s="46">
        <f>BU33-'5. Static CDM Result by Program'!Q184</f>
        <v>-19987.224999999999</v>
      </c>
    </row>
    <row r="34" spans="1:78">
      <c r="A34" s="2">
        <v>39173</v>
      </c>
      <c r="B34" s="2"/>
      <c r="C34" s="39">
        <f>C33+E4</f>
        <v>334310.35725123039</v>
      </c>
      <c r="I34" s="39">
        <f>I33+K4</f>
        <v>334310.35725123039</v>
      </c>
      <c r="O34" s="39">
        <f>O33+Q4</f>
        <v>0</v>
      </c>
      <c r="U34" s="39">
        <f>U33+W4</f>
        <v>0</v>
      </c>
      <c r="AA34" s="39">
        <f>AA33+AC4</f>
        <v>0</v>
      </c>
      <c r="AJ34">
        <v>60</v>
      </c>
      <c r="AK34" t="s">
        <v>104</v>
      </c>
      <c r="AL34" t="s">
        <v>99</v>
      </c>
      <c r="AM34" s="17">
        <v>0</v>
      </c>
      <c r="AN34" s="17">
        <v>1</v>
      </c>
      <c r="AQ34">
        <v>2010</v>
      </c>
      <c r="AR34" s="47">
        <v>0</v>
      </c>
      <c r="AS34" s="47">
        <v>0</v>
      </c>
      <c r="AT34" s="47">
        <v>0</v>
      </c>
      <c r="AU34" s="47">
        <v>0</v>
      </c>
      <c r="AV34" s="47">
        <v>472756.8764905167</v>
      </c>
      <c r="AW34" s="47">
        <v>945513.75298103341</v>
      </c>
      <c r="AX34" s="47">
        <v>945513.75298103341</v>
      </c>
      <c r="AY34" s="47">
        <v>945513.75298103341</v>
      </c>
      <c r="AZ34" s="47">
        <v>945513.75298103341</v>
      </c>
      <c r="BA34" s="47">
        <v>945513.75298103341</v>
      </c>
      <c r="BB34" s="47">
        <v>945513.75298103341</v>
      </c>
      <c r="BC34" s="47">
        <v>638130.51745588356</v>
      </c>
      <c r="BF34" s="45" t="str">
        <f>'5. Static CDM Result by Program'!B197</f>
        <v>High Performance New Construction</v>
      </c>
      <c r="BG34" s="45" t="str">
        <f>'5. Static CDM Result by Program'!C197</f>
        <v>GS 50-999</v>
      </c>
      <c r="BH34" s="17"/>
      <c r="BI34" s="17"/>
      <c r="BJ34" s="17">
        <v>1</v>
      </c>
      <c r="BL34">
        <v>2012</v>
      </c>
      <c r="BM34" s="47"/>
      <c r="BN34" s="47">
        <f>'5. Static CDM Result by Program'!E197*0.5</f>
        <v>17640.566999999999</v>
      </c>
      <c r="BO34" s="47">
        <f>'5. Static CDM Result by Program'!K197</f>
        <v>35281.133999999998</v>
      </c>
      <c r="BP34" s="47">
        <f>'5. Static CDM Result by Program'!N197</f>
        <v>35281.133999999998</v>
      </c>
      <c r="BQ34" s="47">
        <f t="shared" si="10"/>
        <v>35281.133999999998</v>
      </c>
      <c r="BR34" s="47">
        <f t="shared" si="10"/>
        <v>35281.133999999998</v>
      </c>
      <c r="BS34" s="47">
        <f t="shared" ref="BS34" si="41">BR34</f>
        <v>35281.133999999998</v>
      </c>
      <c r="BU34" s="46">
        <f>SUM(BN34:BP34)</f>
        <v>88202.834999999992</v>
      </c>
      <c r="BV34" s="46">
        <f>BU34-'5. Static CDM Result by Program'!Q201</f>
        <v>-17640.56700000001</v>
      </c>
    </row>
    <row r="35" spans="1:78">
      <c r="A35" s="2">
        <v>39203</v>
      </c>
      <c r="B35" s="2"/>
      <c r="C35" s="39">
        <f>C34+E4</f>
        <v>355458.89988537878</v>
      </c>
      <c r="I35" s="39">
        <f>I34+K4</f>
        <v>355458.89988537878</v>
      </c>
      <c r="O35" s="39">
        <f>O34+Q4</f>
        <v>0</v>
      </c>
      <c r="U35" s="39">
        <f>U34+W4</f>
        <v>0</v>
      </c>
      <c r="AA35" s="39">
        <f>AA34+AC4</f>
        <v>0</v>
      </c>
      <c r="AJ35">
        <v>61</v>
      </c>
      <c r="AK35" t="s">
        <v>106</v>
      </c>
      <c r="AL35" t="s">
        <v>107</v>
      </c>
      <c r="AM35" s="17">
        <v>1</v>
      </c>
      <c r="AQ35">
        <v>2010</v>
      </c>
      <c r="AR35" s="47">
        <v>0</v>
      </c>
      <c r="AS35" s="47">
        <v>0</v>
      </c>
      <c r="AT35" s="47">
        <v>0</v>
      </c>
      <c r="AU35" s="47">
        <v>0</v>
      </c>
      <c r="AV35" s="47">
        <v>12426.36633827317</v>
      </c>
      <c r="AW35" s="47">
        <v>24852.73267654634</v>
      </c>
      <c r="AX35" s="47">
        <v>24852.73267654634</v>
      </c>
      <c r="AY35" s="47">
        <v>24852.73267654634</v>
      </c>
      <c r="AZ35" s="47">
        <v>24852.73267654634</v>
      </c>
      <c r="BA35" s="47">
        <v>24852.73267654634</v>
      </c>
      <c r="BB35" s="47">
        <v>24852.73267654634</v>
      </c>
      <c r="BC35" s="47">
        <v>24852.73267654634</v>
      </c>
      <c r="BF35" s="45" t="str">
        <f>'5. Static CDM Result by Program'!B228</f>
        <v>HVAC Incentives</v>
      </c>
      <c r="BG35" s="45" t="str">
        <f>'5. Static CDM Result by Program'!C228</f>
        <v>RS</v>
      </c>
      <c r="BH35" s="17">
        <v>1</v>
      </c>
      <c r="BI35" s="17"/>
      <c r="BJ35" s="17"/>
      <c r="BK35" s="17"/>
      <c r="BL35">
        <v>2012</v>
      </c>
      <c r="BM35" s="47"/>
      <c r="BN35" s="47">
        <f>'5. Static CDM Result by Program'!E228*0.5</f>
        <v>3683.0455000000002</v>
      </c>
      <c r="BO35" s="47">
        <f>'5. Static CDM Result by Program'!K228</f>
        <v>7366.0910000000003</v>
      </c>
      <c r="BP35" s="47">
        <f>'5. Static CDM Result by Program'!N228</f>
        <v>7366.0910000000003</v>
      </c>
      <c r="BQ35" s="47">
        <f t="shared" si="10"/>
        <v>7366.0910000000003</v>
      </c>
      <c r="BR35" s="47">
        <f t="shared" si="10"/>
        <v>7366.0910000000003</v>
      </c>
      <c r="BS35" s="47">
        <f t="shared" ref="BS35" si="42">BR35</f>
        <v>7366.0910000000003</v>
      </c>
      <c r="BT35" s="47"/>
      <c r="BU35" s="46">
        <f>SUM(BN35:BP35)</f>
        <v>18415.227500000001</v>
      </c>
      <c r="BV35" s="46">
        <f>BU35-'5. Static CDM Result by Program'!Q235</f>
        <v>-3683.0455000000002</v>
      </c>
    </row>
    <row r="36" spans="1:78">
      <c r="A36" s="2">
        <v>39234</v>
      </c>
      <c r="B36" s="2"/>
      <c r="C36" s="39">
        <f>C35+E4</f>
        <v>376607.44251952716</v>
      </c>
      <c r="I36" s="39">
        <f>I35+K4</f>
        <v>376607.44251952716</v>
      </c>
      <c r="O36" s="39">
        <f>O35+Q4</f>
        <v>0</v>
      </c>
      <c r="U36" s="39">
        <f>U35+W4</f>
        <v>0</v>
      </c>
      <c r="AA36" s="39">
        <f>AA35+AC4</f>
        <v>0</v>
      </c>
      <c r="AJ36">
        <v>62</v>
      </c>
      <c r="AK36" t="s">
        <v>108</v>
      </c>
      <c r="AL36" t="s">
        <v>90</v>
      </c>
      <c r="AM36" s="17">
        <v>0</v>
      </c>
      <c r="AO36" s="17">
        <v>1</v>
      </c>
      <c r="AQ36">
        <v>2010</v>
      </c>
      <c r="AR36" s="47">
        <v>0</v>
      </c>
      <c r="AS36" s="47">
        <v>0</v>
      </c>
      <c r="AT36" s="47">
        <v>0</v>
      </c>
      <c r="AU36" s="47">
        <v>0</v>
      </c>
      <c r="AV36" s="47">
        <v>536539.12469394039</v>
      </c>
      <c r="AW36" s="47">
        <v>0</v>
      </c>
      <c r="AX36" s="47">
        <v>0</v>
      </c>
      <c r="AY36" s="47">
        <v>0</v>
      </c>
      <c r="AZ36" s="47">
        <v>0</v>
      </c>
      <c r="BA36" s="47">
        <v>0</v>
      </c>
      <c r="BB36" s="47">
        <v>0</v>
      </c>
      <c r="BC36" s="47">
        <v>0</v>
      </c>
      <c r="BF36" s="45" t="str">
        <f>'5. Static CDM Result by Program'!B238</f>
        <v>Retrofit</v>
      </c>
      <c r="BG36" s="45" t="str">
        <f>'5. Static CDM Result by Program'!C238</f>
        <v>GS &lt; 50</v>
      </c>
      <c r="BH36" s="17"/>
      <c r="BI36" s="17">
        <v>1</v>
      </c>
      <c r="BJ36" s="17"/>
      <c r="BK36" s="17"/>
      <c r="BL36">
        <v>2012</v>
      </c>
      <c r="BM36" s="47"/>
      <c r="BN36" s="47">
        <f>'5. Static CDM Result by Program'!E238*0.5</f>
        <v>3999.7571513568109</v>
      </c>
      <c r="BO36" s="47">
        <f>'5. Static CDM Result by Program'!K238</f>
        <v>7999.5143027136219</v>
      </c>
      <c r="BP36" s="47">
        <f>'5. Static CDM Result by Program'!N238</f>
        <v>7999.5143027136219</v>
      </c>
      <c r="BQ36" s="47">
        <f t="shared" si="10"/>
        <v>7999.5143027136219</v>
      </c>
      <c r="BR36" s="47">
        <f t="shared" si="10"/>
        <v>7999.5143027136219</v>
      </c>
      <c r="BS36" s="47">
        <f t="shared" ref="BS36" si="43">BR36</f>
        <v>7999.5143027136219</v>
      </c>
      <c r="BT36" s="47"/>
    </row>
    <row r="37" spans="1:78">
      <c r="A37" s="2">
        <v>39264</v>
      </c>
      <c r="B37" s="2"/>
      <c r="C37" s="39">
        <f>C36+E4</f>
        <v>397755.98515367555</v>
      </c>
      <c r="I37" s="39">
        <f>I36+K4</f>
        <v>397755.98515367555</v>
      </c>
      <c r="O37" s="39">
        <f>O36+Q4</f>
        <v>0</v>
      </c>
      <c r="U37" s="39">
        <f>U36+W4</f>
        <v>0</v>
      </c>
      <c r="AA37" s="39">
        <f>AA36+AC4</f>
        <v>0</v>
      </c>
      <c r="AJ37">
        <v>63</v>
      </c>
      <c r="AK37" t="s">
        <v>105</v>
      </c>
      <c r="AL37" t="s">
        <v>90</v>
      </c>
      <c r="AM37" s="17">
        <v>0</v>
      </c>
      <c r="AP37" s="17">
        <v>1</v>
      </c>
      <c r="AQ37">
        <v>2010</v>
      </c>
      <c r="AR37" s="47">
        <v>0</v>
      </c>
      <c r="AS37" s="47">
        <v>0</v>
      </c>
      <c r="AT37" s="47">
        <v>0</v>
      </c>
      <c r="AU37" s="47">
        <v>0</v>
      </c>
      <c r="AV37" s="47">
        <v>19016.088315895944</v>
      </c>
      <c r="AW37" s="47">
        <v>0</v>
      </c>
      <c r="AX37" s="47">
        <v>0</v>
      </c>
      <c r="AY37" s="47">
        <v>0</v>
      </c>
      <c r="AZ37" s="47">
        <v>0</v>
      </c>
      <c r="BA37" s="47">
        <v>0</v>
      </c>
      <c r="BB37" s="47">
        <v>0</v>
      </c>
      <c r="BC37" s="47">
        <v>0</v>
      </c>
      <c r="BF37" s="45" t="str">
        <f>'5. Static CDM Result by Program'!B239</f>
        <v>Retrofit</v>
      </c>
      <c r="BG37" s="45" t="str">
        <f>'5. Static CDM Result by Program'!C239</f>
        <v>GS 50-999</v>
      </c>
      <c r="BH37" s="17"/>
      <c r="BI37" s="17"/>
      <c r="BJ37" s="17">
        <v>1</v>
      </c>
      <c r="BK37" s="17"/>
      <c r="BL37">
        <v>2012</v>
      </c>
      <c r="BM37" s="47"/>
      <c r="BN37" s="47">
        <f>'5. Static CDM Result by Program'!E239*0.5</f>
        <v>8221.24284864316</v>
      </c>
      <c r="BO37" s="47">
        <f>'5. Static CDM Result by Program'!K239</f>
        <v>16442.48569728632</v>
      </c>
      <c r="BP37" s="47">
        <f>'5. Static CDM Result by Program'!N239</f>
        <v>16442.48569728632</v>
      </c>
      <c r="BQ37" s="47">
        <f t="shared" si="10"/>
        <v>16442.48569728632</v>
      </c>
      <c r="BR37" s="47">
        <f t="shared" si="10"/>
        <v>16442.48569728632</v>
      </c>
      <c r="BS37" s="47">
        <f t="shared" ref="BS37" si="44">BR37</f>
        <v>16442.48569728632</v>
      </c>
      <c r="BT37" s="47"/>
    </row>
    <row r="38" spans="1:78">
      <c r="A38" s="2">
        <v>39295</v>
      </c>
      <c r="B38" s="2"/>
      <c r="C38" s="39">
        <f>C37+E4</f>
        <v>418904.52778782393</v>
      </c>
      <c r="I38" s="39">
        <f>I37+K4</f>
        <v>418904.52778782393</v>
      </c>
      <c r="O38" s="39">
        <f>O37+Q4</f>
        <v>0</v>
      </c>
      <c r="U38" s="39">
        <f>U37+W4</f>
        <v>0</v>
      </c>
      <c r="AA38" s="39">
        <f>AA37+AC4</f>
        <v>0</v>
      </c>
      <c r="AJ38">
        <v>64</v>
      </c>
      <c r="BF38" s="45" t="str">
        <f>'5. Static CDM Result by Program'!B242</f>
        <v>Direct Install Lighting</v>
      </c>
      <c r="BG38" s="45" t="str">
        <f>'5. Static CDM Result by Program'!C242</f>
        <v>GS &lt; 50</v>
      </c>
      <c r="BI38" s="17">
        <v>1</v>
      </c>
      <c r="BL38">
        <v>2012</v>
      </c>
      <c r="BM38" s="47"/>
      <c r="BN38" s="47"/>
      <c r="BO38" s="47"/>
      <c r="BP38" s="47">
        <f>'5. Static CDM Result by Program'!N242</f>
        <v>-7298</v>
      </c>
      <c r="BQ38" s="47">
        <f t="shared" si="10"/>
        <v>-7298</v>
      </c>
      <c r="BR38" s="47">
        <f t="shared" si="10"/>
        <v>-7298</v>
      </c>
      <c r="BS38" s="47">
        <f t="shared" ref="BS38" si="45">BR38</f>
        <v>-7298</v>
      </c>
    </row>
    <row r="39" spans="1:78">
      <c r="A39" s="2">
        <v>39326</v>
      </c>
      <c r="B39" s="2"/>
      <c r="C39" s="39">
        <f>C38+E4</f>
        <v>440053.07042197231</v>
      </c>
      <c r="I39" s="39">
        <f>I38+K4</f>
        <v>440053.07042197231</v>
      </c>
      <c r="O39" s="39">
        <f>O38+Q4</f>
        <v>0</v>
      </c>
      <c r="U39" s="39">
        <f>U38+W4</f>
        <v>0</v>
      </c>
      <c r="AA39" s="39">
        <f>AA38+AC4</f>
        <v>0</v>
      </c>
      <c r="AJ39">
        <v>65</v>
      </c>
      <c r="AR39" s="46">
        <f t="shared" ref="AR39:BC39" si="46">SUM(AR3:AR38)</f>
        <v>1623155.213645139</v>
      </c>
      <c r="AS39" s="46">
        <f t="shared" si="46"/>
        <v>4646180.5660392176</v>
      </c>
      <c r="AT39" s="46">
        <f t="shared" si="46"/>
        <v>6995958.7480950691</v>
      </c>
      <c r="AU39" s="46">
        <f t="shared" si="46"/>
        <v>10186807.960330183</v>
      </c>
      <c r="AV39" s="46">
        <f t="shared" si="46"/>
        <v>10803490.516097952</v>
      </c>
      <c r="AW39" s="46">
        <f t="shared" si="46"/>
        <v>10995318.197378257</v>
      </c>
      <c r="AX39" s="46">
        <f t="shared" si="46"/>
        <v>10739336.024144681</v>
      </c>
      <c r="AY39" s="46">
        <f t="shared" si="46"/>
        <v>10554592.963476254</v>
      </c>
      <c r="AZ39" s="46">
        <f t="shared" si="46"/>
        <v>9656702.7444453407</v>
      </c>
      <c r="BA39" s="46">
        <f t="shared" si="46"/>
        <v>7906283.7571816789</v>
      </c>
      <c r="BB39" s="46">
        <f t="shared" si="46"/>
        <v>7162537.0154649289</v>
      </c>
      <c r="BC39" s="46">
        <f t="shared" si="46"/>
        <v>5735816.8029258493</v>
      </c>
      <c r="BF39" s="45" t="str">
        <f>'5. Static CDM Result by Program'!B245</f>
        <v>Energy Audit</v>
      </c>
      <c r="BG39" s="45" t="str">
        <f>'5. Static CDM Result by Program'!C245</f>
        <v>GS 50-999</v>
      </c>
      <c r="BJ39" s="17">
        <v>1</v>
      </c>
      <c r="BL39">
        <v>2012</v>
      </c>
      <c r="BM39" s="47"/>
      <c r="BN39" s="47">
        <f>'5. Static CDM Result by Program'!E245*0.5</f>
        <v>1708.1195</v>
      </c>
      <c r="BO39" s="47">
        <f>'5. Static CDM Result by Program'!K245</f>
        <v>3416.239</v>
      </c>
      <c r="BP39" s="47">
        <f>'5. Static CDM Result by Program'!N245</f>
        <v>3416.239</v>
      </c>
      <c r="BQ39" s="47">
        <f t="shared" si="10"/>
        <v>3416.239</v>
      </c>
      <c r="BR39" s="47">
        <f t="shared" si="10"/>
        <v>3416.239</v>
      </c>
      <c r="BS39" s="47">
        <f t="shared" ref="BS39" si="47">BR39</f>
        <v>3416.239</v>
      </c>
      <c r="BT39" s="47"/>
      <c r="BU39" s="46">
        <f>SUM(BN36:BP39)</f>
        <v>62347.597499999858</v>
      </c>
      <c r="BV39" s="46">
        <f>BU39-'5. Static CDM Result by Program'!Q249</f>
        <v>-13929.119499999972</v>
      </c>
    </row>
    <row r="40" spans="1:78">
      <c r="A40" s="2">
        <v>39356</v>
      </c>
      <c r="B40" s="2"/>
      <c r="C40" s="39">
        <f>C39+E4</f>
        <v>461201.6130561207</v>
      </c>
      <c r="I40" s="39">
        <f>I39+K4</f>
        <v>461201.6130561207</v>
      </c>
      <c r="O40" s="39">
        <f>O39+Q4</f>
        <v>0</v>
      </c>
      <c r="U40" s="39">
        <f>U39+W4</f>
        <v>0</v>
      </c>
      <c r="AA40" s="39">
        <f>AA39+AC4</f>
        <v>0</v>
      </c>
      <c r="AR40" s="46">
        <v>1623155.2136451392</v>
      </c>
      <c r="AS40" s="46">
        <v>4646180.5660392167</v>
      </c>
      <c r="AT40" s="46">
        <v>6995958.7480950672</v>
      </c>
      <c r="AU40" s="46">
        <v>10186807.960330181</v>
      </c>
      <c r="AV40" s="46">
        <v>10803490.516097952</v>
      </c>
      <c r="AW40" s="46">
        <v>10995318.197378257</v>
      </c>
      <c r="AX40" s="46">
        <v>10739336.024144681</v>
      </c>
      <c r="AY40" s="46">
        <v>10554592.963476254</v>
      </c>
      <c r="AZ40" s="46">
        <v>9656702.7444453407</v>
      </c>
      <c r="BA40" s="46">
        <v>7906283.7571816789</v>
      </c>
      <c r="BB40" s="46">
        <v>7162537.0154649299</v>
      </c>
      <c r="BC40" s="46">
        <v>5735816.8029258512</v>
      </c>
      <c r="BF40" s="45" t="str">
        <f>'5. Static CDM Result by Program'!B277</f>
        <v>Program Enabled Savings</v>
      </c>
      <c r="BG40" s="45" t="str">
        <f>'5. Static CDM Result by Program'!C277</f>
        <v>GS 50-999</v>
      </c>
      <c r="BJ40" s="17">
        <v>1</v>
      </c>
      <c r="BL40">
        <v>2012</v>
      </c>
      <c r="BM40" s="47"/>
      <c r="BN40" s="47">
        <f>'5. Static CDM Result by Program'!E277*0.5</f>
        <v>23822.42</v>
      </c>
      <c r="BO40" s="47">
        <f>'5. Static CDM Result by Program'!K277</f>
        <v>47644.84</v>
      </c>
      <c r="BP40" s="47">
        <f>'5. Static CDM Result by Program'!N277</f>
        <v>47644.84</v>
      </c>
      <c r="BQ40" s="47">
        <f t="shared" si="10"/>
        <v>47644.84</v>
      </c>
      <c r="BR40" s="47">
        <f t="shared" si="10"/>
        <v>47644.84</v>
      </c>
      <c r="BS40" s="47">
        <f t="shared" ref="BS40" si="48">BR40</f>
        <v>47644.84</v>
      </c>
      <c r="BT40" s="45"/>
      <c r="BU40" s="46">
        <f>SUM(BN40:BP40)</f>
        <v>119112.09999999999</v>
      </c>
      <c r="BV40" s="46">
        <f>BU40-'5. Static CDM Result by Program'!Q280</f>
        <v>-23822.42</v>
      </c>
      <c r="BW40" s="46">
        <f>BU28+BU32+BU33+BU34+BU35+BU39+BU40</f>
        <v>7075669.3474999992</v>
      </c>
      <c r="BX40" s="46">
        <f>BW40-'5. Static CDM Result by Program'!H579</f>
        <v>-1432583.2494999981</v>
      </c>
      <c r="BY40" s="46">
        <f>('5. Static CDM Result by Program'!E209+'5. Static CDM Result by Program'!E282)*0.5</f>
        <v>1432583.2494999999</v>
      </c>
      <c r="BZ40" s="46">
        <f>BX40+BY40</f>
        <v>1.862645149230957E-9</v>
      </c>
    </row>
    <row r="41" spans="1:78">
      <c r="A41" s="2">
        <v>39387</v>
      </c>
      <c r="B41" s="2"/>
      <c r="C41" s="39">
        <f>C40+E4</f>
        <v>482350.15569026908</v>
      </c>
      <c r="D41" s="62" t="s">
        <v>60</v>
      </c>
      <c r="I41" s="39">
        <f>I40+K4</f>
        <v>482350.15569026908</v>
      </c>
      <c r="J41" s="62" t="s">
        <v>60</v>
      </c>
      <c r="O41" s="39">
        <f>O40+Q4</f>
        <v>0</v>
      </c>
      <c r="P41" s="62" t="s">
        <v>60</v>
      </c>
      <c r="U41" s="39">
        <f>U40+W4</f>
        <v>0</v>
      </c>
      <c r="V41" s="62" t="s">
        <v>60</v>
      </c>
      <c r="AA41" s="39">
        <f>AA40+AC4</f>
        <v>0</v>
      </c>
      <c r="AB41" s="62" t="s">
        <v>60</v>
      </c>
      <c r="AJ41" t="s">
        <v>5</v>
      </c>
      <c r="AR41" s="46">
        <f>AR39-AR40</f>
        <v>0</v>
      </c>
      <c r="AS41" s="46">
        <f t="shared" ref="AS41:BC41" si="49">AS39-AS40</f>
        <v>0</v>
      </c>
      <c r="AT41" s="46">
        <f t="shared" si="49"/>
        <v>0</v>
      </c>
      <c r="AU41" s="46">
        <f t="shared" si="49"/>
        <v>0</v>
      </c>
      <c r="AV41" s="46">
        <f t="shared" si="49"/>
        <v>0</v>
      </c>
      <c r="AW41" s="46">
        <f t="shared" si="49"/>
        <v>0</v>
      </c>
      <c r="AX41" s="46">
        <f t="shared" si="49"/>
        <v>0</v>
      </c>
      <c r="AY41" s="46">
        <f t="shared" si="49"/>
        <v>0</v>
      </c>
      <c r="AZ41" s="46">
        <f t="shared" si="49"/>
        <v>0</v>
      </c>
      <c r="BA41" s="46">
        <f t="shared" si="49"/>
        <v>0</v>
      </c>
      <c r="BB41" s="46">
        <f t="shared" si="49"/>
        <v>0</v>
      </c>
      <c r="BC41" s="46">
        <f t="shared" si="49"/>
        <v>0</v>
      </c>
      <c r="BF41" s="45" t="str">
        <f>'5. Static CDM Result by Program'!B303</f>
        <v>Appliance Retirement</v>
      </c>
      <c r="BG41" s="45" t="str">
        <f>'5. Static CDM Result by Program'!C303</f>
        <v>RS</v>
      </c>
      <c r="BH41" s="17">
        <v>1</v>
      </c>
      <c r="BL41">
        <v>2013</v>
      </c>
      <c r="BN41" s="47"/>
      <c r="BO41" s="47">
        <f>'5. Static CDM Result by Program'!E303*0.5</f>
        <v>57529.438999999998</v>
      </c>
      <c r="BP41" s="47">
        <f>'5. Static CDM Result by Program'!N303</f>
        <v>115058.878</v>
      </c>
      <c r="BQ41" s="47">
        <f t="shared" si="10"/>
        <v>115058.878</v>
      </c>
      <c r="BR41" s="47">
        <f t="shared" si="10"/>
        <v>115058.878</v>
      </c>
      <c r="BS41" s="47">
        <f t="shared" ref="BS41" si="50">BR41</f>
        <v>115058.878</v>
      </c>
    </row>
    <row r="42" spans="1:78">
      <c r="A42" s="2">
        <v>39417</v>
      </c>
      <c r="B42" s="2"/>
      <c r="C42" s="39">
        <f>C41+E4</f>
        <v>503498.69832441746</v>
      </c>
      <c r="D42" s="39">
        <f>SUM(C31:C42)</f>
        <v>4646180.5660392158</v>
      </c>
      <c r="E42" s="39">
        <f>C42*12</f>
        <v>6041984.3798930096</v>
      </c>
      <c r="I42" s="39">
        <f>I41+K4</f>
        <v>503498.69832441746</v>
      </c>
      <c r="J42" s="39">
        <f>SUM(I31:I42)</f>
        <v>4646180.5660392158</v>
      </c>
      <c r="K42" s="39">
        <f>I42*12</f>
        <v>6041984.3798930096</v>
      </c>
      <c r="O42" s="39">
        <f>O41+Q4</f>
        <v>0</v>
      </c>
      <c r="P42" s="39">
        <f>SUM(O31:O42)</f>
        <v>0</v>
      </c>
      <c r="Q42" s="39">
        <f>O42*12</f>
        <v>0</v>
      </c>
      <c r="U42" s="39">
        <f>U41+W4</f>
        <v>0</v>
      </c>
      <c r="V42" s="39">
        <f>SUM(U31:U42)</f>
        <v>0</v>
      </c>
      <c r="W42" s="39">
        <f>U42*12</f>
        <v>0</v>
      </c>
      <c r="AA42" s="39">
        <f>AA41+AC4</f>
        <v>0</v>
      </c>
      <c r="AB42" s="39">
        <f>SUM(AA31:AA42)</f>
        <v>0</v>
      </c>
      <c r="AC42" s="39">
        <f>AA42*12</f>
        <v>0</v>
      </c>
      <c r="BF42" s="45" t="str">
        <f>'5. Static CDM Result by Program'!B304</f>
        <v>Appliance Exchange</v>
      </c>
      <c r="BG42" s="45" t="str">
        <f>'5. Static CDM Result by Program'!C304</f>
        <v>RS</v>
      </c>
      <c r="BH42" s="17">
        <v>1</v>
      </c>
      <c r="BL42">
        <v>2013</v>
      </c>
      <c r="BN42" s="47"/>
      <c r="BO42" s="47">
        <f>'5. Static CDM Result by Program'!E304*0.5</f>
        <v>18287.274000000001</v>
      </c>
      <c r="BP42" s="47">
        <f>'5. Static CDM Result by Program'!N304</f>
        <v>36574.548000000003</v>
      </c>
      <c r="BQ42" s="47">
        <f t="shared" si="10"/>
        <v>36574.548000000003</v>
      </c>
      <c r="BR42" s="47">
        <f t="shared" si="10"/>
        <v>36574.548000000003</v>
      </c>
      <c r="BS42" s="47">
        <f t="shared" ref="BS42" si="51">BR42</f>
        <v>36574.548000000003</v>
      </c>
    </row>
    <row r="43" spans="1:78">
      <c r="A43" s="2">
        <v>39448</v>
      </c>
      <c r="B43" s="2"/>
      <c r="C43" s="39">
        <f>C42+E5</f>
        <v>515729.1389423926</v>
      </c>
      <c r="I43" s="39">
        <f>I42+K5</f>
        <v>513423.64228246541</v>
      </c>
      <c r="O43" s="39">
        <f>O42+Q5</f>
        <v>641.43816707100723</v>
      </c>
      <c r="U43" s="39">
        <f>U42+W5</f>
        <v>1664.0584928561793</v>
      </c>
      <c r="AA43" s="39">
        <f>AA42+AC5</f>
        <v>0</v>
      </c>
      <c r="AR43" s="46"/>
      <c r="AS43" s="46"/>
      <c r="AT43" s="46"/>
      <c r="AU43" s="46"/>
      <c r="AV43" s="46"/>
      <c r="AW43" s="46"/>
      <c r="AX43" s="46"/>
      <c r="AY43" s="46"/>
      <c r="AZ43" s="46"/>
      <c r="BA43" s="46"/>
      <c r="BB43" s="46"/>
      <c r="BC43" s="46"/>
      <c r="BF43" s="45" t="str">
        <f>'5. Static CDM Result by Program'!B305</f>
        <v>HVAC Incentives</v>
      </c>
      <c r="BG43" s="45" t="str">
        <f>'5. Static CDM Result by Program'!C305</f>
        <v>RS</v>
      </c>
      <c r="BH43" s="17">
        <v>1</v>
      </c>
      <c r="BL43">
        <v>2013</v>
      </c>
      <c r="BN43" s="47"/>
      <c r="BO43" s="47">
        <f>'5. Static CDM Result by Program'!E305*0.5</f>
        <v>72247.145499999999</v>
      </c>
      <c r="BP43" s="47">
        <f>'5. Static CDM Result by Program'!N305</f>
        <v>144494.291</v>
      </c>
      <c r="BQ43" s="47">
        <f t="shared" si="10"/>
        <v>144494.291</v>
      </c>
      <c r="BR43" s="47">
        <f t="shared" si="10"/>
        <v>144494.291</v>
      </c>
      <c r="BS43" s="47">
        <f t="shared" ref="BS43" si="52">BR43</f>
        <v>144494.291</v>
      </c>
    </row>
    <row r="44" spans="1:78">
      <c r="A44" s="2">
        <v>39479</v>
      </c>
      <c r="B44" s="2"/>
      <c r="C44" s="39">
        <f>C43+E5</f>
        <v>527959.57956036774</v>
      </c>
      <c r="I44" s="39">
        <f>I43+K5</f>
        <v>523348.58624051337</v>
      </c>
      <c r="O44" s="39">
        <f>O43+Q5</f>
        <v>1282.8763341420145</v>
      </c>
      <c r="U44" s="39">
        <f>U43+W5</f>
        <v>3328.1169857123587</v>
      </c>
      <c r="AA44" s="39">
        <f>AA43+AC5</f>
        <v>0</v>
      </c>
      <c r="BF44" s="45" t="str">
        <f>'5. Static CDM Result by Program'!B306</f>
        <v>Conservation Instant Coupon Booklet</v>
      </c>
      <c r="BG44" s="45" t="str">
        <f>'5. Static CDM Result by Program'!C306</f>
        <v>RS</v>
      </c>
      <c r="BH44" s="17">
        <v>1</v>
      </c>
      <c r="BL44">
        <v>2013</v>
      </c>
      <c r="BN44" s="47"/>
      <c r="BO44" s="47">
        <f>'5. Static CDM Result by Program'!E306*0.5</f>
        <v>33674.782500000001</v>
      </c>
      <c r="BP44" s="47">
        <f>'5. Static CDM Result by Program'!N306</f>
        <v>67349.565000000002</v>
      </c>
      <c r="BQ44" s="47">
        <f t="shared" si="10"/>
        <v>67349.565000000002</v>
      </c>
      <c r="BR44" s="47">
        <f t="shared" si="10"/>
        <v>67349.565000000002</v>
      </c>
      <c r="BS44" s="47">
        <f t="shared" ref="BS44" si="53">BR44</f>
        <v>67349.565000000002</v>
      </c>
    </row>
    <row r="45" spans="1:78">
      <c r="A45" s="2">
        <v>39508</v>
      </c>
      <c r="B45" s="2"/>
      <c r="C45" s="39">
        <f>C44+E5</f>
        <v>540190.02017834282</v>
      </c>
      <c r="I45" s="39">
        <f>I44+K5</f>
        <v>533273.53019856126</v>
      </c>
      <c r="O45" s="39">
        <f>O44+Q5</f>
        <v>1924.3145012130217</v>
      </c>
      <c r="U45" s="39">
        <f>U44+W5</f>
        <v>4992.175478568538</v>
      </c>
      <c r="AA45" s="39">
        <f>AA44+AC5</f>
        <v>0</v>
      </c>
      <c r="AP45" t="s">
        <v>113</v>
      </c>
      <c r="AQ45" t="s">
        <v>74</v>
      </c>
      <c r="AR45" s="46">
        <f>SUMPRODUCT($AM$3:$AM$37,$AR$3:$AR$37)</f>
        <v>1623155.213645139</v>
      </c>
      <c r="AS45" s="46">
        <f t="shared" ref="AS45:AY45" si="54">SUMPRODUCT($AM$3:$AM$37,AS3:AS37)</f>
        <v>4646180.5660392176</v>
      </c>
      <c r="AT45" s="46">
        <f t="shared" si="54"/>
        <v>6816130.0086207483</v>
      </c>
      <c r="AU45" s="46">
        <f t="shared" si="54"/>
        <v>8262415.9752332782</v>
      </c>
      <c r="AV45" s="46">
        <f t="shared" si="54"/>
        <v>6707812.2110402873</v>
      </c>
      <c r="AW45" s="46">
        <f t="shared" si="54"/>
        <v>6743584.6357003525</v>
      </c>
      <c r="AX45" s="46">
        <f t="shared" si="54"/>
        <v>6487602.4624667754</v>
      </c>
      <c r="AY45" s="46">
        <f t="shared" si="54"/>
        <v>6302859.4017983479</v>
      </c>
      <c r="AZ45" s="46">
        <f t="shared" ref="AZ45:BC45" si="55">SUMPRODUCT($AM$3:$AM$37,AZ3:AZ37)</f>
        <v>5404969.1827674368</v>
      </c>
      <c r="BA45" s="46">
        <f t="shared" si="55"/>
        <v>3654550.195503776</v>
      </c>
      <c r="BB45" s="46">
        <f t="shared" si="55"/>
        <v>2939954.7559265653</v>
      </c>
      <c r="BC45" s="46">
        <f t="shared" si="55"/>
        <v>2157416.6257859673</v>
      </c>
      <c r="BF45" s="45" t="str">
        <f>'5. Static CDM Result by Program'!B307</f>
        <v>Bi-Annual Retailer Event</v>
      </c>
      <c r="BG45" s="45" t="str">
        <f>'5. Static CDM Result by Program'!C307</f>
        <v>RS</v>
      </c>
      <c r="BH45" s="17">
        <v>1</v>
      </c>
      <c r="BL45">
        <v>2013</v>
      </c>
      <c r="BN45" s="47"/>
      <c r="BO45" s="47">
        <f>'5. Static CDM Result by Program'!E307*0.5</f>
        <v>75059.608500000002</v>
      </c>
      <c r="BP45" s="47">
        <f>'5. Static CDM Result by Program'!N307</f>
        <v>150119.217</v>
      </c>
      <c r="BQ45" s="47">
        <f t="shared" si="10"/>
        <v>150119.217</v>
      </c>
      <c r="BR45" s="47">
        <f t="shared" si="10"/>
        <v>150119.217</v>
      </c>
      <c r="BS45" s="47">
        <f t="shared" ref="BS45" si="56">BR45</f>
        <v>150119.217</v>
      </c>
    </row>
    <row r="46" spans="1:78">
      <c r="A46" s="2">
        <v>39539</v>
      </c>
      <c r="B46" s="2"/>
      <c r="C46" s="39">
        <f>C45+E5</f>
        <v>552420.4607963179</v>
      </c>
      <c r="I46" s="39">
        <f>I45+K5</f>
        <v>543198.47415660915</v>
      </c>
      <c r="O46" s="39">
        <f>O45+Q5</f>
        <v>2565.7526682840289</v>
      </c>
      <c r="U46" s="39">
        <f>U45+W5</f>
        <v>6656.2339714247173</v>
      </c>
      <c r="AA46" s="39">
        <f>AA45+AC5</f>
        <v>0</v>
      </c>
      <c r="AP46" t="s">
        <v>113</v>
      </c>
      <c r="AQ46" t="s">
        <v>79</v>
      </c>
      <c r="AR46" s="46">
        <f>SUMPRODUCT($AN$3:$AN$37,AR3:AR37)</f>
        <v>0</v>
      </c>
      <c r="AS46" s="46">
        <f>SUMPRODUCT($AN$3:$AN$37,AS3:AS37)</f>
        <v>0</v>
      </c>
      <c r="AT46" s="46">
        <f>SUMPRODUCT($AN$3:$AN$37,AT3:AT37)</f>
        <v>50032.177031538566</v>
      </c>
      <c r="AU46" s="46">
        <f t="shared" ref="AU46:BC46" si="57">SUMPRODUCT($AN$3:$AN$37,AU3:AU37)</f>
        <v>713364.2645495201</v>
      </c>
      <c r="AV46" s="46">
        <f t="shared" si="57"/>
        <v>1834512.0953367227</v>
      </c>
      <c r="AW46" s="46">
        <f t="shared" si="57"/>
        <v>2342359.3322748635</v>
      </c>
      <c r="AX46" s="46">
        <f t="shared" si="57"/>
        <v>2342359.3322748635</v>
      </c>
      <c r="AY46" s="46">
        <f t="shared" si="57"/>
        <v>2342359.3322748635</v>
      </c>
      <c r="AZ46" s="46">
        <f t="shared" si="57"/>
        <v>2342359.3322748635</v>
      </c>
      <c r="BA46" s="46">
        <f t="shared" si="57"/>
        <v>2342359.3322748635</v>
      </c>
      <c r="BB46" s="46">
        <f t="shared" si="57"/>
        <v>2334196.9676757921</v>
      </c>
      <c r="BC46" s="46">
        <f t="shared" si="57"/>
        <v>1690014.885277312</v>
      </c>
      <c r="BF46" s="45" t="str">
        <f>'5. Static CDM Result by Program'!B309</f>
        <v>Residential Demand Response</v>
      </c>
      <c r="BG46" s="45" t="str">
        <f>'5. Static CDM Result by Program'!C309</f>
        <v>RS</v>
      </c>
      <c r="BH46" s="17">
        <v>1</v>
      </c>
      <c r="BL46">
        <v>2013</v>
      </c>
      <c r="BN46" s="47"/>
      <c r="BO46" s="47">
        <f>'5. Static CDM Result by Program'!E309*0.5</f>
        <v>2.3365</v>
      </c>
      <c r="BP46" s="47">
        <f>'5. Static CDM Result by Program'!N309</f>
        <v>4.673</v>
      </c>
      <c r="BQ46" s="47">
        <f t="shared" si="10"/>
        <v>4.673</v>
      </c>
      <c r="BR46" s="47">
        <f t="shared" si="10"/>
        <v>4.673</v>
      </c>
      <c r="BS46" s="47">
        <f t="shared" ref="BS46" si="58">BR46</f>
        <v>4.673</v>
      </c>
      <c r="BU46" s="45">
        <f>SUM(BO41:BP46)</f>
        <v>770401.75799999991</v>
      </c>
      <c r="BV46" s="46">
        <f>BU46-'5. Static CDM Result by Program'!Q312</f>
        <v>-256800.58600000013</v>
      </c>
    </row>
    <row r="47" spans="1:78">
      <c r="A47" s="2">
        <v>39569</v>
      </c>
      <c r="B47" s="2"/>
      <c r="C47" s="39">
        <f>C46+E5</f>
        <v>564650.90141429298</v>
      </c>
      <c r="I47" s="39">
        <f>I46+K5</f>
        <v>553123.41811465705</v>
      </c>
      <c r="O47" s="39">
        <f>O46+Q5</f>
        <v>3207.1908353550361</v>
      </c>
      <c r="U47" s="39">
        <f>U46+W5</f>
        <v>8320.2924642808975</v>
      </c>
      <c r="AA47" s="39">
        <f>AA46+AC5</f>
        <v>0</v>
      </c>
      <c r="AP47" t="s">
        <v>113</v>
      </c>
      <c r="AQ47" t="s">
        <v>165</v>
      </c>
      <c r="AR47" s="46">
        <f>SUMPRODUCT($AO$3:$AO$37,AR3:AR37)</f>
        <v>0</v>
      </c>
      <c r="AS47" s="46">
        <f>SUMPRODUCT($AO$3:$AO$37,AS3:AS37)</f>
        <v>0</v>
      </c>
      <c r="AT47" s="46">
        <f>SUMPRODUCT($AO$3:$AO$37,AT3:AT37)</f>
        <v>129796.56244278199</v>
      </c>
      <c r="AU47" s="46">
        <f t="shared" ref="AU47:BC47" si="59">SUMPRODUCT($AO$3:$AO$37,AU3:AU37)</f>
        <v>1205415.6887927018</v>
      </c>
      <c r="AV47" s="46">
        <f t="shared" si="59"/>
        <v>2242150.1214050464</v>
      </c>
      <c r="AW47" s="46">
        <f t="shared" si="59"/>
        <v>1909374.2294030401</v>
      </c>
      <c r="AX47" s="46">
        <f t="shared" si="59"/>
        <v>1909374.2294030401</v>
      </c>
      <c r="AY47" s="46">
        <f t="shared" si="59"/>
        <v>1909374.2294030401</v>
      </c>
      <c r="AZ47" s="46">
        <f t="shared" si="59"/>
        <v>1909374.2294030401</v>
      </c>
      <c r="BA47" s="46">
        <f t="shared" si="59"/>
        <v>1909374.2294030401</v>
      </c>
      <c r="BB47" s="46">
        <f t="shared" si="59"/>
        <v>1888385.2918625718</v>
      </c>
      <c r="BC47" s="46">
        <f t="shared" si="59"/>
        <v>1888385.2918625718</v>
      </c>
      <c r="BF47" s="45" t="str">
        <f>'5. Static CDM Result by Program'!B315</f>
        <v>Retrofit</v>
      </c>
      <c r="BG47" s="45" t="str">
        <f>'5. Static CDM Result by Program'!C315</f>
        <v>GS &lt; 50</v>
      </c>
      <c r="BI47" s="17">
        <v>1</v>
      </c>
      <c r="BL47">
        <v>2013</v>
      </c>
      <c r="BN47" s="47"/>
      <c r="BO47" s="47">
        <f>'5. Static CDM Result by Program'!E315*0.5</f>
        <v>283940.5</v>
      </c>
      <c r="BP47" s="47">
        <f>'5. Static CDM Result by Program'!N315</f>
        <v>567881</v>
      </c>
      <c r="BQ47" s="47">
        <f t="shared" si="10"/>
        <v>567881</v>
      </c>
      <c r="BR47" s="47">
        <f t="shared" si="10"/>
        <v>567881</v>
      </c>
      <c r="BS47" s="47">
        <f t="shared" ref="BS47" si="60">BR47</f>
        <v>567881</v>
      </c>
    </row>
    <row r="48" spans="1:78">
      <c r="A48" s="2">
        <v>39600</v>
      </c>
      <c r="B48" s="2"/>
      <c r="C48" s="39">
        <f>C47+E5</f>
        <v>576881.34203226806</v>
      </c>
      <c r="I48" s="39">
        <f>I47+K5</f>
        <v>563048.36207270494</v>
      </c>
      <c r="O48" s="39">
        <f>O47+Q5</f>
        <v>3848.6290024260434</v>
      </c>
      <c r="U48" s="39">
        <f>U47+W5</f>
        <v>9984.3509571370778</v>
      </c>
      <c r="AA48" s="39">
        <f>AA47+AC5</f>
        <v>0</v>
      </c>
      <c r="AP48" t="s">
        <v>113</v>
      </c>
      <c r="AQ48" t="s">
        <v>112</v>
      </c>
      <c r="AR48" s="46">
        <f>SUMPRODUCT($AP$3:$AP$37,AR3:AR37)</f>
        <v>0</v>
      </c>
      <c r="AS48" s="46">
        <f>SUMPRODUCT($AP$3:$AP$37,AS3:AS37)</f>
        <v>0</v>
      </c>
      <c r="AT48" s="46">
        <f>SUMPRODUCT($AP$3:$AP$37,AT3:AT37)</f>
        <v>0</v>
      </c>
      <c r="AU48" s="46">
        <f>SUMPRODUCT($AP$3:$AP$37,AU3:AU37)</f>
        <v>5612.0317546812485</v>
      </c>
      <c r="AV48" s="46">
        <f t="shared" ref="AV48:BC48" si="61">SUMPRODUCT($AP$3:$AP$37,AV3:AV37)</f>
        <v>19016.088315895944</v>
      </c>
      <c r="AW48" s="46">
        <f t="shared" si="61"/>
        <v>0</v>
      </c>
      <c r="AX48" s="46">
        <f t="shared" si="61"/>
        <v>0</v>
      </c>
      <c r="AY48" s="46">
        <f t="shared" si="61"/>
        <v>0</v>
      </c>
      <c r="AZ48" s="46">
        <f t="shared" si="61"/>
        <v>0</v>
      </c>
      <c r="BA48" s="46">
        <f t="shared" si="61"/>
        <v>0</v>
      </c>
      <c r="BB48" s="46">
        <f t="shared" si="61"/>
        <v>0</v>
      </c>
      <c r="BC48" s="46">
        <f t="shared" si="61"/>
        <v>0</v>
      </c>
      <c r="BF48" s="45" t="str">
        <f>'5. Static CDM Result by Program'!B316</f>
        <v>Retrofit</v>
      </c>
      <c r="BG48" s="45" t="str">
        <f>'5. Static CDM Result by Program'!C316</f>
        <v>GS 50-999</v>
      </c>
      <c r="BJ48" s="17">
        <v>1</v>
      </c>
      <c r="BL48">
        <v>2013</v>
      </c>
      <c r="BN48" s="47"/>
      <c r="BO48" s="47">
        <f>'5. Static CDM Result by Program'!E316*0.5</f>
        <v>474444</v>
      </c>
      <c r="BP48" s="47">
        <f>'5. Static CDM Result by Program'!N316</f>
        <v>948888</v>
      </c>
      <c r="BQ48" s="47">
        <f t="shared" si="10"/>
        <v>948888</v>
      </c>
      <c r="BR48" s="47">
        <f t="shared" si="10"/>
        <v>948888</v>
      </c>
      <c r="BS48" s="47">
        <f t="shared" ref="BS48" si="62">BR48</f>
        <v>948888</v>
      </c>
    </row>
    <row r="49" spans="1:78">
      <c r="A49" s="2">
        <v>39630</v>
      </c>
      <c r="B49" s="2"/>
      <c r="C49" s="39">
        <f>C48+E5</f>
        <v>589111.78265024314</v>
      </c>
      <c r="I49" s="39">
        <f>I48+K5</f>
        <v>572973.30603075284</v>
      </c>
      <c r="O49" s="39">
        <f>O48+Q5</f>
        <v>4490.0671694970506</v>
      </c>
      <c r="U49" s="39">
        <f>U48+W5</f>
        <v>11648.409449993258</v>
      </c>
      <c r="AA49" s="39">
        <f>AA48+AC5</f>
        <v>0</v>
      </c>
      <c r="AQ49" t="s">
        <v>114</v>
      </c>
      <c r="AR49" s="46">
        <f t="shared" ref="AR49:BC49" si="63">SUM(AR45:AR48)</f>
        <v>1623155.213645139</v>
      </c>
      <c r="AS49" s="46">
        <f t="shared" si="63"/>
        <v>4646180.5660392176</v>
      </c>
      <c r="AT49" s="46">
        <f t="shared" si="63"/>
        <v>6995958.7480950691</v>
      </c>
      <c r="AU49" s="46">
        <f t="shared" si="63"/>
        <v>10186807.960330183</v>
      </c>
      <c r="AV49" s="46">
        <f t="shared" si="63"/>
        <v>10803490.516097954</v>
      </c>
      <c r="AW49" s="46">
        <f t="shared" si="63"/>
        <v>10995318.197378255</v>
      </c>
      <c r="AX49" s="46">
        <f t="shared" si="63"/>
        <v>10739336.024144677</v>
      </c>
      <c r="AY49" s="46">
        <f t="shared" si="63"/>
        <v>10554592.96347625</v>
      </c>
      <c r="AZ49" s="46">
        <f t="shared" si="63"/>
        <v>9656702.7444453407</v>
      </c>
      <c r="BA49" s="46">
        <f t="shared" si="63"/>
        <v>7906283.7571816798</v>
      </c>
      <c r="BB49" s="46">
        <f t="shared" si="63"/>
        <v>7162537.0154649289</v>
      </c>
      <c r="BC49" s="46">
        <f t="shared" si="63"/>
        <v>5735816.8029258512</v>
      </c>
      <c r="BF49" s="45" t="str">
        <f>'5. Static CDM Result by Program'!B317</f>
        <v>Retrofit</v>
      </c>
      <c r="BG49" s="45" t="str">
        <f>'5. Static CDM Result by Program'!C317</f>
        <v>GS &gt; 1000</v>
      </c>
      <c r="BK49" s="17">
        <v>1</v>
      </c>
      <c r="BL49">
        <v>2013</v>
      </c>
      <c r="BN49" s="47"/>
      <c r="BO49" s="47">
        <f>'5. Static CDM Result by Program'!E317*0.5</f>
        <v>2234562.5</v>
      </c>
      <c r="BP49" s="47">
        <f>'5. Static CDM Result by Program'!N317</f>
        <v>4469125</v>
      </c>
      <c r="BQ49" s="47">
        <f t="shared" si="10"/>
        <v>4469125</v>
      </c>
      <c r="BR49" s="47">
        <f t="shared" si="10"/>
        <v>4469125</v>
      </c>
      <c r="BS49" s="47">
        <f t="shared" ref="BS49" si="64">BR49</f>
        <v>4469125</v>
      </c>
    </row>
    <row r="50" spans="1:78">
      <c r="A50" s="2">
        <v>39661</v>
      </c>
      <c r="B50" s="2"/>
      <c r="C50" s="39">
        <f>C49+E5</f>
        <v>601342.22326821822</v>
      </c>
      <c r="I50" s="39">
        <f>I49+K5</f>
        <v>582898.24998880073</v>
      </c>
      <c r="O50" s="39">
        <f>O49+Q5</f>
        <v>5131.5053365680578</v>
      </c>
      <c r="U50" s="39">
        <f>U49+W5</f>
        <v>13312.467942849438</v>
      </c>
      <c r="AA50" s="39">
        <f>AA49+AC5</f>
        <v>0</v>
      </c>
      <c r="BF50" s="45" t="str">
        <f>'5. Static CDM Result by Program'!B319</f>
        <v>Direct Install Lighting</v>
      </c>
      <c r="BG50" s="45" t="str">
        <f>'5. Static CDM Result by Program'!C319</f>
        <v>GS &lt; 50</v>
      </c>
      <c r="BI50" s="17">
        <v>1</v>
      </c>
      <c r="BL50">
        <v>2013</v>
      </c>
      <c r="BN50" s="47"/>
      <c r="BO50" s="47">
        <f>'5. Static CDM Result by Program'!E319*0.5</f>
        <v>442451.87349999999</v>
      </c>
      <c r="BP50" s="47">
        <f>'5. Static CDM Result by Program'!N319</f>
        <v>884903.74699999997</v>
      </c>
      <c r="BQ50" s="47">
        <f t="shared" si="10"/>
        <v>884903.74699999997</v>
      </c>
      <c r="BR50" s="47">
        <f t="shared" si="10"/>
        <v>884903.74699999997</v>
      </c>
      <c r="BS50" s="47">
        <f t="shared" ref="BS50" si="65">BR50</f>
        <v>884903.74699999997</v>
      </c>
      <c r="BU50" s="173">
        <f>SUM(BO47:BP50)</f>
        <v>10306196.6205</v>
      </c>
      <c r="BV50" s="46">
        <f>BU50-'5. Static CDM Result by Program'!Q326</f>
        <v>-3435398.8734999988</v>
      </c>
    </row>
    <row r="51" spans="1:78">
      <c r="A51" s="2">
        <v>39692</v>
      </c>
      <c r="B51" s="2"/>
      <c r="C51" s="39">
        <f>C50+E5</f>
        <v>613572.6638861933</v>
      </c>
      <c r="I51" s="39">
        <f>I50+K5</f>
        <v>592823.19394684862</v>
      </c>
      <c r="O51" s="39">
        <f>O50+Q5</f>
        <v>5772.9435036390651</v>
      </c>
      <c r="U51" s="39">
        <f>U50+W5</f>
        <v>14976.526435705618</v>
      </c>
      <c r="AA51" s="39">
        <f>AA50+AC5</f>
        <v>0</v>
      </c>
      <c r="AP51" t="str">
        <f>BJ78</f>
        <v>2011 to 2014</v>
      </c>
      <c r="AQ51" t="str">
        <f>BL78</f>
        <v xml:space="preserve">Residential </v>
      </c>
      <c r="AW51" s="45">
        <f t="shared" ref="AW51:BC54" si="66">BM78</f>
        <v>517777.321</v>
      </c>
      <c r="AX51" s="45">
        <f t="shared" si="66"/>
        <v>1331194.1870000002</v>
      </c>
      <c r="AY51" s="45">
        <f t="shared" si="66"/>
        <v>1950180.0136285997</v>
      </c>
      <c r="AZ51" s="45">
        <f t="shared" si="66"/>
        <v>3116098.0782571994</v>
      </c>
      <c r="BA51" s="45">
        <f t="shared" si="66"/>
        <v>4058361.8612571997</v>
      </c>
      <c r="BB51" s="45">
        <f t="shared" si="66"/>
        <v>4058361.8612571997</v>
      </c>
      <c r="BC51" s="45">
        <f t="shared" si="66"/>
        <v>4058361.8612571997</v>
      </c>
      <c r="BF51" s="45" t="str">
        <f>'5. Static CDM Result by Program'!B333</f>
        <v>Demand Response 3</v>
      </c>
      <c r="BG51" s="45" t="str">
        <f>'5. Static CDM Result by Program'!C333</f>
        <v>GS &gt; 1000</v>
      </c>
      <c r="BH51" s="17"/>
      <c r="BI51" s="17"/>
      <c r="BJ51" s="17"/>
      <c r="BK51" s="17">
        <v>1</v>
      </c>
      <c r="BL51">
        <v>2013</v>
      </c>
      <c r="BN51" s="47"/>
      <c r="BO51" s="47">
        <f>'5. Static CDM Result by Program'!E333*0.5</f>
        <v>17603.37</v>
      </c>
      <c r="BP51" s="47"/>
      <c r="BQ51" s="47">
        <f t="shared" si="10"/>
        <v>0</v>
      </c>
      <c r="BR51" s="47">
        <f t="shared" si="10"/>
        <v>0</v>
      </c>
      <c r="BS51" s="47">
        <f t="shared" ref="BS51" si="67">BR51</f>
        <v>0</v>
      </c>
      <c r="BU51" s="46">
        <f>SUM(BN51:BP51)</f>
        <v>17603.37</v>
      </c>
      <c r="BV51" s="46">
        <f>BU51-'5. Static CDM Result by Program'!Q334</f>
        <v>-17603.37</v>
      </c>
    </row>
    <row r="52" spans="1:78">
      <c r="A52" s="2">
        <v>39722</v>
      </c>
      <c r="B52" s="2"/>
      <c r="C52" s="39">
        <f>C51+E5</f>
        <v>625803.10450416838</v>
      </c>
      <c r="I52" s="39">
        <f>I51+K5</f>
        <v>602748.13790489652</v>
      </c>
      <c r="O52" s="39">
        <f>O51+Q5</f>
        <v>6414.3816707100723</v>
      </c>
      <c r="U52" s="39">
        <f>U51+W5</f>
        <v>16640.584928561799</v>
      </c>
      <c r="AA52" s="39">
        <f>AA51+AC5</f>
        <v>0</v>
      </c>
      <c r="AP52" t="str">
        <f>BJ79</f>
        <v>2011 to 2014</v>
      </c>
      <c r="AQ52" t="str">
        <f>BL79</f>
        <v>GS &lt; 50 kW</v>
      </c>
      <c r="AW52" s="45">
        <f t="shared" si="66"/>
        <v>236281.06683642391</v>
      </c>
      <c r="AX52" s="45">
        <f t="shared" si="66"/>
        <v>1072567.7548242048</v>
      </c>
      <c r="AY52" s="45">
        <f t="shared" si="66"/>
        <v>2411537.0784788639</v>
      </c>
      <c r="AZ52" s="45">
        <f t="shared" si="66"/>
        <v>3943690.4119471605</v>
      </c>
      <c r="BA52" s="45">
        <f t="shared" si="66"/>
        <v>4843264.0429121545</v>
      </c>
      <c r="BB52" s="45">
        <f t="shared" si="66"/>
        <v>4843264.0429121545</v>
      </c>
      <c r="BC52" s="45">
        <f t="shared" si="66"/>
        <v>4843264.0429121545</v>
      </c>
      <c r="BF52" s="45" t="str">
        <f>'5. Static CDM Result by Program'!B337</f>
        <v>Home Assistance Program</v>
      </c>
      <c r="BG52" s="45" t="str">
        <f>'5. Static CDM Result by Program'!C337</f>
        <v>RS</v>
      </c>
      <c r="BH52" s="17">
        <v>1</v>
      </c>
      <c r="BI52" s="17"/>
      <c r="BJ52" s="17"/>
      <c r="BK52" s="17"/>
      <c r="BL52">
        <v>2013</v>
      </c>
      <c r="BN52" s="47"/>
      <c r="BO52" s="47">
        <f>'5. Static CDM Result by Program'!E337*0.5</f>
        <v>46386.959499999997</v>
      </c>
      <c r="BP52" s="47">
        <f>'5. Static CDM Result by Program'!E337</f>
        <v>92773.918999999994</v>
      </c>
      <c r="BQ52" s="47">
        <f t="shared" si="10"/>
        <v>92773.918999999994</v>
      </c>
      <c r="BR52" s="47">
        <f t="shared" si="10"/>
        <v>92773.918999999994</v>
      </c>
      <c r="BS52" s="47">
        <f t="shared" ref="BS52" si="68">BR52</f>
        <v>92773.918999999994</v>
      </c>
      <c r="BU52" s="46">
        <f>SUM(BN52:BP52)</f>
        <v>139160.87849999999</v>
      </c>
      <c r="BV52" s="46">
        <f>BU52-'5. Static CDM Result by Program'!Q338</f>
        <v>-46386.959499999997</v>
      </c>
    </row>
    <row r="53" spans="1:78">
      <c r="A53" s="2">
        <v>39753</v>
      </c>
      <c r="B53" s="2"/>
      <c r="C53" s="39">
        <f>C52+E5</f>
        <v>638033.54512214346</v>
      </c>
      <c r="D53" s="62" t="s">
        <v>60</v>
      </c>
      <c r="I53" s="39">
        <f>I52+K5</f>
        <v>612673.08186294441</v>
      </c>
      <c r="J53" s="62" t="s">
        <v>60</v>
      </c>
      <c r="O53" s="39">
        <f>O52+Q5</f>
        <v>7055.8198377810795</v>
      </c>
      <c r="P53" s="62" t="s">
        <v>60</v>
      </c>
      <c r="U53" s="39">
        <f>U52+W5</f>
        <v>18304.643421417979</v>
      </c>
      <c r="V53" s="62" t="s">
        <v>60</v>
      </c>
      <c r="AA53" s="39">
        <f>AA52+AC5</f>
        <v>0</v>
      </c>
      <c r="AB53" s="62" t="s">
        <v>60</v>
      </c>
      <c r="AP53" t="str">
        <f>BJ80</f>
        <v>2011 to 2014</v>
      </c>
      <c r="AQ53" t="str">
        <f>BL80</f>
        <v>GS 50-999</v>
      </c>
      <c r="AW53" s="45">
        <f t="shared" si="66"/>
        <v>265211.41962033178</v>
      </c>
      <c r="AX53" s="45">
        <f t="shared" si="66"/>
        <v>1047373.6975893067</v>
      </c>
      <c r="AY53" s="45">
        <f t="shared" si="66"/>
        <v>2720250.8620477258</v>
      </c>
      <c r="AZ53" s="45">
        <f t="shared" si="66"/>
        <v>5149422.6351792999</v>
      </c>
      <c r="BA53" s="45">
        <f t="shared" si="66"/>
        <v>6422668.1022010976</v>
      </c>
      <c r="BB53" s="45">
        <f t="shared" si="66"/>
        <v>6422668.1022010976</v>
      </c>
      <c r="BC53" s="45">
        <f t="shared" si="66"/>
        <v>6422668.1022010976</v>
      </c>
      <c r="BF53" s="45" t="str">
        <f>'5. Static CDM Result by Program'!B376</f>
        <v>Appliance Retirement</v>
      </c>
      <c r="BG53" s="45" t="str">
        <f>'5. Static CDM Result by Program'!C376</f>
        <v>RS</v>
      </c>
      <c r="BH53" s="17">
        <v>1</v>
      </c>
      <c r="BI53" s="17"/>
      <c r="BJ53" s="17"/>
      <c r="BK53" s="17"/>
      <c r="BL53">
        <v>2013</v>
      </c>
      <c r="BN53" s="47"/>
      <c r="BO53" s="47">
        <f>'5. Static CDM Result by Program'!E376*0.5</f>
        <v>0</v>
      </c>
      <c r="BP53" s="47">
        <f>'5. Static CDM Result by Program'!N376</f>
        <v>-35855</v>
      </c>
      <c r="BQ53" s="47">
        <f t="shared" si="10"/>
        <v>-35855</v>
      </c>
      <c r="BR53" s="47">
        <f t="shared" si="10"/>
        <v>-35855</v>
      </c>
      <c r="BS53" s="47">
        <f t="shared" ref="BS53" si="69">BR53</f>
        <v>-35855</v>
      </c>
    </row>
    <row r="54" spans="1:78">
      <c r="A54" s="2">
        <v>39783</v>
      </c>
      <c r="B54" s="2"/>
      <c r="C54" s="39">
        <f>C53+E5</f>
        <v>650263.98574011854</v>
      </c>
      <c r="D54" s="39">
        <f>SUM(C43:C54)</f>
        <v>6995958.7480950672</v>
      </c>
      <c r="E54" s="39">
        <f>C54*12</f>
        <v>7803167.8288814221</v>
      </c>
      <c r="I54" s="39">
        <f>I53+K5</f>
        <v>622598.0258209923</v>
      </c>
      <c r="J54" s="39">
        <f>SUM(I43:I54)</f>
        <v>6816130.0086207455</v>
      </c>
      <c r="K54" s="39">
        <f>I54*12</f>
        <v>7471176.3098519072</v>
      </c>
      <c r="O54" s="39">
        <f>O53+Q5</f>
        <v>7697.2580048520867</v>
      </c>
      <c r="P54" s="39">
        <f>SUM(O43:O54)</f>
        <v>50032.177031538566</v>
      </c>
      <c r="Q54" s="39">
        <f>O54*12</f>
        <v>92367.096058225041</v>
      </c>
      <c r="U54" s="39">
        <f>U53+W5</f>
        <v>19968.701914274159</v>
      </c>
      <c r="V54" s="39">
        <f>SUM(U43:U54)</f>
        <v>129796.56244278203</v>
      </c>
      <c r="W54" s="39">
        <f>U54*12</f>
        <v>239624.4229712899</v>
      </c>
      <c r="AA54" s="39">
        <f>AA53+AC5</f>
        <v>0</v>
      </c>
      <c r="AB54" s="39">
        <f>SUM(AA43:AA54)</f>
        <v>0</v>
      </c>
      <c r="AC54" s="39">
        <f>AA54*12</f>
        <v>0</v>
      </c>
      <c r="AP54" t="str">
        <f>BJ81</f>
        <v>2011 to 2014</v>
      </c>
      <c r="AQ54" t="str">
        <f>BL81</f>
        <v>GS &gt; 1000kW</v>
      </c>
      <c r="AW54" s="45">
        <f t="shared" si="66"/>
        <v>83517.956543244305</v>
      </c>
      <c r="AX54" s="45">
        <f t="shared" si="66"/>
        <v>187023.13808648862</v>
      </c>
      <c r="AY54" s="45">
        <f t="shared" si="66"/>
        <v>2518138.1079734107</v>
      </c>
      <c r="AZ54" s="45">
        <f t="shared" si="66"/>
        <v>7531281.5503735412</v>
      </c>
      <c r="BA54" s="45">
        <f t="shared" si="66"/>
        <v>10228529.53788675</v>
      </c>
      <c r="BB54" s="45">
        <f t="shared" si="66"/>
        <v>10228529.53788675</v>
      </c>
      <c r="BC54" s="45">
        <f t="shared" si="66"/>
        <v>10228529.53788675</v>
      </c>
      <c r="BF54" s="45" t="str">
        <f>'5. Static CDM Result by Program'!B378</f>
        <v>HVAC Incentives</v>
      </c>
      <c r="BG54" s="45" t="str">
        <f>'5. Static CDM Result by Program'!C378</f>
        <v>RS</v>
      </c>
      <c r="BH54" s="17">
        <v>1</v>
      </c>
      <c r="BI54" s="17"/>
      <c r="BJ54" s="17"/>
      <c r="BK54" s="17"/>
      <c r="BL54">
        <v>2013</v>
      </c>
      <c r="BN54" s="47"/>
      <c r="BO54" s="47">
        <f>'5. Static CDM Result by Program'!E378*0.5</f>
        <v>6855.2926785999998</v>
      </c>
      <c r="BP54" s="47">
        <f>'5. Static CDM Result by Program'!N378</f>
        <v>13710.5853572</v>
      </c>
      <c r="BQ54" s="47">
        <f t="shared" si="10"/>
        <v>13710.5853572</v>
      </c>
      <c r="BR54" s="47">
        <f t="shared" si="10"/>
        <v>13710.5853572</v>
      </c>
      <c r="BS54" s="47">
        <f t="shared" ref="BS54" si="70">BR54</f>
        <v>13710.5853572</v>
      </c>
    </row>
    <row r="55" spans="1:78">
      <c r="A55" s="2">
        <v>39814</v>
      </c>
      <c r="B55" s="2"/>
      <c r="C55" s="39">
        <f>C54+E6</f>
        <v>680823.47460484621</v>
      </c>
      <c r="I55" s="39">
        <f>I54+K6</f>
        <v>632742.12409511243</v>
      </c>
      <c r="O55" s="39">
        <f>O54+Q6</f>
        <v>15658.760164996896</v>
      </c>
      <c r="U55" s="39">
        <f>U54+W6</f>
        <v>32350.641219676876</v>
      </c>
      <c r="AA55" s="39">
        <f>AA54+AC6</f>
        <v>71.949125060016001</v>
      </c>
      <c r="AQ55" t="s">
        <v>114</v>
      </c>
      <c r="AW55" s="45">
        <f>SUM(AW51:AW54)</f>
        <v>1102787.764</v>
      </c>
      <c r="AX55" s="45">
        <f t="shared" ref="AX55:BC55" si="71">SUM(AX51:AX54)</f>
        <v>3638158.7775000003</v>
      </c>
      <c r="AY55" s="45">
        <f t="shared" si="71"/>
        <v>9600106.0621285997</v>
      </c>
      <c r="AZ55" s="45">
        <f t="shared" si="71"/>
        <v>19740492.6757572</v>
      </c>
      <c r="BA55" s="45">
        <f t="shared" si="71"/>
        <v>25552823.544257201</v>
      </c>
      <c r="BB55" s="45">
        <f t="shared" si="71"/>
        <v>25552823.544257201</v>
      </c>
      <c r="BC55" s="45">
        <f t="shared" si="71"/>
        <v>25552823.544257201</v>
      </c>
      <c r="BF55" s="45" t="str">
        <f>'5. Static CDM Result by Program'!B379</f>
        <v>Conservation Instant Coupon Booklet</v>
      </c>
      <c r="BG55" s="45" t="str">
        <f>'5. Static CDM Result by Program'!C379</f>
        <v>RS</v>
      </c>
      <c r="BH55" s="17">
        <v>1</v>
      </c>
      <c r="BI55" s="17"/>
      <c r="BJ55" s="17"/>
      <c r="BK55" s="17"/>
      <c r="BL55">
        <v>2013</v>
      </c>
      <c r="BN55" s="47"/>
      <c r="BO55" s="47">
        <f>'5. Static CDM Result by Program'!E379*0.5</f>
        <v>103</v>
      </c>
      <c r="BP55" s="47">
        <f>'5. Static CDM Result by Program'!N379</f>
        <v>206</v>
      </c>
      <c r="BQ55" s="47">
        <f t="shared" si="10"/>
        <v>206</v>
      </c>
      <c r="BR55" s="47">
        <f t="shared" si="10"/>
        <v>206</v>
      </c>
      <c r="BS55" s="47">
        <f t="shared" ref="BS55" si="72">BR55</f>
        <v>206</v>
      </c>
      <c r="BU55" s="46">
        <f>SUM(BO53:BP55)</f>
        <v>-14980.121964200001</v>
      </c>
      <c r="BV55" s="46">
        <f>BU55-'5. Static CDM Result by Program'!Q385</f>
        <v>-6958.2926785999989</v>
      </c>
    </row>
    <row r="56" spans="1:78">
      <c r="A56" s="2">
        <v>39845</v>
      </c>
      <c r="B56" s="2"/>
      <c r="C56" s="39">
        <f>C55+E6</f>
        <v>711382.96346957388</v>
      </c>
      <c r="I56" s="39">
        <f>I55+K6</f>
        <v>642886.22236923256</v>
      </c>
      <c r="O56" s="39">
        <f>O55+Q6</f>
        <v>23620.262325141706</v>
      </c>
      <c r="U56" s="39">
        <f>U55+W6</f>
        <v>44732.580525079597</v>
      </c>
      <c r="AA56" s="39">
        <f>AA55+AC6</f>
        <v>143.898250120032</v>
      </c>
      <c r="BF56" s="45" t="str">
        <f>'5. Static CDM Result by Program'!B388</f>
        <v>Retrofit</v>
      </c>
      <c r="BG56" s="45" t="str">
        <f>'5. Static CDM Result by Program'!C388</f>
        <v>GS &lt; 50</v>
      </c>
      <c r="BH56" s="17"/>
      <c r="BI56" s="17">
        <v>1</v>
      </c>
      <c r="BJ56" s="17"/>
      <c r="BK56" s="17"/>
      <c r="BL56">
        <v>2013</v>
      </c>
      <c r="BN56" s="47"/>
      <c r="BO56" s="47">
        <f>'5. Static CDM Result by Program'!E388*0.5</f>
        <v>12571.329003302555</v>
      </c>
      <c r="BP56" s="47">
        <f>'5. Static CDM Result by Program'!N388</f>
        <v>25142.65800660511</v>
      </c>
      <c r="BQ56" s="47">
        <f t="shared" si="10"/>
        <v>25142.65800660511</v>
      </c>
      <c r="BR56" s="47">
        <f t="shared" si="10"/>
        <v>25142.65800660511</v>
      </c>
      <c r="BS56" s="47">
        <f t="shared" ref="BS56" si="73">BR56</f>
        <v>25142.65800660511</v>
      </c>
    </row>
    <row r="57" spans="1:78">
      <c r="A57" s="2">
        <v>39873</v>
      </c>
      <c r="B57" s="2"/>
      <c r="C57" s="39">
        <f>C56+E6</f>
        <v>741942.45233430155</v>
      </c>
      <c r="I57" s="39">
        <f>I56+K6</f>
        <v>653030.32064335269</v>
      </c>
      <c r="O57" s="39">
        <f>O56+Q6</f>
        <v>31581.764485286516</v>
      </c>
      <c r="U57" s="39">
        <f>U56+W6</f>
        <v>57114.519830482313</v>
      </c>
      <c r="AA57" s="39">
        <f>AA56+AC6</f>
        <v>215.847375180048</v>
      </c>
      <c r="AP57" s="62">
        <v>2015</v>
      </c>
      <c r="AQ57" t="str">
        <f>AQ51</f>
        <v xml:space="preserve">Residential </v>
      </c>
      <c r="BA57" s="45">
        <f>BB57*0.5</f>
        <v>682862.5</v>
      </c>
      <c r="BB57" s="45">
        <v>1365725</v>
      </c>
      <c r="BC57" s="45">
        <f>BB57</f>
        <v>1365725</v>
      </c>
      <c r="BF57" s="45" t="str">
        <f>'5. Static CDM Result by Program'!B389</f>
        <v>Retrofit</v>
      </c>
      <c r="BG57" s="45" t="str">
        <f>'5. Static CDM Result by Program'!C389</f>
        <v>GS 50-999</v>
      </c>
      <c r="BH57" s="17"/>
      <c r="BI57" s="17"/>
      <c r="BJ57" s="17">
        <v>1</v>
      </c>
      <c r="BK57" s="17"/>
      <c r="BL57">
        <v>2013</v>
      </c>
      <c r="BN57" s="47"/>
      <c r="BO57" s="47">
        <f>'5. Static CDM Result by Program'!E389*0.5</f>
        <v>21006.34610977571</v>
      </c>
      <c r="BP57" s="47">
        <f>'5. Static CDM Result by Program'!N389</f>
        <v>42012.69221955142</v>
      </c>
      <c r="BQ57" s="47">
        <f t="shared" si="10"/>
        <v>42012.69221955142</v>
      </c>
      <c r="BR57" s="47">
        <f t="shared" si="10"/>
        <v>42012.69221955142</v>
      </c>
      <c r="BS57" s="47">
        <f t="shared" ref="BS57" si="74">BR57</f>
        <v>42012.69221955142</v>
      </c>
    </row>
    <row r="58" spans="1:78">
      <c r="A58" s="2">
        <v>39904</v>
      </c>
      <c r="B58" s="2"/>
      <c r="C58" s="39">
        <f>C57+E6</f>
        <v>772501.94119902921</v>
      </c>
      <c r="I58" s="39">
        <f>I57+K6</f>
        <v>663174.41891747282</v>
      </c>
      <c r="O58" s="39">
        <f>O57+Q6</f>
        <v>39543.266645431322</v>
      </c>
      <c r="U58" s="39">
        <f>U57+W6</f>
        <v>69496.45913588503</v>
      </c>
      <c r="AA58" s="39">
        <f>AA57+AC6</f>
        <v>287.79650024006401</v>
      </c>
      <c r="AP58" s="62">
        <v>2015</v>
      </c>
      <c r="AQ58" t="str">
        <f t="shared" ref="AQ58:AQ60" si="75">AQ52</f>
        <v>GS &lt; 50 kW</v>
      </c>
      <c r="AW58" s="45"/>
      <c r="AX58" s="45"/>
      <c r="AY58" s="45"/>
      <c r="BA58" s="45">
        <f t="shared" ref="BA58:BA61" si="76">BB58*0.5</f>
        <v>275612.5</v>
      </c>
      <c r="BB58" s="45">
        <v>551225</v>
      </c>
      <c r="BC58" s="45">
        <f t="shared" ref="BC58:BC61" si="77">BB58</f>
        <v>551225</v>
      </c>
      <c r="BF58" s="45" t="str">
        <f>'5. Static CDM Result by Program'!B390</f>
        <v>Retrofit</v>
      </c>
      <c r="BG58" s="45" t="str">
        <f>'5. Static CDM Result by Program'!C390</f>
        <v>GS &gt; 1000</v>
      </c>
      <c r="BH58" s="17"/>
      <c r="BI58" s="17"/>
      <c r="BJ58" s="17"/>
      <c r="BK58" s="17">
        <v>1</v>
      </c>
      <c r="BL58">
        <v>2013</v>
      </c>
      <c r="BN58" s="47"/>
      <c r="BO58" s="47">
        <f>'5. Static CDM Result by Program'!E390*0.5</f>
        <v>98936.324886921793</v>
      </c>
      <c r="BP58" s="47">
        <f>'5. Static CDM Result by Program'!N390</f>
        <v>197872.64977384359</v>
      </c>
      <c r="BQ58" s="47">
        <f t="shared" si="10"/>
        <v>197872.64977384359</v>
      </c>
      <c r="BR58" s="47">
        <f t="shared" si="10"/>
        <v>197872.64977384359</v>
      </c>
      <c r="BS58" s="47">
        <f t="shared" ref="BS58" si="78">BR58</f>
        <v>197872.64977384359</v>
      </c>
    </row>
    <row r="59" spans="1:78">
      <c r="A59" s="2">
        <v>39934</v>
      </c>
      <c r="B59" s="2"/>
      <c r="C59" s="39">
        <f>C58+E6</f>
        <v>803061.43006375688</v>
      </c>
      <c r="I59" s="39">
        <f>I58+K6</f>
        <v>673318.51719159295</v>
      </c>
      <c r="O59" s="39">
        <f>O58+Q6</f>
        <v>47504.768805576132</v>
      </c>
      <c r="U59" s="39">
        <f>U58+W6</f>
        <v>81878.398441287747</v>
      </c>
      <c r="AA59" s="39">
        <f>AA58+AC6</f>
        <v>359.74562530008001</v>
      </c>
      <c r="AP59" s="62">
        <v>2015</v>
      </c>
      <c r="AQ59" t="str">
        <f t="shared" si="75"/>
        <v>GS 50-999</v>
      </c>
      <c r="AW59" s="45"/>
      <c r="AX59" s="45"/>
      <c r="AY59" s="45"/>
      <c r="BA59" s="45">
        <f t="shared" si="76"/>
        <v>667290</v>
      </c>
      <c r="BB59" s="45">
        <v>1334580</v>
      </c>
      <c r="BC59" s="45">
        <f t="shared" si="77"/>
        <v>1334580</v>
      </c>
      <c r="BF59" s="45" t="str">
        <f>'5. Static CDM Result by Program'!B392</f>
        <v>Direct Install Lighting</v>
      </c>
      <c r="BG59" s="45" t="str">
        <f>'5. Static CDM Result by Program'!C392</f>
        <v>GS &lt; 50</v>
      </c>
      <c r="BI59" s="17">
        <v>1</v>
      </c>
      <c r="BL59">
        <v>2013</v>
      </c>
      <c r="BP59" s="47">
        <f>'5. Static CDM Result by Program'!N392</f>
        <v>-35855</v>
      </c>
      <c r="BQ59" s="47">
        <f t="shared" si="10"/>
        <v>-35855</v>
      </c>
      <c r="BR59" s="47">
        <f t="shared" si="10"/>
        <v>-35855</v>
      </c>
      <c r="BS59" s="47">
        <f t="shared" ref="BS59" si="79">BR59</f>
        <v>-35855</v>
      </c>
      <c r="BU59" s="46">
        <f>SUM(BO56:BP59)</f>
        <v>361687.00000000017</v>
      </c>
      <c r="BV59" s="46">
        <f>BU59-'5. Static CDM Result by Program'!Q399</f>
        <v>-132514.00000000006</v>
      </c>
    </row>
    <row r="60" spans="1:78">
      <c r="A60" s="2">
        <v>39965</v>
      </c>
      <c r="B60" s="2"/>
      <c r="C60" s="39">
        <f>C59+E6</f>
        <v>833620.91892848455</v>
      </c>
      <c r="I60" s="39">
        <f>I59+K6</f>
        <v>683462.61546571308</v>
      </c>
      <c r="O60" s="39">
        <f>O59+Q6</f>
        <v>55466.270965720942</v>
      </c>
      <c r="U60" s="39">
        <f>U59+W6</f>
        <v>94260.337746690464</v>
      </c>
      <c r="AA60" s="39">
        <f>AA59+AC6</f>
        <v>431.69475036009601</v>
      </c>
      <c r="AP60" s="62">
        <v>2015</v>
      </c>
      <c r="AQ60" t="str">
        <f t="shared" si="75"/>
        <v>GS &gt; 1000kW</v>
      </c>
      <c r="AW60" s="45"/>
      <c r="AX60" s="45"/>
      <c r="AY60" s="45"/>
      <c r="BA60" s="45">
        <f t="shared" si="76"/>
        <v>7308379.5</v>
      </c>
      <c r="BB60" s="45">
        <v>14616759</v>
      </c>
      <c r="BC60" s="45">
        <f t="shared" si="77"/>
        <v>14616759</v>
      </c>
      <c r="BF60" s="45" t="str">
        <f>'5. Static CDM Result by Program'!B410</f>
        <v>Home Assistance Program</v>
      </c>
      <c r="BG60" s="45" t="str">
        <f>'5. Static CDM Result by Program'!C410</f>
        <v>RS</v>
      </c>
      <c r="BH60" s="17">
        <v>1</v>
      </c>
      <c r="BI60" s="17"/>
      <c r="BJ60" s="17"/>
      <c r="BK60" s="17"/>
      <c r="BL60">
        <v>2013</v>
      </c>
      <c r="BN60" s="47"/>
      <c r="BO60" s="47">
        <f>'5. Static CDM Result by Program'!E410*0.5</f>
        <v>13200.443450000001</v>
      </c>
      <c r="BP60" s="47">
        <f>'5. Static CDM Result by Program'!N410</f>
        <v>25794.886900000001</v>
      </c>
      <c r="BQ60" s="47">
        <f t="shared" si="10"/>
        <v>25794.886900000001</v>
      </c>
      <c r="BR60" s="47">
        <f t="shared" si="10"/>
        <v>25794.886900000001</v>
      </c>
      <c r="BS60" s="47">
        <f t="shared" ref="BS60" si="80">BR60</f>
        <v>25794.886900000001</v>
      </c>
      <c r="BU60" s="46">
        <f>SUM(BN60:BP60)</f>
        <v>38995.330350000004</v>
      </c>
      <c r="BV60" s="46">
        <f>BU60-'5. Static CDM Result by Program'!Q411</f>
        <v>-13200.443449999999</v>
      </c>
    </row>
    <row r="61" spans="1:78">
      <c r="A61" s="2">
        <v>39995</v>
      </c>
      <c r="B61" s="2"/>
      <c r="C61" s="39">
        <f>C60+E6</f>
        <v>864180.40779321222</v>
      </c>
      <c r="I61" s="39">
        <f>I60+K6</f>
        <v>693606.71373983321</v>
      </c>
      <c r="O61" s="39">
        <f>O60+Q6</f>
        <v>63427.773125865751</v>
      </c>
      <c r="U61" s="39">
        <f>U60+W6</f>
        <v>106642.27705209318</v>
      </c>
      <c r="AA61" s="39">
        <f>AA60+AC6</f>
        <v>503.64387542011201</v>
      </c>
      <c r="AQ61" s="48" t="s">
        <v>258</v>
      </c>
      <c r="AW61" s="45"/>
      <c r="AX61" s="45"/>
      <c r="AY61" s="45"/>
      <c r="BA61" s="45">
        <f t="shared" si="76"/>
        <v>483000</v>
      </c>
      <c r="BB61" s="45">
        <v>966000</v>
      </c>
      <c r="BC61" s="45">
        <f t="shared" si="77"/>
        <v>966000</v>
      </c>
      <c r="BF61" s="45" t="str">
        <f>'5. Static CDM Result by Program'!B427</f>
        <v>Program Enabled Savings</v>
      </c>
      <c r="BG61" s="45" t="str">
        <f>'5. Static CDM Result by Program'!C427</f>
        <v>GS 50-999</v>
      </c>
      <c r="BH61" s="17"/>
      <c r="BI61" s="17"/>
      <c r="BJ61" s="17">
        <v>1</v>
      </c>
      <c r="BK61" s="17"/>
      <c r="BL61">
        <v>2013</v>
      </c>
      <c r="BO61" s="45">
        <f>'5. Static CDM Result by Program'!E427*0.5</f>
        <v>660475.96</v>
      </c>
      <c r="BP61" s="45">
        <f>'5. Static CDM Result by Program'!N427</f>
        <v>1320951.92</v>
      </c>
      <c r="BQ61" s="47">
        <f t="shared" si="10"/>
        <v>1320951.92</v>
      </c>
      <c r="BR61" s="47">
        <f t="shared" si="10"/>
        <v>1320951.92</v>
      </c>
      <c r="BS61" s="47">
        <f t="shared" ref="BS61" si="81">BR61</f>
        <v>1320951.92</v>
      </c>
      <c r="BU61" s="46">
        <f>SUM(BN61:BP61)</f>
        <v>1981427.88</v>
      </c>
      <c r="BV61" s="46">
        <f>BU61-'5. Static CDM Result by Program'!Q430</f>
        <v>-660475.96</v>
      </c>
      <c r="BW61" s="46">
        <f>BU46+BU50+BU51+BU52+BU55+BU59+BU60+BU61</f>
        <v>13600492.715385798</v>
      </c>
      <c r="BX61" s="46">
        <f>BW61-'5. Static CDM Result by Program'!K579</f>
        <v>-4569338.4851286002</v>
      </c>
      <c r="BY61" s="46">
        <f>('5. Static CDM Result by Program'!E359+'5. Static CDM Result by Program'!E432)/2</f>
        <v>4569338.4851286002</v>
      </c>
      <c r="BZ61" s="46">
        <f>SUM(BX61:BY61)</f>
        <v>0</v>
      </c>
    </row>
    <row r="62" spans="1:78">
      <c r="A62" s="2">
        <v>40026</v>
      </c>
      <c r="B62" s="2"/>
      <c r="C62" s="39">
        <f>C61+E6</f>
        <v>894739.89665793988</v>
      </c>
      <c r="I62" s="39">
        <f>I61+K6</f>
        <v>703750.81201395334</v>
      </c>
      <c r="O62" s="39">
        <f>O61+Q6</f>
        <v>71389.275286010554</v>
      </c>
      <c r="U62" s="39">
        <f>U61+W6</f>
        <v>119024.2163574959</v>
      </c>
      <c r="AA62" s="39">
        <f>AA61+AC6</f>
        <v>575.59300048012801</v>
      </c>
      <c r="AQ62" t="s">
        <v>114</v>
      </c>
      <c r="AW62" s="45"/>
      <c r="AX62" s="45"/>
      <c r="AY62" s="45"/>
      <c r="BA62" s="45">
        <f>SUM(BA57:BA61)</f>
        <v>9417144.5</v>
      </c>
      <c r="BB62" s="45">
        <f t="shared" ref="BB62:BC62" si="82">SUM(BB57:BB61)</f>
        <v>18834289</v>
      </c>
      <c r="BC62" s="45">
        <f t="shared" si="82"/>
        <v>18834289</v>
      </c>
      <c r="BF62" s="45" t="str">
        <f>'5. Static CDM Result by Program'!B452</f>
        <v>Appliance Retirement</v>
      </c>
      <c r="BG62" s="45" t="str">
        <f>'5. Static CDM Result by Program'!C452</f>
        <v>RS</v>
      </c>
      <c r="BH62" s="17">
        <v>1</v>
      </c>
      <c r="BI62" s="17"/>
      <c r="BJ62" s="17"/>
      <c r="BK62" s="17"/>
      <c r="BL62">
        <v>2014</v>
      </c>
      <c r="BP62" s="45">
        <f>'5. Static CDM Result by Program'!$E$452*0.5</f>
        <v>47220.720999999998</v>
      </c>
      <c r="BQ62" s="45">
        <f>'5. Static CDM Result by Program'!$E$452</f>
        <v>94441.441999999995</v>
      </c>
      <c r="BR62" s="47">
        <f t="shared" si="10"/>
        <v>94441.441999999995</v>
      </c>
      <c r="BS62" s="47">
        <f t="shared" ref="BS62" si="83">BR62</f>
        <v>94441.441999999995</v>
      </c>
    </row>
    <row r="63" spans="1:78">
      <c r="A63" s="2">
        <v>40057</v>
      </c>
      <c r="B63" s="2"/>
      <c r="C63" s="39">
        <f>C62+E6</f>
        <v>925299.38552266755</v>
      </c>
      <c r="I63" s="39">
        <f>I62+K6</f>
        <v>713894.91028807347</v>
      </c>
      <c r="O63" s="39">
        <f>O62+Q6</f>
        <v>79350.777446155364</v>
      </c>
      <c r="U63" s="39">
        <f>U62+W6</f>
        <v>131406.15566289861</v>
      </c>
      <c r="AA63" s="39">
        <f>AA62+AC6</f>
        <v>647.54212554014407</v>
      </c>
      <c r="BF63" s="45" t="str">
        <f>'5. Static CDM Result by Program'!B453</f>
        <v>Appliance Exchange</v>
      </c>
      <c r="BG63" s="45" t="str">
        <f>'5. Static CDM Result by Program'!C453</f>
        <v>RS</v>
      </c>
      <c r="BH63" s="17">
        <v>1</v>
      </c>
      <c r="BI63" s="17"/>
      <c r="BJ63" s="17"/>
      <c r="BK63" s="17"/>
      <c r="BL63">
        <v>2014</v>
      </c>
      <c r="BP63" s="45">
        <f>'5. Static CDM Result by Program'!$E$453*0.5</f>
        <v>11083.1965</v>
      </c>
      <c r="BQ63" s="45">
        <f>'5. Static CDM Result by Program'!$E$453</f>
        <v>22166.393</v>
      </c>
      <c r="BR63" s="47">
        <f t="shared" si="10"/>
        <v>22166.393</v>
      </c>
      <c r="BS63" s="47">
        <f t="shared" ref="BS63" si="84">BR63</f>
        <v>22166.393</v>
      </c>
    </row>
    <row r="64" spans="1:78">
      <c r="A64" s="2">
        <v>40087</v>
      </c>
      <c r="B64" s="2"/>
      <c r="C64" s="39">
        <f>C63+E6</f>
        <v>955858.87438739522</v>
      </c>
      <c r="I64" s="39">
        <f>I63+K6</f>
        <v>724039.0085621936</v>
      </c>
      <c r="O64" s="39">
        <f>O63+Q6</f>
        <v>87312.279606300173</v>
      </c>
      <c r="U64" s="39">
        <f>U63+W6</f>
        <v>143788.09496830133</v>
      </c>
      <c r="AA64" s="39">
        <f>AA63+AC6</f>
        <v>719.49125060016013</v>
      </c>
      <c r="AP64" s="62" t="s">
        <v>115</v>
      </c>
      <c r="AQ64" t="str">
        <f>AQ57</f>
        <v xml:space="preserve">Residential </v>
      </c>
      <c r="AR64" s="46">
        <f>AR45+AR51+AR57</f>
        <v>1623155.213645139</v>
      </c>
      <c r="AS64" s="46">
        <f t="shared" ref="AS64:AY64" si="85">AS45+AS51+AS57</f>
        <v>4646180.5660392176</v>
      </c>
      <c r="AT64" s="46">
        <f t="shared" si="85"/>
        <v>6816130.0086207483</v>
      </c>
      <c r="AU64" s="46">
        <f t="shared" si="85"/>
        <v>8262415.9752332782</v>
      </c>
      <c r="AV64" s="46">
        <f t="shared" si="85"/>
        <v>6707812.2110402873</v>
      </c>
      <c r="AW64" s="46">
        <f t="shared" si="85"/>
        <v>7261361.956700353</v>
      </c>
      <c r="AX64" s="46">
        <f t="shared" si="85"/>
        <v>7818796.6494667754</v>
      </c>
      <c r="AY64" s="46">
        <f t="shared" si="85"/>
        <v>8253039.4154269472</v>
      </c>
      <c r="AZ64" s="46">
        <f>AZ45+AZ51+AZ57</f>
        <v>8521067.2610246353</v>
      </c>
      <c r="BA64" s="46">
        <f t="shared" ref="BA64:BC64" si="86">BA45+BA51+BA57</f>
        <v>8395774.5567609761</v>
      </c>
      <c r="BB64" s="46">
        <f t="shared" si="86"/>
        <v>8364041.6171837654</v>
      </c>
      <c r="BC64" s="46">
        <f t="shared" si="86"/>
        <v>7581503.4870431665</v>
      </c>
      <c r="BF64" s="45" t="str">
        <f>'5. Static CDM Result by Program'!B454</f>
        <v>HVAC Incentives</v>
      </c>
      <c r="BG64" s="45" t="str">
        <f>'5. Static CDM Result by Program'!C454</f>
        <v>RS</v>
      </c>
      <c r="BH64" s="17">
        <v>1</v>
      </c>
      <c r="BI64" s="17"/>
      <c r="BJ64" s="17"/>
      <c r="BK64" s="17"/>
      <c r="BL64">
        <v>2014</v>
      </c>
      <c r="BP64" s="45">
        <f>'5. Static CDM Result by Program'!$E$454*0.5</f>
        <v>167436.92749999999</v>
      </c>
      <c r="BQ64" s="45">
        <f>'5. Static CDM Result by Program'!$E$454</f>
        <v>334873.85499999998</v>
      </c>
      <c r="BR64" s="47">
        <f t="shared" si="10"/>
        <v>334873.85499999998</v>
      </c>
      <c r="BS64" s="47">
        <f t="shared" ref="BS64" si="87">BR64</f>
        <v>334873.85499999998</v>
      </c>
    </row>
    <row r="65" spans="1:78">
      <c r="A65" s="2">
        <v>40118</v>
      </c>
      <c r="B65" s="2"/>
      <c r="C65" s="39">
        <f>C64+E6</f>
        <v>986418.36325212289</v>
      </c>
      <c r="D65" s="62" t="s">
        <v>60</v>
      </c>
      <c r="I65" s="39">
        <f>I64+K6</f>
        <v>734183.10683631373</v>
      </c>
      <c r="J65" s="62" t="s">
        <v>60</v>
      </c>
      <c r="O65" s="39">
        <f>O64+Q6</f>
        <v>95273.781766444983</v>
      </c>
      <c r="P65" s="62" t="s">
        <v>60</v>
      </c>
      <c r="U65" s="39">
        <f>U64+W6</f>
        <v>156170.03427370405</v>
      </c>
      <c r="V65" s="62" t="s">
        <v>60</v>
      </c>
      <c r="AA65" s="39">
        <f>AA64+AC6</f>
        <v>791.44037566017619</v>
      </c>
      <c r="AB65" s="62" t="s">
        <v>60</v>
      </c>
      <c r="AP65" s="62" t="s">
        <v>115</v>
      </c>
      <c r="AQ65" t="str">
        <f t="shared" ref="AQ65:AQ68" si="88">AQ58</f>
        <v>GS &lt; 50 kW</v>
      </c>
      <c r="AR65" s="46">
        <f t="shared" ref="AR65:AY67" si="89">AR46+AR52+AR58</f>
        <v>0</v>
      </c>
      <c r="AS65" s="46">
        <f t="shared" si="89"/>
        <v>0</v>
      </c>
      <c r="AT65" s="46">
        <f t="shared" si="89"/>
        <v>50032.177031538566</v>
      </c>
      <c r="AU65" s="46">
        <f t="shared" si="89"/>
        <v>713364.2645495201</v>
      </c>
      <c r="AV65" s="46">
        <f t="shared" si="89"/>
        <v>1834512.0953367227</v>
      </c>
      <c r="AW65" s="46">
        <f t="shared" si="89"/>
        <v>2578640.3991112872</v>
      </c>
      <c r="AX65" s="46">
        <f t="shared" si="89"/>
        <v>3414927.0870990683</v>
      </c>
      <c r="AY65" s="46">
        <f t="shared" si="89"/>
        <v>4753896.410753727</v>
      </c>
      <c r="AZ65" s="46">
        <f t="shared" ref="AZ65:BC65" si="90">AZ46+AZ52+AZ58</f>
        <v>6286049.7442220245</v>
      </c>
      <c r="BA65" s="46">
        <f t="shared" si="90"/>
        <v>7461235.875187018</v>
      </c>
      <c r="BB65" s="46">
        <f t="shared" si="90"/>
        <v>7728686.0105879465</v>
      </c>
      <c r="BC65" s="46">
        <f t="shared" si="90"/>
        <v>7084503.9281894667</v>
      </c>
      <c r="BF65" s="45" t="str">
        <f>'5. Static CDM Result by Program'!B455</f>
        <v>Conservation Instant Coupon Booklet</v>
      </c>
      <c r="BG65" s="45" t="str">
        <f>'5. Static CDM Result by Program'!C455</f>
        <v>RS</v>
      </c>
      <c r="BH65" s="17">
        <v>1</v>
      </c>
      <c r="BI65" s="17"/>
      <c r="BJ65" s="17"/>
      <c r="BK65" s="17"/>
      <c r="BL65">
        <v>2014</v>
      </c>
      <c r="BP65" s="45">
        <f>'5. Static CDM Result by Program'!$E$455*0.5</f>
        <v>123019.56200000001</v>
      </c>
      <c r="BQ65" s="45">
        <f>'5. Static CDM Result by Program'!$E$455</f>
        <v>246039.12400000001</v>
      </c>
      <c r="BR65" s="47">
        <f t="shared" si="10"/>
        <v>246039.12400000001</v>
      </c>
      <c r="BS65" s="47">
        <f t="shared" ref="BS65" si="91">BR65</f>
        <v>246039.12400000001</v>
      </c>
    </row>
    <row r="66" spans="1:78">
      <c r="A66" s="2">
        <v>40148</v>
      </c>
      <c r="B66" s="2"/>
      <c r="C66" s="39">
        <f>C65+E6</f>
        <v>1016977.8521168506</v>
      </c>
      <c r="D66" s="39">
        <f>SUM(C55:C66)</f>
        <v>10186807.960330181</v>
      </c>
      <c r="E66" s="39">
        <f>C66*12</f>
        <v>12203734.225402206</v>
      </c>
      <c r="I66" s="39">
        <f>I65+K6</f>
        <v>744327.20511043386</v>
      </c>
      <c r="J66" s="39">
        <f>SUM(I55:I66)</f>
        <v>8262415.9752332764</v>
      </c>
      <c r="K66" s="39">
        <f>I66*12</f>
        <v>8931926.4613252059</v>
      </c>
      <c r="O66" s="39">
        <f>O65+Q6</f>
        <v>103235.28392658979</v>
      </c>
      <c r="P66" s="39">
        <f>SUM(O55:O66)</f>
        <v>713364.2645495201</v>
      </c>
      <c r="Q66" s="39">
        <f>O66*12</f>
        <v>1238823.4071190776</v>
      </c>
      <c r="U66" s="39">
        <f>U65+W6</f>
        <v>168551.97357910677</v>
      </c>
      <c r="V66" s="39">
        <f>SUM(U55:U66)</f>
        <v>1205415.6887927018</v>
      </c>
      <c r="W66" s="39">
        <f>U66*12</f>
        <v>2022623.6829492813</v>
      </c>
      <c r="AA66" s="39">
        <f>AA65+AC6</f>
        <v>863.38950072019225</v>
      </c>
      <c r="AB66" s="39">
        <f>SUM(AA55:AA66)</f>
        <v>5612.0317546812494</v>
      </c>
      <c r="AC66" s="39">
        <f>AA66*12</f>
        <v>10360.674008642307</v>
      </c>
      <c r="AP66" s="62" t="s">
        <v>115</v>
      </c>
      <c r="AQ66" t="str">
        <f t="shared" si="88"/>
        <v>GS 50-999</v>
      </c>
      <c r="AR66" s="46">
        <f t="shared" si="89"/>
        <v>0</v>
      </c>
      <c r="AS66" s="46">
        <f t="shared" si="89"/>
        <v>0</v>
      </c>
      <c r="AT66" s="46">
        <f t="shared" si="89"/>
        <v>129796.56244278199</v>
      </c>
      <c r="AU66" s="46">
        <f t="shared" si="89"/>
        <v>1205415.6887927018</v>
      </c>
      <c r="AV66" s="46">
        <f t="shared" si="89"/>
        <v>2242150.1214050464</v>
      </c>
      <c r="AW66" s="46">
        <f t="shared" si="89"/>
        <v>2174585.6490233717</v>
      </c>
      <c r="AX66" s="46">
        <f t="shared" si="89"/>
        <v>2956747.926992347</v>
      </c>
      <c r="AY66" s="46">
        <f t="shared" si="89"/>
        <v>4629625.0914507657</v>
      </c>
      <c r="AZ66" s="46">
        <f t="shared" ref="AZ66:BC66" si="92">AZ47+AZ53+AZ59</f>
        <v>7058796.8645823402</v>
      </c>
      <c r="BA66" s="46">
        <f t="shared" si="92"/>
        <v>8999332.331604138</v>
      </c>
      <c r="BB66" s="46">
        <f t="shared" si="92"/>
        <v>9645633.3940636702</v>
      </c>
      <c r="BC66" s="46">
        <f t="shared" si="92"/>
        <v>9645633.3940636702</v>
      </c>
      <c r="BF66" s="45" t="str">
        <f>'5. Static CDM Result by Program'!B456</f>
        <v>Bi-Annual Retailer Event</v>
      </c>
      <c r="BG66" s="45" t="str">
        <f>'5. Static CDM Result by Program'!C456</f>
        <v>RS</v>
      </c>
      <c r="BH66" s="17">
        <v>1</v>
      </c>
      <c r="BI66" s="17"/>
      <c r="BJ66" s="17"/>
      <c r="BK66" s="17"/>
      <c r="BL66">
        <v>2014</v>
      </c>
      <c r="BP66" s="45">
        <f>'5. Static CDM Result by Program'!$E$456*0.5</f>
        <v>536968.51950000005</v>
      </c>
      <c r="BQ66" s="45">
        <f>'5. Static CDM Result by Program'!$E$456</f>
        <v>1073937.0390000001</v>
      </c>
      <c r="BR66" s="47">
        <f t="shared" si="10"/>
        <v>1073937.0390000001</v>
      </c>
      <c r="BS66" s="47">
        <f t="shared" ref="BS66" si="93">BR66</f>
        <v>1073937.0390000001</v>
      </c>
      <c r="BU66" s="45">
        <f>SUM(BP62:BP66)</f>
        <v>885728.92650000006</v>
      </c>
      <c r="BV66" s="46">
        <f>BU66-'5. Static CDM Result by Program'!Q461</f>
        <v>-885728.92650000006</v>
      </c>
    </row>
    <row r="67" spans="1:78">
      <c r="A67" s="2">
        <v>40179</v>
      </c>
      <c r="B67" s="2"/>
      <c r="C67" s="39">
        <f>C66+E7</f>
        <v>999026.00968987297</v>
      </c>
      <c r="I67" s="39">
        <f>I66+K7</f>
        <v>715812.91985037085</v>
      </c>
      <c r="O67" s="39">
        <f>O66+Q7</f>
        <v>110872.31839091858</v>
      </c>
      <c r="U67" s="39">
        <f>U66+W7</f>
        <v>171366.41509777043</v>
      </c>
      <c r="AA67" s="39">
        <f>AA66+AC7</f>
        <v>974.35635081318765</v>
      </c>
      <c r="AP67" s="62" t="s">
        <v>115</v>
      </c>
      <c r="AQ67" t="str">
        <f t="shared" si="88"/>
        <v>GS &gt; 1000kW</v>
      </c>
      <c r="AR67" s="46">
        <f t="shared" si="89"/>
        <v>0</v>
      </c>
      <c r="AS67" s="46">
        <f t="shared" si="89"/>
        <v>0</v>
      </c>
      <c r="AT67" s="46">
        <f t="shared" si="89"/>
        <v>0</v>
      </c>
      <c r="AU67" s="46">
        <f t="shared" si="89"/>
        <v>5612.0317546812485</v>
      </c>
      <c r="AV67" s="46">
        <f t="shared" si="89"/>
        <v>19016.088315895944</v>
      </c>
      <c r="AW67" s="46">
        <f t="shared" si="89"/>
        <v>83517.956543244305</v>
      </c>
      <c r="AX67" s="46">
        <f t="shared" si="89"/>
        <v>187023.13808648862</v>
      </c>
      <c r="AY67" s="46">
        <f t="shared" si="89"/>
        <v>2518138.1079734107</v>
      </c>
      <c r="AZ67" s="46">
        <f t="shared" ref="AZ67:BC67" si="94">AZ48+AZ54+AZ60</f>
        <v>7531281.5503735412</v>
      </c>
      <c r="BA67" s="46">
        <f t="shared" si="94"/>
        <v>17536909.03788675</v>
      </c>
      <c r="BB67" s="46">
        <f t="shared" si="94"/>
        <v>24845288.53788675</v>
      </c>
      <c r="BC67" s="46">
        <f t="shared" si="94"/>
        <v>24845288.53788675</v>
      </c>
      <c r="BF67" s="45" t="str">
        <f>'5. Static CDM Result by Program'!B464</f>
        <v>Retrofit</v>
      </c>
      <c r="BG67" s="45" t="str">
        <f>'5. Static CDM Result by Program'!C464</f>
        <v>GS &lt; 50</v>
      </c>
      <c r="BI67" s="17">
        <v>1</v>
      </c>
      <c r="BJ67" s="17"/>
      <c r="BK67" s="17"/>
      <c r="BL67">
        <v>2014</v>
      </c>
      <c r="BP67" s="173">
        <f>'5. Static CDM Result by Program'!$E$464*0.5</f>
        <v>335794.56479048094</v>
      </c>
      <c r="BQ67" s="173">
        <f>'5. Static CDM Result by Program'!$E$464</f>
        <v>671589.12958096189</v>
      </c>
      <c r="BR67" s="47">
        <f t="shared" si="10"/>
        <v>671589.12958096189</v>
      </c>
      <c r="BS67" s="47">
        <f t="shared" ref="BS67" si="95">BR67</f>
        <v>671589.12958096189</v>
      </c>
    </row>
    <row r="68" spans="1:78">
      <c r="A68" s="2">
        <v>40210</v>
      </c>
      <c r="B68" s="2"/>
      <c r="C68" s="39">
        <f>C67+E7</f>
        <v>981074.16726289538</v>
      </c>
      <c r="I68" s="39">
        <f>I67+K7</f>
        <v>687298.63459030783</v>
      </c>
      <c r="O68" s="39">
        <f>O67+Q7</f>
        <v>118509.35285524736</v>
      </c>
      <c r="U68" s="39">
        <f>U67+W7</f>
        <v>174180.85661643409</v>
      </c>
      <c r="AA68" s="39">
        <f>AA67+AC7</f>
        <v>1085.323200906183</v>
      </c>
      <c r="AP68" s="62" t="s">
        <v>115</v>
      </c>
      <c r="AQ68" t="str">
        <f t="shared" si="88"/>
        <v>Street Light</v>
      </c>
      <c r="AR68" s="46">
        <f>AR61</f>
        <v>0</v>
      </c>
      <c r="AS68" s="46">
        <f t="shared" ref="AS68:AY68" si="96">AS61</f>
        <v>0</v>
      </c>
      <c r="AT68" s="46">
        <f t="shared" si="96"/>
        <v>0</v>
      </c>
      <c r="AU68" s="46">
        <f t="shared" si="96"/>
        <v>0</v>
      </c>
      <c r="AV68" s="46">
        <f t="shared" si="96"/>
        <v>0</v>
      </c>
      <c r="AW68" s="46">
        <f t="shared" si="96"/>
        <v>0</v>
      </c>
      <c r="AX68" s="46">
        <f t="shared" si="96"/>
        <v>0</v>
      </c>
      <c r="AY68" s="46">
        <f t="shared" si="96"/>
        <v>0</v>
      </c>
      <c r="AZ68" s="46">
        <f>AZ61</f>
        <v>0</v>
      </c>
      <c r="BA68" s="46">
        <f t="shared" ref="BA68:BC68" si="97">BA61</f>
        <v>483000</v>
      </c>
      <c r="BB68" s="46">
        <f t="shared" si="97"/>
        <v>966000</v>
      </c>
      <c r="BC68" s="46">
        <f t="shared" si="97"/>
        <v>966000</v>
      </c>
      <c r="BF68" s="45" t="str">
        <f>'5. Static CDM Result by Program'!B465</f>
        <v>Retrofit</v>
      </c>
      <c r="BG68" s="45" t="str">
        <f>'5. Static CDM Result by Program'!C465</f>
        <v>GS 50-999</v>
      </c>
      <c r="BI68" s="17"/>
      <c r="BJ68" s="17">
        <v>1</v>
      </c>
      <c r="BK68" s="17"/>
      <c r="BL68">
        <v>2014</v>
      </c>
      <c r="BP68" s="173">
        <f>'5. Static CDM Result by Program'!$E$465*0.5</f>
        <v>460693.64902179764</v>
      </c>
      <c r="BQ68" s="173">
        <f>'5. Static CDM Result by Program'!$E$465</f>
        <v>921387.29804359528</v>
      </c>
      <c r="BR68" s="47">
        <f t="shared" ref="BR68:BR75" si="98">BQ68</f>
        <v>921387.29804359528</v>
      </c>
      <c r="BS68" s="47">
        <f t="shared" ref="BS68" si="99">BR68</f>
        <v>921387.29804359528</v>
      </c>
    </row>
    <row r="69" spans="1:78">
      <c r="A69" s="2">
        <v>40238</v>
      </c>
      <c r="B69" s="2"/>
      <c r="C69" s="39">
        <f>C68+E7</f>
        <v>963122.3248359178</v>
      </c>
      <c r="I69" s="39">
        <f>I68+K7</f>
        <v>658784.34933024482</v>
      </c>
      <c r="O69" s="39">
        <f>O68+Q7</f>
        <v>126146.38731957614</v>
      </c>
      <c r="U69" s="39">
        <f>U68+W7</f>
        <v>176995.29813509775</v>
      </c>
      <c r="AA69" s="39">
        <f>AA68+AC7</f>
        <v>1196.2900509991784</v>
      </c>
      <c r="AQ69" t="s">
        <v>12</v>
      </c>
      <c r="AR69" s="46">
        <f>SUM(AR64:AR68)</f>
        <v>1623155.213645139</v>
      </c>
      <c r="AS69" s="46">
        <f t="shared" ref="AS69:BC69" si="100">SUM(AS64:AS68)</f>
        <v>4646180.5660392176</v>
      </c>
      <c r="AT69" s="46">
        <f t="shared" si="100"/>
        <v>6995958.7480950691</v>
      </c>
      <c r="AU69" s="46">
        <f t="shared" si="100"/>
        <v>10186807.960330183</v>
      </c>
      <c r="AV69" s="46">
        <f t="shared" si="100"/>
        <v>10803490.516097954</v>
      </c>
      <c r="AW69" s="46">
        <f t="shared" si="100"/>
        <v>12098105.961378258</v>
      </c>
      <c r="AX69" s="46">
        <f t="shared" si="100"/>
        <v>14377494.801644679</v>
      </c>
      <c r="AY69" s="46">
        <f t="shared" si="100"/>
        <v>20154699.025604852</v>
      </c>
      <c r="AZ69" s="46">
        <f t="shared" si="100"/>
        <v>29397195.420202538</v>
      </c>
      <c r="BA69" s="46">
        <f t="shared" si="100"/>
        <v>42876251.801438883</v>
      </c>
      <c r="BB69" s="46">
        <f t="shared" si="100"/>
        <v>51549649.559722133</v>
      </c>
      <c r="BC69" s="46">
        <f t="shared" si="100"/>
        <v>50122929.347183049</v>
      </c>
      <c r="BF69" s="45" t="str">
        <f>'5. Static CDM Result by Program'!B466</f>
        <v>Retrofit</v>
      </c>
      <c r="BG69" s="45" t="str">
        <f>'5. Static CDM Result by Program'!C466</f>
        <v>GS &gt; 1000</v>
      </c>
      <c r="BI69" s="17"/>
      <c r="BJ69" s="17"/>
      <c r="BK69" s="17">
        <v>1</v>
      </c>
      <c r="BL69">
        <v>2014</v>
      </c>
      <c r="BP69" s="173">
        <f>'5. Static CDM Result by Program'!$E$466*0.5</f>
        <v>1767583.9875132085</v>
      </c>
      <c r="BQ69" s="173">
        <f>'5. Static CDM Result by Program'!$E$466</f>
        <v>3535167.9750264171</v>
      </c>
      <c r="BR69" s="47">
        <f t="shared" si="98"/>
        <v>3535167.9750264171</v>
      </c>
      <c r="BS69" s="47">
        <f t="shared" ref="BS69" si="101">BR69</f>
        <v>3535167.9750264171</v>
      </c>
    </row>
    <row r="70" spans="1:78">
      <c r="A70" s="2">
        <v>40269</v>
      </c>
      <c r="B70" s="2"/>
      <c r="C70" s="39">
        <f>C69+E7</f>
        <v>945170.48240894021</v>
      </c>
      <c r="I70" s="39">
        <f>I69+K7</f>
        <v>630270.0640701818</v>
      </c>
      <c r="O70" s="39">
        <f>O69+Q7</f>
        <v>133783.42178390492</v>
      </c>
      <c r="U70" s="39">
        <f>U69+W7</f>
        <v>179809.73965376141</v>
      </c>
      <c r="AA70" s="39">
        <f>AA69+AC7</f>
        <v>1307.2569010921738</v>
      </c>
      <c r="AR70" s="46">
        <f>(AR49+AR55+AR62)-AR69</f>
        <v>0</v>
      </c>
      <c r="AS70" s="46">
        <f t="shared" ref="AS70:BC70" si="102">(AS49+AS55+AS62)-AS69</f>
        <v>0</v>
      </c>
      <c r="AT70" s="46">
        <f t="shared" si="102"/>
        <v>0</v>
      </c>
      <c r="AU70" s="46">
        <f t="shared" si="102"/>
        <v>0</v>
      </c>
      <c r="AV70" s="46">
        <f t="shared" si="102"/>
        <v>0</v>
      </c>
      <c r="AW70" s="46">
        <f t="shared" si="102"/>
        <v>0</v>
      </c>
      <c r="AX70" s="46">
        <f t="shared" si="102"/>
        <v>0</v>
      </c>
      <c r="AY70" s="46">
        <f t="shared" si="102"/>
        <v>0</v>
      </c>
      <c r="AZ70" s="46">
        <f t="shared" si="102"/>
        <v>0</v>
      </c>
      <c r="BA70" s="46">
        <f t="shared" si="102"/>
        <v>0</v>
      </c>
      <c r="BB70" s="46">
        <f t="shared" si="102"/>
        <v>0</v>
      </c>
      <c r="BC70" s="46">
        <f t="shared" si="102"/>
        <v>0</v>
      </c>
      <c r="BF70" s="45" t="str">
        <f>'5. Static CDM Result by Program'!B467</f>
        <v>Retrofit</v>
      </c>
      <c r="BG70" s="45" t="s">
        <v>164</v>
      </c>
      <c r="BI70" s="17">
        <v>1</v>
      </c>
      <c r="BJ70" s="17"/>
      <c r="BK70" s="17"/>
      <c r="BL70">
        <v>2014</v>
      </c>
      <c r="BP70" s="173">
        <f>'5. Static CDM Result by Program'!$E$467*0.5</f>
        <v>130743.29867451292</v>
      </c>
      <c r="BQ70" s="173">
        <f>'5. Static CDM Result by Program'!$E$467</f>
        <v>261486.59734902583</v>
      </c>
      <c r="BR70" s="47">
        <f t="shared" si="98"/>
        <v>261486.59734902583</v>
      </c>
      <c r="BS70" s="47">
        <f t="shared" ref="BS70" si="103">BR70</f>
        <v>261486.59734902583</v>
      </c>
    </row>
    <row r="71" spans="1:78">
      <c r="A71" s="2">
        <v>40299</v>
      </c>
      <c r="B71" s="2"/>
      <c r="C71" s="39">
        <f>C70+E7</f>
        <v>927218.63998196262</v>
      </c>
      <c r="I71" s="39">
        <f>I70+K7</f>
        <v>601755.77881011879</v>
      </c>
      <c r="O71" s="39">
        <f>O70+Q7</f>
        <v>141420.45624823371</v>
      </c>
      <c r="U71" s="39">
        <f>U70+W7</f>
        <v>182624.18117242507</v>
      </c>
      <c r="AA71" s="39">
        <f>AA70+AC7</f>
        <v>1418.2237511851692</v>
      </c>
      <c r="AZ71" s="46"/>
      <c r="BF71" s="45" t="str">
        <f>'5. Static CDM Result by Program'!B468</f>
        <v>Direct Install Lighting</v>
      </c>
      <c r="BG71" s="45" t="str">
        <f>'5. Static CDM Result by Program'!C468</f>
        <v>GS &lt; 50</v>
      </c>
      <c r="BI71" s="17">
        <v>1</v>
      </c>
      <c r="BJ71" s="17"/>
      <c r="BK71" s="17"/>
      <c r="BL71">
        <v>2014</v>
      </c>
      <c r="BP71" s="173">
        <f>'5. Static CDM Result by Program'!$E$468*0.5</f>
        <v>433035.76750000002</v>
      </c>
      <c r="BQ71" s="173">
        <f>'5. Static CDM Result by Program'!$E$468</f>
        <v>866071.53500000003</v>
      </c>
      <c r="BR71" s="47">
        <f t="shared" si="98"/>
        <v>866071.53500000003</v>
      </c>
      <c r="BS71" s="47">
        <f t="shared" ref="BS71" si="104">BR71</f>
        <v>866071.53500000003</v>
      </c>
    </row>
    <row r="72" spans="1:78">
      <c r="A72" s="2">
        <v>40330</v>
      </c>
      <c r="B72" s="2"/>
      <c r="C72" s="39">
        <f>C71+E7</f>
        <v>909266.79755498504</v>
      </c>
      <c r="I72" s="39">
        <f>I71+K7</f>
        <v>573241.49355005578</v>
      </c>
      <c r="O72" s="39">
        <f>O71+Q7</f>
        <v>149057.49071256249</v>
      </c>
      <c r="U72" s="39">
        <f>U71+W7</f>
        <v>185438.62269108873</v>
      </c>
      <c r="AA72" s="39">
        <f>AA71+AC7</f>
        <v>1529.1906012781646</v>
      </c>
      <c r="AZ72" s="46"/>
      <c r="BF72" s="45" t="str">
        <f>'5. Static CDM Result by Program'!B470</f>
        <v>New Construction</v>
      </c>
      <c r="BG72" s="45" t="str">
        <f>'5. Static CDM Result by Program'!C470</f>
        <v>GS 50-999</v>
      </c>
      <c r="BI72" s="17"/>
      <c r="BJ72" s="17">
        <v>1</v>
      </c>
      <c r="BK72" s="17"/>
      <c r="BL72">
        <v>2014</v>
      </c>
      <c r="BP72" s="45">
        <f>'5. Static CDM Result by Program'!$E$470*0.5</f>
        <v>-2217.6819999999998</v>
      </c>
      <c r="BQ72" s="45">
        <f>'5. Static CDM Result by Program'!$E$470</f>
        <v>-4435.3639999999996</v>
      </c>
      <c r="BR72" s="47">
        <f t="shared" si="98"/>
        <v>-4435.3639999999996</v>
      </c>
      <c r="BS72" s="47">
        <f t="shared" ref="BS72" si="105">BR72</f>
        <v>-4435.3639999999996</v>
      </c>
      <c r="BU72" s="45">
        <f>SUM(BP67:BP72)</f>
        <v>3125633.5855000005</v>
      </c>
      <c r="BV72" s="46">
        <f>BU72-'5. Static CDM Result by Program'!Q475</f>
        <v>-3125633.5855000005</v>
      </c>
    </row>
    <row r="73" spans="1:78">
      <c r="A73" s="2">
        <v>40360</v>
      </c>
      <c r="B73" s="2"/>
      <c r="C73" s="39">
        <f>C72+E7</f>
        <v>891314.95512800745</v>
      </c>
      <c r="I73" s="39">
        <f>I72+K7</f>
        <v>544727.20828999276</v>
      </c>
      <c r="O73" s="39">
        <f>O72+Q7</f>
        <v>156694.52517689127</v>
      </c>
      <c r="U73" s="39">
        <f>U72+W7</f>
        <v>188253.0642097524</v>
      </c>
      <c r="AA73" s="39">
        <f>AA72+AC7</f>
        <v>1640.1574513711601</v>
      </c>
      <c r="AZ73" s="46"/>
      <c r="BF73" s="45" t="str">
        <f>'5. Static CDM Result by Program'!B480</f>
        <v>Energy Manager</v>
      </c>
      <c r="BG73" s="45" t="str">
        <f>'5. Static CDM Result by Program'!C480</f>
        <v>GS &gt; 1000</v>
      </c>
      <c r="BI73" s="17"/>
      <c r="BJ73" s="17"/>
      <c r="BK73" s="17">
        <v>1</v>
      </c>
      <c r="BL73">
        <v>2014</v>
      </c>
      <c r="BP73" s="45">
        <f>'5. Static CDM Result by Program'!$E$480*0.5</f>
        <v>929664</v>
      </c>
      <c r="BQ73" s="45">
        <f>'5. Static CDM Result by Program'!$E$480</f>
        <v>1859328</v>
      </c>
      <c r="BR73" s="47">
        <f t="shared" si="98"/>
        <v>1859328</v>
      </c>
      <c r="BS73" s="47">
        <f t="shared" ref="BS73" si="106">BR73</f>
        <v>1859328</v>
      </c>
      <c r="BU73" s="45">
        <f>BP73</f>
        <v>929664</v>
      </c>
      <c r="BV73" s="46">
        <f>BU73-'5. Static CDM Result by Program'!Q483</f>
        <v>-929664</v>
      </c>
    </row>
    <row r="74" spans="1:78">
      <c r="A74" s="2">
        <v>40391</v>
      </c>
      <c r="B74" s="2"/>
      <c r="C74" s="39">
        <f>C73+E7</f>
        <v>873363.11270102987</v>
      </c>
      <c r="I74" s="39">
        <f>I73+K7</f>
        <v>516212.92302992969</v>
      </c>
      <c r="O74" s="39">
        <f>O73+Q7</f>
        <v>164331.55964122005</v>
      </c>
      <c r="U74" s="39">
        <f>U73+W7</f>
        <v>191067.50572841606</v>
      </c>
      <c r="AA74" s="39">
        <f>AA73+AC7</f>
        <v>1751.1243014641555</v>
      </c>
      <c r="AZ74" s="46"/>
      <c r="BF74" s="45" t="str">
        <f>'5. Static CDM Result by Program'!B486</f>
        <v>Home Assistance Program</v>
      </c>
      <c r="BG74" s="45" t="str">
        <f>'5. Static CDM Result by Program'!C486</f>
        <v>RS</v>
      </c>
      <c r="BH74" s="17">
        <v>1</v>
      </c>
      <c r="BI74" s="17"/>
      <c r="BJ74" s="17"/>
      <c r="BK74" s="17"/>
      <c r="BL74">
        <v>2014</v>
      </c>
      <c r="BP74" s="45">
        <f>'5. Static CDM Result by Program'!$E$486*0.5</f>
        <v>56534.856500000002</v>
      </c>
      <c r="BQ74" s="45">
        <f>'5. Static CDM Result by Program'!$E$486</f>
        <v>113069.713</v>
      </c>
      <c r="BR74" s="47">
        <f t="shared" si="98"/>
        <v>113069.713</v>
      </c>
      <c r="BS74" s="47">
        <f t="shared" ref="BS74" si="107">BR74</f>
        <v>113069.713</v>
      </c>
      <c r="BU74" s="45">
        <f>BP74</f>
        <v>56534.856500000002</v>
      </c>
      <c r="BV74" s="46">
        <f>BU74-'5. Static CDM Result by Program'!Q487</f>
        <v>-56534.856500000002</v>
      </c>
    </row>
    <row r="75" spans="1:78">
      <c r="A75" s="2">
        <v>40422</v>
      </c>
      <c r="B75" s="2"/>
      <c r="C75" s="39">
        <f>C74+E7</f>
        <v>855411.27027405228</v>
      </c>
      <c r="I75" s="39">
        <f>I74+K7</f>
        <v>487698.63776986662</v>
      </c>
      <c r="O75" s="39">
        <f>O74+Q7</f>
        <v>171968.59410554884</v>
      </c>
      <c r="U75" s="39">
        <f>U74+W7</f>
        <v>193881.94724707972</v>
      </c>
      <c r="AA75" s="39">
        <f>AA74+AC7</f>
        <v>1862.0911515571509</v>
      </c>
      <c r="BF75" s="45" t="str">
        <f>'5. Static CDM Result by Program'!B503</f>
        <v>Program Enabled Savings</v>
      </c>
      <c r="BG75" s="45" t="str">
        <f>'5. Static CDM Result by Program'!C503</f>
        <v>GS 50-999</v>
      </c>
      <c r="BI75" s="17"/>
      <c r="BJ75" s="17">
        <v>1</v>
      </c>
      <c r="BK75" s="17"/>
      <c r="BL75">
        <v>2014</v>
      </c>
      <c r="BP75" s="45">
        <f>'5. Static CDM Result by Program'!$E$503*0.5</f>
        <v>814769.5</v>
      </c>
      <c r="BQ75" s="45">
        <f>'5. Static CDM Result by Program'!$E$503</f>
        <v>1629539</v>
      </c>
      <c r="BR75" s="47">
        <f t="shared" si="98"/>
        <v>1629539</v>
      </c>
      <c r="BS75" s="47">
        <f t="shared" ref="BS75" si="108">BR75</f>
        <v>1629539</v>
      </c>
      <c r="BU75" s="45">
        <f>BP75</f>
        <v>814769.5</v>
      </c>
      <c r="BV75" s="46">
        <f>BU75-'5. Static CDM Result by Program'!Q506</f>
        <v>-814769.5</v>
      </c>
      <c r="BW75" s="45">
        <f>SUM(BU66:BU75)</f>
        <v>5812330.8684999999</v>
      </c>
      <c r="BX75" s="46">
        <f>BW75-'5. Static CDM Result by Program'!N579</f>
        <v>-5812330.8684999999</v>
      </c>
      <c r="BY75" s="46">
        <f>'5. Static CDM Result by Program'!E508/2</f>
        <v>5812330.8685000008</v>
      </c>
      <c r="BZ75" s="46">
        <f>SUM(BX75:BY75)</f>
        <v>0</v>
      </c>
    </row>
    <row r="76" spans="1:78">
      <c r="A76" s="2">
        <v>40452</v>
      </c>
      <c r="B76" s="2"/>
      <c r="C76" s="39">
        <f>C75+E7</f>
        <v>837459.42784707469</v>
      </c>
      <c r="I76" s="39">
        <f>I75+K7</f>
        <v>459184.35250980355</v>
      </c>
      <c r="O76" s="39">
        <f>O75+Q7</f>
        <v>179605.62856987762</v>
      </c>
      <c r="U76" s="39">
        <f>U75+W7</f>
        <v>196696.38876574338</v>
      </c>
      <c r="AA76" s="39">
        <f>AA75+AC7</f>
        <v>1973.0580016501463</v>
      </c>
      <c r="AR76" s="40"/>
      <c r="AS76" s="40"/>
      <c r="AT76" s="40"/>
      <c r="AU76" s="40"/>
      <c r="AV76" s="40"/>
      <c r="AW76" s="40"/>
      <c r="AX76" s="40"/>
      <c r="AY76" s="40"/>
      <c r="AZ76" s="46"/>
      <c r="BM76" s="45">
        <f>SUM(BM3:BM75)</f>
        <v>1102787.764</v>
      </c>
      <c r="BN76" s="45">
        <f t="shared" ref="BN76:BS76" si="109">SUM(BN3:BN75)</f>
        <v>3638158.7774999999</v>
      </c>
      <c r="BO76" s="45">
        <f t="shared" si="109"/>
        <v>9600106.0621285997</v>
      </c>
      <c r="BP76" s="45">
        <f t="shared" si="109"/>
        <v>19740492.6757572</v>
      </c>
      <c r="BQ76" s="45">
        <f t="shared" si="109"/>
        <v>25552823.544257201</v>
      </c>
      <c r="BR76" s="45">
        <f t="shared" si="109"/>
        <v>25552823.544257201</v>
      </c>
      <c r="BS76" s="45">
        <f t="shared" si="109"/>
        <v>25552823.544257201</v>
      </c>
      <c r="BU76" s="46">
        <f>SUM(BU7:BU75)</f>
        <v>34081545.279385805</v>
      </c>
      <c r="BW76" s="46">
        <f>SUM(BW7:BW75)</f>
        <v>34081545.279385798</v>
      </c>
      <c r="BX76" s="46">
        <f>BW76-'5. Static CDM Result by Program'!Q579</f>
        <v>-12917040.367128603</v>
      </c>
      <c r="BY76" s="46">
        <f>SUM(BY23:BY75)</f>
        <v>12917040.367128599</v>
      </c>
      <c r="BZ76" s="46">
        <f>SUM(BX76:BY76)</f>
        <v>0</v>
      </c>
    </row>
    <row r="77" spans="1:78">
      <c r="A77" s="2">
        <v>40483</v>
      </c>
      <c r="B77" s="2"/>
      <c r="C77" s="39">
        <f>C76+E7</f>
        <v>819507.58542009711</v>
      </c>
      <c r="D77" s="62" t="s">
        <v>60</v>
      </c>
      <c r="I77" s="39">
        <f>I76+K7</f>
        <v>430670.06724974047</v>
      </c>
      <c r="J77" s="62" t="s">
        <v>60</v>
      </c>
      <c r="O77" s="39">
        <f>O76+Q7</f>
        <v>187242.6630342064</v>
      </c>
      <c r="P77" s="62" t="s">
        <v>60</v>
      </c>
      <c r="U77" s="39">
        <f>U76+W7</f>
        <v>199510.83028440704</v>
      </c>
      <c r="V77" s="62" t="s">
        <v>60</v>
      </c>
      <c r="AA77" s="39">
        <f>AA76+AC7</f>
        <v>2084.0248517431414</v>
      </c>
      <c r="AB77" s="62" t="s">
        <v>60</v>
      </c>
    </row>
    <row r="78" spans="1:78">
      <c r="A78" s="2">
        <v>40513</v>
      </c>
      <c r="B78" s="2"/>
      <c r="C78" s="39">
        <f>C77+E7</f>
        <v>801555.74299311952</v>
      </c>
      <c r="D78" s="39">
        <f>SUM(C67:C78)</f>
        <v>10803490.516097954</v>
      </c>
      <c r="E78" s="39">
        <f>C78*12</f>
        <v>9618668.9159174338</v>
      </c>
      <c r="I78" s="39">
        <f>I77+K7</f>
        <v>402155.7819896774</v>
      </c>
      <c r="J78" s="39">
        <f>SUM(I67:I78)</f>
        <v>6707812.2110402901</v>
      </c>
      <c r="K78" s="39">
        <f>I78*12</f>
        <v>4825869.3838761291</v>
      </c>
      <c r="O78" s="39">
        <f>O77+Q7</f>
        <v>194879.69749853518</v>
      </c>
      <c r="P78" s="39">
        <f>SUM(O67:O78)</f>
        <v>1834512.0953367229</v>
      </c>
      <c r="Q78" s="39">
        <f>O78*12</f>
        <v>2338556.3699824223</v>
      </c>
      <c r="U78" s="39">
        <f>U77+W7</f>
        <v>202325.2718030707</v>
      </c>
      <c r="V78" s="39">
        <f>SUM(U67:U78)</f>
        <v>2242150.1214050474</v>
      </c>
      <c r="W78" s="39">
        <f>U78*12</f>
        <v>2427903.2616368486</v>
      </c>
      <c r="AA78" s="39">
        <f>AA77+AC7</f>
        <v>2194.9917018361366</v>
      </c>
      <c r="AB78" s="39">
        <f>SUM(AA67:AA78)</f>
        <v>19016.088315895948</v>
      </c>
      <c r="AC78" s="39">
        <f>AA78*12</f>
        <v>26339.900422033639</v>
      </c>
      <c r="BJ78" s="48" t="s">
        <v>257</v>
      </c>
      <c r="BL78" t="s">
        <v>74</v>
      </c>
      <c r="BM78" s="46">
        <f>SUMPRODUCT($BH$3:$BH$75,BM3:BM75)</f>
        <v>517777.321</v>
      </c>
      <c r="BN78" s="46">
        <f t="shared" ref="BN78:BP78" si="110">SUMPRODUCT($BH$3:$BH$75,BN3:BN75)</f>
        <v>1331194.1870000002</v>
      </c>
      <c r="BO78" s="46">
        <f t="shared" si="110"/>
        <v>1950180.0136285997</v>
      </c>
      <c r="BP78" s="46">
        <f t="shared" si="110"/>
        <v>3116098.0782571994</v>
      </c>
      <c r="BQ78" s="46">
        <f t="shared" ref="BQ78:BS78" si="111">SUMPRODUCT($BH$3:$BH$75,BQ3:BQ75)</f>
        <v>4058361.8612571997</v>
      </c>
      <c r="BR78" s="46">
        <f t="shared" si="111"/>
        <v>4058361.8612571997</v>
      </c>
      <c r="BS78" s="46">
        <f t="shared" si="111"/>
        <v>4058361.8612571997</v>
      </c>
    </row>
    <row r="79" spans="1:78">
      <c r="A79" s="2">
        <v>40544</v>
      </c>
      <c r="B79" s="2"/>
      <c r="C79" s="39">
        <f>C78+E8</f>
        <v>833343.39742210449</v>
      </c>
      <c r="I79" s="39">
        <f>I78+K8</f>
        <v>433380.04574383411</v>
      </c>
      <c r="O79" s="39">
        <f>O78+Q8</f>
        <v>197957.69787198218</v>
      </c>
      <c r="U79" s="39">
        <f>U78+W8</f>
        <v>199077.61010289792</v>
      </c>
      <c r="AA79" s="39">
        <f>AA78+AC8</f>
        <v>2928.0437033901194</v>
      </c>
      <c r="BJ79" s="48" t="s">
        <v>257</v>
      </c>
      <c r="BL79" t="s">
        <v>79</v>
      </c>
      <c r="BM79" s="46">
        <f>SUMPRODUCT($BI$3:$BI$75,BM3:BM75)</f>
        <v>236281.06683642391</v>
      </c>
      <c r="BN79" s="46">
        <f t="shared" ref="BN79:BP79" si="112">SUMPRODUCT($BI$3:$BI$75,BN3:BN75)</f>
        <v>1072567.7548242048</v>
      </c>
      <c r="BO79" s="46">
        <f t="shared" si="112"/>
        <v>2411537.0784788639</v>
      </c>
      <c r="BP79" s="46">
        <f t="shared" si="112"/>
        <v>3943690.4119471605</v>
      </c>
      <c r="BQ79" s="46">
        <f t="shared" ref="BQ79:BS79" si="113">SUMPRODUCT($BI$3:$BI$75,BQ3:BQ75)</f>
        <v>4843264.0429121545</v>
      </c>
      <c r="BR79" s="46">
        <f t="shared" si="113"/>
        <v>4843264.0429121545</v>
      </c>
      <c r="BS79" s="46">
        <f t="shared" si="113"/>
        <v>4843264.0429121545</v>
      </c>
    </row>
    <row r="80" spans="1:78">
      <c r="A80" s="2">
        <v>40575</v>
      </c>
      <c r="B80" s="2"/>
      <c r="C80" s="39">
        <f>C79+E8</f>
        <v>865131.05185108946</v>
      </c>
      <c r="I80" s="39">
        <f>I79+K8</f>
        <v>464604.30949799082</v>
      </c>
      <c r="O80" s="39">
        <f>O79+Q8</f>
        <v>201035.69824542917</v>
      </c>
      <c r="U80" s="39">
        <f>U79+W8</f>
        <v>195829.94840272513</v>
      </c>
      <c r="AA80" s="39">
        <f>AA79+AC8</f>
        <v>3661.0957049441022</v>
      </c>
      <c r="BJ80" s="48" t="s">
        <v>257</v>
      </c>
      <c r="BL80" s="45" t="s">
        <v>165</v>
      </c>
      <c r="BM80" s="46">
        <f>SUMPRODUCT($BJ$3:$BJ$75,BM3:BM75)</f>
        <v>265211.41962033178</v>
      </c>
      <c r="BN80" s="46">
        <f t="shared" ref="BN80:BP80" si="114">SUMPRODUCT($BJ$3:$BJ$75,BN3:BN75)</f>
        <v>1047373.6975893067</v>
      </c>
      <c r="BO80" s="46">
        <f t="shared" si="114"/>
        <v>2720250.8620477258</v>
      </c>
      <c r="BP80" s="46">
        <f t="shared" si="114"/>
        <v>5149422.6351792999</v>
      </c>
      <c r="BQ80" s="46">
        <f t="shared" ref="BQ80:BS80" si="115">SUMPRODUCT($BJ$3:$BJ$75,BQ3:BQ75)</f>
        <v>6422668.1022010976</v>
      </c>
      <c r="BR80" s="46">
        <f t="shared" si="115"/>
        <v>6422668.1022010976</v>
      </c>
      <c r="BS80" s="46">
        <f t="shared" si="115"/>
        <v>6422668.1022010976</v>
      </c>
    </row>
    <row r="81" spans="1:71">
      <c r="A81" s="2">
        <v>40603</v>
      </c>
      <c r="B81" s="2"/>
      <c r="C81" s="39">
        <f>C80+E8</f>
        <v>896918.70628007443</v>
      </c>
      <c r="I81" s="39">
        <f>I80+K8</f>
        <v>495828.57325214753</v>
      </c>
      <c r="O81" s="39">
        <f>O80+Q8</f>
        <v>204113.69861887617</v>
      </c>
      <c r="U81" s="39">
        <f>U80+W8</f>
        <v>192582.28670255234</v>
      </c>
      <c r="AA81" s="39">
        <f>AA80+AC8</f>
        <v>4394.1477064980854</v>
      </c>
      <c r="BJ81" s="48" t="s">
        <v>257</v>
      </c>
      <c r="BL81" t="s">
        <v>112</v>
      </c>
      <c r="BM81" s="46">
        <f>SUMPRODUCT($BK$3:$BK$75,BM3:BM75)</f>
        <v>83517.956543244305</v>
      </c>
      <c r="BN81" s="46">
        <f t="shared" ref="BN81:BP81" si="116">SUMPRODUCT($BK$3:$BK$75,BN3:BN75)</f>
        <v>187023.13808648862</v>
      </c>
      <c r="BO81" s="46">
        <f t="shared" si="116"/>
        <v>2518138.1079734107</v>
      </c>
      <c r="BP81" s="46">
        <f t="shared" si="116"/>
        <v>7531281.5503735412</v>
      </c>
      <c r="BQ81" s="46">
        <f t="shared" ref="BQ81:BS81" si="117">SUMPRODUCT($BK$3:$BK$75,BQ3:BQ75)</f>
        <v>10228529.53788675</v>
      </c>
      <c r="BR81" s="46">
        <f t="shared" si="117"/>
        <v>10228529.53788675</v>
      </c>
      <c r="BS81" s="46">
        <f t="shared" si="117"/>
        <v>10228529.53788675</v>
      </c>
    </row>
    <row r="82" spans="1:71">
      <c r="A82" s="2">
        <v>40634</v>
      </c>
      <c r="B82" s="2"/>
      <c r="C82" s="39">
        <f>C81+E8</f>
        <v>928706.3607090594</v>
      </c>
      <c r="I82" s="39">
        <f>I81+K8</f>
        <v>527052.8370063043</v>
      </c>
      <c r="O82" s="39">
        <f>O81+Q8</f>
        <v>207191.69899232316</v>
      </c>
      <c r="U82" s="39">
        <f>U81+W8</f>
        <v>189334.62500237956</v>
      </c>
      <c r="AA82" s="39">
        <f>AA81+AC8</f>
        <v>5127.1997080520687</v>
      </c>
      <c r="BL82" s="48" t="s">
        <v>12</v>
      </c>
      <c r="BM82" s="46">
        <f>SUM(BM78:BM81)</f>
        <v>1102787.764</v>
      </c>
      <c r="BN82" s="46">
        <f t="shared" ref="BN82:BP82" si="118">SUM(BN78:BN81)</f>
        <v>3638158.7775000003</v>
      </c>
      <c r="BO82" s="46">
        <f t="shared" si="118"/>
        <v>9600106.0621285997</v>
      </c>
      <c r="BP82" s="46">
        <f t="shared" si="118"/>
        <v>19740492.6757572</v>
      </c>
      <c r="BQ82" s="46">
        <f t="shared" ref="BQ82" si="119">SUM(BQ78:BQ81)</f>
        <v>25552823.544257201</v>
      </c>
      <c r="BR82" s="46">
        <f t="shared" ref="BR82" si="120">SUM(BR78:BR81)</f>
        <v>25552823.544257201</v>
      </c>
      <c r="BS82" s="46">
        <f t="shared" ref="BS82" si="121">SUM(BS78:BS81)</f>
        <v>25552823.544257201</v>
      </c>
    </row>
    <row r="83" spans="1:71">
      <c r="A83" s="2">
        <v>40664</v>
      </c>
      <c r="B83" s="2"/>
      <c r="C83" s="39">
        <f>C82+E8</f>
        <v>960494.01513804437</v>
      </c>
      <c r="I83" s="39">
        <f>I82+K8</f>
        <v>558277.10076046106</v>
      </c>
      <c r="O83" s="39">
        <f>O82+Q8</f>
        <v>210269.69936577015</v>
      </c>
      <c r="U83" s="39">
        <f>U82+W8</f>
        <v>186086.96330220677</v>
      </c>
      <c r="AA83" s="39">
        <f>AA82+AC8</f>
        <v>5860.2517096060519</v>
      </c>
      <c r="BM83" s="174">
        <f>BM76-BM82</f>
        <v>0</v>
      </c>
      <c r="BN83" s="174">
        <f t="shared" ref="BN83:BP83" si="122">BN76-BN82</f>
        <v>0</v>
      </c>
      <c r="BO83" s="174">
        <f t="shared" si="122"/>
        <v>0</v>
      </c>
      <c r="BP83" s="174">
        <f t="shared" si="122"/>
        <v>0</v>
      </c>
    </row>
    <row r="84" spans="1:71">
      <c r="A84" s="2">
        <v>40695</v>
      </c>
      <c r="B84" s="2"/>
      <c r="C84" s="39">
        <f>C83+E8</f>
        <v>992281.66956702934</v>
      </c>
      <c r="I84" s="39">
        <f>I83+K8</f>
        <v>589501.36451461783</v>
      </c>
      <c r="O84" s="39">
        <f>O83+Q8</f>
        <v>213347.69973921715</v>
      </c>
      <c r="U84" s="39">
        <f>U83+W8</f>
        <v>182839.30160203399</v>
      </c>
      <c r="AA84" s="39">
        <f>AA83+AC8</f>
        <v>6593.3037111600352</v>
      </c>
      <c r="BM84" s="45">
        <f>BM76</f>
        <v>1102787.764</v>
      </c>
      <c r="BN84" s="46">
        <f>SUM(BN24:BN40)</f>
        <v>1432583.2495000002</v>
      </c>
      <c r="BO84" s="46">
        <f>SUM(BO41:BO61)</f>
        <v>4569338.4851286002</v>
      </c>
      <c r="BP84" s="45">
        <f>SUM(BP62:BP75)</f>
        <v>5812330.8684999999</v>
      </c>
      <c r="BQ84" s="45">
        <f t="shared" ref="BQ84:BS84" si="123">SUM(BQ62:BQ75)</f>
        <v>11624661.737</v>
      </c>
      <c r="BR84" s="45">
        <f t="shared" si="123"/>
        <v>11624661.737</v>
      </c>
      <c r="BS84" s="45">
        <f t="shared" si="123"/>
        <v>11624661.737</v>
      </c>
    </row>
    <row r="85" spans="1:71">
      <c r="A85" s="2">
        <v>40725</v>
      </c>
      <c r="B85" s="2"/>
      <c r="C85" s="39">
        <f>C84+E8</f>
        <v>1024069.3239960143</v>
      </c>
      <c r="I85" s="39">
        <f>I84+K8</f>
        <v>620725.6282687746</v>
      </c>
      <c r="O85" s="39">
        <f>O84+Q8</f>
        <v>216425.70011266414</v>
      </c>
      <c r="U85" s="39">
        <f>U84+W8</f>
        <v>179591.6399018612</v>
      </c>
      <c r="AA85" s="39">
        <f>AA84+AC8</f>
        <v>7326.3557127140184</v>
      </c>
    </row>
    <row r="86" spans="1:71">
      <c r="A86" s="2">
        <v>40756</v>
      </c>
      <c r="B86" s="2"/>
      <c r="C86" s="39">
        <f>C85+E8</f>
        <v>1055856.9784249992</v>
      </c>
      <c r="I86" s="39">
        <f>I85+K8</f>
        <v>651949.89202293137</v>
      </c>
      <c r="O86" s="39">
        <f>O85+Q8</f>
        <v>219503.70048611113</v>
      </c>
      <c r="U86" s="39">
        <f>U85+W8</f>
        <v>176343.97820168841</v>
      </c>
      <c r="AA86" s="39">
        <f>AA85+AC8</f>
        <v>8059.4077142680017</v>
      </c>
      <c r="BM86" s="45">
        <f>BM76-BM84+BM84*2</f>
        <v>2205575.5279999999</v>
      </c>
      <c r="BN86" s="45">
        <f t="shared" ref="BN86:BP86" si="124">BN76-BN84+BN84*2</f>
        <v>5070742.0270000007</v>
      </c>
      <c r="BO86" s="45">
        <f t="shared" si="124"/>
        <v>14169444.5472572</v>
      </c>
      <c r="BP86" s="45">
        <f t="shared" si="124"/>
        <v>25552823.544257201</v>
      </c>
    </row>
    <row r="87" spans="1:71">
      <c r="A87" s="2">
        <v>40787</v>
      </c>
      <c r="B87" s="2"/>
      <c r="C87" s="39">
        <f>C86+E8</f>
        <v>1087644.6328539841</v>
      </c>
      <c r="I87" s="39">
        <f>I86+K8</f>
        <v>683174.15577708813</v>
      </c>
      <c r="O87" s="39">
        <f>O86+Q8</f>
        <v>222581.70085955813</v>
      </c>
      <c r="U87" s="39">
        <f>U86+W8</f>
        <v>173096.31650151563</v>
      </c>
      <c r="AA87" s="39">
        <f>AA86+AC8</f>
        <v>8792.459715821984</v>
      </c>
      <c r="BM87" s="45">
        <v>0</v>
      </c>
      <c r="BN87" s="45">
        <v>0</v>
      </c>
      <c r="BO87" s="45">
        <v>0</v>
      </c>
      <c r="BP87" s="45">
        <v>0</v>
      </c>
    </row>
    <row r="88" spans="1:71">
      <c r="A88" s="2">
        <v>40817</v>
      </c>
      <c r="B88" s="2"/>
      <c r="C88" s="39">
        <f>C87+E8</f>
        <v>1119432.2872829691</v>
      </c>
      <c r="I88" s="39">
        <f>I87+K8</f>
        <v>714398.4195312449</v>
      </c>
      <c r="O88" s="39">
        <f>O87+Q8</f>
        <v>225659.70123300512</v>
      </c>
      <c r="U88" s="39">
        <f>U87+W8</f>
        <v>169848.65480134284</v>
      </c>
      <c r="AA88" s="39">
        <f>AA87+AC8</f>
        <v>9525.5117173759663</v>
      </c>
      <c r="BM88" s="45"/>
    </row>
    <row r="89" spans="1:71">
      <c r="A89" s="2">
        <v>40848</v>
      </c>
      <c r="B89" s="2"/>
      <c r="C89" s="39">
        <f>C88+E8</f>
        <v>1151219.9417119541</v>
      </c>
      <c r="D89" s="62" t="s">
        <v>60</v>
      </c>
      <c r="I89" s="39">
        <f>I88+K8</f>
        <v>745622.68328540167</v>
      </c>
      <c r="J89" s="62" t="s">
        <v>60</v>
      </c>
      <c r="O89" s="39">
        <f>O88+Q8</f>
        <v>228737.70160645212</v>
      </c>
      <c r="P89" s="62" t="s">
        <v>60</v>
      </c>
      <c r="U89" s="39">
        <f>U88+W8</f>
        <v>166600.99310117005</v>
      </c>
      <c r="V89" s="62" t="s">
        <v>60</v>
      </c>
      <c r="AA89" s="39">
        <f>AA88+AC8</f>
        <v>10258.563718929949</v>
      </c>
      <c r="AB89" s="62" t="s">
        <v>60</v>
      </c>
    </row>
    <row r="90" spans="1:71">
      <c r="A90" s="2">
        <v>40878</v>
      </c>
      <c r="B90" s="2"/>
      <c r="C90" s="39">
        <f>C89+E8</f>
        <v>1183007.596140939</v>
      </c>
      <c r="D90" s="39">
        <f>SUM(C79:C90)</f>
        <v>12098105.961378263</v>
      </c>
      <c r="E90" s="39">
        <f>C90*12</f>
        <v>14196091.153691269</v>
      </c>
      <c r="I90" s="39">
        <f>I89+K8</f>
        <v>776846.94703955844</v>
      </c>
      <c r="J90" s="39">
        <f>SUM(I79:I90)</f>
        <v>7261361.9567003557</v>
      </c>
      <c r="K90" s="39">
        <f>I90*12</f>
        <v>9322163.3644747008</v>
      </c>
      <c r="O90" s="39">
        <f>O89+Q8</f>
        <v>231815.70197989911</v>
      </c>
      <c r="P90" s="39">
        <f>SUM(O79:O90)</f>
        <v>2578640.3991112877</v>
      </c>
      <c r="Q90" s="39">
        <f>O90*12</f>
        <v>2781788.4237587894</v>
      </c>
      <c r="U90" s="39">
        <f>U89+W8</f>
        <v>163353.33140099727</v>
      </c>
      <c r="V90" s="39">
        <f>SUM(U79:U90)</f>
        <v>2174585.6490233713</v>
      </c>
      <c r="W90" s="39">
        <f>U90*12</f>
        <v>1960239.9768119673</v>
      </c>
      <c r="AA90" s="39">
        <f>AA89+AC8</f>
        <v>10991.615720483931</v>
      </c>
      <c r="AB90" s="39">
        <f>SUM(AA79:AA90)</f>
        <v>83517.956543244305</v>
      </c>
      <c r="AC90" s="39">
        <f>AA90*12</f>
        <v>131899.38864580716</v>
      </c>
    </row>
    <row r="91" spans="1:71">
      <c r="A91" s="2">
        <v>40909</v>
      </c>
      <c r="B91" s="2"/>
      <c r="C91" s="39">
        <f>C90+E9</f>
        <v>1185333.2839352135</v>
      </c>
      <c r="I91" s="39">
        <f>I90+K9</f>
        <v>757573.01479586703</v>
      </c>
      <c r="O91" s="39">
        <f>O90+Q9</f>
        <v>239932.8643304155</v>
      </c>
      <c r="U91" s="39">
        <f>U90+W9</f>
        <v>176129.07435202779</v>
      </c>
      <c r="AA91" s="39">
        <f>AA90+AC9</f>
        <v>11698.330456902924</v>
      </c>
    </row>
    <row r="92" spans="1:71">
      <c r="A92" s="2">
        <v>40940</v>
      </c>
      <c r="B92" s="2"/>
      <c r="C92" s="39">
        <f>C91+E9</f>
        <v>1187658.9717294879</v>
      </c>
      <c r="I92" s="39">
        <f>I91+K9</f>
        <v>738299.08255217574</v>
      </c>
      <c r="O92" s="39">
        <f>O91+Q9</f>
        <v>248050.02668093189</v>
      </c>
      <c r="U92" s="39">
        <f>U91+W9</f>
        <v>188904.81730305828</v>
      </c>
      <c r="AA92" s="39">
        <f>AA91+AC9</f>
        <v>12405.045193321917</v>
      </c>
    </row>
    <row r="93" spans="1:71">
      <c r="A93" s="2">
        <v>40969</v>
      </c>
      <c r="B93" s="2"/>
      <c r="C93" s="39">
        <f>C92+E9</f>
        <v>1189984.6595237623</v>
      </c>
      <c r="I93" s="39">
        <f>I92+K9</f>
        <v>719025.15030848444</v>
      </c>
      <c r="O93" s="39">
        <f>O92+Q9</f>
        <v>256167.18903144827</v>
      </c>
      <c r="U93" s="39">
        <f>U92+W9</f>
        <v>201680.56025408878</v>
      </c>
      <c r="AA93" s="39">
        <f>AA92+AC9</f>
        <v>13111.759929740911</v>
      </c>
    </row>
    <row r="94" spans="1:71">
      <c r="A94" s="2">
        <v>41000</v>
      </c>
      <c r="B94" s="2"/>
      <c r="C94" s="39">
        <f>C93+E9</f>
        <v>1192310.3473180367</v>
      </c>
      <c r="I94" s="39">
        <f>I93+K9</f>
        <v>699751.21806479315</v>
      </c>
      <c r="O94" s="39">
        <f>O93+Q9</f>
        <v>264284.35138196469</v>
      </c>
      <c r="U94" s="39">
        <f>U93+W9</f>
        <v>214456.30320511927</v>
      </c>
      <c r="AA94" s="39">
        <f>AA93+AC9</f>
        <v>13818.474666159904</v>
      </c>
    </row>
    <row r="95" spans="1:71">
      <c r="A95" s="2">
        <v>41030</v>
      </c>
      <c r="B95" s="2"/>
      <c r="C95" s="39">
        <f>C94+E9</f>
        <v>1194636.0351123111</v>
      </c>
      <c r="I95" s="39">
        <f>I94+K9</f>
        <v>680477.28582110186</v>
      </c>
      <c r="O95" s="39">
        <f>O94+Q9</f>
        <v>272401.51373248111</v>
      </c>
      <c r="U95" s="39">
        <f>U94+W9</f>
        <v>227232.04615614977</v>
      </c>
      <c r="AA95" s="39">
        <f>AA94+AC9</f>
        <v>14525.189402578897</v>
      </c>
    </row>
    <row r="96" spans="1:71">
      <c r="A96" s="2">
        <v>41061</v>
      </c>
      <c r="B96" s="2"/>
      <c r="C96" s="39">
        <f>C95+E9</f>
        <v>1196961.7229065855</v>
      </c>
      <c r="I96" s="39">
        <f>I95+K9</f>
        <v>661203.35357741057</v>
      </c>
      <c r="O96" s="39">
        <f>O95+Q9</f>
        <v>280518.67608299752</v>
      </c>
      <c r="U96" s="39">
        <f>U95+W9</f>
        <v>240007.78910718026</v>
      </c>
      <c r="AA96" s="39">
        <f>AA95+AC9</f>
        <v>15231.90413899789</v>
      </c>
    </row>
    <row r="97" spans="1:29">
      <c r="A97" s="2">
        <v>41091</v>
      </c>
      <c r="B97" s="2"/>
      <c r="C97" s="39">
        <f>C96+E9</f>
        <v>1199287.41070086</v>
      </c>
      <c r="I97" s="39">
        <f>I96+K9</f>
        <v>641929.42133371928</v>
      </c>
      <c r="O97" s="39">
        <f>O96+Q9</f>
        <v>288635.83843351394</v>
      </c>
      <c r="U97" s="39">
        <f>U96+W9</f>
        <v>252783.53205821075</v>
      </c>
      <c r="AA97" s="39">
        <f>AA96+AC9</f>
        <v>15938.618875416883</v>
      </c>
    </row>
    <row r="98" spans="1:29">
      <c r="A98" s="2">
        <v>41122</v>
      </c>
      <c r="B98" s="2"/>
      <c r="C98" s="39">
        <f>C97+E9</f>
        <v>1201613.0984951344</v>
      </c>
      <c r="I98" s="39">
        <f>I97+K9</f>
        <v>622655.48909002799</v>
      </c>
      <c r="O98" s="39">
        <f>O97+Q9</f>
        <v>296753.00078403036</v>
      </c>
      <c r="U98" s="39">
        <f>U97+W9</f>
        <v>265559.27500924125</v>
      </c>
      <c r="AA98" s="39">
        <f>AA97+AC9</f>
        <v>16645.333611835875</v>
      </c>
    </row>
    <row r="99" spans="1:29">
      <c r="A99" s="2">
        <v>41153</v>
      </c>
      <c r="B99" s="2"/>
      <c r="C99" s="39">
        <f>C98+E9</f>
        <v>1203938.7862894088</v>
      </c>
      <c r="I99" s="39">
        <f>I98+K9</f>
        <v>603381.55684633669</v>
      </c>
      <c r="O99" s="39">
        <f>O98+Q9</f>
        <v>304870.16313454678</v>
      </c>
      <c r="U99" s="39">
        <f>U98+W9</f>
        <v>278335.01796027174</v>
      </c>
      <c r="AA99" s="39">
        <f>AA98+AC9</f>
        <v>17352.048348254866</v>
      </c>
    </row>
    <row r="100" spans="1:29">
      <c r="A100" s="2">
        <v>41183</v>
      </c>
      <c r="B100" s="2"/>
      <c r="C100" s="39">
        <f>C99+E9</f>
        <v>1206264.4740836832</v>
      </c>
      <c r="I100" s="39">
        <f>I99+K9</f>
        <v>584107.6246026454</v>
      </c>
      <c r="O100" s="39">
        <f>O99+Q9</f>
        <v>312987.32548506319</v>
      </c>
      <c r="U100" s="39">
        <f>U99+W9</f>
        <v>291110.76091130223</v>
      </c>
      <c r="AA100" s="39">
        <f>AA99+AC9</f>
        <v>18058.763084673858</v>
      </c>
    </row>
    <row r="101" spans="1:29">
      <c r="A101" s="2">
        <v>41214</v>
      </c>
      <c r="B101" s="2"/>
      <c r="C101" s="39">
        <f>C100+E9</f>
        <v>1208590.1618779576</v>
      </c>
      <c r="D101" s="62" t="s">
        <v>60</v>
      </c>
      <c r="I101" s="39">
        <f>I100+K9</f>
        <v>564833.69235895411</v>
      </c>
      <c r="J101" s="62" t="s">
        <v>60</v>
      </c>
      <c r="O101" s="39">
        <f>O100+Q9</f>
        <v>321104.48783557961</v>
      </c>
      <c r="P101" s="62" t="s">
        <v>60</v>
      </c>
      <c r="U101" s="39">
        <f>U100+W9</f>
        <v>303886.50386233273</v>
      </c>
      <c r="V101" s="62" t="s">
        <v>60</v>
      </c>
      <c r="AA101" s="39">
        <f>AA100+AC9</f>
        <v>18765.477821092849</v>
      </c>
      <c r="AB101" s="62" t="s">
        <v>60</v>
      </c>
    </row>
    <row r="102" spans="1:29">
      <c r="A102" s="2">
        <v>41244</v>
      </c>
      <c r="B102" s="2"/>
      <c r="C102" s="39">
        <f>C101+E9</f>
        <v>1210915.8496722321</v>
      </c>
      <c r="D102" s="39">
        <f>SUM(C91:C102)</f>
        <v>14377494.801644674</v>
      </c>
      <c r="E102" s="39">
        <f>C102*12</f>
        <v>14530990.196066786</v>
      </c>
      <c r="I102" s="39">
        <f>I101+K9</f>
        <v>545559.76011526282</v>
      </c>
      <c r="J102" s="39">
        <f>SUM(I91:I102)</f>
        <v>7818796.6494667791</v>
      </c>
      <c r="K102" s="39">
        <f>I102*12</f>
        <v>6546717.1213831538</v>
      </c>
      <c r="O102" s="39">
        <f>O101+Q9</f>
        <v>329221.65018609603</v>
      </c>
      <c r="P102" s="39">
        <f>SUM(O91:O102)</f>
        <v>3414927.0870990688</v>
      </c>
      <c r="Q102" s="39">
        <f>O102*12</f>
        <v>3950659.8022331521</v>
      </c>
      <c r="U102" s="39">
        <f>U101+W9</f>
        <v>316662.24681336322</v>
      </c>
      <c r="V102" s="39">
        <f>SUM(U91:U102)</f>
        <v>2956747.9269923461</v>
      </c>
      <c r="W102" s="39">
        <f>U102*12</f>
        <v>3799946.9617603589</v>
      </c>
      <c r="AA102" s="39">
        <f>AA101+AC9</f>
        <v>19472.19255751184</v>
      </c>
      <c r="AB102" s="39">
        <f>SUM(AA91:AA102)</f>
        <v>187023.13808648862</v>
      </c>
      <c r="AC102" s="39">
        <f>AA102*12</f>
        <v>233666.3106901421</v>
      </c>
    </row>
    <row r="103" spans="1:29">
      <c r="A103" s="2">
        <v>41275</v>
      </c>
      <c r="B103" s="2"/>
      <c r="C103" s="39">
        <f>C102+E10</f>
        <v>1283014.6808201559</v>
      </c>
      <c r="I103" s="39">
        <f>I102+K10</f>
        <v>567435.68696197809</v>
      </c>
      <c r="O103" s="39">
        <f>O102+Q10</f>
        <v>339519.55542353931</v>
      </c>
      <c r="U103" s="39">
        <f>U102+W10</f>
        <v>327299.14591195819</v>
      </c>
      <c r="AA103" s="39">
        <f>AA102+AC10</f>
        <v>48760.29252268195</v>
      </c>
    </row>
    <row r="104" spans="1:29">
      <c r="A104" s="2">
        <v>41306</v>
      </c>
      <c r="B104" s="2"/>
      <c r="C104" s="39">
        <f>C103+E10</f>
        <v>1355113.5119680797</v>
      </c>
      <c r="I104" s="39">
        <f>I103+K10</f>
        <v>589311.61380869336</v>
      </c>
      <c r="O104" s="39">
        <f>O103+Q10</f>
        <v>349817.46066098259</v>
      </c>
      <c r="U104" s="39">
        <f>U103+W10</f>
        <v>337936.04501055315</v>
      </c>
      <c r="AA104" s="39">
        <f>AA103+AC10</f>
        <v>78048.392487852063</v>
      </c>
    </row>
    <row r="105" spans="1:29">
      <c r="A105" s="2">
        <v>41334</v>
      </c>
      <c r="B105" s="2"/>
      <c r="C105" s="39">
        <f>C104+E10</f>
        <v>1427212.3431160036</v>
      </c>
      <c r="I105" s="39">
        <f>I104+K10</f>
        <v>611187.54065540864</v>
      </c>
      <c r="O105" s="39">
        <f>O104+Q10</f>
        <v>360115.36589842587</v>
      </c>
      <c r="U105" s="39">
        <f>U104+W10</f>
        <v>348572.94410914811</v>
      </c>
      <c r="AA105" s="39">
        <f>AA104+AC10</f>
        <v>107336.49245302218</v>
      </c>
    </row>
    <row r="106" spans="1:29">
      <c r="A106" s="2">
        <v>41365</v>
      </c>
      <c r="B106" s="2"/>
      <c r="C106" s="39">
        <f>C105+E10</f>
        <v>1499311.1742639274</v>
      </c>
      <c r="I106" s="39">
        <f>I105+K10</f>
        <v>633063.46750212391</v>
      </c>
      <c r="O106" s="39">
        <f>O105+Q10</f>
        <v>370413.27113586914</v>
      </c>
      <c r="U106" s="39">
        <f>U105+W10</f>
        <v>359209.84320774308</v>
      </c>
      <c r="AA106" s="39">
        <f>AA105+AC10</f>
        <v>136624.59241819227</v>
      </c>
    </row>
    <row r="107" spans="1:29">
      <c r="A107" s="2">
        <v>41395</v>
      </c>
      <c r="B107" s="2"/>
      <c r="C107" s="39">
        <f>C106+E10</f>
        <v>1571410.0054118512</v>
      </c>
      <c r="I107" s="39">
        <f>I106+K10</f>
        <v>654939.39434883918</v>
      </c>
      <c r="O107" s="39">
        <f>O106+Q10</f>
        <v>380711.17637331242</v>
      </c>
      <c r="U107" s="39">
        <f>U106+W10</f>
        <v>369846.74230633804</v>
      </c>
      <c r="AA107" s="39">
        <f>AA106+AC10</f>
        <v>165912.69238336239</v>
      </c>
    </row>
    <row r="108" spans="1:29">
      <c r="A108" s="2">
        <v>41426</v>
      </c>
      <c r="B108" s="2"/>
      <c r="C108" s="39">
        <f>C107+E10</f>
        <v>1643508.8365597751</v>
      </c>
      <c r="I108" s="39">
        <f>I107+K10</f>
        <v>676815.32119555445</v>
      </c>
      <c r="O108" s="39">
        <f>O107+Q10</f>
        <v>391009.0816107557</v>
      </c>
      <c r="U108" s="39">
        <f>U107+W10</f>
        <v>380483.64140493301</v>
      </c>
      <c r="AA108" s="39">
        <f>AA107+AC10</f>
        <v>195200.7923485325</v>
      </c>
    </row>
    <row r="109" spans="1:29">
      <c r="A109" s="2">
        <v>41456</v>
      </c>
      <c r="B109" s="2"/>
      <c r="C109" s="39">
        <f>C108+E10</f>
        <v>1715607.6677076989</v>
      </c>
      <c r="I109" s="39">
        <f>I108+K10</f>
        <v>698691.24804226973</v>
      </c>
      <c r="O109" s="39">
        <f>O108+Q10</f>
        <v>401306.98684819898</v>
      </c>
      <c r="U109" s="39">
        <f>U108+W10</f>
        <v>391120.54050352797</v>
      </c>
      <c r="AA109" s="39">
        <f>AA108+AC10</f>
        <v>224488.89231370261</v>
      </c>
    </row>
    <row r="110" spans="1:29">
      <c r="A110" s="2">
        <v>41487</v>
      </c>
      <c r="B110" s="2"/>
      <c r="C110" s="39">
        <f>C109+E10</f>
        <v>1787706.4988556227</v>
      </c>
      <c r="I110" s="39">
        <f>I109+K10</f>
        <v>720567.174888985</v>
      </c>
      <c r="O110" s="39">
        <f>O109+Q10</f>
        <v>411604.89208564226</v>
      </c>
      <c r="U110" s="39">
        <f>U109+W10</f>
        <v>401757.43960212293</v>
      </c>
      <c r="AA110" s="39">
        <f>AA109+AC10</f>
        <v>253776.99227887273</v>
      </c>
    </row>
    <row r="111" spans="1:29">
      <c r="A111" s="2">
        <v>41518</v>
      </c>
      <c r="B111" s="2"/>
      <c r="C111" s="39">
        <f>C110+E10</f>
        <v>1859805.3300035466</v>
      </c>
      <c r="I111" s="39">
        <f>I110+K10</f>
        <v>742443.10173570027</v>
      </c>
      <c r="O111" s="39">
        <f>O110+Q10</f>
        <v>421902.79732308554</v>
      </c>
      <c r="U111" s="39">
        <f>U110+W10</f>
        <v>412394.3387007179</v>
      </c>
      <c r="AA111" s="39">
        <f>AA110+AC10</f>
        <v>283065.09224404284</v>
      </c>
    </row>
    <row r="112" spans="1:29">
      <c r="A112" s="2">
        <v>41548</v>
      </c>
      <c r="B112" s="2"/>
      <c r="C112" s="39">
        <f>C111+E10</f>
        <v>1931904.1611514704</v>
      </c>
      <c r="I112" s="39">
        <f>I111+K10</f>
        <v>764319.02858241554</v>
      </c>
      <c r="O112" s="39">
        <f>O111+Q10</f>
        <v>432200.70256052882</v>
      </c>
      <c r="U112" s="39">
        <f>U111+W10</f>
        <v>423031.23779931286</v>
      </c>
      <c r="AA112" s="39">
        <f>AA111+AC10</f>
        <v>312353.19220921292</v>
      </c>
    </row>
    <row r="113" spans="1:29">
      <c r="A113" s="2">
        <v>41579</v>
      </c>
      <c r="B113" s="2"/>
      <c r="C113" s="39">
        <f>C112+E10</f>
        <v>2004002.9922993942</v>
      </c>
      <c r="D113" s="62" t="s">
        <v>60</v>
      </c>
      <c r="I113" s="39">
        <f>I112+K10</f>
        <v>786194.95542913082</v>
      </c>
      <c r="J113" s="62" t="s">
        <v>60</v>
      </c>
      <c r="O113" s="39">
        <f>O112+Q10</f>
        <v>442498.6077979721</v>
      </c>
      <c r="P113" s="62" t="s">
        <v>60</v>
      </c>
      <c r="U113" s="39">
        <f>U112+W10</f>
        <v>433668.13689790783</v>
      </c>
      <c r="V113" s="62" t="s">
        <v>60</v>
      </c>
      <c r="AA113" s="39">
        <f>AA112+AC10</f>
        <v>341641.29217438301</v>
      </c>
      <c r="AB113" s="62" t="s">
        <v>60</v>
      </c>
    </row>
    <row r="114" spans="1:29">
      <c r="A114" s="2">
        <v>41609</v>
      </c>
      <c r="B114" s="2"/>
      <c r="C114" s="39">
        <f>C113+E10</f>
        <v>2076101.823447318</v>
      </c>
      <c r="D114" s="39">
        <f>SUM(C103:C114)</f>
        <v>20154699.02560484</v>
      </c>
      <c r="E114" s="39">
        <f>C114*12</f>
        <v>24913221.881367818</v>
      </c>
      <c r="I114" s="39">
        <f>I113+K10</f>
        <v>808070.88227584609</v>
      </c>
      <c r="J114" s="39">
        <f>SUM(I103:I114)</f>
        <v>8253039.4154269453</v>
      </c>
      <c r="K114" s="39">
        <f>I114*12</f>
        <v>9696850.587310154</v>
      </c>
      <c r="O114" s="39">
        <f>O113+Q10</f>
        <v>452796.51303541538</v>
      </c>
      <c r="P114" s="39">
        <f>SUM(O103:O114)</f>
        <v>4753896.4107537279</v>
      </c>
      <c r="Q114" s="39">
        <f>O114*12</f>
        <v>5433558.1564249843</v>
      </c>
      <c r="U114" s="39">
        <f>U113+W10</f>
        <v>444305.03599650279</v>
      </c>
      <c r="V114" s="39">
        <f>SUM(U103:U114)</f>
        <v>4629625.0914507657</v>
      </c>
      <c r="W114" s="39">
        <f>U114*12</f>
        <v>5331660.4319580337</v>
      </c>
      <c r="AA114" s="39">
        <f>AA113+AC10</f>
        <v>370929.39213955309</v>
      </c>
      <c r="AB114" s="39">
        <f>SUM(AA103:AA114)</f>
        <v>2518138.1079734103</v>
      </c>
      <c r="AC114" s="39">
        <f>AA114*12</f>
        <v>4451152.7056746371</v>
      </c>
    </row>
    <row r="115" spans="1:29">
      <c r="A115" s="2">
        <v>41640</v>
      </c>
      <c r="C115" s="40">
        <f>C114+E11</f>
        <v>2133588.6636887887</v>
      </c>
      <c r="I115" s="40">
        <f>I114+K11</f>
        <v>792996.7370670574</v>
      </c>
      <c r="O115" s="40">
        <f>O114+Q11</f>
        <v>463725.89236614667</v>
      </c>
      <c r="U115" s="40">
        <f>U114+W11</f>
        <v>466447.8107737375</v>
      </c>
      <c r="AA115" s="40">
        <f>AA114+AC11</f>
        <v>410418.22348184674</v>
      </c>
    </row>
    <row r="116" spans="1:29">
      <c r="A116" s="2">
        <v>41671</v>
      </c>
      <c r="C116" s="40">
        <f>C115+E11</f>
        <v>2191075.5039302595</v>
      </c>
      <c r="I116" s="40">
        <f>I115+K11</f>
        <v>777922.59185826872</v>
      </c>
      <c r="O116" s="40">
        <f>O115+Q11</f>
        <v>474655.27169687796</v>
      </c>
      <c r="U116" s="40">
        <f>U115+W11</f>
        <v>488590.5855509722</v>
      </c>
      <c r="AA116" s="40">
        <f>AA115+AC11</f>
        <v>449907.05482414039</v>
      </c>
    </row>
    <row r="117" spans="1:29">
      <c r="A117" s="2">
        <v>41699</v>
      </c>
      <c r="C117" s="40">
        <f>C116+E11</f>
        <v>2248562.3441717303</v>
      </c>
      <c r="I117" s="40">
        <f>I116+K11</f>
        <v>762848.44664948003</v>
      </c>
      <c r="O117" s="40">
        <f>O116+Q11</f>
        <v>485584.65102760924</v>
      </c>
      <c r="U117" s="40">
        <f>U116+W11</f>
        <v>510733.36032820691</v>
      </c>
      <c r="AA117" s="40">
        <f>AA116+AC11</f>
        <v>489395.88616643404</v>
      </c>
    </row>
    <row r="118" spans="1:29">
      <c r="A118" s="2">
        <v>41730</v>
      </c>
      <c r="C118" s="40">
        <f>C117+E11</f>
        <v>2306049.1844132012</v>
      </c>
      <c r="I118" s="40">
        <f>I117+K11</f>
        <v>747774.30144069134</v>
      </c>
      <c r="O118" s="40">
        <f>O117+Q11</f>
        <v>496514.03035834053</v>
      </c>
      <c r="U118" s="40">
        <f>U117+W11</f>
        <v>532876.13510544156</v>
      </c>
      <c r="AA118" s="40">
        <f>AA117+AC11</f>
        <v>528884.71750872768</v>
      </c>
    </row>
    <row r="119" spans="1:29">
      <c r="A119" s="2">
        <v>41760</v>
      </c>
      <c r="C119" s="40">
        <f>C118+E11</f>
        <v>2363536.024654672</v>
      </c>
      <c r="I119" s="40">
        <f>I118+K11</f>
        <v>732700.15623190266</v>
      </c>
      <c r="O119" s="40">
        <f>O118+Q11</f>
        <v>507443.40968907182</v>
      </c>
      <c r="U119" s="40">
        <f>U118+W11</f>
        <v>555018.90988267621</v>
      </c>
      <c r="AA119" s="40">
        <f>AA118+AC11</f>
        <v>568373.54885102133</v>
      </c>
    </row>
    <row r="120" spans="1:29">
      <c r="A120" s="2">
        <v>41791</v>
      </c>
      <c r="C120" s="40">
        <f>C119+E11</f>
        <v>2421022.8648961429</v>
      </c>
      <c r="I120" s="40">
        <f>I119+K11</f>
        <v>717626.01102311397</v>
      </c>
      <c r="O120" s="40">
        <f>O119+Q11</f>
        <v>518372.78901980311</v>
      </c>
      <c r="U120" s="40">
        <f>U119+W11</f>
        <v>577161.68465991085</v>
      </c>
      <c r="AA120" s="40">
        <f>AA119+AC11</f>
        <v>607862.38019331498</v>
      </c>
    </row>
    <row r="121" spans="1:29">
      <c r="A121" s="2">
        <v>41821</v>
      </c>
      <c r="C121" s="40">
        <f>C120+E11</f>
        <v>2478509.7051376137</v>
      </c>
      <c r="I121" s="40">
        <f>I120+K11</f>
        <v>702551.86581432528</v>
      </c>
      <c r="O121" s="40">
        <f>O120+Q11</f>
        <v>529302.1683505344</v>
      </c>
      <c r="U121" s="40">
        <f>U120+W11</f>
        <v>599304.4594371455</v>
      </c>
      <c r="AA121" s="40">
        <f>AA120+AC11</f>
        <v>647351.21153560863</v>
      </c>
    </row>
    <row r="122" spans="1:29">
      <c r="A122" s="2">
        <v>41852</v>
      </c>
      <c r="C122" s="40">
        <f>C121+E11</f>
        <v>2535996.5453790845</v>
      </c>
      <c r="I122" s="40">
        <f>I121+K11</f>
        <v>687477.7206055366</v>
      </c>
      <c r="O122" s="40">
        <f>O121+Q11</f>
        <v>540231.54768126563</v>
      </c>
      <c r="U122" s="40">
        <f>U121+W11</f>
        <v>621447.23421438015</v>
      </c>
      <c r="AA122" s="40">
        <f>AA121+AC11</f>
        <v>686840.04287790228</v>
      </c>
    </row>
    <row r="123" spans="1:29">
      <c r="A123" s="2">
        <v>41883</v>
      </c>
      <c r="C123" s="40">
        <f>C122+E11</f>
        <v>2593483.3856205554</v>
      </c>
      <c r="I123" s="40">
        <f>I122+K11</f>
        <v>672403.57539674791</v>
      </c>
      <c r="O123" s="40">
        <f>O122+Q11</f>
        <v>551160.92701199686</v>
      </c>
      <c r="U123" s="40">
        <f>U122+W11</f>
        <v>643590.0089916148</v>
      </c>
      <c r="AA123" s="40">
        <f>AA122+AC11</f>
        <v>726328.87422019592</v>
      </c>
    </row>
    <row r="124" spans="1:29">
      <c r="A124" s="2">
        <v>41913</v>
      </c>
      <c r="C124" s="40">
        <f>C123+E11</f>
        <v>2650970.2258620262</v>
      </c>
      <c r="I124" s="40">
        <f>I123+K11</f>
        <v>657329.43018795922</v>
      </c>
      <c r="O124" s="40">
        <f>O123+Q11</f>
        <v>562090.30634272809</v>
      </c>
      <c r="U124" s="40">
        <f>U123+W11</f>
        <v>665732.78376884945</v>
      </c>
      <c r="AA124" s="40">
        <f>AA123+AC11</f>
        <v>765817.70556248957</v>
      </c>
    </row>
    <row r="125" spans="1:29">
      <c r="A125" s="2">
        <v>41944</v>
      </c>
      <c r="C125" s="40">
        <f>C124+E11</f>
        <v>2708457.0661034971</v>
      </c>
      <c r="D125" s="62" t="s">
        <v>60</v>
      </c>
      <c r="I125" s="40">
        <f>I124+K11</f>
        <v>642255.28497917054</v>
      </c>
      <c r="J125" s="62" t="s">
        <v>60</v>
      </c>
      <c r="O125" s="40">
        <f>O124+Q11</f>
        <v>573019.68567345932</v>
      </c>
      <c r="P125" s="62" t="s">
        <v>60</v>
      </c>
      <c r="U125" s="40">
        <f>U124+W11</f>
        <v>687875.5585460841</v>
      </c>
      <c r="V125" s="62" t="s">
        <v>60</v>
      </c>
      <c r="AA125" s="40">
        <f>AA124+AC11</f>
        <v>805306.53690478322</v>
      </c>
      <c r="AB125" s="62" t="s">
        <v>60</v>
      </c>
    </row>
    <row r="126" spans="1:29">
      <c r="A126" s="2">
        <v>41974</v>
      </c>
      <c r="C126" s="40">
        <f>C125+E11</f>
        <v>2765943.9063449679</v>
      </c>
      <c r="D126" s="39">
        <f>SUM(C115:C126)</f>
        <v>29397195.420202542</v>
      </c>
      <c r="E126" s="39">
        <f>C126*12</f>
        <v>33191326.876139615</v>
      </c>
      <c r="I126" s="40">
        <f>I125+K11</f>
        <v>627181.13977038185</v>
      </c>
      <c r="J126" s="39">
        <f>SUM(I115:I126)</f>
        <v>8521067.2610246353</v>
      </c>
      <c r="K126" s="39">
        <f>I126*12</f>
        <v>7526173.6772445822</v>
      </c>
      <c r="O126" s="40">
        <f>O125+Q11</f>
        <v>583949.06500419055</v>
      </c>
      <c r="P126" s="39">
        <f>SUM(O115:O126)</f>
        <v>6286049.7442220245</v>
      </c>
      <c r="Q126" s="39">
        <f>O126*12</f>
        <v>7007388.780050287</v>
      </c>
      <c r="U126" s="40">
        <f>U125+W11</f>
        <v>710018.33332331874</v>
      </c>
      <c r="V126" s="39">
        <f>SUM(U115:U126)</f>
        <v>7058796.8645823374</v>
      </c>
      <c r="W126" s="39">
        <f>U126*12</f>
        <v>8520219.9998798259</v>
      </c>
      <c r="AA126" s="40">
        <f>AA125+AC11</f>
        <v>844795.36824707687</v>
      </c>
      <c r="AB126" s="39">
        <f>SUM(AA115:AA126)</f>
        <v>7531281.5503735421</v>
      </c>
      <c r="AC126" s="39">
        <f>AA126*12</f>
        <v>10137544.418964922</v>
      </c>
    </row>
    <row r="127" spans="1:29">
      <c r="A127" s="2">
        <v>42005</v>
      </c>
      <c r="C127" s="40">
        <f>C126+E12</f>
        <v>2890109.6105154715</v>
      </c>
      <c r="I127" s="40">
        <f>I126+K12</f>
        <v>638329.86899495102</v>
      </c>
      <c r="O127" s="40">
        <f>O126+Q12</f>
        <v>589767.61750594352</v>
      </c>
      <c r="U127" s="40">
        <f>U126+W12</f>
        <v>716160.79911465605</v>
      </c>
      <c r="AA127" s="40">
        <f>AA126+AC12</f>
        <v>939659.0172076131</v>
      </c>
    </row>
    <row r="128" spans="1:29">
      <c r="A128" s="2">
        <v>42036</v>
      </c>
      <c r="C128" s="40">
        <f>C127+E12</f>
        <v>3014275.3146859752</v>
      </c>
      <c r="I128" s="40">
        <f>I127+K12</f>
        <v>649478.59821952018</v>
      </c>
      <c r="O128" s="40">
        <f>O127+Q12</f>
        <v>595586.17000769649</v>
      </c>
      <c r="U128" s="40">
        <f>U127+W12</f>
        <v>722303.26490599336</v>
      </c>
      <c r="AA128" s="40">
        <f>AA127+AC12</f>
        <v>1034522.6661681493</v>
      </c>
    </row>
    <row r="129" spans="1:29">
      <c r="A129" s="2">
        <v>42064</v>
      </c>
      <c r="C129" s="40">
        <f>C128+E12</f>
        <v>3138441.0188564789</v>
      </c>
      <c r="I129" s="40">
        <f>I128+K12</f>
        <v>660627.32744408934</v>
      </c>
      <c r="O129" s="40">
        <f>O128+Q12</f>
        <v>601404.72250944946</v>
      </c>
      <c r="U129" s="40">
        <f>U128+W12</f>
        <v>728445.73069733067</v>
      </c>
      <c r="AA129" s="40">
        <f>AA128+AC12</f>
        <v>1129386.3151286857</v>
      </c>
    </row>
    <row r="130" spans="1:29">
      <c r="A130" s="2">
        <v>42095</v>
      </c>
      <c r="C130" s="40">
        <f>C129+E12</f>
        <v>3262606.7230269825</v>
      </c>
      <c r="I130" s="40">
        <f>I129+K12</f>
        <v>671776.05666865851</v>
      </c>
      <c r="O130" s="40">
        <f>O129+Q12</f>
        <v>607223.27501120244</v>
      </c>
      <c r="U130" s="40">
        <f>U129+W12</f>
        <v>734588.19648866798</v>
      </c>
      <c r="AA130" s="40">
        <f>AA129+AC12</f>
        <v>1224249.964089222</v>
      </c>
    </row>
    <row r="131" spans="1:29">
      <c r="A131" s="2">
        <v>42125</v>
      </c>
      <c r="C131" s="40">
        <f>C130+E12</f>
        <v>3386772.4271974862</v>
      </c>
      <c r="I131" s="40">
        <f>I130+K12</f>
        <v>682924.78589322767</v>
      </c>
      <c r="O131" s="40">
        <f>O130+Q12</f>
        <v>613041.82751295541</v>
      </c>
      <c r="U131" s="40">
        <f>U130+W12</f>
        <v>740730.66228000529</v>
      </c>
      <c r="AA131" s="40">
        <f>AA130+AC12</f>
        <v>1319113.6130497584</v>
      </c>
    </row>
    <row r="132" spans="1:29">
      <c r="A132" s="2">
        <v>42156</v>
      </c>
      <c r="C132" s="40">
        <f>C131+E12</f>
        <v>3510938.1313679898</v>
      </c>
      <c r="I132" s="40">
        <f>I131+K12</f>
        <v>694073.51511779684</v>
      </c>
      <c r="O132" s="40">
        <f>O131+Q12</f>
        <v>618860.38001470838</v>
      </c>
      <c r="U132" s="40">
        <f>U131+W12</f>
        <v>746873.12807134259</v>
      </c>
      <c r="AA132" s="40">
        <f>AA131+AC12</f>
        <v>1413977.2620102947</v>
      </c>
    </row>
    <row r="133" spans="1:29">
      <c r="A133" s="2">
        <v>42186</v>
      </c>
      <c r="C133" s="40">
        <f>C132+E12</f>
        <v>3635103.8355384935</v>
      </c>
      <c r="I133" s="40">
        <f>I132+K12</f>
        <v>705222.244342366</v>
      </c>
      <c r="O133" s="40">
        <f>O132+Q12</f>
        <v>624678.93251646135</v>
      </c>
      <c r="U133" s="40">
        <f>U132+W12</f>
        <v>753015.5938626799</v>
      </c>
      <c r="AA133" s="40">
        <f>AA132+AC12</f>
        <v>1508840.9109708311</v>
      </c>
    </row>
    <row r="134" spans="1:29">
      <c r="A134" s="2">
        <v>42217</v>
      </c>
      <c r="C134" s="40">
        <f>C133+E12</f>
        <v>3759269.5397089971</v>
      </c>
      <c r="I134" s="40">
        <f>I133+K12</f>
        <v>716370.97356693516</v>
      </c>
      <c r="O134" s="40">
        <f>O133+Q12</f>
        <v>630497.48501821433</v>
      </c>
      <c r="U134" s="40">
        <f>U133+W12</f>
        <v>759158.05965401721</v>
      </c>
      <c r="AA134" s="40">
        <f>AA133+AC12</f>
        <v>1603704.5599313674</v>
      </c>
    </row>
    <row r="135" spans="1:29">
      <c r="A135" s="2">
        <v>42248</v>
      </c>
      <c r="C135" s="40">
        <f>C134+E12</f>
        <v>3883435.2438795008</v>
      </c>
      <c r="I135" s="40">
        <f>I134+K12</f>
        <v>727519.70279150433</v>
      </c>
      <c r="O135" s="40">
        <f>O134+Q12</f>
        <v>636316.0375199673</v>
      </c>
      <c r="U135" s="40">
        <f>U134+W12</f>
        <v>765300.52544535452</v>
      </c>
      <c r="AA135" s="40">
        <f>AA134+AC12</f>
        <v>1698568.2088919037</v>
      </c>
    </row>
    <row r="136" spans="1:29">
      <c r="A136" s="2">
        <v>42278</v>
      </c>
      <c r="C136" s="40">
        <f>C135+E12</f>
        <v>4007600.9480500044</v>
      </c>
      <c r="I136" s="40">
        <f>I135+K12</f>
        <v>738668.43201607349</v>
      </c>
      <c r="O136" s="40">
        <f>O135+Q12</f>
        <v>642134.59002172027</v>
      </c>
      <c r="U136" s="40">
        <f>U135+W12</f>
        <v>771442.99123669183</v>
      </c>
      <c r="AA136" s="40">
        <f>AA135+AC12</f>
        <v>1793431.8578524401</v>
      </c>
    </row>
    <row r="137" spans="1:29">
      <c r="A137" s="2">
        <v>42309</v>
      </c>
      <c r="C137" s="40">
        <f>C136+E12</f>
        <v>4131766.6522205081</v>
      </c>
      <c r="D137" s="62" t="s">
        <v>60</v>
      </c>
      <c r="I137" s="40">
        <f>I136+K12</f>
        <v>749817.16124064266</v>
      </c>
      <c r="J137" s="62" t="s">
        <v>60</v>
      </c>
      <c r="O137" s="40">
        <f>O136+Q12</f>
        <v>647953.14252347325</v>
      </c>
      <c r="P137" s="62" t="s">
        <v>60</v>
      </c>
      <c r="U137" s="40">
        <f>U136+W12</f>
        <v>777585.45702802914</v>
      </c>
      <c r="V137" s="62" t="s">
        <v>60</v>
      </c>
      <c r="AA137" s="40">
        <f>AA136+AC12</f>
        <v>1888295.5068129764</v>
      </c>
      <c r="AB137" s="62" t="s">
        <v>60</v>
      </c>
    </row>
    <row r="138" spans="1:29">
      <c r="A138" s="2">
        <v>42339</v>
      </c>
      <c r="C138" s="40">
        <f>C137+E12</f>
        <v>4255932.3563910117</v>
      </c>
      <c r="D138" s="39">
        <f>SUM(C127:C138)</f>
        <v>42876251.801438905</v>
      </c>
      <c r="E138" s="39">
        <f>C138*12</f>
        <v>51071188.276692137</v>
      </c>
      <c r="I138" s="40">
        <f>I137+K12</f>
        <v>760965.89046521182</v>
      </c>
      <c r="J138" s="39">
        <f>SUM(I127:I138)</f>
        <v>8395774.556760978</v>
      </c>
      <c r="K138" s="39">
        <f>I138*12</f>
        <v>9131590.6855825409</v>
      </c>
      <c r="O138" s="40">
        <f>O137+Q12</f>
        <v>653771.69502522622</v>
      </c>
      <c r="P138" s="39">
        <f>SUM(O127:O138)</f>
        <v>7461235.875187018</v>
      </c>
      <c r="Q138" s="39">
        <f>O138*12</f>
        <v>7845260.3403027151</v>
      </c>
      <c r="U138" s="40">
        <f>U137+W12</f>
        <v>783727.92281936645</v>
      </c>
      <c r="V138" s="39">
        <f>SUM(U127:U138)</f>
        <v>8999332.3316041343</v>
      </c>
      <c r="W138" s="39">
        <f>U138*12</f>
        <v>9404735.0738323964</v>
      </c>
      <c r="AA138" s="40">
        <f>AA137+AC12</f>
        <v>1983159.1557735128</v>
      </c>
      <c r="AB138" s="39">
        <f>SUM(AA127:AA138)</f>
        <v>17536909.037886754</v>
      </c>
      <c r="AC138" s="39">
        <f>AA138*12</f>
        <v>23797909.869282153</v>
      </c>
    </row>
    <row r="139" spans="1:29">
      <c r="A139" s="2">
        <v>42370</v>
      </c>
      <c r="C139" s="40">
        <f>C138+E13</f>
        <v>4262066.4754042169</v>
      </c>
      <c r="I139" s="40">
        <f>I138+K13</f>
        <v>751125.51779343269</v>
      </c>
      <c r="O139" s="40">
        <f>O138+Q13</f>
        <v>652277.15233657532</v>
      </c>
      <c r="U139" s="40">
        <f>U138+W13</f>
        <v>786816.36282233149</v>
      </c>
      <c r="AA139" s="40">
        <f>AA138+AC13</f>
        <v>1996587.0874222897</v>
      </c>
    </row>
    <row r="140" spans="1:29">
      <c r="A140" s="2">
        <v>42401</v>
      </c>
      <c r="C140" s="40">
        <f>C139+E13</f>
        <v>4268200.5944174221</v>
      </c>
      <c r="I140" s="40">
        <f>I139+K13</f>
        <v>741285.14512165356</v>
      </c>
      <c r="O140" s="40">
        <f>O139+Q13</f>
        <v>650782.60964792443</v>
      </c>
      <c r="U140" s="40">
        <f>U139+W13</f>
        <v>789904.80282529653</v>
      </c>
      <c r="AA140" s="40">
        <f>AA139+AC13</f>
        <v>2010015.0190710665</v>
      </c>
    </row>
    <row r="141" spans="1:29">
      <c r="A141" s="2">
        <v>42430</v>
      </c>
      <c r="C141" s="40">
        <f>C140+E13</f>
        <v>4274334.7134306272</v>
      </c>
      <c r="I141" s="40">
        <f>I140+K13</f>
        <v>731444.77244987444</v>
      </c>
      <c r="O141" s="40">
        <f>O140+Q13</f>
        <v>649288.06695927354</v>
      </c>
      <c r="U141" s="40">
        <f>U140+W13</f>
        <v>792993.24282826157</v>
      </c>
      <c r="AA141" s="40">
        <f>AA140+AC13</f>
        <v>2023442.9507198434</v>
      </c>
    </row>
    <row r="142" spans="1:29">
      <c r="A142" s="2">
        <v>42461</v>
      </c>
      <c r="C142" s="40">
        <f>C141+E13</f>
        <v>4280468.8324438324</v>
      </c>
      <c r="I142" s="40">
        <f>I141+K13</f>
        <v>721604.39977809531</v>
      </c>
      <c r="O142" s="40">
        <f>O141+Q13</f>
        <v>647793.52427062264</v>
      </c>
      <c r="U142" s="40">
        <f>U141+W13</f>
        <v>796081.68283122662</v>
      </c>
      <c r="AA142" s="40">
        <f>AA141+AC13</f>
        <v>2036870.8823686203</v>
      </c>
    </row>
    <row r="143" spans="1:29">
      <c r="A143" s="2">
        <v>42491</v>
      </c>
      <c r="C143" s="40">
        <f>C142+E13</f>
        <v>4286602.9514570376</v>
      </c>
      <c r="I143" s="40">
        <f>I142+K13</f>
        <v>711764.02710631618</v>
      </c>
      <c r="O143" s="40">
        <f>O142+Q13</f>
        <v>646298.98158197175</v>
      </c>
      <c r="U143" s="40">
        <f>U142+W13</f>
        <v>799170.12283419166</v>
      </c>
      <c r="AA143" s="40">
        <f>AA142+AC13</f>
        <v>2050298.8140173971</v>
      </c>
    </row>
    <row r="144" spans="1:29">
      <c r="A144" s="2">
        <v>42522</v>
      </c>
      <c r="C144" s="40">
        <f>C143+E13</f>
        <v>4292737.0704702428</v>
      </c>
      <c r="I144" s="40">
        <f>I143+K13</f>
        <v>701923.65443453705</v>
      </c>
      <c r="O144" s="40">
        <f>O143+Q13</f>
        <v>644804.43889332085</v>
      </c>
      <c r="U144" s="40">
        <f>U143+W13</f>
        <v>802258.5628371567</v>
      </c>
      <c r="AA144" s="40">
        <f>AA143+AC13</f>
        <v>2063726.745666174</v>
      </c>
    </row>
    <row r="145" spans="1:29">
      <c r="A145" s="2">
        <v>42552</v>
      </c>
      <c r="C145" s="40">
        <f>C144+E13</f>
        <v>4298871.1894834479</v>
      </c>
      <c r="I145" s="40">
        <f>I144+K13</f>
        <v>692083.28176275792</v>
      </c>
      <c r="O145" s="40">
        <f>O144+Q13</f>
        <v>643309.89620466996</v>
      </c>
      <c r="U145" s="40">
        <f>U144+W13</f>
        <v>805347.00284012174</v>
      </c>
      <c r="AA145" s="40">
        <f>AA144+AC13</f>
        <v>2077154.6773149509</v>
      </c>
    </row>
    <row r="146" spans="1:29">
      <c r="A146" s="2">
        <v>42583</v>
      </c>
      <c r="C146" s="40">
        <f>C145+E13</f>
        <v>4305005.3084966531</v>
      </c>
      <c r="I146" s="40">
        <f>I145+K13</f>
        <v>682242.90909097879</v>
      </c>
      <c r="O146" s="40">
        <f>O145+Q13</f>
        <v>641815.35351601907</v>
      </c>
      <c r="U146" s="40">
        <f>U145+W13</f>
        <v>808435.44284308678</v>
      </c>
      <c r="AA146" s="40">
        <f>AA145+AC13</f>
        <v>2090582.6089637277</v>
      </c>
    </row>
    <row r="147" spans="1:29">
      <c r="A147" s="2">
        <v>42614</v>
      </c>
      <c r="C147" s="40">
        <f>C146+E13</f>
        <v>4311139.4275098583</v>
      </c>
      <c r="I147" s="40">
        <f>I146+K13</f>
        <v>672402.53641919966</v>
      </c>
      <c r="O147" s="40">
        <f>O146+Q13</f>
        <v>640320.81082736817</v>
      </c>
      <c r="U147" s="40">
        <f>U146+W13</f>
        <v>811523.88284605183</v>
      </c>
      <c r="AA147" s="40">
        <f>AA146+AC13</f>
        <v>2104010.5406125048</v>
      </c>
    </row>
    <row r="148" spans="1:29">
      <c r="A148" s="2">
        <v>42644</v>
      </c>
      <c r="C148" s="40">
        <f>C147+E13</f>
        <v>4317273.5465230634</v>
      </c>
      <c r="I148" s="40">
        <f>I147+K13</f>
        <v>662562.16374742053</v>
      </c>
      <c r="O148" s="40">
        <f>O147+Q13</f>
        <v>638826.26813871728</v>
      </c>
      <c r="U148" s="40">
        <f>U147+W13</f>
        <v>814612.32284901687</v>
      </c>
      <c r="AA148" s="40">
        <f>AA147+AC13</f>
        <v>2117438.4722612817</v>
      </c>
    </row>
    <row r="149" spans="1:29">
      <c r="A149" s="2">
        <v>42675</v>
      </c>
      <c r="C149" s="40">
        <f>C148+E13</f>
        <v>4323407.6655362686</v>
      </c>
      <c r="D149" s="62" t="s">
        <v>60</v>
      </c>
      <c r="I149" s="40">
        <f>I148+K13</f>
        <v>652721.79107564141</v>
      </c>
      <c r="J149" s="62" t="s">
        <v>60</v>
      </c>
      <c r="O149" s="40">
        <f>O148+Q13</f>
        <v>637331.72545006638</v>
      </c>
      <c r="P149" s="62" t="s">
        <v>60</v>
      </c>
      <c r="U149" s="40">
        <f>U148+W13</f>
        <v>817700.76285198191</v>
      </c>
      <c r="V149" s="62" t="s">
        <v>60</v>
      </c>
      <c r="AA149" s="40">
        <f>AA148+AC13</f>
        <v>2130866.4039100586</v>
      </c>
      <c r="AB149" s="62" t="s">
        <v>60</v>
      </c>
    </row>
    <row r="150" spans="1:29">
      <c r="A150" s="2">
        <v>42705</v>
      </c>
      <c r="C150" s="40">
        <f>C149+E13</f>
        <v>4329541.7845494738</v>
      </c>
      <c r="D150" s="39">
        <f>SUM(C139:C150)</f>
        <v>51549649.559722148</v>
      </c>
      <c r="E150" s="39">
        <f>C150*12</f>
        <v>51954501.414593682</v>
      </c>
      <c r="I150" s="40">
        <f>I149+K13</f>
        <v>642881.41840386228</v>
      </c>
      <c r="J150" s="39">
        <f>SUM(I139:I150)</f>
        <v>8364041.6171837701</v>
      </c>
      <c r="K150" s="39">
        <f>I150*12</f>
        <v>7714577.0208463473</v>
      </c>
      <c r="O150" s="40">
        <f>O149+Q13</f>
        <v>635837.18276141549</v>
      </c>
      <c r="P150" s="39">
        <f>SUM(O139:O150)</f>
        <v>7728686.0105879437</v>
      </c>
      <c r="Q150" s="39">
        <f>O150*12</f>
        <v>7630046.1931369863</v>
      </c>
      <c r="U150" s="40">
        <f>U149+W13</f>
        <v>820789.20285494695</v>
      </c>
      <c r="V150" s="39">
        <f>SUM(U139:U150)</f>
        <v>9645633.3940636702</v>
      </c>
      <c r="W150" s="39">
        <f>U150*12</f>
        <v>9849470.4342593625</v>
      </c>
      <c r="AA150" s="40">
        <f>AA149+AC13</f>
        <v>2144294.3355588354</v>
      </c>
      <c r="AB150" s="39">
        <f>SUM(AA139:AA150)</f>
        <v>24845288.537886754</v>
      </c>
      <c r="AC150" s="39">
        <f>AA150*12</f>
        <v>25731532.026706025</v>
      </c>
    </row>
    <row r="151" spans="1:29">
      <c r="A151" s="2">
        <v>42736</v>
      </c>
      <c r="C151" s="40">
        <f>C150+E14</f>
        <v>4306060.0913775424</v>
      </c>
      <c r="I151" s="40">
        <f>I150+K14</f>
        <v>641175.3474576677</v>
      </c>
      <c r="O151" s="40">
        <f>O150+Q14</f>
        <v>628843.05115952424</v>
      </c>
      <c r="U151" s="40">
        <f>U150+W14</f>
        <v>818175.90746782266</v>
      </c>
      <c r="AA151" s="40">
        <f>AA150+AC14</f>
        <v>2132932.2395483321</v>
      </c>
    </row>
    <row r="152" spans="1:29">
      <c r="A152" s="2">
        <v>42767</v>
      </c>
      <c r="C152" s="40">
        <f>C151+E14</f>
        <v>4282578.3982056109</v>
      </c>
      <c r="I152" s="40">
        <f>I151+K14</f>
        <v>639469.27651147312</v>
      </c>
      <c r="O152" s="40">
        <f>O151+Q14</f>
        <v>621848.91955763299</v>
      </c>
      <c r="U152" s="40">
        <f>U151+W14</f>
        <v>815562.61208069837</v>
      </c>
      <c r="AA152" s="40">
        <f>AA151+AC14</f>
        <v>2121570.1435378287</v>
      </c>
    </row>
    <row r="153" spans="1:29">
      <c r="A153" s="2">
        <v>42795</v>
      </c>
      <c r="C153" s="40">
        <f>C152+E14</f>
        <v>4259096.7050336795</v>
      </c>
      <c r="I153" s="40">
        <f>I152+K14</f>
        <v>637763.20556527853</v>
      </c>
      <c r="O153" s="40">
        <f>O152+Q14</f>
        <v>614854.78795574175</v>
      </c>
      <c r="U153" s="40">
        <f>U152+W14</f>
        <v>812949.31669357407</v>
      </c>
      <c r="AA153" s="40">
        <f>AA152+AC14</f>
        <v>2110208.0475273253</v>
      </c>
    </row>
    <row r="154" spans="1:29">
      <c r="A154" s="2">
        <v>42826</v>
      </c>
      <c r="C154" s="40">
        <f>C153+E14</f>
        <v>4235615.0118617481</v>
      </c>
      <c r="I154" s="40">
        <f>I153+K14</f>
        <v>636057.13461908395</v>
      </c>
      <c r="O154" s="40">
        <f>O153+Q14</f>
        <v>607860.6563538505</v>
      </c>
      <c r="U154" s="40">
        <f>U153+W14</f>
        <v>810336.02130644978</v>
      </c>
      <c r="AA154" s="40">
        <f>AA153+AC14</f>
        <v>2098845.951516822</v>
      </c>
    </row>
    <row r="155" spans="1:29">
      <c r="A155" s="2">
        <v>42856</v>
      </c>
      <c r="C155" s="40">
        <f>C154+E14</f>
        <v>4212133.3186898166</v>
      </c>
      <c r="I155" s="40">
        <f>I154+K14</f>
        <v>634351.06367288937</v>
      </c>
      <c r="O155" s="40">
        <f>O154+Q14</f>
        <v>600866.52475195925</v>
      </c>
      <c r="U155" s="40">
        <f>U154+W14</f>
        <v>807722.72591932549</v>
      </c>
      <c r="AA155" s="40">
        <f>AA154+AC14</f>
        <v>2087483.8555063184</v>
      </c>
    </row>
    <row r="156" spans="1:29">
      <c r="A156" s="2">
        <v>42887</v>
      </c>
      <c r="C156" s="40">
        <f>C155+E14</f>
        <v>4188651.6255178857</v>
      </c>
      <c r="I156" s="40">
        <f>I155+K14</f>
        <v>632644.99272669479</v>
      </c>
      <c r="O156" s="40">
        <f>O155+Q14</f>
        <v>593872.393150068</v>
      </c>
      <c r="U156" s="40">
        <f>U155+W14</f>
        <v>805109.43053220119</v>
      </c>
      <c r="AA156" s="40">
        <f>AA155+AC14</f>
        <v>2076121.7594958148</v>
      </c>
    </row>
    <row r="157" spans="1:29">
      <c r="A157" s="2">
        <v>42917</v>
      </c>
      <c r="C157" s="40">
        <f>C156+E14</f>
        <v>4165169.9323459547</v>
      </c>
      <c r="I157" s="40">
        <f>I156+K14</f>
        <v>630938.92178050021</v>
      </c>
      <c r="O157" s="40">
        <f>O156+Q14</f>
        <v>586878.26154817676</v>
      </c>
      <c r="U157" s="40">
        <f>U156+W14</f>
        <v>802496.1351450769</v>
      </c>
      <c r="AA157" s="40">
        <f>AA156+AC14</f>
        <v>2064759.6634853112</v>
      </c>
    </row>
    <row r="158" spans="1:29">
      <c r="A158" s="2">
        <v>42948</v>
      </c>
      <c r="C158" s="40">
        <f>C157+E14</f>
        <v>4141688.2391740237</v>
      </c>
      <c r="I158" s="40">
        <f>I157+K14</f>
        <v>629232.85083430563</v>
      </c>
      <c r="O158" s="40">
        <f>O157+Q14</f>
        <v>579884.12994628551</v>
      </c>
      <c r="U158" s="40">
        <f>U157+W14</f>
        <v>799882.83975795261</v>
      </c>
      <c r="AA158" s="40">
        <f>AA157+AC14</f>
        <v>2053397.5674748076</v>
      </c>
    </row>
    <row r="159" spans="1:29">
      <c r="A159" s="2">
        <v>42979</v>
      </c>
      <c r="C159" s="40">
        <f>C158+E14</f>
        <v>4118206.5460020928</v>
      </c>
      <c r="I159" s="40">
        <f>I158+K14</f>
        <v>627526.77988811105</v>
      </c>
      <c r="O159" s="40">
        <f>O158+Q14</f>
        <v>572889.99834439426</v>
      </c>
      <c r="U159" s="40">
        <f>U158+W14</f>
        <v>797269.54437082831</v>
      </c>
      <c r="AA159" s="40">
        <f>AA158+AC14</f>
        <v>2042035.471464304</v>
      </c>
    </row>
    <row r="160" spans="1:29">
      <c r="A160" s="2">
        <v>43009</v>
      </c>
      <c r="C160" s="40">
        <f>C159+E14</f>
        <v>4094724.8528301618</v>
      </c>
      <c r="I160" s="40">
        <f>I159+K14</f>
        <v>625820.70894191647</v>
      </c>
      <c r="O160" s="40">
        <f>O159+Q14</f>
        <v>565895.86674250301</v>
      </c>
      <c r="U160" s="40">
        <f>U159+W14</f>
        <v>794656.24898370402</v>
      </c>
      <c r="AA160" s="40">
        <f>AA159+AC14</f>
        <v>2030673.3754538004</v>
      </c>
    </row>
    <row r="161" spans="1:29">
      <c r="A161" s="2">
        <v>43040</v>
      </c>
      <c r="C161" s="40">
        <f>C160+E14</f>
        <v>4071243.1596582308</v>
      </c>
      <c r="D161" s="62" t="s">
        <v>60</v>
      </c>
      <c r="I161" s="40">
        <f>I160+K14</f>
        <v>624114.63799572189</v>
      </c>
      <c r="J161" s="62" t="s">
        <v>60</v>
      </c>
      <c r="O161" s="40">
        <f>O160+Q14</f>
        <v>558901.73514061177</v>
      </c>
      <c r="P161" s="62" t="s">
        <v>60</v>
      </c>
      <c r="U161" s="40">
        <f>U160+W14</f>
        <v>792042.95359657973</v>
      </c>
      <c r="V161" s="62" t="s">
        <v>60</v>
      </c>
      <c r="AA161" s="40">
        <f>AA160+AC14</f>
        <v>2019311.2794432968</v>
      </c>
      <c r="AB161" s="62" t="s">
        <v>60</v>
      </c>
    </row>
    <row r="162" spans="1:29">
      <c r="A162" s="2">
        <v>43070</v>
      </c>
      <c r="C162" s="40">
        <f>C161+E14</f>
        <v>4047761.4664862999</v>
      </c>
      <c r="D162" s="39">
        <f>SUM(C151:C162)</f>
        <v>50122929.347183041</v>
      </c>
      <c r="E162" s="39">
        <f>C162*12</f>
        <v>48573137.5978356</v>
      </c>
      <c r="I162" s="40">
        <f>I161+K14</f>
        <v>622408.56704952731</v>
      </c>
      <c r="J162" s="39">
        <f>SUM(I151:I162)</f>
        <v>7581503.4870431703</v>
      </c>
      <c r="K162" s="39">
        <f>I162*12</f>
        <v>7468902.8045943277</v>
      </c>
      <c r="O162" s="40">
        <f>O161+Q14</f>
        <v>551907.60353872052</v>
      </c>
      <c r="P162" s="39">
        <f>SUM(O151:O162)</f>
        <v>7084503.9281894686</v>
      </c>
      <c r="Q162" s="39">
        <f>O162*12</f>
        <v>6622891.2424646467</v>
      </c>
      <c r="U162" s="40">
        <f>U161+W14</f>
        <v>789429.65820945543</v>
      </c>
      <c r="V162" s="39">
        <f>SUM(U151:U162)</f>
        <v>9645633.3940636683</v>
      </c>
      <c r="W162" s="39">
        <f>U162*12</f>
        <v>9473155.8985134661</v>
      </c>
      <c r="AA162" s="40">
        <f>AA161+AC14</f>
        <v>2007949.1834327932</v>
      </c>
      <c r="AB162" s="39">
        <f>SUM(AA151:AA162)</f>
        <v>24845288.537886754</v>
      </c>
      <c r="AC162" s="39">
        <f>AA162*12</f>
        <v>24095390.201193519</v>
      </c>
    </row>
    <row r="163" spans="1:29">
      <c r="A163" s="2"/>
    </row>
    <row r="164" spans="1:29">
      <c r="A164" s="2"/>
    </row>
    <row r="165" spans="1:29">
      <c r="A165" s="2"/>
    </row>
    <row r="166" spans="1:29">
      <c r="A166" s="2"/>
    </row>
    <row r="167" spans="1:29">
      <c r="A167" s="2"/>
    </row>
    <row r="168" spans="1:29">
      <c r="A168" s="2"/>
    </row>
    <row r="169" spans="1:29">
      <c r="A169" s="2"/>
    </row>
    <row r="170" spans="1:29">
      <c r="A170" s="2"/>
    </row>
    <row r="171" spans="1:29">
      <c r="A171" s="2"/>
    </row>
    <row r="172" spans="1:29">
      <c r="A172" s="2"/>
    </row>
    <row r="173" spans="1:29">
      <c r="A173" s="2"/>
    </row>
    <row r="174" spans="1:29">
      <c r="A174" s="2"/>
    </row>
    <row r="175" spans="1:29">
      <c r="A175" s="2"/>
    </row>
  </sheetData>
  <mergeCells count="7">
    <mergeCell ref="AR2:BC2"/>
    <mergeCell ref="BM2:BS2"/>
    <mergeCell ref="AD2:AE2"/>
    <mergeCell ref="F2:G2"/>
    <mergeCell ref="L2:M2"/>
    <mergeCell ref="R2:S2"/>
    <mergeCell ref="X2:Y2"/>
  </mergeCells>
  <phoneticPr fontId="1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P612"/>
  <sheetViews>
    <sheetView topLeftCell="A396" zoomScale="85" zoomScaleNormal="85" workbookViewId="0">
      <selection activeCell="B333" sqref="B333"/>
    </sheetView>
  </sheetViews>
  <sheetFormatPr defaultColWidth="9.140625" defaultRowHeight="14.25"/>
  <cols>
    <col min="1" max="1" width="1.28515625" style="65" customWidth="1"/>
    <col min="2" max="2" width="30" style="65" customWidth="1"/>
    <col min="3" max="3" width="10.42578125" style="65" customWidth="1"/>
    <col min="4" max="4" width="9.85546875" style="65" customWidth="1"/>
    <col min="5" max="5" width="11.5703125" style="65" customWidth="1"/>
    <col min="6" max="6" width="1.5703125" style="65" customWidth="1"/>
    <col min="7" max="7" width="10" style="65" bestFit="1" customWidth="1"/>
    <col min="8" max="8" width="10.85546875" style="65" customWidth="1"/>
    <col min="9" max="9" width="1.7109375" style="65" customWidth="1"/>
    <col min="10" max="10" width="9.140625" style="65"/>
    <col min="11" max="11" width="11.85546875" style="65" customWidth="1"/>
    <col min="12" max="12" width="1.5703125" style="65" customWidth="1"/>
    <col min="13" max="13" width="9.140625" style="65"/>
    <col min="14" max="14" width="11.28515625" style="65" customWidth="1"/>
    <col min="15" max="15" width="3.5703125" style="65" customWidth="1"/>
    <col min="16" max="16" width="10.42578125" style="66" customWidth="1"/>
    <col min="17" max="17" width="11.28515625" style="66" customWidth="1"/>
    <col min="18" max="68" width="9.140625" style="67"/>
    <col min="69" max="16384" width="9.140625" style="65"/>
  </cols>
  <sheetData>
    <row r="1" spans="1:17" ht="18">
      <c r="A1" s="64" t="s">
        <v>144</v>
      </c>
    </row>
    <row r="3" spans="1:17" ht="15">
      <c r="A3" s="68"/>
      <c r="B3" s="68"/>
      <c r="C3" s="68"/>
      <c r="D3" s="206">
        <v>2011</v>
      </c>
      <c r="E3" s="206"/>
      <c r="F3" s="69"/>
      <c r="G3" s="207">
        <v>2012</v>
      </c>
      <c r="H3" s="207"/>
      <c r="I3" s="70"/>
      <c r="J3" s="207">
        <v>2013</v>
      </c>
      <c r="K3" s="207"/>
      <c r="L3" s="70"/>
      <c r="M3" s="207">
        <v>2014</v>
      </c>
      <c r="N3" s="207"/>
      <c r="O3" s="68"/>
    </row>
    <row r="4" spans="1:17" ht="18">
      <c r="A4" s="71"/>
      <c r="B4" s="72"/>
      <c r="C4" s="72"/>
      <c r="D4" s="208" t="s">
        <v>145</v>
      </c>
      <c r="E4" s="208"/>
      <c r="F4" s="73"/>
      <c r="G4" s="207" t="s">
        <v>146</v>
      </c>
      <c r="H4" s="207"/>
      <c r="I4" s="207"/>
      <c r="J4" s="207"/>
      <c r="K4" s="207"/>
      <c r="L4" s="207"/>
      <c r="M4" s="207"/>
      <c r="N4" s="207"/>
      <c r="O4" s="72"/>
    </row>
    <row r="5" spans="1:17" ht="15">
      <c r="A5" s="74"/>
      <c r="B5" s="72"/>
      <c r="C5" s="72"/>
      <c r="D5" s="72"/>
      <c r="E5" s="72"/>
      <c r="F5" s="72"/>
      <c r="G5" s="72"/>
      <c r="H5" s="72"/>
      <c r="I5" s="72"/>
      <c r="J5" s="72"/>
      <c r="K5" s="72"/>
      <c r="L5" s="72"/>
      <c r="M5" s="72"/>
      <c r="N5" s="72"/>
      <c r="O5" s="72"/>
      <c r="P5" s="205" t="s">
        <v>5</v>
      </c>
      <c r="Q5" s="205"/>
    </row>
    <row r="6" spans="1:17" ht="51">
      <c r="A6" s="74"/>
      <c r="B6" s="75" t="s">
        <v>147</v>
      </c>
      <c r="C6" s="75"/>
      <c r="D6" s="76" t="s">
        <v>148</v>
      </c>
      <c r="E6" s="76" t="s">
        <v>149</v>
      </c>
      <c r="F6" s="67"/>
      <c r="G6" s="76" t="s">
        <v>148</v>
      </c>
      <c r="H6" s="76" t="s">
        <v>149</v>
      </c>
      <c r="I6" s="67"/>
      <c r="J6" s="76" t="s">
        <v>148</v>
      </c>
      <c r="K6" s="76" t="s">
        <v>149</v>
      </c>
      <c r="L6" s="67"/>
      <c r="M6" s="76" t="s">
        <v>148</v>
      </c>
      <c r="N6" s="76" t="s">
        <v>149</v>
      </c>
      <c r="O6" s="72"/>
      <c r="P6" s="77" t="s">
        <v>148</v>
      </c>
      <c r="Q6" s="77" t="s">
        <v>149</v>
      </c>
    </row>
    <row r="7" spans="1:17" ht="15" thickBot="1">
      <c r="A7" s="74"/>
      <c r="B7" s="78"/>
      <c r="C7" s="78"/>
      <c r="D7" s="78"/>
      <c r="E7" s="78"/>
      <c r="F7" s="78"/>
      <c r="G7" s="78"/>
      <c r="H7" s="78"/>
      <c r="I7" s="78"/>
      <c r="J7" s="78"/>
      <c r="K7" s="78"/>
      <c r="L7" s="78"/>
      <c r="M7" s="78"/>
      <c r="N7" s="78"/>
      <c r="O7" s="72"/>
    </row>
    <row r="8" spans="1:17" ht="15" thickBot="1">
      <c r="A8" s="74"/>
      <c r="B8" s="79" t="s">
        <v>150</v>
      </c>
      <c r="C8" s="80"/>
      <c r="D8" s="81"/>
      <c r="E8" s="81"/>
      <c r="F8" s="81"/>
      <c r="G8" s="81"/>
      <c r="H8" s="81"/>
      <c r="I8" s="81"/>
      <c r="J8" s="81"/>
      <c r="K8" s="81"/>
      <c r="L8" s="81"/>
      <c r="M8" s="81"/>
      <c r="N8" s="81"/>
      <c r="O8" s="72"/>
    </row>
    <row r="9" spans="1:17" ht="18" customHeight="1">
      <c r="A9" s="82"/>
      <c r="B9" s="83" t="s">
        <v>151</v>
      </c>
      <c r="C9" s="83" t="s">
        <v>152</v>
      </c>
      <c r="D9" s="84">
        <v>43.680999999999997</v>
      </c>
      <c r="E9" s="84">
        <v>309783.06099999999</v>
      </c>
      <c r="F9" s="85"/>
      <c r="G9" s="84"/>
      <c r="H9" s="84">
        <f>+E9</f>
        <v>309783.06099999999</v>
      </c>
      <c r="I9" s="85"/>
      <c r="J9" s="84"/>
      <c r="K9" s="84">
        <f>+H9</f>
        <v>309783.06099999999</v>
      </c>
      <c r="L9" s="85"/>
      <c r="M9" s="84"/>
      <c r="N9" s="84">
        <f>+K9</f>
        <v>309783.06099999999</v>
      </c>
      <c r="O9" s="72"/>
    </row>
    <row r="10" spans="1:17" ht="18" customHeight="1">
      <c r="A10" s="82"/>
      <c r="B10" s="83" t="s">
        <v>153</v>
      </c>
      <c r="C10" s="83" t="s">
        <v>152</v>
      </c>
      <c r="D10" s="86">
        <v>1.4810000000000001</v>
      </c>
      <c r="E10" s="86">
        <v>1968.567</v>
      </c>
      <c r="F10" s="85"/>
      <c r="G10" s="86"/>
      <c r="H10" s="84">
        <f>+E10</f>
        <v>1968.567</v>
      </c>
      <c r="I10" s="85"/>
      <c r="J10" s="84"/>
      <c r="K10" s="84">
        <f>+H10</f>
        <v>1968.567</v>
      </c>
      <c r="L10" s="85"/>
      <c r="M10" s="84"/>
      <c r="N10" s="84">
        <f>+K10</f>
        <v>1968.567</v>
      </c>
      <c r="O10" s="72"/>
    </row>
    <row r="11" spans="1:17" ht="18" customHeight="1">
      <c r="A11" s="82"/>
      <c r="B11" s="83" t="s">
        <v>154</v>
      </c>
      <c r="C11" s="83" t="s">
        <v>152</v>
      </c>
      <c r="D11" s="87">
        <v>177.24199999999999</v>
      </c>
      <c r="E11" s="86">
        <f>352544.51</f>
        <v>352544.51</v>
      </c>
      <c r="F11" s="85"/>
      <c r="G11" s="86"/>
      <c r="H11" s="84">
        <f>+E11</f>
        <v>352544.51</v>
      </c>
      <c r="I11" s="85"/>
      <c r="J11" s="84"/>
      <c r="K11" s="84">
        <f>+H11</f>
        <v>352544.51</v>
      </c>
      <c r="L11" s="85"/>
      <c r="M11" s="84"/>
      <c r="N11" s="84">
        <f>+K11</f>
        <v>352544.51</v>
      </c>
      <c r="O11" s="72"/>
    </row>
    <row r="12" spans="1:17" ht="18" customHeight="1">
      <c r="A12" s="82"/>
      <c r="B12" s="83" t="s">
        <v>155</v>
      </c>
      <c r="C12" s="83" t="s">
        <v>152</v>
      </c>
      <c r="D12" s="86">
        <v>10.221</v>
      </c>
      <c r="E12" s="86">
        <f>166902.004</f>
        <v>166902.00399999999</v>
      </c>
      <c r="F12" s="85"/>
      <c r="G12" s="86"/>
      <c r="H12" s="84">
        <f>+E12</f>
        <v>166902.00399999999</v>
      </c>
      <c r="I12" s="85"/>
      <c r="J12" s="84"/>
      <c r="K12" s="84">
        <f>+H12</f>
        <v>166902.00399999999</v>
      </c>
      <c r="L12" s="85"/>
      <c r="M12" s="84"/>
      <c r="N12" s="84">
        <f>+K12</f>
        <v>166902.00399999999</v>
      </c>
      <c r="O12" s="72"/>
    </row>
    <row r="13" spans="1:17" ht="18" customHeight="1">
      <c r="A13" s="82"/>
      <c r="B13" s="83" t="s">
        <v>156</v>
      </c>
      <c r="C13" s="83" t="s">
        <v>152</v>
      </c>
      <c r="D13" s="86">
        <v>14.693</v>
      </c>
      <c r="E13" s="86">
        <f>256790.723</f>
        <v>256790.723</v>
      </c>
      <c r="F13" s="85"/>
      <c r="G13" s="86"/>
      <c r="H13" s="84">
        <f>+E13</f>
        <v>256790.723</v>
      </c>
      <c r="I13" s="85"/>
      <c r="J13" s="84"/>
      <c r="K13" s="84">
        <f>+H13</f>
        <v>256790.723</v>
      </c>
      <c r="L13" s="85"/>
      <c r="M13" s="84"/>
      <c r="N13" s="84">
        <f>+K13</f>
        <v>256790.723</v>
      </c>
      <c r="O13" s="72"/>
    </row>
    <row r="14" spans="1:17" s="67" customFormat="1" ht="18" customHeight="1">
      <c r="A14" s="82"/>
      <c r="B14" s="89" t="s">
        <v>161</v>
      </c>
      <c r="C14" s="90"/>
      <c r="D14" s="91">
        <f>SUM(D9:D13)</f>
        <v>247.31800000000001</v>
      </c>
      <c r="E14" s="92">
        <f>SUM(E9:E13)</f>
        <v>1087988.865</v>
      </c>
      <c r="F14" s="93"/>
      <c r="G14" s="92">
        <f>SUM(G9:G13)</f>
        <v>0</v>
      </c>
      <c r="H14" s="92">
        <f>SUM(H9:H13)</f>
        <v>1087988.865</v>
      </c>
      <c r="I14" s="93"/>
      <c r="J14" s="92">
        <f>SUM(J9:J13)</f>
        <v>0</v>
      </c>
      <c r="K14" s="92">
        <f>SUM(K9:K13)</f>
        <v>1087988.865</v>
      </c>
      <c r="L14" s="93"/>
      <c r="M14" s="92">
        <f>SUM(M9:M13)</f>
        <v>0</v>
      </c>
      <c r="N14" s="92">
        <f>SUM(N9:N13)</f>
        <v>1087988.865</v>
      </c>
      <c r="O14" s="94"/>
      <c r="P14" s="95">
        <f>+D14+G14+J14+M14</f>
        <v>247.31800000000001</v>
      </c>
      <c r="Q14" s="95">
        <f>+E14+H14+K14+N14</f>
        <v>4351955.46</v>
      </c>
    </row>
    <row r="15" spans="1:17" s="67" customFormat="1" ht="15" thickBot="1">
      <c r="A15" s="65"/>
      <c r="B15" s="65"/>
      <c r="C15" s="78"/>
      <c r="D15" s="78"/>
      <c r="E15" s="78"/>
      <c r="F15" s="78"/>
      <c r="G15" s="78"/>
      <c r="H15" s="78"/>
      <c r="I15" s="78"/>
      <c r="J15" s="78"/>
      <c r="K15" s="78"/>
      <c r="L15" s="78"/>
      <c r="M15" s="78"/>
      <c r="N15" s="78"/>
      <c r="O15" s="65"/>
      <c r="P15" s="66"/>
      <c r="Q15" s="66"/>
    </row>
    <row r="16" spans="1:17" s="67" customFormat="1" ht="15" thickBot="1">
      <c r="A16" s="74"/>
      <c r="B16" s="79" t="s">
        <v>162</v>
      </c>
      <c r="C16" s="80"/>
      <c r="D16" s="81"/>
      <c r="E16" s="81"/>
      <c r="F16" s="81"/>
      <c r="G16" s="81"/>
      <c r="H16" s="81"/>
      <c r="I16" s="81"/>
      <c r="J16" s="81"/>
      <c r="K16" s="81"/>
      <c r="L16" s="81"/>
      <c r="M16" s="81"/>
      <c r="N16" s="81"/>
      <c r="O16" s="72"/>
      <c r="P16" s="66"/>
      <c r="Q16" s="66"/>
    </row>
    <row r="17" spans="1:17" s="67" customFormat="1">
      <c r="A17" s="65"/>
      <c r="B17" s="83" t="s">
        <v>163</v>
      </c>
      <c r="C17" s="83" t="s">
        <v>164</v>
      </c>
      <c r="D17" s="84">
        <v>39.700000000000003</v>
      </c>
      <c r="E17" s="84">
        <v>170541</v>
      </c>
      <c r="F17" s="65"/>
      <c r="G17" s="86"/>
      <c r="H17" s="84">
        <f>+E17</f>
        <v>170541</v>
      </c>
      <c r="I17" s="85"/>
      <c r="J17" s="84"/>
      <c r="K17" s="84">
        <f>+H17</f>
        <v>170541</v>
      </c>
      <c r="L17" s="85"/>
      <c r="M17" s="84"/>
      <c r="N17" s="84">
        <f>+K17</f>
        <v>170541</v>
      </c>
      <c r="O17" s="72"/>
      <c r="P17" s="66"/>
      <c r="Q17" s="66"/>
    </row>
    <row r="18" spans="1:17" s="67" customFormat="1">
      <c r="A18" s="65"/>
      <c r="B18" s="83" t="s">
        <v>163</v>
      </c>
      <c r="C18" s="83" t="s">
        <v>165</v>
      </c>
      <c r="D18" s="84">
        <v>74.11999999999999</v>
      </c>
      <c r="E18" s="84">
        <v>350226</v>
      </c>
      <c r="F18" s="65"/>
      <c r="G18" s="86"/>
      <c r="H18" s="84">
        <f>+E18</f>
        <v>350226</v>
      </c>
      <c r="I18" s="85"/>
      <c r="J18" s="84"/>
      <c r="K18" s="84">
        <f>+H18</f>
        <v>350226</v>
      </c>
      <c r="L18" s="85"/>
      <c r="M18" s="84"/>
      <c r="N18" s="84">
        <f>+K18</f>
        <v>350226</v>
      </c>
      <c r="O18" s="72"/>
      <c r="P18" s="66"/>
      <c r="Q18" s="66"/>
    </row>
    <row r="19" spans="1:17" s="67" customFormat="1">
      <c r="A19" s="65"/>
      <c r="B19" s="83" t="s">
        <v>163</v>
      </c>
      <c r="C19" s="83" t="s">
        <v>111</v>
      </c>
      <c r="D19" s="84">
        <v>15.78</v>
      </c>
      <c r="E19" s="84">
        <v>55874</v>
      </c>
      <c r="F19" s="65"/>
      <c r="G19" s="86"/>
      <c r="H19" s="84">
        <f>+E19</f>
        <v>55874</v>
      </c>
      <c r="I19" s="85"/>
      <c r="J19" s="84"/>
      <c r="K19" s="84">
        <f>+H19</f>
        <v>55874</v>
      </c>
      <c r="L19" s="85"/>
      <c r="M19" s="84"/>
      <c r="N19" s="84">
        <f>+K19</f>
        <v>55874</v>
      </c>
      <c r="O19" s="72"/>
      <c r="P19" s="66"/>
      <c r="Q19" s="66"/>
    </row>
    <row r="20" spans="1:17" s="67" customFormat="1">
      <c r="A20" s="65"/>
      <c r="B20" s="83" t="s">
        <v>163</v>
      </c>
      <c r="C20" s="83" t="s">
        <v>166</v>
      </c>
      <c r="D20" s="84"/>
      <c r="E20" s="84"/>
      <c r="F20" s="65"/>
      <c r="G20" s="86"/>
      <c r="H20" s="84"/>
      <c r="I20" s="85"/>
      <c r="J20" s="84"/>
      <c r="K20" s="84"/>
      <c r="L20" s="85"/>
      <c r="M20" s="84"/>
      <c r="N20" s="84"/>
      <c r="O20" s="72"/>
      <c r="P20" s="66"/>
      <c r="Q20" s="66"/>
    </row>
    <row r="21" spans="1:17" s="67" customFormat="1">
      <c r="A21" s="65"/>
      <c r="B21" s="83" t="s">
        <v>167</v>
      </c>
      <c r="C21" s="83" t="s">
        <v>164</v>
      </c>
      <c r="D21" s="84">
        <v>118.974</v>
      </c>
      <c r="E21" s="84">
        <v>295710.79599999997</v>
      </c>
      <c r="F21" s="65"/>
      <c r="G21" s="86"/>
      <c r="H21" s="84">
        <f>+E21</f>
        <v>295710.79599999997</v>
      </c>
      <c r="I21" s="85"/>
      <c r="J21" s="84"/>
      <c r="K21" s="84">
        <f>+H21</f>
        <v>295710.79599999997</v>
      </c>
      <c r="L21" s="85"/>
      <c r="M21" s="84"/>
      <c r="N21" s="84">
        <f>+K21</f>
        <v>295710.79599999997</v>
      </c>
      <c r="O21" s="72"/>
      <c r="P21" s="66"/>
      <c r="Q21" s="66"/>
    </row>
    <row r="22" spans="1:17" s="67" customFormat="1">
      <c r="A22" s="65"/>
      <c r="B22" s="83" t="s">
        <v>168</v>
      </c>
      <c r="C22" s="83"/>
      <c r="D22" s="84"/>
      <c r="E22" s="84"/>
      <c r="F22" s="65"/>
      <c r="G22" s="86"/>
      <c r="H22" s="84"/>
      <c r="I22" s="85"/>
      <c r="J22" s="84"/>
      <c r="K22" s="84"/>
      <c r="L22" s="85"/>
      <c r="M22" s="84"/>
      <c r="N22" s="84"/>
      <c r="O22" s="72"/>
      <c r="P22" s="66"/>
      <c r="Q22" s="66"/>
    </row>
    <row r="23" spans="1:17" s="67" customFormat="1">
      <c r="A23" s="65"/>
      <c r="B23" s="83" t="s">
        <v>169</v>
      </c>
      <c r="C23" s="83" t="s">
        <v>165</v>
      </c>
      <c r="D23" s="84"/>
      <c r="E23" s="84"/>
      <c r="F23" s="65"/>
      <c r="G23" s="86"/>
      <c r="H23" s="84"/>
      <c r="I23" s="85"/>
      <c r="J23" s="84"/>
      <c r="K23" s="84"/>
      <c r="L23" s="85"/>
      <c r="M23" s="84"/>
      <c r="N23" s="84"/>
      <c r="O23" s="72"/>
      <c r="P23" s="66"/>
      <c r="Q23" s="66"/>
    </row>
    <row r="24" spans="1:17" s="67" customFormat="1">
      <c r="A24" s="65"/>
      <c r="B24" s="83" t="s">
        <v>170</v>
      </c>
      <c r="C24" s="83" t="s">
        <v>165</v>
      </c>
      <c r="D24" s="84"/>
      <c r="E24" s="84"/>
      <c r="F24" s="65"/>
      <c r="G24" s="86"/>
      <c r="H24" s="84"/>
      <c r="I24" s="85"/>
      <c r="J24" s="84"/>
      <c r="K24" s="84"/>
      <c r="L24" s="85"/>
      <c r="M24" s="84"/>
      <c r="N24" s="84"/>
      <c r="O24" s="72"/>
      <c r="P24" s="66"/>
      <c r="Q24" s="66"/>
    </row>
    <row r="25" spans="1:17" s="67" customFormat="1">
      <c r="A25" s="65"/>
      <c r="B25" s="83" t="s">
        <v>171</v>
      </c>
      <c r="C25" s="83" t="s">
        <v>165</v>
      </c>
      <c r="D25" s="84"/>
      <c r="E25" s="84"/>
      <c r="F25" s="65"/>
      <c r="G25" s="86"/>
      <c r="H25" s="84"/>
      <c r="I25" s="85"/>
      <c r="J25" s="84"/>
      <c r="K25" s="84"/>
      <c r="L25" s="85"/>
      <c r="M25" s="84"/>
      <c r="N25" s="84"/>
      <c r="O25" s="72"/>
      <c r="P25" s="66"/>
      <c r="Q25" s="66"/>
    </row>
    <row r="26" spans="1:17" s="67" customFormat="1">
      <c r="A26" s="65"/>
      <c r="B26" s="83" t="s">
        <v>172</v>
      </c>
      <c r="C26" s="83"/>
      <c r="D26" s="84"/>
      <c r="E26" s="84"/>
      <c r="F26" s="65"/>
      <c r="G26" s="86"/>
      <c r="H26" s="84"/>
      <c r="I26" s="85"/>
      <c r="J26" s="84"/>
      <c r="K26" s="84"/>
      <c r="L26" s="85"/>
      <c r="M26" s="84"/>
      <c r="N26" s="84"/>
      <c r="O26" s="72"/>
      <c r="P26" s="66"/>
      <c r="Q26" s="66"/>
    </row>
    <row r="27" spans="1:17" s="67" customFormat="1">
      <c r="A27" s="65"/>
      <c r="B27" s="83" t="s">
        <v>105</v>
      </c>
      <c r="C27" s="88"/>
      <c r="D27" s="84"/>
      <c r="E27" s="84"/>
      <c r="F27" s="65"/>
      <c r="G27" s="86"/>
      <c r="H27" s="84"/>
      <c r="I27" s="85"/>
      <c r="J27" s="84"/>
      <c r="K27" s="84"/>
      <c r="L27" s="85"/>
      <c r="M27" s="84"/>
      <c r="N27" s="84"/>
      <c r="O27" s="72"/>
      <c r="P27" s="66"/>
      <c r="Q27" s="66"/>
    </row>
    <row r="28" spans="1:17" s="67" customFormat="1" ht="18" customHeight="1">
      <c r="A28" s="82"/>
      <c r="B28" s="89" t="s">
        <v>173</v>
      </c>
      <c r="C28" s="90"/>
      <c r="D28" s="91">
        <f>SUM(D17:D27)</f>
        <v>248.57400000000001</v>
      </c>
      <c r="E28" s="92">
        <f>SUM(E17:E27)</f>
        <v>872351.79599999997</v>
      </c>
      <c r="F28" s="93"/>
      <c r="G28" s="91">
        <f>SUM(G17:G27)</f>
        <v>0</v>
      </c>
      <c r="H28" s="92">
        <f>SUM(H17:H27)</f>
        <v>872351.79599999997</v>
      </c>
      <c r="I28" s="93"/>
      <c r="J28" s="91">
        <f>SUM(J17:J27)</f>
        <v>0</v>
      </c>
      <c r="K28" s="92">
        <f>SUM(K17:K27)</f>
        <v>872351.79599999997</v>
      </c>
      <c r="L28" s="93"/>
      <c r="M28" s="91">
        <f>SUM(M17:M27)</f>
        <v>0</v>
      </c>
      <c r="N28" s="92">
        <f>SUM(N17:N27)</f>
        <v>872351.79599999997</v>
      </c>
      <c r="O28" s="72"/>
      <c r="P28" s="95">
        <f>+D28+G28+J28+M28</f>
        <v>248.57400000000001</v>
      </c>
      <c r="Q28" s="95">
        <f>+E28+H28+K28+N28</f>
        <v>3489407.1839999999</v>
      </c>
    </row>
    <row r="29" spans="1:17" s="67" customFormat="1" ht="15" thickBot="1">
      <c r="A29" s="65"/>
      <c r="B29" s="65"/>
      <c r="C29" s="78"/>
      <c r="D29" s="78"/>
      <c r="E29" s="78"/>
      <c r="F29" s="78"/>
      <c r="G29" s="78"/>
      <c r="H29" s="78"/>
      <c r="I29" s="78"/>
      <c r="J29" s="78"/>
      <c r="K29" s="78"/>
      <c r="L29" s="78"/>
      <c r="M29" s="78"/>
      <c r="N29" s="78"/>
      <c r="O29" s="65"/>
      <c r="P29" s="66"/>
      <c r="Q29" s="66"/>
    </row>
    <row r="30" spans="1:17" s="67" customFormat="1" ht="15" thickBot="1">
      <c r="A30" s="74"/>
      <c r="B30" s="79" t="s">
        <v>174</v>
      </c>
      <c r="C30" s="80"/>
      <c r="D30" s="81"/>
      <c r="E30" s="81"/>
      <c r="F30" s="81"/>
      <c r="G30" s="81"/>
      <c r="H30" s="81"/>
      <c r="I30" s="81"/>
      <c r="J30" s="81"/>
      <c r="K30" s="81"/>
      <c r="L30" s="81"/>
      <c r="M30" s="81"/>
      <c r="N30" s="81"/>
      <c r="O30" s="72"/>
      <c r="P30" s="66"/>
      <c r="Q30" s="66"/>
    </row>
    <row r="31" spans="1:17" s="67" customFormat="1">
      <c r="A31" s="65"/>
      <c r="B31" s="83" t="s">
        <v>175</v>
      </c>
      <c r="C31" s="83"/>
      <c r="D31" s="84"/>
      <c r="E31" s="84"/>
      <c r="F31" s="65"/>
      <c r="G31" s="86"/>
      <c r="H31" s="84"/>
      <c r="I31" s="85"/>
      <c r="J31" s="84"/>
      <c r="K31" s="84"/>
      <c r="L31" s="85"/>
      <c r="M31" s="84"/>
      <c r="N31" s="84"/>
      <c r="O31" s="72"/>
      <c r="P31" s="66"/>
      <c r="Q31" s="66"/>
    </row>
    <row r="32" spans="1:17" s="67" customFormat="1">
      <c r="A32" s="65"/>
      <c r="B32" s="83" t="s">
        <v>176</v>
      </c>
      <c r="C32" s="83"/>
      <c r="D32" s="84"/>
      <c r="E32" s="84"/>
      <c r="F32" s="65"/>
      <c r="G32" s="86"/>
      <c r="H32" s="84"/>
      <c r="I32" s="85"/>
      <c r="J32" s="84"/>
      <c r="K32" s="84"/>
      <c r="L32" s="85"/>
      <c r="M32" s="84"/>
      <c r="N32" s="84"/>
      <c r="O32" s="72"/>
      <c r="P32" s="66"/>
      <c r="Q32" s="66"/>
    </row>
    <row r="33" spans="1:17" s="67" customFormat="1">
      <c r="A33" s="65"/>
      <c r="B33" s="83" t="s">
        <v>177</v>
      </c>
      <c r="C33" s="83" t="s">
        <v>111</v>
      </c>
      <c r="D33" s="84"/>
      <c r="E33" s="84"/>
      <c r="F33" s="65"/>
      <c r="G33" s="86"/>
      <c r="H33" s="84"/>
      <c r="I33" s="85"/>
      <c r="J33" s="84"/>
      <c r="K33" s="84"/>
      <c r="L33" s="85"/>
      <c r="M33" s="84"/>
      <c r="N33" s="84"/>
      <c r="O33" s="72"/>
      <c r="P33" s="66"/>
      <c r="Q33" s="66"/>
    </row>
    <row r="34" spans="1:17" s="67" customFormat="1">
      <c r="A34" s="65"/>
      <c r="B34" s="83" t="s">
        <v>163</v>
      </c>
      <c r="C34" s="83" t="s">
        <v>111</v>
      </c>
      <c r="D34" s="84">
        <v>17.788</v>
      </c>
      <c r="E34" s="84">
        <v>109094.06299999999</v>
      </c>
      <c r="F34" s="65"/>
      <c r="G34" s="86"/>
      <c r="H34" s="84">
        <f>+E34</f>
        <v>109094.06299999999</v>
      </c>
      <c r="I34" s="85"/>
      <c r="J34" s="84"/>
      <c r="K34" s="84">
        <f>+H34</f>
        <v>109094.06299999999</v>
      </c>
      <c r="L34" s="85"/>
      <c r="M34" s="96"/>
      <c r="N34" s="84">
        <f>+K34</f>
        <v>109094.06299999999</v>
      </c>
      <c r="O34" s="72"/>
      <c r="P34" s="66"/>
      <c r="Q34" s="66"/>
    </row>
    <row r="35" spans="1:17" s="67" customFormat="1">
      <c r="A35" s="65"/>
      <c r="B35" s="83" t="s">
        <v>105</v>
      </c>
      <c r="C35" s="83" t="s">
        <v>111</v>
      </c>
      <c r="D35" s="84"/>
      <c r="E35" s="84"/>
      <c r="F35" s="65"/>
      <c r="G35" s="86"/>
      <c r="H35" s="84"/>
      <c r="I35" s="85"/>
      <c r="J35" s="84"/>
      <c r="K35" s="84"/>
      <c r="L35" s="85"/>
      <c r="M35" s="84"/>
      <c r="N35" s="84"/>
      <c r="O35" s="72"/>
      <c r="P35" s="66"/>
      <c r="Q35" s="66"/>
    </row>
    <row r="36" spans="1:17" s="67" customFormat="1" ht="18" customHeight="1">
      <c r="A36" s="82"/>
      <c r="B36" s="89" t="s">
        <v>178</v>
      </c>
      <c r="C36" s="90"/>
      <c r="D36" s="91">
        <f>SUM(D31:D35)</f>
        <v>17.788</v>
      </c>
      <c r="E36" s="91">
        <f>SUM(E31:E35)</f>
        <v>109094.06299999999</v>
      </c>
      <c r="F36" s="93"/>
      <c r="G36" s="91">
        <f>SUM(G31:G35)</f>
        <v>0</v>
      </c>
      <c r="H36" s="91">
        <f>SUM(H31:H35)</f>
        <v>109094.06299999999</v>
      </c>
      <c r="I36" s="93"/>
      <c r="J36" s="91">
        <f>SUM(J31:J35)</f>
        <v>0</v>
      </c>
      <c r="K36" s="91">
        <f>SUM(K31:K35)</f>
        <v>109094.06299999999</v>
      </c>
      <c r="L36" s="93"/>
      <c r="M36" s="91">
        <f>SUM(M31:M35)</f>
        <v>0</v>
      </c>
      <c r="N36" s="91">
        <f>SUM(N31:N35)</f>
        <v>109094.06299999999</v>
      </c>
      <c r="O36" s="72"/>
      <c r="P36" s="95">
        <f>+D36+G36+J36+M36</f>
        <v>17.788</v>
      </c>
      <c r="Q36" s="95">
        <f>+E36+H36+K36+N36</f>
        <v>436376.25199999998</v>
      </c>
    </row>
    <row r="37" spans="1:17" s="67" customFormat="1" ht="15" thickBot="1">
      <c r="A37" s="65"/>
      <c r="B37" s="65"/>
      <c r="C37" s="78"/>
      <c r="D37" s="78"/>
      <c r="E37" s="78"/>
      <c r="F37" s="78"/>
      <c r="G37" s="78"/>
      <c r="H37" s="78"/>
      <c r="I37" s="78"/>
      <c r="J37" s="78"/>
      <c r="K37" s="78"/>
      <c r="L37" s="78"/>
      <c r="M37" s="78"/>
      <c r="N37" s="78"/>
      <c r="O37" s="65"/>
      <c r="P37" s="66"/>
      <c r="Q37" s="66"/>
    </row>
    <row r="38" spans="1:17" s="67" customFormat="1" ht="15" thickBot="1">
      <c r="A38" s="74"/>
      <c r="B38" s="79" t="s">
        <v>179</v>
      </c>
      <c r="C38" s="80"/>
      <c r="D38" s="81"/>
      <c r="E38" s="81"/>
      <c r="F38" s="81"/>
      <c r="G38" s="81"/>
      <c r="H38" s="81"/>
      <c r="I38" s="81"/>
      <c r="J38" s="81"/>
      <c r="K38" s="81"/>
      <c r="L38" s="81"/>
      <c r="M38" s="81"/>
      <c r="N38" s="81"/>
      <c r="O38" s="72"/>
      <c r="P38" s="66"/>
      <c r="Q38" s="66"/>
    </row>
    <row r="39" spans="1:17" s="67" customFormat="1">
      <c r="A39" s="65"/>
      <c r="B39" s="83" t="s">
        <v>179</v>
      </c>
      <c r="C39" s="83" t="s">
        <v>152</v>
      </c>
      <c r="D39" s="84"/>
      <c r="E39" s="84"/>
      <c r="F39" s="65"/>
      <c r="G39" s="86"/>
      <c r="H39" s="84"/>
      <c r="I39" s="85"/>
      <c r="J39" s="84"/>
      <c r="K39" s="84"/>
      <c r="L39" s="85"/>
      <c r="M39" s="84"/>
      <c r="N39" s="84"/>
      <c r="O39" s="72"/>
      <c r="P39" s="66"/>
      <c r="Q39" s="66"/>
    </row>
    <row r="40" spans="1:17" s="67" customFormat="1" ht="18" customHeight="1">
      <c r="A40" s="82"/>
      <c r="B40" s="89" t="s">
        <v>180</v>
      </c>
      <c r="C40" s="90"/>
      <c r="D40" s="91">
        <f>SUM(D39)</f>
        <v>0</v>
      </c>
      <c r="E40" s="91">
        <f>SUM(E39)</f>
        <v>0</v>
      </c>
      <c r="F40" s="93"/>
      <c r="G40" s="91">
        <f>SUM(G39)</f>
        <v>0</v>
      </c>
      <c r="H40" s="91">
        <f>SUM(H39)</f>
        <v>0</v>
      </c>
      <c r="I40" s="93"/>
      <c r="J40" s="91">
        <f>SUM(J39)</f>
        <v>0</v>
      </c>
      <c r="K40" s="91">
        <f>SUM(K39)</f>
        <v>0</v>
      </c>
      <c r="L40" s="93"/>
      <c r="M40" s="91">
        <f>SUM(M39)</f>
        <v>0</v>
      </c>
      <c r="N40" s="91">
        <f>SUM(N39)</f>
        <v>0</v>
      </c>
      <c r="O40" s="72"/>
      <c r="P40" s="95">
        <f>+D40+G40+J40+M40</f>
        <v>0</v>
      </c>
      <c r="Q40" s="95">
        <f>+E40+H40+K40+N40</f>
        <v>0</v>
      </c>
    </row>
    <row r="41" spans="1:17" s="67" customFormat="1" ht="15" thickBot="1">
      <c r="A41" s="65"/>
      <c r="B41" s="65"/>
      <c r="C41" s="78"/>
      <c r="D41" s="78"/>
      <c r="E41" s="78"/>
      <c r="F41" s="78"/>
      <c r="G41" s="78"/>
      <c r="H41" s="78"/>
      <c r="I41" s="78"/>
      <c r="J41" s="78"/>
      <c r="K41" s="78"/>
      <c r="L41" s="78"/>
      <c r="M41" s="78"/>
      <c r="N41" s="78"/>
      <c r="O41" s="65"/>
      <c r="P41" s="66"/>
      <c r="Q41" s="66"/>
    </row>
    <row r="42" spans="1:17" s="67" customFormat="1" ht="15" thickBot="1">
      <c r="A42" s="74"/>
      <c r="B42" s="79" t="s">
        <v>181</v>
      </c>
      <c r="C42" s="80"/>
      <c r="D42" s="81"/>
      <c r="E42" s="81"/>
      <c r="F42" s="81"/>
      <c r="G42" s="81"/>
      <c r="H42" s="81"/>
      <c r="I42" s="81"/>
      <c r="J42" s="81"/>
      <c r="K42" s="81"/>
      <c r="L42" s="81"/>
      <c r="M42" s="81"/>
      <c r="N42" s="81"/>
      <c r="O42" s="72"/>
      <c r="P42" s="66"/>
      <c r="Q42" s="66"/>
    </row>
    <row r="43" spans="1:17" s="67" customFormat="1">
      <c r="A43" s="65"/>
      <c r="B43" s="83" t="s">
        <v>179</v>
      </c>
      <c r="C43" s="83"/>
      <c r="D43" s="84"/>
      <c r="E43" s="84"/>
      <c r="F43" s="65"/>
      <c r="G43" s="86"/>
      <c r="H43" s="84"/>
      <c r="I43" s="85"/>
      <c r="J43" s="84"/>
      <c r="K43" s="84"/>
      <c r="L43" s="85"/>
      <c r="M43" s="84"/>
      <c r="N43" s="84"/>
      <c r="O43" s="72"/>
      <c r="P43" s="66"/>
      <c r="Q43" s="66"/>
    </row>
    <row r="44" spans="1:17" s="67" customFormat="1">
      <c r="A44" s="65"/>
      <c r="B44" s="83" t="s">
        <v>167</v>
      </c>
      <c r="C44" s="83"/>
      <c r="D44" s="84"/>
      <c r="E44" s="84"/>
      <c r="F44" s="65"/>
      <c r="G44" s="86"/>
      <c r="H44" s="84"/>
      <c r="I44" s="85"/>
      <c r="J44" s="84"/>
      <c r="K44" s="84"/>
      <c r="L44" s="85"/>
      <c r="M44" s="84"/>
      <c r="N44" s="84"/>
      <c r="O44" s="72"/>
      <c r="P44" s="66"/>
      <c r="Q44" s="66"/>
    </row>
    <row r="45" spans="1:17" s="67" customFormat="1" ht="18" customHeight="1">
      <c r="A45" s="82"/>
      <c r="B45" s="89" t="s">
        <v>182</v>
      </c>
      <c r="C45" s="90"/>
      <c r="D45" s="91">
        <f>SUM(D43:D44)</f>
        <v>0</v>
      </c>
      <c r="E45" s="91">
        <f>SUM(E43:E44)</f>
        <v>0</v>
      </c>
      <c r="F45" s="93"/>
      <c r="G45" s="91">
        <f>SUM(G43:G44)</f>
        <v>0</v>
      </c>
      <c r="H45" s="91">
        <f>SUM(H43:H44)</f>
        <v>0</v>
      </c>
      <c r="I45" s="93"/>
      <c r="J45" s="91">
        <f>SUM(J43:J44)</f>
        <v>0</v>
      </c>
      <c r="K45" s="91">
        <f>SUM(K43:K44)</f>
        <v>0</v>
      </c>
      <c r="L45" s="93"/>
      <c r="M45" s="91">
        <f>SUM(M43:M44)</f>
        <v>0</v>
      </c>
      <c r="N45" s="91">
        <f>SUM(N43:N44)</f>
        <v>0</v>
      </c>
      <c r="O45" s="72"/>
      <c r="P45" s="95">
        <f>+D45+G45+J45+M45</f>
        <v>0</v>
      </c>
      <c r="Q45" s="95">
        <f>+E45+H45+K45+N45</f>
        <v>0</v>
      </c>
    </row>
    <row r="46" spans="1:17" s="67" customFormat="1" ht="15" thickBot="1">
      <c r="A46" s="65"/>
      <c r="B46" s="65"/>
      <c r="C46" s="78"/>
      <c r="D46" s="78"/>
      <c r="E46" s="78"/>
      <c r="F46" s="78"/>
      <c r="G46" s="78"/>
      <c r="H46" s="78"/>
      <c r="I46" s="78"/>
      <c r="J46" s="78"/>
      <c r="K46" s="78"/>
      <c r="L46" s="78"/>
      <c r="M46" s="78"/>
      <c r="N46" s="78"/>
      <c r="O46" s="65"/>
      <c r="P46" s="66"/>
      <c r="Q46" s="66"/>
    </row>
    <row r="47" spans="1:17" s="67" customFormat="1" ht="15" thickBot="1">
      <c r="A47" s="74"/>
      <c r="B47" s="79" t="s">
        <v>183</v>
      </c>
      <c r="C47" s="80"/>
      <c r="D47" s="81"/>
      <c r="E47" s="81"/>
      <c r="F47" s="81"/>
      <c r="G47" s="81"/>
      <c r="H47" s="81"/>
      <c r="I47" s="81"/>
      <c r="J47" s="81"/>
      <c r="K47" s="81"/>
      <c r="L47" s="81"/>
      <c r="M47" s="81"/>
      <c r="N47" s="81"/>
      <c r="O47" s="72"/>
      <c r="P47" s="66"/>
      <c r="Q47" s="66"/>
    </row>
    <row r="48" spans="1:17" s="67" customFormat="1">
      <c r="A48" s="65"/>
      <c r="B48" s="83" t="s">
        <v>184</v>
      </c>
      <c r="C48" s="83" t="s">
        <v>165</v>
      </c>
      <c r="D48" s="84">
        <v>14.683</v>
      </c>
      <c r="E48" s="84">
        <v>85316.578999999998</v>
      </c>
      <c r="F48" s="65"/>
      <c r="G48" s="86"/>
      <c r="H48" s="84">
        <f>+E48</f>
        <v>85316.578999999998</v>
      </c>
      <c r="I48" s="85"/>
      <c r="J48" s="84"/>
      <c r="K48" s="84">
        <f>+H48</f>
        <v>85316.578999999998</v>
      </c>
      <c r="L48" s="85"/>
      <c r="M48" s="84"/>
      <c r="N48" s="84">
        <f>+K48</f>
        <v>85316.578999999998</v>
      </c>
      <c r="O48" s="72"/>
      <c r="P48" s="66"/>
      <c r="Q48" s="66"/>
    </row>
    <row r="49" spans="1:68" s="67" customFormat="1">
      <c r="A49" s="65"/>
      <c r="B49" s="83" t="s">
        <v>103</v>
      </c>
      <c r="C49" s="83" t="s">
        <v>165</v>
      </c>
      <c r="D49" s="84">
        <v>0.53100000000000003</v>
      </c>
      <c r="E49" s="84">
        <v>2726.5630000000001</v>
      </c>
      <c r="F49" s="65"/>
      <c r="G49" s="86"/>
      <c r="H49" s="84">
        <f>+E49</f>
        <v>2726.5630000000001</v>
      </c>
      <c r="I49" s="85"/>
      <c r="J49" s="84"/>
      <c r="K49" s="84">
        <f>+H49</f>
        <v>2726.5630000000001</v>
      </c>
      <c r="L49" s="85"/>
      <c r="M49" s="84"/>
      <c r="N49" s="84">
        <f>+K49</f>
        <v>2726.5630000000001</v>
      </c>
      <c r="O49" s="72"/>
      <c r="P49" s="66"/>
      <c r="Q49" s="66"/>
    </row>
    <row r="50" spans="1:68" s="67" customFormat="1">
      <c r="A50" s="65"/>
      <c r="B50" s="83" t="s">
        <v>185</v>
      </c>
      <c r="C50" s="83"/>
      <c r="D50" s="84"/>
      <c r="E50" s="84"/>
      <c r="F50" s="65"/>
      <c r="G50" s="86"/>
      <c r="H50" s="84"/>
      <c r="I50" s="85"/>
      <c r="J50" s="84"/>
      <c r="K50" s="84"/>
      <c r="L50" s="85"/>
      <c r="M50" s="84"/>
      <c r="N50" s="84"/>
      <c r="O50" s="72"/>
      <c r="P50" s="66"/>
      <c r="Q50" s="66"/>
    </row>
    <row r="51" spans="1:68" s="67" customFormat="1">
      <c r="A51" s="65"/>
      <c r="B51" s="83" t="s">
        <v>186</v>
      </c>
      <c r="C51" s="83"/>
      <c r="D51" s="84"/>
      <c r="E51" s="84"/>
      <c r="F51" s="65"/>
      <c r="G51" s="86"/>
      <c r="H51" s="84"/>
      <c r="I51" s="85"/>
      <c r="J51" s="84"/>
      <c r="K51" s="84"/>
      <c r="L51" s="85"/>
      <c r="M51" s="84"/>
      <c r="N51" s="84"/>
      <c r="O51" s="72"/>
      <c r="P51" s="66"/>
      <c r="Q51" s="66"/>
    </row>
    <row r="52" spans="1:68" s="67" customFormat="1">
      <c r="A52" s="65"/>
      <c r="B52" s="83" t="s">
        <v>187</v>
      </c>
      <c r="C52" s="83"/>
      <c r="D52" s="84"/>
      <c r="E52" s="84"/>
      <c r="F52" s="65"/>
      <c r="G52" s="86"/>
      <c r="H52" s="84"/>
      <c r="I52" s="85"/>
      <c r="J52" s="84"/>
      <c r="K52" s="84"/>
      <c r="L52" s="85"/>
      <c r="M52" s="84"/>
      <c r="N52" s="84"/>
      <c r="O52" s="72"/>
      <c r="P52" s="66"/>
      <c r="Q52" s="66"/>
    </row>
    <row r="53" spans="1:68" s="67" customFormat="1" ht="18" customHeight="1">
      <c r="A53" s="82"/>
      <c r="B53" s="89" t="s">
        <v>188</v>
      </c>
      <c r="C53" s="90"/>
      <c r="D53" s="91">
        <f>SUM(D48:D52)</f>
        <v>15.214</v>
      </c>
      <c r="E53" s="91">
        <f>SUM(E48:E52)</f>
        <v>88043.141999999993</v>
      </c>
      <c r="F53" s="93"/>
      <c r="G53" s="91">
        <f>SUM(G48:G52)</f>
        <v>0</v>
      </c>
      <c r="H53" s="91">
        <f>SUM(H48:H52)</f>
        <v>88043.141999999993</v>
      </c>
      <c r="I53" s="93"/>
      <c r="J53" s="91">
        <f>SUM(J48:J52)</f>
        <v>0</v>
      </c>
      <c r="K53" s="91">
        <f>SUM(K48:K52)</f>
        <v>88043.141999999993</v>
      </c>
      <c r="L53" s="93"/>
      <c r="M53" s="91">
        <f>SUM(M48:M52)</f>
        <v>0</v>
      </c>
      <c r="N53" s="91">
        <f>SUM(N48:N52)</f>
        <v>88043.141999999993</v>
      </c>
      <c r="O53" s="72"/>
      <c r="P53" s="95">
        <f>+D53+G53+J53+M53</f>
        <v>15.214</v>
      </c>
      <c r="Q53" s="95">
        <f>+E53+H53+K53+N53</f>
        <v>352172.56799999997</v>
      </c>
    </row>
    <row r="54" spans="1:68" s="67" customFormat="1" ht="15" thickBot="1">
      <c r="A54" s="65"/>
      <c r="B54" s="65"/>
      <c r="C54" s="78"/>
      <c r="D54" s="78"/>
      <c r="E54" s="78"/>
      <c r="F54" s="78"/>
      <c r="G54" s="78"/>
      <c r="H54" s="78"/>
      <c r="I54" s="78"/>
      <c r="J54" s="78"/>
      <c r="K54" s="78"/>
      <c r="L54" s="78"/>
      <c r="M54" s="78"/>
      <c r="N54" s="78"/>
      <c r="O54" s="65"/>
      <c r="P54" s="66"/>
      <c r="Q54" s="66"/>
    </row>
    <row r="55" spans="1:68" s="67" customFormat="1" ht="15" thickBot="1">
      <c r="A55" s="74"/>
      <c r="B55" s="79" t="s">
        <v>189</v>
      </c>
      <c r="C55" s="80"/>
      <c r="D55" s="81"/>
      <c r="E55" s="81"/>
      <c r="F55" s="81"/>
      <c r="G55" s="81"/>
      <c r="H55" s="81"/>
      <c r="I55" s="81"/>
      <c r="J55" s="81"/>
      <c r="K55" s="81"/>
      <c r="L55" s="81"/>
      <c r="M55" s="81"/>
      <c r="N55" s="81"/>
      <c r="O55" s="72"/>
      <c r="P55" s="66"/>
      <c r="Q55" s="66"/>
    </row>
    <row r="56" spans="1:68" s="67" customFormat="1">
      <c r="A56" s="65"/>
      <c r="B56" s="83" t="s">
        <v>190</v>
      </c>
      <c r="C56" s="83" t="s">
        <v>165</v>
      </c>
      <c r="D56" s="84"/>
      <c r="E56" s="84"/>
      <c r="F56" s="65"/>
      <c r="G56" s="86"/>
      <c r="H56" s="84"/>
      <c r="I56" s="85"/>
      <c r="J56" s="84"/>
      <c r="K56" s="84"/>
      <c r="L56" s="85"/>
      <c r="M56" s="84"/>
      <c r="N56" s="84"/>
      <c r="O56" s="65"/>
      <c r="P56" s="66"/>
      <c r="Q56" s="66"/>
    </row>
    <row r="57" spans="1:68" s="67" customFormat="1">
      <c r="A57" s="65"/>
      <c r="B57" s="83" t="s">
        <v>191</v>
      </c>
      <c r="C57" s="83" t="s">
        <v>192</v>
      </c>
      <c r="D57" s="84"/>
      <c r="E57" s="84"/>
      <c r="F57" s="65"/>
      <c r="G57" s="86"/>
      <c r="H57" s="84"/>
      <c r="I57" s="85"/>
      <c r="J57" s="84"/>
      <c r="K57" s="84"/>
      <c r="L57" s="85"/>
      <c r="M57" s="84"/>
      <c r="N57" s="84"/>
      <c r="O57" s="65"/>
      <c r="P57" s="66"/>
      <c r="Q57" s="66"/>
    </row>
    <row r="58" spans="1:68" s="67" customFormat="1">
      <c r="A58" s="65"/>
      <c r="B58" s="83" t="s">
        <v>193</v>
      </c>
      <c r="C58" s="83"/>
      <c r="D58" s="84"/>
      <c r="E58" s="84"/>
      <c r="F58" s="65"/>
      <c r="G58" s="86"/>
      <c r="H58" s="84"/>
      <c r="I58" s="85"/>
      <c r="J58" s="84"/>
      <c r="K58" s="84"/>
      <c r="L58" s="85"/>
      <c r="M58" s="84"/>
      <c r="N58" s="84"/>
      <c r="O58" s="65"/>
      <c r="P58" s="66"/>
      <c r="Q58" s="66"/>
    </row>
    <row r="59" spans="1:68" s="67" customFormat="1" ht="18" customHeight="1">
      <c r="A59" s="82"/>
      <c r="B59" s="89" t="s">
        <v>194</v>
      </c>
      <c r="C59" s="90"/>
      <c r="D59" s="91">
        <f>SUM(D56:D58)</f>
        <v>0</v>
      </c>
      <c r="E59" s="91">
        <f>SUM(E56:E58)</f>
        <v>0</v>
      </c>
      <c r="F59" s="93"/>
      <c r="G59" s="91">
        <f>SUM(G56:G58)</f>
        <v>0</v>
      </c>
      <c r="H59" s="91">
        <f>SUM(H56:H58)</f>
        <v>0</v>
      </c>
      <c r="I59" s="93"/>
      <c r="J59" s="91">
        <f>SUM(J56:J58)</f>
        <v>0</v>
      </c>
      <c r="K59" s="91">
        <f>SUM(K56:K58)</f>
        <v>0</v>
      </c>
      <c r="L59" s="93"/>
      <c r="M59" s="91">
        <f>SUM(M56:M58)</f>
        <v>0</v>
      </c>
      <c r="N59" s="91">
        <f>SUM(N56:N58)</f>
        <v>0</v>
      </c>
      <c r="O59" s="72"/>
      <c r="P59" s="95">
        <f>+D59+G59+J59+M59</f>
        <v>0</v>
      </c>
      <c r="Q59" s="95">
        <f>+E59+H59+K59+N59</f>
        <v>0</v>
      </c>
    </row>
    <row r="60" spans="1:68" s="67" customFormat="1">
      <c r="A60" s="65"/>
      <c r="B60" s="97"/>
      <c r="C60" s="65"/>
      <c r="D60" s="65"/>
      <c r="E60" s="65"/>
      <c r="F60" s="65"/>
      <c r="G60" s="65"/>
      <c r="H60" s="65"/>
      <c r="I60" s="65"/>
      <c r="J60" s="65"/>
      <c r="K60" s="65"/>
      <c r="L60" s="65"/>
      <c r="M60" s="65"/>
      <c r="N60" s="65"/>
      <c r="O60" s="65"/>
      <c r="P60" s="66"/>
      <c r="Q60" s="66"/>
    </row>
    <row r="61" spans="1:68" s="98" customFormat="1" ht="15.75" thickBot="1">
      <c r="D61" s="99">
        <f>+D59+D53+D45+D40+D36+D28+D14</f>
        <v>528.89400000000001</v>
      </c>
      <c r="E61" s="99">
        <f>+E59+E53+E45+E40+E36+E28+E14</f>
        <v>2157477.8659999999</v>
      </c>
      <c r="G61" s="99">
        <f>+G59+G53+G45+G40+G36+G28+G14</f>
        <v>0</v>
      </c>
      <c r="H61" s="99">
        <f>+H59+H53+H45+H40+H36+H28+H14</f>
        <v>2157477.8659999999</v>
      </c>
      <c r="J61" s="99">
        <f>+J59+J53+J45+J40+J36+J28+J14</f>
        <v>0</v>
      </c>
      <c r="K61" s="99">
        <f>+K59+K53+K45+K40+K36+K28+K14</f>
        <v>2157477.8659999999</v>
      </c>
      <c r="M61" s="99">
        <f>+M59+M53+M45+M40+M36+M28+M14</f>
        <v>0</v>
      </c>
      <c r="N61" s="99">
        <f>+N59+N53+N45+N40+N36+N28+N14</f>
        <v>2157477.8659999999</v>
      </c>
      <c r="P61" s="99">
        <f>+P59+P53+P45+P40+P36+P28+P14</f>
        <v>528.89400000000001</v>
      </c>
      <c r="Q61" s="99">
        <f>+Q59+Q53+Q45+Q40+Q36+Q28+Q14</f>
        <v>8629911.4639999997</v>
      </c>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row>
    <row r="62" spans="1:68" s="98" customFormat="1" ht="15" thickTop="1">
      <c r="P62" s="101"/>
      <c r="Q62" s="101"/>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row>
    <row r="63" spans="1:68" s="98" customFormat="1">
      <c r="B63" s="97" t="s">
        <v>195</v>
      </c>
      <c r="P63" s="101"/>
      <c r="Q63" s="101"/>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row>
    <row r="64" spans="1:68" s="98" customFormat="1">
      <c r="B64" s="97" t="s">
        <v>196</v>
      </c>
      <c r="P64" s="101"/>
      <c r="Q64" s="101"/>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row>
    <row r="65" spans="1:68" s="98" customFormat="1">
      <c r="B65" s="97" t="s">
        <v>197</v>
      </c>
      <c r="C65" s="97"/>
      <c r="P65" s="101"/>
      <c r="Q65" s="101"/>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row>
    <row r="66" spans="1:68" s="98" customFormat="1">
      <c r="B66" s="97" t="s">
        <v>198</v>
      </c>
      <c r="P66" s="101"/>
      <c r="Q66" s="101"/>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row>
    <row r="67" spans="1:68" s="98" customFormat="1">
      <c r="B67" s="97" t="s">
        <v>199</v>
      </c>
      <c r="P67" s="101"/>
      <c r="Q67" s="101"/>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row>
    <row r="68" spans="1:68" s="98" customFormat="1">
      <c r="B68" s="97"/>
      <c r="C68" s="97"/>
      <c r="P68" s="101"/>
      <c r="Q68" s="101"/>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row>
    <row r="69" spans="1:68" ht="18">
      <c r="A69" s="64" t="s">
        <v>200</v>
      </c>
    </row>
    <row r="71" spans="1:68" ht="15">
      <c r="A71" s="68"/>
      <c r="B71" s="68"/>
      <c r="C71" s="68"/>
      <c r="D71" s="206">
        <v>2011</v>
      </c>
      <c r="E71" s="206"/>
      <c r="F71" s="69"/>
      <c r="G71" s="207">
        <v>2012</v>
      </c>
      <c r="H71" s="207"/>
      <c r="I71" s="70"/>
      <c r="J71" s="207">
        <v>2013</v>
      </c>
      <c r="K71" s="207"/>
      <c r="L71" s="70"/>
      <c r="M71" s="207">
        <v>2014</v>
      </c>
      <c r="N71" s="207"/>
      <c r="O71" s="68"/>
    </row>
    <row r="72" spans="1:68" ht="18">
      <c r="A72" s="71"/>
      <c r="B72" s="72"/>
      <c r="C72" s="72"/>
      <c r="D72" s="208" t="s">
        <v>145</v>
      </c>
      <c r="E72" s="208"/>
      <c r="F72" s="73"/>
      <c r="G72" s="207" t="s">
        <v>146</v>
      </c>
      <c r="H72" s="207"/>
      <c r="I72" s="207"/>
      <c r="J72" s="207"/>
      <c r="K72" s="207"/>
      <c r="L72" s="207"/>
      <c r="M72" s="207"/>
      <c r="N72" s="207"/>
      <c r="O72" s="72"/>
    </row>
    <row r="73" spans="1:68" ht="15">
      <c r="P73" s="205" t="s">
        <v>5</v>
      </c>
      <c r="Q73" s="205"/>
    </row>
    <row r="74" spans="1:68" ht="51">
      <c r="B74" s="75" t="s">
        <v>201</v>
      </c>
      <c r="C74" s="75"/>
      <c r="D74" s="76" t="str">
        <f>+$D$6</f>
        <v>Peak Demand Savings (kW)</v>
      </c>
      <c r="E74" s="76" t="str">
        <f>+$E$6</f>
        <v>Energy Savings (kWh)</v>
      </c>
      <c r="F74" s="67"/>
      <c r="G74" s="76" t="str">
        <f>+$G$6</f>
        <v>Peak Demand Savings (kW)</v>
      </c>
      <c r="H74" s="76" t="str">
        <f>+$H$6</f>
        <v>Energy Savings (kWh)</v>
      </c>
      <c r="I74" s="67"/>
      <c r="J74" s="76" t="str">
        <f>+$J$6</f>
        <v>Peak Demand Savings (kW)</v>
      </c>
      <c r="K74" s="76" t="str">
        <f>+$K$6</f>
        <v>Energy Savings (kWh)</v>
      </c>
      <c r="L74" s="67"/>
      <c r="M74" s="76" t="str">
        <f>+$M$6</f>
        <v>Peak Demand Savings (kW)</v>
      </c>
      <c r="N74" s="76" t="str">
        <f>+$N$6</f>
        <v>Energy Savings (kWh)</v>
      </c>
      <c r="P74" s="77" t="str">
        <f>+$P$6</f>
        <v>Peak Demand Savings (kW)</v>
      </c>
      <c r="Q74" s="77" t="str">
        <f>+$Q$6</f>
        <v>Energy Savings (kWh)</v>
      </c>
    </row>
    <row r="75" spans="1:68" ht="15" thickBot="1">
      <c r="B75" s="78"/>
      <c r="C75" s="78"/>
      <c r="D75" s="78"/>
      <c r="E75" s="78"/>
      <c r="F75" s="78"/>
      <c r="G75" s="78"/>
      <c r="H75" s="78"/>
      <c r="I75" s="78"/>
      <c r="J75" s="78"/>
      <c r="K75" s="78"/>
      <c r="L75" s="78"/>
      <c r="M75" s="78"/>
      <c r="N75" s="78"/>
    </row>
    <row r="76" spans="1:68" ht="15" thickBot="1">
      <c r="B76" s="79" t="s">
        <v>150</v>
      </c>
      <c r="C76" s="80"/>
      <c r="D76" s="81"/>
      <c r="E76" s="81"/>
      <c r="F76" s="81"/>
      <c r="G76" s="81"/>
      <c r="H76" s="81"/>
      <c r="I76" s="81"/>
      <c r="J76" s="81"/>
      <c r="K76" s="81"/>
      <c r="L76" s="81"/>
      <c r="M76" s="81"/>
      <c r="N76" s="81"/>
    </row>
    <row r="77" spans="1:68" s="67" customFormat="1">
      <c r="A77" s="65"/>
      <c r="B77" s="83" t="s">
        <v>151</v>
      </c>
      <c r="C77" s="83" t="s">
        <v>152</v>
      </c>
      <c r="D77" s="84"/>
      <c r="E77" s="84"/>
      <c r="F77" s="85"/>
      <c r="G77" s="84"/>
      <c r="H77" s="84"/>
      <c r="I77" s="85"/>
      <c r="J77" s="84"/>
      <c r="K77" s="84"/>
      <c r="L77" s="85"/>
      <c r="M77" s="102"/>
      <c r="N77" s="84">
        <f>+G586+Q588</f>
        <v>-63231</v>
      </c>
      <c r="O77" s="65"/>
      <c r="P77" s="66"/>
      <c r="Q77" s="66"/>
      <c r="R77" s="84"/>
    </row>
    <row r="78" spans="1:68" s="67" customFormat="1">
      <c r="A78" s="65"/>
      <c r="B78" s="83" t="s">
        <v>153</v>
      </c>
      <c r="C78" s="83" t="s">
        <v>152</v>
      </c>
      <c r="D78" s="86"/>
      <c r="E78" s="86"/>
      <c r="F78" s="85"/>
      <c r="G78" s="86"/>
      <c r="H78" s="84"/>
      <c r="I78" s="85"/>
      <c r="J78" s="84"/>
      <c r="K78" s="84"/>
      <c r="L78" s="85"/>
      <c r="M78" s="102"/>
      <c r="N78" s="84"/>
      <c r="O78" s="65"/>
      <c r="P78" s="66"/>
      <c r="Q78" s="66"/>
    </row>
    <row r="79" spans="1:68" s="67" customFormat="1">
      <c r="A79" s="65"/>
      <c r="B79" s="83" t="s">
        <v>154</v>
      </c>
      <c r="C79" s="83" t="s">
        <v>152</v>
      </c>
      <c r="D79" s="84">
        <v>-38.103999999999999</v>
      </c>
      <c r="E79" s="86">
        <v>-73921.619000000006</v>
      </c>
      <c r="F79" s="85"/>
      <c r="G79" s="86"/>
      <c r="H79" s="84">
        <f>+E79</f>
        <v>-73921.619000000006</v>
      </c>
      <c r="I79" s="85"/>
      <c r="J79" s="84"/>
      <c r="K79" s="84">
        <f>+H79</f>
        <v>-73921.619000000006</v>
      </c>
      <c r="L79" s="85"/>
      <c r="M79" s="102"/>
      <c r="N79" s="84">
        <f>+K79</f>
        <v>-73921.619000000006</v>
      </c>
      <c r="O79" s="65"/>
      <c r="P79" s="66"/>
      <c r="Q79" s="66"/>
    </row>
    <row r="80" spans="1:68" s="67" customFormat="1">
      <c r="A80" s="65"/>
      <c r="B80" s="83" t="s">
        <v>155</v>
      </c>
      <c r="C80" s="83" t="s">
        <v>152</v>
      </c>
      <c r="D80" s="84">
        <v>0.14099999999999999</v>
      </c>
      <c r="E80" s="86">
        <v>2408.703</v>
      </c>
      <c r="F80" s="85"/>
      <c r="G80" s="86"/>
      <c r="H80" s="84">
        <f>+E80</f>
        <v>2408.703</v>
      </c>
      <c r="I80" s="85"/>
      <c r="J80" s="84"/>
      <c r="K80" s="84">
        <f>+H80</f>
        <v>2408.703</v>
      </c>
      <c r="L80" s="85"/>
      <c r="M80" s="102"/>
      <c r="N80" s="84">
        <f>+K80</f>
        <v>2408.703</v>
      </c>
      <c r="O80" s="65"/>
      <c r="P80" s="66"/>
      <c r="Q80" s="66"/>
    </row>
    <row r="81" spans="1:19" s="67" customFormat="1">
      <c r="A81" s="65"/>
      <c r="B81" s="83" t="s">
        <v>156</v>
      </c>
      <c r="C81" s="83" t="s">
        <v>152</v>
      </c>
      <c r="D81" s="84">
        <v>0.94299999999999995</v>
      </c>
      <c r="E81" s="86">
        <v>19078.692999999999</v>
      </c>
      <c r="F81" s="85"/>
      <c r="G81" s="86"/>
      <c r="H81" s="84">
        <f>+E81</f>
        <v>19078.692999999999</v>
      </c>
      <c r="I81" s="85"/>
      <c r="J81" s="84"/>
      <c r="K81" s="84">
        <f>+H81</f>
        <v>19078.692999999999</v>
      </c>
      <c r="L81" s="85"/>
      <c r="M81" s="102"/>
      <c r="N81" s="84">
        <f>+K81</f>
        <v>19078.692999999999</v>
      </c>
      <c r="O81" s="65"/>
      <c r="P81" s="66"/>
      <c r="Q81" s="66"/>
    </row>
    <row r="82" spans="1:19" s="67" customFormat="1">
      <c r="A82" s="65"/>
      <c r="B82" s="83" t="s">
        <v>157</v>
      </c>
      <c r="C82" s="83" t="s">
        <v>152</v>
      </c>
      <c r="D82" s="84"/>
      <c r="E82" s="86"/>
      <c r="F82" s="85"/>
      <c r="G82" s="86"/>
      <c r="H82" s="84"/>
      <c r="I82" s="85"/>
      <c r="J82" s="84"/>
      <c r="K82" s="84"/>
      <c r="L82" s="85"/>
      <c r="M82" s="102"/>
      <c r="N82" s="84"/>
      <c r="O82" s="65"/>
      <c r="P82" s="66"/>
      <c r="Q82" s="66"/>
    </row>
    <row r="83" spans="1:19" s="67" customFormat="1">
      <c r="A83" s="65"/>
      <c r="B83" s="83" t="s">
        <v>158</v>
      </c>
      <c r="C83" s="83" t="s">
        <v>152</v>
      </c>
      <c r="D83" s="84"/>
      <c r="E83" s="86"/>
      <c r="F83" s="85"/>
      <c r="G83" s="86"/>
      <c r="H83" s="84"/>
      <c r="I83" s="85"/>
      <c r="J83" s="84"/>
      <c r="K83" s="84"/>
      <c r="L83" s="85"/>
      <c r="M83" s="84"/>
      <c r="N83" s="84"/>
      <c r="O83" s="65"/>
      <c r="P83" s="66"/>
      <c r="Q83" s="66"/>
    </row>
    <row r="84" spans="1:19" s="67" customFormat="1">
      <c r="A84" s="65"/>
      <c r="B84" s="83" t="s">
        <v>159</v>
      </c>
      <c r="C84" s="83" t="s">
        <v>152</v>
      </c>
      <c r="D84" s="84"/>
      <c r="E84" s="86"/>
      <c r="F84" s="85"/>
      <c r="G84" s="86"/>
      <c r="H84" s="84"/>
      <c r="I84" s="85"/>
      <c r="J84" s="84"/>
      <c r="K84" s="84"/>
      <c r="L84" s="85"/>
      <c r="M84" s="84"/>
      <c r="N84" s="84"/>
      <c r="O84" s="65"/>
      <c r="P84" s="66"/>
      <c r="Q84" s="66"/>
    </row>
    <row r="85" spans="1:19" s="67" customFormat="1">
      <c r="A85" s="65"/>
      <c r="B85" s="83" t="s">
        <v>160</v>
      </c>
      <c r="C85" s="88" t="s">
        <v>152</v>
      </c>
      <c r="D85" s="84"/>
      <c r="E85" s="86"/>
      <c r="F85" s="85"/>
      <c r="G85" s="86"/>
      <c r="H85" s="84"/>
      <c r="I85" s="85"/>
      <c r="J85" s="84"/>
      <c r="K85" s="84"/>
      <c r="L85" s="85"/>
      <c r="M85" s="84"/>
      <c r="N85" s="84"/>
      <c r="O85" s="65"/>
      <c r="P85" s="66"/>
      <c r="Q85" s="66"/>
    </row>
    <row r="86" spans="1:19" s="67" customFormat="1">
      <c r="A86" s="65"/>
      <c r="B86" s="89" t="s">
        <v>161</v>
      </c>
      <c r="C86" s="90"/>
      <c r="D86" s="91">
        <f>SUM(D77:D85)</f>
        <v>-37.020000000000003</v>
      </c>
      <c r="E86" s="92">
        <f>SUM(E77:E85)</f>
        <v>-52434.223000000013</v>
      </c>
      <c r="F86" s="93"/>
      <c r="G86" s="92">
        <f>SUM(G77:G85)</f>
        <v>0</v>
      </c>
      <c r="H86" s="92">
        <f>SUM(H77:H85)</f>
        <v>-52434.223000000013</v>
      </c>
      <c r="I86" s="93"/>
      <c r="J86" s="92">
        <f>SUM(J77:J85)</f>
        <v>0</v>
      </c>
      <c r="K86" s="92">
        <f>SUM(K77:K85)</f>
        <v>-52434.223000000013</v>
      </c>
      <c r="L86" s="93"/>
      <c r="M86" s="92">
        <f>SUM(M77:M85)</f>
        <v>0</v>
      </c>
      <c r="N86" s="92">
        <f>SUM(N77:N85)</f>
        <v>-115665.223</v>
      </c>
      <c r="O86" s="65"/>
      <c r="P86" s="95">
        <f>+D86+G86+J86+M86</f>
        <v>-37.020000000000003</v>
      </c>
      <c r="Q86" s="95">
        <f>+E86+H86+K86+N86</f>
        <v>-272967.89200000005</v>
      </c>
    </row>
    <row r="87" spans="1:19" s="67" customFormat="1" ht="15" thickBot="1">
      <c r="A87" s="65"/>
      <c r="B87" s="65"/>
      <c r="C87" s="78"/>
      <c r="D87" s="78"/>
      <c r="E87" s="78"/>
      <c r="F87" s="78"/>
      <c r="G87" s="78"/>
      <c r="H87" s="78"/>
      <c r="I87" s="78"/>
      <c r="J87" s="78"/>
      <c r="K87" s="78"/>
      <c r="L87" s="78"/>
      <c r="M87" s="78"/>
      <c r="N87" s="78"/>
      <c r="O87" s="65"/>
      <c r="P87" s="66"/>
      <c r="Q87" s="66"/>
    </row>
    <row r="88" spans="1:19" s="67" customFormat="1" ht="15" thickBot="1">
      <c r="A88" s="65"/>
      <c r="B88" s="79" t="s">
        <v>162</v>
      </c>
      <c r="C88" s="80"/>
      <c r="D88" s="81"/>
      <c r="E88" s="81"/>
      <c r="F88" s="81"/>
      <c r="G88" s="81"/>
      <c r="H88" s="81"/>
      <c r="I88" s="81"/>
      <c r="J88" s="81"/>
      <c r="K88" s="81"/>
      <c r="L88" s="81"/>
      <c r="M88" s="81"/>
      <c r="N88" s="81"/>
      <c r="O88" s="65"/>
      <c r="P88" s="66"/>
      <c r="Q88" s="66"/>
    </row>
    <row r="89" spans="1:19" s="67" customFormat="1" ht="15" thickBot="1">
      <c r="A89" s="65"/>
      <c r="B89" s="83" t="s">
        <v>163</v>
      </c>
      <c r="C89" s="83" t="s">
        <v>164</v>
      </c>
      <c r="D89" s="84">
        <v>0.88852069082169294</v>
      </c>
      <c r="E89" s="103">
        <v>6310.337672847847</v>
      </c>
      <c r="F89" s="65"/>
      <c r="G89" s="86"/>
      <c r="H89" s="84">
        <f t="shared" ref="H89:H96" si="0">+E89</f>
        <v>6310.337672847847</v>
      </c>
      <c r="I89" s="85"/>
      <c r="J89" s="104"/>
      <c r="K89" s="84">
        <f t="shared" ref="K89:K96" si="1">+H89</f>
        <v>6310.337672847847</v>
      </c>
      <c r="L89" s="85"/>
      <c r="M89" s="84">
        <v>-21</v>
      </c>
      <c r="N89" s="84">
        <f t="shared" ref="N89:N96" si="2">+K89</f>
        <v>6310.337672847847</v>
      </c>
      <c r="O89" s="65"/>
      <c r="P89" s="105"/>
      <c r="Q89" s="66"/>
      <c r="S89" s="84"/>
    </row>
    <row r="90" spans="1:19" s="67" customFormat="1" ht="15.75" thickTop="1" thickBot="1">
      <c r="A90" s="65"/>
      <c r="B90" s="83" t="s">
        <v>163</v>
      </c>
      <c r="C90" s="83" t="s">
        <v>165</v>
      </c>
      <c r="D90" s="84">
        <v>2.2216790652473719</v>
      </c>
      <c r="E90" s="103">
        <v>12958.812240663567</v>
      </c>
      <c r="F90" s="65"/>
      <c r="G90" s="86"/>
      <c r="H90" s="84">
        <f t="shared" si="0"/>
        <v>12958.812240663567</v>
      </c>
      <c r="I90" s="85"/>
      <c r="J90" s="104"/>
      <c r="K90" s="84">
        <f t="shared" si="1"/>
        <v>12958.812240663567</v>
      </c>
      <c r="L90" s="85"/>
      <c r="M90" s="104"/>
      <c r="N90" s="84">
        <f t="shared" si="2"/>
        <v>12958.812240663567</v>
      </c>
      <c r="O90" s="65"/>
      <c r="P90" s="66"/>
      <c r="Q90" s="66"/>
    </row>
    <row r="91" spans="1:19" s="67" customFormat="1" ht="15.75" thickTop="1" thickBot="1">
      <c r="A91" s="65"/>
      <c r="B91" s="83" t="s">
        <v>163</v>
      </c>
      <c r="C91" s="83" t="s">
        <v>111</v>
      </c>
      <c r="D91" s="106">
        <v>0.28980024393095682</v>
      </c>
      <c r="E91" s="103">
        <v>2067.85008648863</v>
      </c>
      <c r="F91" s="65"/>
      <c r="G91" s="86"/>
      <c r="H91" s="84">
        <f t="shared" si="0"/>
        <v>2067.85008648863</v>
      </c>
      <c r="I91" s="85"/>
      <c r="J91" s="104"/>
      <c r="K91" s="84">
        <f t="shared" si="1"/>
        <v>2067.85008648863</v>
      </c>
      <c r="L91" s="85"/>
      <c r="M91" s="104"/>
      <c r="N91" s="84">
        <f t="shared" si="2"/>
        <v>2067.85008648863</v>
      </c>
      <c r="O91" s="65"/>
      <c r="P91" s="66"/>
      <c r="Q91" s="66"/>
    </row>
    <row r="92" spans="1:19" s="67" customFormat="1" ht="15" thickTop="1">
      <c r="A92" s="65"/>
      <c r="B92" s="83" t="s">
        <v>163</v>
      </c>
      <c r="C92" s="83" t="s">
        <v>166</v>
      </c>
      <c r="D92" s="84"/>
      <c r="E92" s="84"/>
      <c r="F92" s="65"/>
      <c r="G92" s="86"/>
      <c r="H92" s="84"/>
      <c r="I92" s="85"/>
      <c r="J92" s="84"/>
      <c r="K92" s="84"/>
      <c r="L92" s="85"/>
      <c r="M92" s="104"/>
      <c r="N92" s="84"/>
      <c r="O92" s="65"/>
      <c r="P92" s="66"/>
      <c r="Q92" s="66"/>
    </row>
    <row r="93" spans="1:19" s="67" customFormat="1">
      <c r="A93" s="65"/>
      <c r="B93" s="83" t="s">
        <v>167</v>
      </c>
      <c r="C93" s="83" t="s">
        <v>164</v>
      </c>
      <c r="D93" s="84"/>
      <c r="E93" s="84"/>
      <c r="F93" s="65"/>
      <c r="G93" s="86"/>
      <c r="H93" s="84"/>
      <c r="I93" s="85"/>
      <c r="J93" s="84"/>
      <c r="K93" s="84"/>
      <c r="L93" s="85"/>
      <c r="M93" s="84">
        <v>-51.4</v>
      </c>
      <c r="N93" s="84">
        <f>+G587</f>
        <v>-63231</v>
      </c>
      <c r="O93" s="65"/>
      <c r="P93" s="105"/>
      <c r="Q93" s="66"/>
      <c r="R93" s="84"/>
      <c r="S93" s="84"/>
    </row>
    <row r="94" spans="1:19" s="67" customFormat="1">
      <c r="A94" s="65"/>
      <c r="B94" s="83" t="s">
        <v>168</v>
      </c>
      <c r="C94" s="83"/>
      <c r="D94" s="84"/>
      <c r="E94" s="84"/>
      <c r="F94" s="65"/>
      <c r="G94" s="86"/>
      <c r="H94" s="84"/>
      <c r="I94" s="85"/>
      <c r="J94" s="84"/>
      <c r="K94" s="84"/>
      <c r="L94" s="85"/>
      <c r="M94" s="84"/>
      <c r="N94" s="84"/>
      <c r="O94" s="65"/>
      <c r="P94" s="66"/>
      <c r="Q94" s="66"/>
    </row>
    <row r="95" spans="1:19" s="67" customFormat="1">
      <c r="A95" s="65"/>
      <c r="B95" s="83" t="s">
        <v>169</v>
      </c>
      <c r="C95" s="83" t="s">
        <v>165</v>
      </c>
      <c r="D95" s="84"/>
      <c r="E95" s="84"/>
      <c r="F95" s="65"/>
      <c r="G95" s="86"/>
      <c r="H95" s="84"/>
      <c r="I95" s="85"/>
      <c r="J95" s="84"/>
      <c r="K95" s="84"/>
      <c r="L95" s="85"/>
      <c r="M95" s="84"/>
      <c r="N95" s="84"/>
      <c r="O95" s="65"/>
      <c r="P95" s="66"/>
      <c r="Q95" s="66"/>
    </row>
    <row r="96" spans="1:19" s="67" customFormat="1">
      <c r="A96" s="65"/>
      <c r="B96" s="83" t="s">
        <v>170</v>
      </c>
      <c r="C96" s="83" t="s">
        <v>165</v>
      </c>
      <c r="D96" s="84">
        <v>16.271999999999998</v>
      </c>
      <c r="E96" s="84">
        <v>79194.884999999995</v>
      </c>
      <c r="F96" s="65"/>
      <c r="G96" s="86"/>
      <c r="H96" s="84">
        <f t="shared" si="0"/>
        <v>79194.884999999995</v>
      </c>
      <c r="I96" s="85"/>
      <c r="J96" s="84"/>
      <c r="K96" s="84">
        <f t="shared" si="1"/>
        <v>79194.884999999995</v>
      </c>
      <c r="L96" s="85"/>
      <c r="M96" s="84"/>
      <c r="N96" s="84">
        <f t="shared" si="2"/>
        <v>79194.884999999995</v>
      </c>
      <c r="O96" s="65"/>
      <c r="P96" s="66"/>
      <c r="Q96" s="66"/>
    </row>
    <row r="97" spans="1:17" s="67" customFormat="1">
      <c r="A97" s="65"/>
      <c r="B97" s="83" t="s">
        <v>171</v>
      </c>
      <c r="C97" s="83" t="s">
        <v>165</v>
      </c>
      <c r="D97" s="84"/>
      <c r="E97" s="84"/>
      <c r="F97" s="65"/>
      <c r="G97" s="86"/>
      <c r="H97" s="84"/>
      <c r="I97" s="85"/>
      <c r="J97" s="84"/>
      <c r="K97" s="84"/>
      <c r="L97" s="85"/>
      <c r="M97" s="84"/>
      <c r="N97" s="84"/>
      <c r="O97" s="65"/>
      <c r="P97" s="66"/>
      <c r="Q97" s="66"/>
    </row>
    <row r="98" spans="1:17" s="67" customFormat="1">
      <c r="A98" s="65"/>
      <c r="B98" s="83" t="s">
        <v>172</v>
      </c>
      <c r="C98" s="83"/>
      <c r="D98" s="84"/>
      <c r="E98" s="84"/>
      <c r="F98" s="65"/>
      <c r="G98" s="86"/>
      <c r="H98" s="84"/>
      <c r="I98" s="85"/>
      <c r="J98" s="84"/>
      <c r="K98" s="84"/>
      <c r="L98" s="85"/>
      <c r="M98" s="84"/>
      <c r="N98" s="84"/>
      <c r="O98" s="65"/>
      <c r="P98" s="66"/>
      <c r="Q98" s="66"/>
    </row>
    <row r="99" spans="1:17" s="67" customFormat="1">
      <c r="A99" s="65"/>
      <c r="B99" s="83" t="s">
        <v>105</v>
      </c>
      <c r="C99" s="88"/>
      <c r="D99" s="84"/>
      <c r="E99" s="84"/>
      <c r="F99" s="65"/>
      <c r="G99" s="86"/>
      <c r="H99" s="84"/>
      <c r="I99" s="85"/>
      <c r="J99" s="84"/>
      <c r="K99" s="84"/>
      <c r="L99" s="85"/>
      <c r="M99" s="84"/>
      <c r="N99" s="84"/>
      <c r="O99" s="65"/>
      <c r="P99" s="66"/>
      <c r="Q99" s="66"/>
    </row>
    <row r="100" spans="1:17" s="67" customFormat="1">
      <c r="A100" s="65"/>
      <c r="B100" s="89" t="s">
        <v>173</v>
      </c>
      <c r="C100" s="90"/>
      <c r="D100" s="91">
        <f>SUM(D89:D99)</f>
        <v>19.672000000000018</v>
      </c>
      <c r="E100" s="92">
        <f>SUM(E89:E99)</f>
        <v>100531.88500000004</v>
      </c>
      <c r="F100" s="93"/>
      <c r="G100" s="91">
        <f>SUM(G89:G99)</f>
        <v>0</v>
      </c>
      <c r="H100" s="92">
        <f>SUM(H89:H99)</f>
        <v>100531.88500000004</v>
      </c>
      <c r="I100" s="93"/>
      <c r="J100" s="91">
        <f>SUM(J89:J99)</f>
        <v>0</v>
      </c>
      <c r="K100" s="92">
        <f>SUM(K89:K99)</f>
        <v>100531.88500000004</v>
      </c>
      <c r="L100" s="93"/>
      <c r="M100" s="91">
        <f>SUM(M89:M99)</f>
        <v>-72.400000000000006</v>
      </c>
      <c r="N100" s="92">
        <f>SUM(N89:N99)</f>
        <v>37300.885000000038</v>
      </c>
      <c r="O100" s="65"/>
      <c r="P100" s="95">
        <f>+D100+G100+J100+M100</f>
        <v>-52.727999999999987</v>
      </c>
      <c r="Q100" s="95">
        <f>+E100+H100+K100+N100</f>
        <v>338896.54000000015</v>
      </c>
    </row>
    <row r="101" spans="1:17" s="67" customFormat="1" ht="15" thickBot="1">
      <c r="A101" s="65"/>
      <c r="B101" s="65"/>
      <c r="C101" s="78"/>
      <c r="D101" s="78"/>
      <c r="E101" s="78"/>
      <c r="F101" s="78"/>
      <c r="G101" s="78"/>
      <c r="H101" s="78"/>
      <c r="I101" s="78"/>
      <c r="J101" s="78"/>
      <c r="K101" s="78"/>
      <c r="L101" s="78"/>
      <c r="M101" s="78"/>
      <c r="N101" s="78"/>
      <c r="O101" s="65"/>
      <c r="P101" s="66"/>
      <c r="Q101" s="66"/>
    </row>
    <row r="102" spans="1:17" s="67" customFormat="1" ht="15" thickBot="1">
      <c r="A102" s="65"/>
      <c r="B102" s="79" t="s">
        <v>174</v>
      </c>
      <c r="C102" s="80"/>
      <c r="D102" s="81"/>
      <c r="E102" s="81"/>
      <c r="F102" s="81"/>
      <c r="G102" s="81"/>
      <c r="H102" s="81"/>
      <c r="I102" s="81"/>
      <c r="J102" s="81"/>
      <c r="K102" s="81"/>
      <c r="L102" s="81"/>
      <c r="M102" s="81"/>
      <c r="N102" s="81"/>
      <c r="O102" s="65"/>
      <c r="P102" s="66"/>
      <c r="Q102" s="66"/>
    </row>
    <row r="103" spans="1:17" s="67" customFormat="1">
      <c r="A103" s="65"/>
      <c r="B103" s="83" t="s">
        <v>175</v>
      </c>
      <c r="C103" s="83"/>
      <c r="D103" s="84"/>
      <c r="E103" s="84"/>
      <c r="F103" s="65"/>
      <c r="G103" s="86"/>
      <c r="H103" s="84"/>
      <c r="I103" s="85"/>
      <c r="J103" s="84"/>
      <c r="K103" s="84"/>
      <c r="L103" s="85"/>
      <c r="M103" s="84"/>
      <c r="N103" s="84"/>
      <c r="O103" s="65"/>
      <c r="P103" s="66"/>
      <c r="Q103" s="66"/>
    </row>
    <row r="104" spans="1:17" s="67" customFormat="1">
      <c r="A104" s="65"/>
      <c r="B104" s="83" t="s">
        <v>176</v>
      </c>
      <c r="C104" s="83"/>
      <c r="D104" s="84"/>
      <c r="E104" s="84"/>
      <c r="F104" s="65"/>
      <c r="G104" s="86"/>
      <c r="H104" s="84"/>
      <c r="I104" s="85"/>
      <c r="J104" s="84"/>
      <c r="K104" s="84"/>
      <c r="L104" s="85"/>
      <c r="M104" s="84"/>
      <c r="N104" s="84"/>
      <c r="O104" s="65"/>
      <c r="P104" s="66"/>
      <c r="Q104" s="66"/>
    </row>
    <row r="105" spans="1:17" s="67" customFormat="1">
      <c r="A105" s="65"/>
      <c r="B105" s="83" t="s">
        <v>177</v>
      </c>
      <c r="C105" s="83" t="s">
        <v>111</v>
      </c>
      <c r="D105" s="84"/>
      <c r="E105" s="84"/>
      <c r="F105" s="65"/>
      <c r="G105" s="86"/>
      <c r="H105" s="84"/>
      <c r="I105" s="85"/>
      <c r="J105" s="84"/>
      <c r="K105" s="84"/>
      <c r="L105" s="85"/>
      <c r="M105" s="84"/>
      <c r="N105" s="84"/>
      <c r="O105" s="65"/>
      <c r="P105" s="66"/>
      <c r="Q105" s="66"/>
    </row>
    <row r="106" spans="1:17" s="67" customFormat="1">
      <c r="A106" s="65"/>
      <c r="B106" s="83" t="s">
        <v>163</v>
      </c>
      <c r="C106" s="83" t="s">
        <v>111</v>
      </c>
      <c r="D106" s="84"/>
      <c r="E106" s="84"/>
      <c r="F106" s="65"/>
      <c r="G106" s="86"/>
      <c r="H106" s="84"/>
      <c r="I106" s="85"/>
      <c r="J106" s="84"/>
      <c r="K106" s="84"/>
      <c r="L106" s="85"/>
      <c r="M106" s="84"/>
      <c r="N106" s="84"/>
      <c r="O106" s="65"/>
      <c r="P106" s="66"/>
      <c r="Q106" s="66"/>
    </row>
    <row r="107" spans="1:17" s="67" customFormat="1">
      <c r="A107" s="65"/>
      <c r="B107" s="83" t="s">
        <v>105</v>
      </c>
      <c r="C107" s="83" t="s">
        <v>111</v>
      </c>
      <c r="D107" s="84"/>
      <c r="E107" s="84"/>
      <c r="F107" s="65"/>
      <c r="G107" s="86"/>
      <c r="H107" s="84"/>
      <c r="I107" s="85"/>
      <c r="J107" s="84"/>
      <c r="K107" s="84"/>
      <c r="L107" s="85"/>
      <c r="M107" s="84"/>
      <c r="N107" s="84"/>
      <c r="O107" s="65"/>
      <c r="P107" s="66"/>
      <c r="Q107" s="66"/>
    </row>
    <row r="108" spans="1:17" s="67" customFormat="1">
      <c r="A108" s="65"/>
      <c r="B108" s="89" t="s">
        <v>178</v>
      </c>
      <c r="C108" s="90"/>
      <c r="D108" s="91">
        <f>SUM(D103:D107)</f>
        <v>0</v>
      </c>
      <c r="E108" s="91">
        <f>SUM(E103:E107)</f>
        <v>0</v>
      </c>
      <c r="F108" s="93"/>
      <c r="G108" s="91">
        <f>SUM(G103:G107)</f>
        <v>0</v>
      </c>
      <c r="H108" s="91">
        <f>SUM(H103:H107)</f>
        <v>0</v>
      </c>
      <c r="I108" s="93"/>
      <c r="J108" s="91">
        <f>SUM(J103:J107)</f>
        <v>0</v>
      </c>
      <c r="K108" s="91">
        <f>SUM(K103:K107)</f>
        <v>0</v>
      </c>
      <c r="L108" s="93"/>
      <c r="M108" s="91">
        <f>SUM(M103:M107)</f>
        <v>0</v>
      </c>
      <c r="N108" s="91">
        <f>SUM(N103:N107)</f>
        <v>0</v>
      </c>
      <c r="O108" s="65"/>
      <c r="P108" s="95">
        <f>+D108+G108+J108+M108</f>
        <v>0</v>
      </c>
      <c r="Q108" s="95">
        <f>+E108+H108+K108+N108</f>
        <v>0</v>
      </c>
    </row>
    <row r="109" spans="1:17" s="67" customFormat="1" ht="15" thickBot="1">
      <c r="A109" s="65"/>
      <c r="B109" s="65"/>
      <c r="C109" s="78"/>
      <c r="D109" s="78"/>
      <c r="E109" s="78"/>
      <c r="F109" s="78"/>
      <c r="G109" s="78"/>
      <c r="H109" s="78"/>
      <c r="I109" s="78"/>
      <c r="J109" s="78"/>
      <c r="K109" s="78"/>
      <c r="L109" s="78"/>
      <c r="M109" s="78"/>
      <c r="N109" s="78"/>
      <c r="O109" s="65"/>
      <c r="P109" s="66"/>
      <c r="Q109" s="66"/>
    </row>
    <row r="110" spans="1:17" s="67" customFormat="1" ht="15" thickBot="1">
      <c r="A110" s="65"/>
      <c r="B110" s="79" t="s">
        <v>179</v>
      </c>
      <c r="C110" s="80"/>
      <c r="D110" s="81"/>
      <c r="E110" s="81"/>
      <c r="F110" s="81"/>
      <c r="G110" s="81"/>
      <c r="H110" s="81"/>
      <c r="I110" s="81"/>
      <c r="J110" s="81"/>
      <c r="K110" s="81"/>
      <c r="L110" s="81"/>
      <c r="M110" s="81"/>
      <c r="N110" s="81"/>
      <c r="O110" s="65"/>
      <c r="P110" s="66"/>
      <c r="Q110" s="66"/>
    </row>
    <row r="111" spans="1:17" s="67" customFormat="1">
      <c r="A111" s="65"/>
      <c r="B111" s="83" t="s">
        <v>179</v>
      </c>
      <c r="C111" s="83" t="s">
        <v>152</v>
      </c>
      <c r="D111" s="84"/>
      <c r="E111" s="84"/>
      <c r="F111" s="65"/>
      <c r="G111" s="86"/>
      <c r="H111" s="84"/>
      <c r="I111" s="85"/>
      <c r="J111" s="84"/>
      <c r="K111" s="84"/>
      <c r="L111" s="85"/>
      <c r="M111" s="84"/>
      <c r="N111" s="84"/>
      <c r="O111" s="65"/>
      <c r="P111" s="66"/>
      <c r="Q111" s="66"/>
    </row>
    <row r="112" spans="1:17" s="67" customFormat="1">
      <c r="A112" s="65"/>
      <c r="B112" s="89" t="s">
        <v>180</v>
      </c>
      <c r="C112" s="90"/>
      <c r="D112" s="91">
        <f>SUM(D111)</f>
        <v>0</v>
      </c>
      <c r="E112" s="91">
        <f>SUM(E111)</f>
        <v>0</v>
      </c>
      <c r="F112" s="93"/>
      <c r="G112" s="91">
        <f>SUM(G111)</f>
        <v>0</v>
      </c>
      <c r="H112" s="91">
        <f>SUM(H111)</f>
        <v>0</v>
      </c>
      <c r="I112" s="93"/>
      <c r="J112" s="91">
        <f>SUM(J111)</f>
        <v>0</v>
      </c>
      <c r="K112" s="91">
        <f>SUM(K111)</f>
        <v>0</v>
      </c>
      <c r="L112" s="93"/>
      <c r="M112" s="91">
        <f>SUM(M111)</f>
        <v>0</v>
      </c>
      <c r="N112" s="91">
        <f>SUM(N111)</f>
        <v>0</v>
      </c>
      <c r="O112" s="65"/>
      <c r="P112" s="95">
        <f>+D112+G112+J112+M112</f>
        <v>0</v>
      </c>
      <c r="Q112" s="95">
        <f>+E112+H112+K112+N112</f>
        <v>0</v>
      </c>
    </row>
    <row r="113" spans="1:17" s="67" customFormat="1" ht="15" thickBot="1">
      <c r="A113" s="65"/>
      <c r="B113" s="65"/>
      <c r="C113" s="78"/>
      <c r="D113" s="78"/>
      <c r="E113" s="78"/>
      <c r="F113" s="78"/>
      <c r="G113" s="78"/>
      <c r="H113" s="78"/>
      <c r="I113" s="78"/>
      <c r="J113" s="78"/>
      <c r="K113" s="78"/>
      <c r="L113" s="78"/>
      <c r="M113" s="78"/>
      <c r="N113" s="78"/>
      <c r="O113" s="65"/>
      <c r="P113" s="66"/>
      <c r="Q113" s="66"/>
    </row>
    <row r="114" spans="1:17" s="67" customFormat="1" ht="15" thickBot="1">
      <c r="A114" s="65"/>
      <c r="B114" s="79" t="s">
        <v>181</v>
      </c>
      <c r="C114" s="80"/>
      <c r="D114" s="81"/>
      <c r="E114" s="81"/>
      <c r="F114" s="81"/>
      <c r="G114" s="81"/>
      <c r="H114" s="81"/>
      <c r="I114" s="81"/>
      <c r="J114" s="81"/>
      <c r="K114" s="81"/>
      <c r="L114" s="81"/>
      <c r="M114" s="81"/>
      <c r="N114" s="81"/>
      <c r="O114" s="65"/>
      <c r="P114" s="66"/>
      <c r="Q114" s="66"/>
    </row>
    <row r="115" spans="1:17" s="67" customFormat="1">
      <c r="A115" s="65"/>
      <c r="B115" s="83" t="s">
        <v>179</v>
      </c>
      <c r="C115" s="83"/>
      <c r="D115" s="84"/>
      <c r="E115" s="84"/>
      <c r="F115" s="65"/>
      <c r="G115" s="86"/>
      <c r="H115" s="84"/>
      <c r="I115" s="85"/>
      <c r="J115" s="84"/>
      <c r="K115" s="84"/>
      <c r="L115" s="85"/>
      <c r="M115" s="84"/>
      <c r="N115" s="84"/>
      <c r="O115" s="65"/>
      <c r="P115" s="66"/>
      <c r="Q115" s="66"/>
    </row>
    <row r="116" spans="1:17" s="67" customFormat="1">
      <c r="A116" s="65"/>
      <c r="B116" s="83" t="s">
        <v>167</v>
      </c>
      <c r="C116" s="83"/>
      <c r="D116" s="84"/>
      <c r="E116" s="84"/>
      <c r="F116" s="65"/>
      <c r="G116" s="86"/>
      <c r="H116" s="84"/>
      <c r="I116" s="85"/>
      <c r="J116" s="84"/>
      <c r="K116" s="84"/>
      <c r="L116" s="85"/>
      <c r="M116" s="84"/>
      <c r="N116" s="84"/>
      <c r="O116" s="65"/>
      <c r="P116" s="66"/>
      <c r="Q116" s="66"/>
    </row>
    <row r="117" spans="1:17" s="67" customFormat="1">
      <c r="A117" s="65"/>
      <c r="B117" s="89" t="s">
        <v>182</v>
      </c>
      <c r="C117" s="90"/>
      <c r="D117" s="91">
        <f>SUM(D115:D116)</f>
        <v>0</v>
      </c>
      <c r="E117" s="91">
        <f>SUM(E115:E116)</f>
        <v>0</v>
      </c>
      <c r="F117" s="93"/>
      <c r="G117" s="91">
        <f>SUM(G115:G116)</f>
        <v>0</v>
      </c>
      <c r="H117" s="91">
        <f>SUM(H115:H116)</f>
        <v>0</v>
      </c>
      <c r="I117" s="93"/>
      <c r="J117" s="91">
        <f>SUM(J115:J116)</f>
        <v>0</v>
      </c>
      <c r="K117" s="91">
        <f>SUM(K115:K116)</f>
        <v>0</v>
      </c>
      <c r="L117" s="93"/>
      <c r="M117" s="91">
        <f>SUM(M115:M116)</f>
        <v>0</v>
      </c>
      <c r="N117" s="91">
        <f>SUM(N115:N116)</f>
        <v>0</v>
      </c>
      <c r="O117" s="65"/>
      <c r="P117" s="95">
        <f>+D117+G117+J117+M117</f>
        <v>0</v>
      </c>
      <c r="Q117" s="95">
        <f>+E117+H117+K117+N117</f>
        <v>0</v>
      </c>
    </row>
    <row r="118" spans="1:17" s="67" customFormat="1" ht="15" thickBot="1">
      <c r="A118" s="65"/>
      <c r="B118" s="65"/>
      <c r="C118" s="78"/>
      <c r="D118" s="78"/>
      <c r="E118" s="78"/>
      <c r="F118" s="78"/>
      <c r="G118" s="78"/>
      <c r="H118" s="78"/>
      <c r="I118" s="78"/>
      <c r="J118" s="78"/>
      <c r="K118" s="78"/>
      <c r="L118" s="78"/>
      <c r="M118" s="78"/>
      <c r="N118" s="78"/>
      <c r="O118" s="65"/>
      <c r="P118" s="66"/>
      <c r="Q118" s="66"/>
    </row>
    <row r="119" spans="1:17" s="67" customFormat="1" ht="15" thickBot="1">
      <c r="A119" s="65"/>
      <c r="B119" s="79" t="s">
        <v>183</v>
      </c>
      <c r="C119" s="80"/>
      <c r="D119" s="81"/>
      <c r="E119" s="81"/>
      <c r="F119" s="81"/>
      <c r="G119" s="81"/>
      <c r="H119" s="81"/>
      <c r="I119" s="81"/>
      <c r="J119" s="81"/>
      <c r="K119" s="81"/>
      <c r="L119" s="81"/>
      <c r="M119" s="81"/>
      <c r="N119" s="81"/>
      <c r="O119" s="65"/>
      <c r="P119" s="66"/>
      <c r="Q119" s="66"/>
    </row>
    <row r="120" spans="1:17" s="67" customFormat="1">
      <c r="A120" s="65"/>
      <c r="B120" s="83" t="s">
        <v>184</v>
      </c>
      <c r="C120" s="83" t="s">
        <v>165</v>
      </c>
      <c r="D120" s="84"/>
      <c r="E120" s="84"/>
      <c r="F120" s="65"/>
      <c r="G120" s="86"/>
      <c r="H120" s="84"/>
      <c r="I120" s="85"/>
      <c r="J120" s="84"/>
      <c r="K120" s="84"/>
      <c r="L120" s="85"/>
      <c r="M120" s="84"/>
      <c r="N120" s="84"/>
      <c r="O120" s="65"/>
      <c r="P120" s="66"/>
      <c r="Q120" s="66"/>
    </row>
    <row r="121" spans="1:17" s="67" customFormat="1">
      <c r="A121" s="65"/>
      <c r="B121" s="83" t="s">
        <v>103</v>
      </c>
      <c r="C121" s="83" t="s">
        <v>165</v>
      </c>
      <c r="D121" s="84"/>
      <c r="E121" s="84"/>
      <c r="F121" s="65"/>
      <c r="G121" s="86"/>
      <c r="H121" s="84"/>
      <c r="I121" s="85"/>
      <c r="J121" s="84"/>
      <c r="K121" s="84"/>
      <c r="L121" s="85"/>
      <c r="M121" s="84"/>
      <c r="N121" s="84"/>
      <c r="O121" s="65"/>
      <c r="P121" s="66"/>
      <c r="Q121" s="66"/>
    </row>
    <row r="122" spans="1:17" s="67" customFormat="1">
      <c r="A122" s="65"/>
      <c r="B122" s="83" t="s">
        <v>185</v>
      </c>
      <c r="C122" s="83"/>
      <c r="D122" s="84"/>
      <c r="E122" s="84"/>
      <c r="F122" s="65"/>
      <c r="G122" s="86"/>
      <c r="H122" s="84"/>
      <c r="I122" s="85"/>
      <c r="J122" s="84"/>
      <c r="K122" s="84"/>
      <c r="L122" s="85"/>
      <c r="M122" s="84"/>
      <c r="N122" s="84"/>
      <c r="O122" s="65"/>
      <c r="P122" s="66"/>
      <c r="Q122" s="66"/>
    </row>
    <row r="123" spans="1:17" s="67" customFormat="1">
      <c r="A123" s="65"/>
      <c r="B123" s="83" t="s">
        <v>186</v>
      </c>
      <c r="C123" s="83"/>
      <c r="D123" s="84"/>
      <c r="E123" s="84"/>
      <c r="F123" s="65"/>
      <c r="G123" s="86"/>
      <c r="H123" s="84"/>
      <c r="I123" s="85"/>
      <c r="J123" s="84"/>
      <c r="K123" s="84"/>
      <c r="L123" s="85"/>
      <c r="M123" s="84"/>
      <c r="N123" s="84"/>
      <c r="O123" s="65"/>
      <c r="P123" s="66"/>
      <c r="Q123" s="66"/>
    </row>
    <row r="124" spans="1:17" s="67" customFormat="1">
      <c r="A124" s="65"/>
      <c r="B124" s="83" t="s">
        <v>187</v>
      </c>
      <c r="C124" s="83"/>
      <c r="D124" s="84"/>
      <c r="E124" s="84"/>
      <c r="F124" s="65"/>
      <c r="G124" s="86"/>
      <c r="H124" s="84"/>
      <c r="I124" s="85"/>
      <c r="J124" s="84"/>
      <c r="K124" s="84"/>
      <c r="L124" s="85"/>
      <c r="M124" s="84"/>
      <c r="N124" s="84"/>
      <c r="O124" s="65"/>
      <c r="P124" s="66"/>
      <c r="Q124" s="66"/>
    </row>
    <row r="125" spans="1:17" s="67" customFormat="1">
      <c r="A125" s="65"/>
      <c r="B125" s="89" t="s">
        <v>188</v>
      </c>
      <c r="C125" s="90"/>
      <c r="D125" s="91">
        <f>SUM(D120:D124)</f>
        <v>0</v>
      </c>
      <c r="E125" s="91">
        <f>SUM(E120:E124)</f>
        <v>0</v>
      </c>
      <c r="F125" s="93"/>
      <c r="G125" s="91">
        <f>SUM(G120:G124)</f>
        <v>0</v>
      </c>
      <c r="H125" s="91">
        <f>SUM(H120:H124)</f>
        <v>0</v>
      </c>
      <c r="I125" s="93"/>
      <c r="J125" s="91">
        <f>SUM(J120:J124)</f>
        <v>0</v>
      </c>
      <c r="K125" s="91">
        <f>SUM(K120:K124)</f>
        <v>0</v>
      </c>
      <c r="L125" s="93"/>
      <c r="M125" s="91">
        <f>SUM(M120:M124)</f>
        <v>0</v>
      </c>
      <c r="N125" s="91">
        <f>SUM(N120:N124)</f>
        <v>0</v>
      </c>
      <c r="O125" s="65"/>
      <c r="P125" s="95">
        <f>+D125+G125+J125+M125</f>
        <v>0</v>
      </c>
      <c r="Q125" s="95">
        <f>+E125+H125+K125+N125</f>
        <v>0</v>
      </c>
    </row>
    <row r="126" spans="1:17" s="67" customFormat="1" ht="15" thickBot="1">
      <c r="A126" s="65"/>
      <c r="B126" s="65"/>
      <c r="C126" s="78"/>
      <c r="D126" s="78"/>
      <c r="E126" s="78"/>
      <c r="F126" s="78"/>
      <c r="G126" s="78"/>
      <c r="H126" s="78"/>
      <c r="I126" s="78"/>
      <c r="J126" s="78"/>
      <c r="K126" s="78"/>
      <c r="L126" s="78"/>
      <c r="M126" s="78"/>
      <c r="N126" s="78"/>
      <c r="O126" s="65"/>
      <c r="P126" s="66"/>
      <c r="Q126" s="66"/>
    </row>
    <row r="127" spans="1:17" s="67" customFormat="1" ht="15" thickBot="1">
      <c r="A127" s="65"/>
      <c r="B127" s="79" t="s">
        <v>189</v>
      </c>
      <c r="C127" s="80"/>
      <c r="D127" s="81"/>
      <c r="E127" s="81"/>
      <c r="F127" s="81"/>
      <c r="G127" s="81"/>
      <c r="H127" s="81"/>
      <c r="I127" s="81"/>
      <c r="J127" s="81"/>
      <c r="K127" s="81"/>
      <c r="L127" s="81"/>
      <c r="M127" s="81"/>
      <c r="N127" s="81"/>
      <c r="O127" s="65"/>
      <c r="P127" s="66"/>
      <c r="Q127" s="66"/>
    </row>
    <row r="128" spans="1:17" s="67" customFormat="1">
      <c r="A128" s="65"/>
      <c r="B128" s="83" t="s">
        <v>190</v>
      </c>
      <c r="C128" s="83" t="s">
        <v>165</v>
      </c>
      <c r="D128" s="84"/>
      <c r="E128" s="84"/>
      <c r="F128" s="65"/>
      <c r="G128" s="86"/>
      <c r="H128" s="84"/>
      <c r="I128" s="85"/>
      <c r="J128" s="84"/>
      <c r="K128" s="84"/>
      <c r="L128" s="85"/>
      <c r="M128" s="84"/>
      <c r="N128" s="84"/>
      <c r="O128" s="65"/>
      <c r="P128" s="66"/>
      <c r="Q128" s="66"/>
    </row>
    <row r="129" spans="1:17" s="67" customFormat="1">
      <c r="A129" s="65"/>
      <c r="B129" s="83" t="s">
        <v>191</v>
      </c>
      <c r="C129" s="83" t="s">
        <v>192</v>
      </c>
      <c r="D129" s="84"/>
      <c r="E129" s="84"/>
      <c r="F129" s="65"/>
      <c r="G129" s="86"/>
      <c r="H129" s="84"/>
      <c r="I129" s="85"/>
      <c r="J129" s="84"/>
      <c r="K129" s="84"/>
      <c r="L129" s="85"/>
      <c r="M129" s="84"/>
      <c r="N129" s="84"/>
      <c r="O129" s="65"/>
      <c r="P129" s="66"/>
      <c r="Q129" s="66"/>
    </row>
    <row r="130" spans="1:17" s="67" customFormat="1">
      <c r="A130" s="65"/>
      <c r="B130" s="83" t="s">
        <v>193</v>
      </c>
      <c r="C130" s="83"/>
      <c r="D130" s="84"/>
      <c r="E130" s="84"/>
      <c r="F130" s="65"/>
      <c r="G130" s="86"/>
      <c r="H130" s="84"/>
      <c r="I130" s="85"/>
      <c r="J130" s="84"/>
      <c r="K130" s="84"/>
      <c r="L130" s="85"/>
      <c r="M130" s="84"/>
      <c r="N130" s="84"/>
      <c r="O130" s="65"/>
      <c r="P130" s="66"/>
      <c r="Q130" s="66"/>
    </row>
    <row r="131" spans="1:17" s="67" customFormat="1">
      <c r="A131" s="65"/>
      <c r="B131" s="89" t="s">
        <v>194</v>
      </c>
      <c r="C131" s="90"/>
      <c r="D131" s="91">
        <f>SUM(D128:D130)</f>
        <v>0</v>
      </c>
      <c r="E131" s="91">
        <f>SUM(E128:E130)</f>
        <v>0</v>
      </c>
      <c r="F131" s="93"/>
      <c r="G131" s="91">
        <f>SUM(G128:G130)</f>
        <v>0</v>
      </c>
      <c r="H131" s="91">
        <f>SUM(H128:H130)</f>
        <v>0</v>
      </c>
      <c r="I131" s="93"/>
      <c r="J131" s="91">
        <f>SUM(J128:J130)</f>
        <v>0</v>
      </c>
      <c r="K131" s="91">
        <f>SUM(K128:K130)</f>
        <v>0</v>
      </c>
      <c r="L131" s="93"/>
      <c r="M131" s="91">
        <f>SUM(M128:M130)</f>
        <v>0</v>
      </c>
      <c r="N131" s="91">
        <f>SUM(N128:N130)</f>
        <v>0</v>
      </c>
      <c r="O131" s="65"/>
      <c r="P131" s="95">
        <f>+D131+G131+J131+M131</f>
        <v>0</v>
      </c>
      <c r="Q131" s="95">
        <f>+E131+H131+K131+N131</f>
        <v>0</v>
      </c>
    </row>
    <row r="132" spans="1:17" s="67" customFormat="1">
      <c r="A132" s="65"/>
      <c r="B132" s="97"/>
      <c r="C132" s="65"/>
      <c r="D132" s="65"/>
      <c r="E132" s="65"/>
      <c r="F132" s="65"/>
      <c r="G132" s="65"/>
      <c r="H132" s="65"/>
      <c r="I132" s="65"/>
      <c r="J132" s="65"/>
      <c r="K132" s="65"/>
      <c r="L132" s="65"/>
      <c r="M132" s="65"/>
      <c r="N132" s="65"/>
      <c r="O132" s="65"/>
      <c r="P132" s="66"/>
      <c r="Q132" s="66"/>
    </row>
    <row r="133" spans="1:17" s="67" customFormat="1" ht="15.75" thickBot="1">
      <c r="A133" s="65"/>
      <c r="B133" s="97"/>
      <c r="C133" s="65"/>
      <c r="D133" s="99">
        <f>+D131+D125+D117+D112+D108+D100+D86</f>
        <v>-17.347999999999985</v>
      </c>
      <c r="E133" s="99">
        <f>+E131+E125+E117+E112+E108+E100+E86</f>
        <v>48097.662000000026</v>
      </c>
      <c r="F133" s="98"/>
      <c r="G133" s="99">
        <f>+G131+G125+G117+G112+G108+G100+G86</f>
        <v>0</v>
      </c>
      <c r="H133" s="99">
        <f>+H131+H125+H117+H112+H108+H100+H86</f>
        <v>48097.662000000026</v>
      </c>
      <c r="I133" s="98"/>
      <c r="J133" s="99">
        <f>+J131+J125+J117+J112+J108+J100+J86</f>
        <v>0</v>
      </c>
      <c r="K133" s="99">
        <f>+K131+K125+K117+K112+K108+K100+K86</f>
        <v>48097.662000000026</v>
      </c>
      <c r="L133" s="98"/>
      <c r="M133" s="99">
        <f>+M131+M125+M117+M112+M108+M100+M86</f>
        <v>-72.400000000000006</v>
      </c>
      <c r="N133" s="99">
        <f>+N131+N125+N117+N112+N108+N100+N86</f>
        <v>-78364.33799999996</v>
      </c>
      <c r="O133" s="98"/>
      <c r="P133" s="99">
        <f>+P131+P125+P117+P112+P108+P100+P86</f>
        <v>-89.74799999999999</v>
      </c>
      <c r="Q133" s="99">
        <f>+Q131+Q125+Q117+Q112+Q108+Q100+Q86</f>
        <v>65928.648000000103</v>
      </c>
    </row>
    <row r="134" spans="1:17" s="67" customFormat="1" ht="15" thickTop="1">
      <c r="A134" s="65"/>
      <c r="B134" s="65"/>
      <c r="C134" s="65"/>
      <c r="D134" s="65"/>
      <c r="E134" s="65"/>
      <c r="F134" s="65"/>
      <c r="G134" s="65"/>
      <c r="H134" s="65"/>
      <c r="I134" s="65"/>
      <c r="J134" s="65"/>
      <c r="K134" s="65"/>
      <c r="L134" s="65"/>
      <c r="M134" s="65"/>
      <c r="N134" s="65"/>
      <c r="O134" s="65"/>
      <c r="P134" s="66"/>
      <c r="Q134" s="66"/>
    </row>
    <row r="136" spans="1:17" s="67" customFormat="1">
      <c r="A136" s="65"/>
      <c r="B136" s="97" t="s">
        <v>202</v>
      </c>
      <c r="C136" s="98"/>
      <c r="D136" s="65"/>
      <c r="E136" s="65"/>
      <c r="F136" s="65"/>
      <c r="G136" s="65"/>
      <c r="H136" s="65"/>
      <c r="I136" s="65"/>
      <c r="J136" s="65"/>
      <c r="K136" s="65"/>
      <c r="L136" s="65"/>
      <c r="M136" s="65"/>
      <c r="N136" s="65"/>
      <c r="O136" s="65"/>
      <c r="P136" s="66"/>
      <c r="Q136" s="66"/>
    </row>
    <row r="137" spans="1:17" s="67" customFormat="1">
      <c r="A137" s="65"/>
      <c r="B137" s="97" t="s">
        <v>203</v>
      </c>
      <c r="C137" s="98"/>
      <c r="D137" s="65"/>
      <c r="E137" s="65"/>
      <c r="F137" s="65"/>
      <c r="G137" s="65"/>
      <c r="H137" s="65"/>
      <c r="I137" s="65"/>
      <c r="J137" s="65"/>
      <c r="K137" s="65"/>
      <c r="L137" s="65"/>
      <c r="M137" s="65"/>
      <c r="N137" s="65"/>
      <c r="O137" s="65"/>
      <c r="P137" s="66"/>
      <c r="Q137" s="66"/>
    </row>
    <row r="138" spans="1:17" s="67" customFormat="1">
      <c r="A138" s="65"/>
      <c r="B138" s="107" t="s">
        <v>204</v>
      </c>
      <c r="C138" s="98"/>
      <c r="D138" s="65"/>
      <c r="E138" s="65"/>
      <c r="F138" s="65"/>
      <c r="G138" s="65"/>
      <c r="H138" s="65"/>
      <c r="I138" s="65"/>
      <c r="J138" s="65"/>
      <c r="K138" s="65"/>
      <c r="L138" s="65"/>
      <c r="M138" s="65"/>
      <c r="N138" s="65"/>
      <c r="O138" s="65"/>
      <c r="P138" s="66"/>
      <c r="Q138" s="66"/>
    </row>
    <row r="139" spans="1:17" s="67" customFormat="1">
      <c r="A139" s="65"/>
      <c r="B139" s="97" t="s">
        <v>205</v>
      </c>
      <c r="C139" s="98"/>
      <c r="D139" s="65"/>
      <c r="E139" s="65"/>
      <c r="F139" s="65"/>
      <c r="G139" s="65"/>
      <c r="H139" s="65"/>
      <c r="I139" s="65"/>
      <c r="J139" s="65"/>
      <c r="K139" s="65"/>
      <c r="L139" s="65"/>
      <c r="M139" s="65"/>
      <c r="N139" s="65"/>
      <c r="O139" s="65"/>
      <c r="P139" s="66"/>
      <c r="Q139" s="66"/>
    </row>
    <row r="140" spans="1:17" s="67" customFormat="1">
      <c r="A140" s="65"/>
      <c r="B140" s="97" t="s">
        <v>206</v>
      </c>
      <c r="C140" s="98"/>
      <c r="D140" s="65"/>
      <c r="E140" s="65"/>
      <c r="F140" s="65"/>
      <c r="G140" s="65"/>
      <c r="H140" s="65"/>
      <c r="I140" s="65"/>
      <c r="J140" s="65"/>
      <c r="K140" s="65"/>
      <c r="L140" s="65"/>
      <c r="M140" s="65"/>
      <c r="N140" s="65"/>
      <c r="O140" s="65"/>
      <c r="P140" s="66"/>
      <c r="Q140" s="66"/>
    </row>
    <row r="141" spans="1:17" s="67" customFormat="1">
      <c r="A141" s="65"/>
      <c r="B141" s="97" t="s">
        <v>207</v>
      </c>
      <c r="C141" s="97"/>
      <c r="D141" s="65"/>
      <c r="E141" s="65"/>
      <c r="F141" s="65"/>
      <c r="G141" s="65"/>
      <c r="H141" s="65"/>
      <c r="I141" s="65"/>
      <c r="J141" s="65"/>
      <c r="K141" s="65"/>
      <c r="L141" s="65"/>
      <c r="M141" s="65"/>
      <c r="N141" s="65"/>
      <c r="O141" s="65"/>
      <c r="P141" s="66"/>
      <c r="Q141" s="66"/>
    </row>
    <row r="142" spans="1:17" s="67" customFormat="1">
      <c r="A142" s="65"/>
      <c r="B142" s="97"/>
      <c r="C142" s="65"/>
      <c r="D142" s="65"/>
      <c r="E142" s="65"/>
      <c r="F142" s="65"/>
      <c r="G142" s="65"/>
      <c r="H142" s="65"/>
      <c r="I142" s="65"/>
      <c r="J142" s="65"/>
      <c r="K142" s="65"/>
      <c r="L142" s="65"/>
      <c r="M142" s="65"/>
      <c r="N142" s="65"/>
      <c r="O142" s="65"/>
      <c r="P142" s="66"/>
      <c r="Q142" s="66"/>
    </row>
    <row r="143" spans="1:17" s="67" customFormat="1">
      <c r="A143" s="65"/>
      <c r="B143" s="97"/>
      <c r="C143" s="65"/>
      <c r="D143" s="65"/>
      <c r="E143" s="65"/>
      <c r="F143" s="65"/>
      <c r="G143" s="65"/>
      <c r="H143" s="65"/>
      <c r="I143" s="65"/>
      <c r="J143" s="65"/>
      <c r="K143" s="65"/>
      <c r="L143" s="65"/>
      <c r="M143" s="65"/>
      <c r="N143" s="65"/>
      <c r="O143" s="65"/>
      <c r="P143" s="66"/>
      <c r="Q143" s="66"/>
    </row>
    <row r="145" spans="1:17" s="67" customFormat="1" ht="18">
      <c r="A145" s="64" t="s">
        <v>208</v>
      </c>
      <c r="B145" s="65"/>
      <c r="C145" s="65"/>
      <c r="D145" s="65"/>
      <c r="E145" s="65"/>
      <c r="F145" s="65"/>
      <c r="G145" s="65"/>
      <c r="H145" s="65"/>
      <c r="I145" s="65"/>
      <c r="J145" s="65"/>
      <c r="K145" s="65"/>
      <c r="L145" s="65"/>
      <c r="M145" s="65"/>
      <c r="N145" s="65"/>
      <c r="O145" s="65"/>
      <c r="P145" s="66"/>
      <c r="Q145" s="66"/>
    </row>
    <row r="147" spans="1:17" s="67" customFormat="1" ht="15">
      <c r="A147" s="68"/>
      <c r="B147" s="68"/>
      <c r="C147" s="68"/>
      <c r="D147" s="206">
        <v>2012</v>
      </c>
      <c r="E147" s="206"/>
      <c r="F147" s="69"/>
      <c r="G147" s="207"/>
      <c r="H147" s="207"/>
      <c r="I147" s="70"/>
      <c r="J147" s="207">
        <v>2013</v>
      </c>
      <c r="K147" s="207"/>
      <c r="L147" s="70"/>
      <c r="M147" s="207">
        <v>2014</v>
      </c>
      <c r="N147" s="207"/>
      <c r="O147" s="68"/>
      <c r="P147" s="66"/>
      <c r="Q147" s="66"/>
    </row>
    <row r="148" spans="1:17" s="67" customFormat="1" ht="18">
      <c r="A148" s="71"/>
      <c r="B148" s="72"/>
      <c r="C148" s="72"/>
      <c r="D148" s="208" t="s">
        <v>145</v>
      </c>
      <c r="E148" s="208"/>
      <c r="F148" s="73"/>
      <c r="G148" s="207" t="s">
        <v>209</v>
      </c>
      <c r="H148" s="207"/>
      <c r="I148" s="207"/>
      <c r="J148" s="207"/>
      <c r="K148" s="207"/>
      <c r="L148" s="207"/>
      <c r="M148" s="207"/>
      <c r="N148" s="207"/>
      <c r="O148" s="72"/>
      <c r="P148" s="66"/>
      <c r="Q148" s="66"/>
    </row>
    <row r="149" spans="1:17" s="67" customFormat="1" ht="15">
      <c r="A149" s="74"/>
      <c r="B149" s="72"/>
      <c r="C149" s="72"/>
      <c r="D149" s="72"/>
      <c r="E149" s="72"/>
      <c r="F149" s="72"/>
      <c r="G149" s="72"/>
      <c r="H149" s="72"/>
      <c r="I149" s="72"/>
      <c r="J149" s="72"/>
      <c r="K149" s="72"/>
      <c r="L149" s="72"/>
      <c r="M149" s="72"/>
      <c r="N149" s="72"/>
      <c r="O149" s="72"/>
      <c r="P149" s="205" t="s">
        <v>5</v>
      </c>
      <c r="Q149" s="205"/>
    </row>
    <row r="150" spans="1:17" s="67" customFormat="1" ht="51">
      <c r="A150" s="74"/>
      <c r="B150" s="75" t="s">
        <v>210</v>
      </c>
      <c r="C150" s="75"/>
      <c r="D150" s="76" t="str">
        <f>+$D$6</f>
        <v>Peak Demand Savings (kW)</v>
      </c>
      <c r="E150" s="76" t="str">
        <f>+$E$6</f>
        <v>Energy Savings (kWh)</v>
      </c>
      <c r="G150" s="76" t="str">
        <f>+$G$6</f>
        <v>Peak Demand Savings (kW)</v>
      </c>
      <c r="H150" s="76" t="str">
        <f>+$H$6</f>
        <v>Energy Savings (kWh)</v>
      </c>
      <c r="J150" s="76" t="str">
        <f>+$J$6</f>
        <v>Peak Demand Savings (kW)</v>
      </c>
      <c r="K150" s="76" t="str">
        <f>+$K$6</f>
        <v>Energy Savings (kWh)</v>
      </c>
      <c r="M150" s="76" t="str">
        <f>+$M$6</f>
        <v>Peak Demand Savings (kW)</v>
      </c>
      <c r="N150" s="76" t="str">
        <f>+$N$6</f>
        <v>Energy Savings (kWh)</v>
      </c>
      <c r="O150" s="65"/>
      <c r="P150" s="77" t="str">
        <f>+$P$6</f>
        <v>Peak Demand Savings (kW)</v>
      </c>
      <c r="Q150" s="77" t="str">
        <f>+$Q$6</f>
        <v>Energy Savings (kWh)</v>
      </c>
    </row>
    <row r="151" spans="1:17" s="67" customFormat="1" ht="15" thickBot="1">
      <c r="A151" s="74"/>
      <c r="B151" s="78"/>
      <c r="C151" s="78"/>
      <c r="D151" s="78"/>
      <c r="E151" s="78"/>
      <c r="F151" s="78"/>
      <c r="G151" s="78"/>
      <c r="H151" s="78"/>
      <c r="I151" s="78"/>
      <c r="J151" s="78"/>
      <c r="K151" s="78"/>
      <c r="L151" s="78"/>
      <c r="M151" s="78"/>
      <c r="N151" s="78"/>
      <c r="O151" s="72"/>
      <c r="P151" s="66"/>
      <c r="Q151" s="66"/>
    </row>
    <row r="152" spans="1:17" s="67" customFormat="1" ht="15" thickBot="1">
      <c r="A152" s="74"/>
      <c r="B152" s="79" t="s">
        <v>150</v>
      </c>
      <c r="C152" s="80"/>
      <c r="D152" s="81"/>
      <c r="E152" s="81"/>
      <c r="F152" s="81"/>
      <c r="G152" s="81"/>
      <c r="H152" s="81"/>
      <c r="I152" s="81"/>
      <c r="J152" s="81"/>
      <c r="K152" s="81"/>
      <c r="L152" s="81"/>
      <c r="M152" s="81"/>
      <c r="N152" s="81"/>
      <c r="O152" s="72"/>
      <c r="P152" s="66"/>
      <c r="Q152" s="66"/>
    </row>
    <row r="153" spans="1:17" s="67" customFormat="1" ht="18" customHeight="1">
      <c r="A153" s="82"/>
      <c r="B153" s="83" t="s">
        <v>151</v>
      </c>
      <c r="C153" s="83" t="s">
        <v>152</v>
      </c>
      <c r="D153" s="108">
        <v>23.981000000000002</v>
      </c>
      <c r="E153" s="108">
        <v>173730.69699999999</v>
      </c>
      <c r="F153" s="85"/>
      <c r="G153" s="84"/>
      <c r="H153" s="84"/>
      <c r="I153" s="85"/>
      <c r="J153" s="84"/>
      <c r="K153" s="84">
        <f>+E153</f>
        <v>173730.69699999999</v>
      </c>
      <c r="L153" s="85"/>
      <c r="M153" s="102"/>
      <c r="N153" s="84">
        <f>+K153</f>
        <v>173730.69699999999</v>
      </c>
      <c r="O153" s="72"/>
      <c r="P153" s="66"/>
      <c r="Q153" s="66"/>
    </row>
    <row r="154" spans="1:17" s="67" customFormat="1" ht="18" customHeight="1">
      <c r="A154" s="82"/>
      <c r="B154" s="83" t="s">
        <v>153</v>
      </c>
      <c r="C154" s="83" t="s">
        <v>152</v>
      </c>
      <c r="D154" s="108">
        <v>6.7229999999999999</v>
      </c>
      <c r="E154" s="108">
        <v>11971.198</v>
      </c>
      <c r="F154" s="85"/>
      <c r="G154" s="86"/>
      <c r="H154" s="84"/>
      <c r="I154" s="85"/>
      <c r="J154" s="84"/>
      <c r="K154" s="84">
        <f>+E154</f>
        <v>11971.198</v>
      </c>
      <c r="L154" s="85"/>
      <c r="M154" s="102"/>
      <c r="N154" s="84">
        <f>+K154</f>
        <v>11971.198</v>
      </c>
      <c r="O154" s="72"/>
      <c r="P154" s="66"/>
      <c r="Q154" s="66"/>
    </row>
    <row r="155" spans="1:17" s="67" customFormat="1" ht="18" customHeight="1">
      <c r="A155" s="82"/>
      <c r="B155" s="83" t="s">
        <v>154</v>
      </c>
      <c r="C155" s="83" t="s">
        <v>152</v>
      </c>
      <c r="D155" s="108">
        <v>80.933000000000007</v>
      </c>
      <c r="E155" s="108">
        <v>151972.44699999999</v>
      </c>
      <c r="F155" s="85"/>
      <c r="G155" s="86"/>
      <c r="H155" s="84"/>
      <c r="I155" s="85"/>
      <c r="J155" s="84"/>
      <c r="K155" s="84">
        <f>+E155</f>
        <v>151972.44699999999</v>
      </c>
      <c r="L155" s="85"/>
      <c r="M155" s="102"/>
      <c r="N155" s="84">
        <f>+K155</f>
        <v>151972.44699999999</v>
      </c>
      <c r="O155" s="72"/>
      <c r="P155" s="66"/>
      <c r="Q155" s="66"/>
    </row>
    <row r="156" spans="1:17" s="67" customFormat="1" ht="18" customHeight="1">
      <c r="A156" s="82"/>
      <c r="B156" s="83" t="s">
        <v>155</v>
      </c>
      <c r="C156" s="83" t="s">
        <v>152</v>
      </c>
      <c r="D156" s="108">
        <v>2.0129999999999999</v>
      </c>
      <c r="E156" s="108">
        <v>12217.632</v>
      </c>
      <c r="F156" s="85"/>
      <c r="G156" s="86"/>
      <c r="H156" s="84"/>
      <c r="I156" s="85"/>
      <c r="J156" s="84"/>
      <c r="K156" s="84">
        <f>+E156</f>
        <v>12217.632</v>
      </c>
      <c r="L156" s="85"/>
      <c r="M156" s="102"/>
      <c r="N156" s="84">
        <f>+K156</f>
        <v>12217.632</v>
      </c>
      <c r="O156" s="72"/>
      <c r="P156" s="66"/>
      <c r="Q156" s="66"/>
    </row>
    <row r="157" spans="1:17" s="67" customFormat="1" ht="18" customHeight="1">
      <c r="A157" s="82"/>
      <c r="B157" s="83" t="s">
        <v>156</v>
      </c>
      <c r="C157" s="83" t="s">
        <v>152</v>
      </c>
      <c r="D157" s="108">
        <v>12.932</v>
      </c>
      <c r="E157" s="108">
        <v>234021.02499999999</v>
      </c>
      <c r="F157" s="85"/>
      <c r="G157" s="86"/>
      <c r="H157" s="84"/>
      <c r="I157" s="85"/>
      <c r="J157" s="84"/>
      <c r="K157" s="84">
        <f>+E157</f>
        <v>234021.02499999999</v>
      </c>
      <c r="L157" s="85"/>
      <c r="M157" s="102"/>
      <c r="N157" s="84">
        <f>+K157</f>
        <v>234021.02499999999</v>
      </c>
      <c r="O157" s="72"/>
      <c r="P157" s="66"/>
      <c r="Q157" s="66"/>
    </row>
    <row r="158" spans="1:17" s="67" customFormat="1" ht="18" customHeight="1">
      <c r="A158" s="82"/>
      <c r="B158" s="83" t="s">
        <v>157</v>
      </c>
      <c r="C158" s="83" t="s">
        <v>152</v>
      </c>
      <c r="D158" s="108"/>
      <c r="E158" s="108"/>
      <c r="F158" s="85"/>
      <c r="G158" s="86"/>
      <c r="H158" s="84"/>
      <c r="I158" s="85"/>
      <c r="J158" s="84"/>
      <c r="K158" s="84"/>
      <c r="L158" s="85"/>
      <c r="M158" s="102"/>
      <c r="N158" s="84"/>
      <c r="O158" s="72"/>
      <c r="P158" s="66"/>
      <c r="Q158" s="66"/>
    </row>
    <row r="159" spans="1:17" s="67" customFormat="1" ht="18" customHeight="1">
      <c r="A159" s="82"/>
      <c r="B159" s="83" t="s">
        <v>158</v>
      </c>
      <c r="C159" s="83" t="s">
        <v>152</v>
      </c>
      <c r="D159" s="108"/>
      <c r="E159" s="86"/>
      <c r="F159" s="85"/>
      <c r="G159" s="86"/>
      <c r="H159" s="84"/>
      <c r="I159" s="85"/>
      <c r="J159" s="84"/>
      <c r="K159" s="84"/>
      <c r="L159" s="85"/>
      <c r="M159" s="84"/>
      <c r="N159" s="84"/>
      <c r="O159" s="72"/>
      <c r="P159" s="66"/>
      <c r="Q159" s="66"/>
    </row>
    <row r="160" spans="1:17" s="67" customFormat="1" ht="18" customHeight="1">
      <c r="A160" s="82"/>
      <c r="B160" s="83" t="s">
        <v>159</v>
      </c>
      <c r="C160" s="83" t="s">
        <v>152</v>
      </c>
      <c r="D160" s="109"/>
      <c r="E160" s="86"/>
      <c r="F160" s="85"/>
      <c r="G160" s="86"/>
      <c r="H160" s="84"/>
      <c r="I160" s="85"/>
      <c r="J160" s="84"/>
      <c r="K160" s="84"/>
      <c r="L160" s="85"/>
      <c r="M160" s="84"/>
      <c r="N160" s="84"/>
      <c r="O160" s="72"/>
      <c r="P160" s="66"/>
      <c r="Q160" s="66"/>
    </row>
    <row r="161" spans="1:17" s="67" customFormat="1" ht="18" customHeight="1">
      <c r="A161" s="82"/>
      <c r="B161" s="83" t="s">
        <v>160</v>
      </c>
      <c r="C161" s="88" t="s">
        <v>152</v>
      </c>
      <c r="D161" s="108"/>
      <c r="E161" s="86"/>
      <c r="F161" s="85"/>
      <c r="G161" s="86"/>
      <c r="H161" s="84"/>
      <c r="I161" s="85"/>
      <c r="J161" s="84"/>
      <c r="K161" s="84"/>
      <c r="L161" s="85"/>
      <c r="M161" s="84"/>
      <c r="N161" s="84"/>
      <c r="O161" s="72"/>
      <c r="P161" s="66"/>
      <c r="Q161" s="66"/>
    </row>
    <row r="162" spans="1:17" s="67" customFormat="1" ht="18" customHeight="1">
      <c r="A162" s="82"/>
      <c r="B162" s="89" t="s">
        <v>161</v>
      </c>
      <c r="C162" s="90"/>
      <c r="D162" s="91">
        <f>SUM(D153:D161)</f>
        <v>126.58200000000001</v>
      </c>
      <c r="E162" s="92">
        <f>SUM(E153:E161)</f>
        <v>583912.99899999995</v>
      </c>
      <c r="F162" s="93"/>
      <c r="G162" s="92">
        <f>SUM(G153:G161)</f>
        <v>0</v>
      </c>
      <c r="H162" s="92">
        <f>SUM(H153:H161)</f>
        <v>0</v>
      </c>
      <c r="I162" s="93"/>
      <c r="J162" s="92">
        <f>SUM(J153:J161)</f>
        <v>0</v>
      </c>
      <c r="K162" s="92">
        <f>SUM(K153:K161)</f>
        <v>583912.99899999995</v>
      </c>
      <c r="L162" s="93"/>
      <c r="M162" s="92">
        <f>SUM(M153:M161)</f>
        <v>0</v>
      </c>
      <c r="N162" s="92">
        <f>SUM(N153:N161)</f>
        <v>583912.99899999995</v>
      </c>
      <c r="O162" s="72"/>
      <c r="P162" s="95">
        <f>+D162+G162+J162+M162</f>
        <v>126.58200000000001</v>
      </c>
      <c r="Q162" s="95">
        <f>+E162+H162+K162+N162</f>
        <v>1751738.997</v>
      </c>
    </row>
    <row r="163" spans="1:17" s="67" customFormat="1" ht="15" thickBot="1">
      <c r="A163" s="65"/>
      <c r="B163" s="65"/>
      <c r="C163" s="78"/>
      <c r="D163" s="78"/>
      <c r="E163" s="78"/>
      <c r="F163" s="78"/>
      <c r="G163" s="78"/>
      <c r="H163" s="78"/>
      <c r="I163" s="78"/>
      <c r="J163" s="78"/>
      <c r="K163" s="78"/>
      <c r="L163" s="78"/>
      <c r="M163" s="78"/>
      <c r="N163" s="78"/>
      <c r="O163" s="65"/>
      <c r="P163" s="66"/>
      <c r="Q163" s="66"/>
    </row>
    <row r="164" spans="1:17" s="67" customFormat="1" ht="15" thickBot="1">
      <c r="A164" s="74"/>
      <c r="B164" s="79" t="s">
        <v>162</v>
      </c>
      <c r="C164" s="80"/>
      <c r="D164" s="81"/>
      <c r="E164" s="81"/>
      <c r="F164" s="81"/>
      <c r="G164" s="81"/>
      <c r="H164" s="81"/>
      <c r="I164" s="81"/>
      <c r="J164" s="81"/>
      <c r="K164" s="81"/>
      <c r="L164" s="81"/>
      <c r="M164" s="81"/>
      <c r="N164" s="81"/>
      <c r="O164" s="72"/>
      <c r="P164" s="66"/>
      <c r="Q164" s="66"/>
    </row>
    <row r="165" spans="1:17" s="67" customFormat="1" ht="15" thickBot="1">
      <c r="A165" s="65"/>
      <c r="B165" s="83" t="s">
        <v>163</v>
      </c>
      <c r="C165" s="83" t="s">
        <v>164</v>
      </c>
      <c r="D165" s="108">
        <v>88.71</v>
      </c>
      <c r="E165" s="103">
        <v>403994</v>
      </c>
      <c r="F165" s="65"/>
      <c r="G165" s="86"/>
      <c r="H165" s="84"/>
      <c r="I165" s="85"/>
      <c r="J165" s="84"/>
      <c r="K165" s="84">
        <f t="shared" ref="K165:K172" si="3">+E165</f>
        <v>403994</v>
      </c>
      <c r="L165" s="85"/>
      <c r="M165" s="84"/>
      <c r="N165" s="84">
        <f t="shared" ref="N165:N172" si="4">+K165</f>
        <v>403994</v>
      </c>
      <c r="O165" s="72"/>
      <c r="P165" s="66"/>
      <c r="Q165" s="66"/>
    </row>
    <row r="166" spans="1:17" s="67" customFormat="1" ht="15.75" thickTop="1" thickBot="1">
      <c r="A166" s="65"/>
      <c r="B166" s="83" t="s">
        <v>163</v>
      </c>
      <c r="C166" s="83" t="s">
        <v>165</v>
      </c>
      <c r="D166" s="108">
        <v>192.29</v>
      </c>
      <c r="E166" s="103">
        <v>830412</v>
      </c>
      <c r="F166" s="65"/>
      <c r="G166" s="86"/>
      <c r="H166" s="84"/>
      <c r="I166" s="85"/>
      <c r="J166" s="84"/>
      <c r="K166" s="84">
        <f t="shared" si="3"/>
        <v>830412</v>
      </c>
      <c r="L166" s="85"/>
      <c r="M166" s="84"/>
      <c r="N166" s="84">
        <f t="shared" si="4"/>
        <v>830412</v>
      </c>
      <c r="O166" s="72"/>
      <c r="P166" s="66"/>
      <c r="Q166" s="66"/>
    </row>
    <row r="167" spans="1:17" s="67" customFormat="1" ht="15" thickTop="1">
      <c r="A167" s="65"/>
      <c r="B167" s="83" t="s">
        <v>163</v>
      </c>
      <c r="C167" s="83" t="s">
        <v>111</v>
      </c>
      <c r="D167" s="84"/>
      <c r="E167" s="84"/>
      <c r="F167" s="65"/>
      <c r="G167" s="86"/>
      <c r="H167" s="84"/>
      <c r="I167" s="85"/>
      <c r="J167" s="84"/>
      <c r="K167" s="84"/>
      <c r="L167" s="85"/>
      <c r="M167" s="84"/>
      <c r="N167" s="84"/>
      <c r="O167" s="72"/>
      <c r="P167" s="66"/>
      <c r="Q167" s="66"/>
    </row>
    <row r="168" spans="1:17" s="67" customFormat="1">
      <c r="A168" s="65"/>
      <c r="B168" s="83" t="s">
        <v>163</v>
      </c>
      <c r="C168" s="83" t="s">
        <v>166</v>
      </c>
      <c r="D168" s="84"/>
      <c r="E168" s="84"/>
      <c r="F168" s="65"/>
      <c r="G168" s="86"/>
      <c r="H168" s="84"/>
      <c r="I168" s="85"/>
      <c r="J168" s="84"/>
      <c r="K168" s="84"/>
      <c r="L168" s="85"/>
      <c r="M168" s="84"/>
      <c r="N168" s="84"/>
      <c r="O168" s="72"/>
      <c r="P168" s="66"/>
      <c r="Q168" s="66"/>
    </row>
    <row r="169" spans="1:17" s="67" customFormat="1">
      <c r="A169" s="65"/>
      <c r="B169" s="83" t="s">
        <v>167</v>
      </c>
      <c r="C169" s="83" t="s">
        <v>164</v>
      </c>
      <c r="D169" s="108">
        <v>216.316</v>
      </c>
      <c r="E169" s="108">
        <v>788017.728</v>
      </c>
      <c r="F169" s="65"/>
      <c r="G169" s="86"/>
      <c r="H169" s="84"/>
      <c r="I169" s="85"/>
      <c r="J169" s="84"/>
      <c r="K169" s="84">
        <f t="shared" si="3"/>
        <v>788017.728</v>
      </c>
      <c r="L169" s="85"/>
      <c r="M169" s="84"/>
      <c r="N169" s="84">
        <f t="shared" si="4"/>
        <v>788017.728</v>
      </c>
      <c r="O169" s="72"/>
      <c r="P169" s="66"/>
      <c r="Q169" s="66"/>
    </row>
    <row r="170" spans="1:17" s="67" customFormat="1">
      <c r="A170" s="65"/>
      <c r="B170" s="83" t="s">
        <v>168</v>
      </c>
      <c r="C170" s="83"/>
      <c r="D170" s="84"/>
      <c r="E170" s="84"/>
      <c r="F170" s="65"/>
      <c r="G170" s="86"/>
      <c r="H170" s="84"/>
      <c r="I170" s="85"/>
      <c r="J170" s="84"/>
      <c r="K170" s="84"/>
      <c r="L170" s="85"/>
      <c r="M170" s="84"/>
      <c r="N170" s="84"/>
      <c r="O170" s="72"/>
      <c r="P170" s="66"/>
      <c r="Q170" s="66"/>
    </row>
    <row r="171" spans="1:17" s="67" customFormat="1">
      <c r="A171" s="65"/>
      <c r="B171" s="83" t="s">
        <v>169</v>
      </c>
      <c r="C171" s="83" t="s">
        <v>165</v>
      </c>
      <c r="D171" s="84"/>
      <c r="E171" s="84"/>
      <c r="F171" s="65"/>
      <c r="G171" s="86"/>
      <c r="H171" s="84"/>
      <c r="I171" s="85"/>
      <c r="J171" s="84"/>
      <c r="K171" s="84"/>
      <c r="L171" s="85"/>
      <c r="M171" s="84"/>
      <c r="N171" s="84"/>
      <c r="O171" s="72"/>
      <c r="P171" s="66"/>
      <c r="Q171" s="66"/>
    </row>
    <row r="172" spans="1:17" s="67" customFormat="1">
      <c r="A172" s="65"/>
      <c r="B172" s="83" t="s">
        <v>170</v>
      </c>
      <c r="C172" s="83" t="s">
        <v>165</v>
      </c>
      <c r="D172" s="108">
        <v>20.709</v>
      </c>
      <c r="E172" s="108">
        <v>100705.018</v>
      </c>
      <c r="F172" s="65"/>
      <c r="G172" s="86"/>
      <c r="H172" s="84"/>
      <c r="I172" s="85"/>
      <c r="J172" s="84"/>
      <c r="K172" s="84">
        <f t="shared" si="3"/>
        <v>100705.018</v>
      </c>
      <c r="L172" s="85"/>
      <c r="M172" s="84"/>
      <c r="N172" s="84">
        <f t="shared" si="4"/>
        <v>100705.018</v>
      </c>
      <c r="O172" s="72"/>
      <c r="P172" s="66"/>
      <c r="Q172" s="66"/>
    </row>
    <row r="173" spans="1:17" s="67" customFormat="1">
      <c r="A173" s="65"/>
      <c r="B173" s="83" t="s">
        <v>171</v>
      </c>
      <c r="C173" s="83" t="s">
        <v>165</v>
      </c>
      <c r="D173" s="84"/>
      <c r="E173" s="84"/>
      <c r="F173" s="65"/>
      <c r="G173" s="86"/>
      <c r="H173" s="84"/>
      <c r="I173" s="85"/>
      <c r="J173" s="84"/>
      <c r="K173" s="84"/>
      <c r="L173" s="85"/>
      <c r="M173" s="84"/>
      <c r="N173" s="84"/>
      <c r="O173" s="72"/>
      <c r="P173" s="66"/>
      <c r="Q173" s="66"/>
    </row>
    <row r="174" spans="1:17" s="67" customFormat="1">
      <c r="A174" s="65"/>
      <c r="B174" s="83" t="s">
        <v>172</v>
      </c>
      <c r="C174" s="83"/>
      <c r="D174" s="84"/>
      <c r="E174" s="84"/>
      <c r="F174" s="65"/>
      <c r="G174" s="86"/>
      <c r="H174" s="84"/>
      <c r="I174" s="85"/>
      <c r="J174" s="84"/>
      <c r="K174" s="84"/>
      <c r="L174" s="85"/>
      <c r="M174" s="84"/>
      <c r="N174" s="84"/>
      <c r="O174" s="72"/>
      <c r="P174" s="66"/>
      <c r="Q174" s="66"/>
    </row>
    <row r="175" spans="1:17" s="67" customFormat="1">
      <c r="A175" s="65"/>
      <c r="B175" s="83" t="s">
        <v>105</v>
      </c>
      <c r="C175" s="88"/>
      <c r="D175" s="84"/>
      <c r="E175" s="84"/>
      <c r="F175" s="65"/>
      <c r="G175" s="86"/>
      <c r="H175" s="84"/>
      <c r="I175" s="85"/>
      <c r="J175" s="84"/>
      <c r="K175" s="84"/>
      <c r="L175" s="85"/>
      <c r="M175" s="84"/>
      <c r="N175" s="84"/>
      <c r="O175" s="72"/>
      <c r="P175" s="66"/>
      <c r="Q175" s="66"/>
    </row>
    <row r="176" spans="1:17" s="67" customFormat="1" ht="18" customHeight="1">
      <c r="A176" s="82"/>
      <c r="B176" s="89" t="s">
        <v>173</v>
      </c>
      <c r="C176" s="90"/>
      <c r="D176" s="91">
        <f>SUM(D165:D175)</f>
        <v>518.02499999999998</v>
      </c>
      <c r="E176" s="92">
        <f>SUM(E165:E175)</f>
        <v>2123128.7460000003</v>
      </c>
      <c r="F176" s="93"/>
      <c r="G176" s="91">
        <f>SUM(G165:G175)</f>
        <v>0</v>
      </c>
      <c r="H176" s="92">
        <f>SUM(H165:H175)</f>
        <v>0</v>
      </c>
      <c r="I176" s="93"/>
      <c r="J176" s="91">
        <f>SUM(J165:J175)</f>
        <v>0</v>
      </c>
      <c r="K176" s="92">
        <f>SUM(K165:K175)</f>
        <v>2123128.7460000003</v>
      </c>
      <c r="L176" s="93"/>
      <c r="M176" s="91">
        <f>SUM(M165:M175)</f>
        <v>0</v>
      </c>
      <c r="N176" s="92">
        <f>SUM(N165:N175)</f>
        <v>2123128.7460000003</v>
      </c>
      <c r="O176" s="72"/>
      <c r="P176" s="95">
        <f>+D176+G176+J176+M176</f>
        <v>518.02499999999998</v>
      </c>
      <c r="Q176" s="95">
        <f>+E176+H176+K176+N176</f>
        <v>6369386.2380000008</v>
      </c>
    </row>
    <row r="177" spans="1:17" s="67" customFormat="1" ht="15" thickBot="1">
      <c r="A177" s="65"/>
      <c r="B177" s="65"/>
      <c r="C177" s="78"/>
      <c r="D177" s="78"/>
      <c r="E177" s="78"/>
      <c r="F177" s="78"/>
      <c r="G177" s="78"/>
      <c r="H177" s="78"/>
      <c r="I177" s="78"/>
      <c r="J177" s="78"/>
      <c r="K177" s="78"/>
      <c r="L177" s="78"/>
      <c r="M177" s="78"/>
      <c r="N177" s="78"/>
      <c r="O177" s="65"/>
      <c r="P177" s="66"/>
      <c r="Q177" s="66"/>
    </row>
    <row r="178" spans="1:17" s="67" customFormat="1" ht="15" thickBot="1">
      <c r="A178" s="74"/>
      <c r="B178" s="79" t="s">
        <v>174</v>
      </c>
      <c r="C178" s="80"/>
      <c r="D178" s="81"/>
      <c r="E178" s="81"/>
      <c r="F178" s="81"/>
      <c r="G178" s="81"/>
      <c r="H178" s="81"/>
      <c r="I178" s="81"/>
      <c r="J178" s="81"/>
      <c r="K178" s="81"/>
      <c r="L178" s="81"/>
      <c r="M178" s="81"/>
      <c r="N178" s="81"/>
      <c r="O178" s="72"/>
      <c r="P178" s="66"/>
      <c r="Q178" s="66"/>
    </row>
    <row r="179" spans="1:17" s="67" customFormat="1">
      <c r="A179" s="65"/>
      <c r="B179" s="83" t="s">
        <v>175</v>
      </c>
      <c r="C179" s="83"/>
      <c r="D179" s="84"/>
      <c r="E179" s="84"/>
      <c r="F179" s="65"/>
      <c r="G179" s="86"/>
      <c r="H179" s="84"/>
      <c r="I179" s="85"/>
      <c r="J179" s="84"/>
      <c r="K179" s="84"/>
      <c r="L179" s="85"/>
      <c r="M179" s="84"/>
      <c r="N179" s="84"/>
      <c r="O179" s="72"/>
      <c r="P179" s="66"/>
      <c r="Q179" s="66"/>
    </row>
    <row r="180" spans="1:17" s="67" customFormat="1">
      <c r="A180" s="65"/>
      <c r="B180" s="83" t="s">
        <v>176</v>
      </c>
      <c r="C180" s="83"/>
      <c r="D180" s="84"/>
      <c r="E180" s="84"/>
      <c r="F180" s="65"/>
      <c r="G180" s="86"/>
      <c r="H180" s="84"/>
      <c r="I180" s="85"/>
      <c r="J180" s="84"/>
      <c r="K180" s="84"/>
      <c r="L180" s="85"/>
      <c r="M180" s="84"/>
      <c r="N180" s="84"/>
      <c r="O180" s="72"/>
      <c r="P180" s="66"/>
      <c r="Q180" s="66"/>
    </row>
    <row r="181" spans="1:17" s="67" customFormat="1">
      <c r="A181" s="65"/>
      <c r="B181" s="83" t="s">
        <v>177</v>
      </c>
      <c r="C181" s="83" t="s">
        <v>111</v>
      </c>
      <c r="D181" s="84"/>
      <c r="E181" s="84"/>
      <c r="F181" s="65"/>
      <c r="G181" s="86"/>
      <c r="H181" s="84"/>
      <c r="I181" s="85"/>
      <c r="J181" s="84"/>
      <c r="K181" s="84"/>
      <c r="L181" s="85"/>
      <c r="M181" s="84"/>
      <c r="N181" s="84"/>
      <c r="O181" s="72"/>
      <c r="P181" s="66"/>
      <c r="Q181" s="66"/>
    </row>
    <row r="182" spans="1:17" s="67" customFormat="1">
      <c r="A182" s="65"/>
      <c r="B182" s="83" t="s">
        <v>163</v>
      </c>
      <c r="C182" s="83" t="s">
        <v>111</v>
      </c>
      <c r="D182" s="84"/>
      <c r="E182" s="84"/>
      <c r="F182" s="65"/>
      <c r="G182" s="86"/>
      <c r="H182" s="84"/>
      <c r="I182" s="85"/>
      <c r="J182" s="84"/>
      <c r="K182" s="84"/>
      <c r="L182" s="85"/>
      <c r="M182" s="84"/>
      <c r="N182" s="84"/>
      <c r="O182" s="72"/>
      <c r="P182" s="66"/>
      <c r="Q182" s="66"/>
    </row>
    <row r="183" spans="1:17" s="67" customFormat="1">
      <c r="A183" s="65"/>
      <c r="B183" s="83" t="s">
        <v>105</v>
      </c>
      <c r="C183" s="83" t="s">
        <v>111</v>
      </c>
      <c r="D183" s="108">
        <v>1658.721</v>
      </c>
      <c r="E183" s="108">
        <v>39974.449999999997</v>
      </c>
      <c r="F183" s="65"/>
      <c r="G183" s="86"/>
      <c r="H183" s="84"/>
      <c r="I183" s="85"/>
      <c r="J183" s="84"/>
      <c r="K183" s="84"/>
      <c r="L183" s="85"/>
      <c r="M183" s="84"/>
      <c r="N183" s="84"/>
      <c r="O183" s="72"/>
      <c r="P183" s="66"/>
      <c r="Q183" s="66"/>
    </row>
    <row r="184" spans="1:17" s="67" customFormat="1" ht="18" customHeight="1">
      <c r="A184" s="82"/>
      <c r="B184" s="89" t="s">
        <v>178</v>
      </c>
      <c r="C184" s="90"/>
      <c r="D184" s="91">
        <f>SUM(D179:D183)</f>
        <v>1658.721</v>
      </c>
      <c r="E184" s="91">
        <f>SUM(E179:E183)</f>
        <v>39974.449999999997</v>
      </c>
      <c r="F184" s="93"/>
      <c r="G184" s="91">
        <f>SUM(G179:G183)</f>
        <v>0</v>
      </c>
      <c r="H184" s="91">
        <f>SUM(H179:H183)</f>
        <v>0</v>
      </c>
      <c r="I184" s="93"/>
      <c r="J184" s="91">
        <f>SUM(J179:J183)</f>
        <v>0</v>
      </c>
      <c r="K184" s="91">
        <f>SUM(K179:K183)</f>
        <v>0</v>
      </c>
      <c r="L184" s="93"/>
      <c r="M184" s="91">
        <f>SUM(M179:M183)</f>
        <v>0</v>
      </c>
      <c r="N184" s="91">
        <f>SUM(N179:N183)</f>
        <v>0</v>
      </c>
      <c r="O184" s="72"/>
      <c r="P184" s="95">
        <f>+D184+G184+J184+M184</f>
        <v>1658.721</v>
      </c>
      <c r="Q184" s="95">
        <f>+E184+H184+K184+N184</f>
        <v>39974.449999999997</v>
      </c>
    </row>
    <row r="185" spans="1:17" s="67" customFormat="1" ht="15" thickBot="1">
      <c r="A185" s="65"/>
      <c r="B185" s="65"/>
      <c r="C185" s="78"/>
      <c r="D185" s="78"/>
      <c r="E185" s="78"/>
      <c r="F185" s="78"/>
      <c r="G185" s="78"/>
      <c r="H185" s="78"/>
      <c r="I185" s="78"/>
      <c r="J185" s="78"/>
      <c r="K185" s="78"/>
      <c r="L185" s="78"/>
      <c r="M185" s="78"/>
      <c r="N185" s="78"/>
      <c r="O185" s="65"/>
      <c r="P185" s="66"/>
      <c r="Q185" s="66"/>
    </row>
    <row r="186" spans="1:17" s="67" customFormat="1" ht="15" thickBot="1">
      <c r="A186" s="74"/>
      <c r="B186" s="79" t="s">
        <v>179</v>
      </c>
      <c r="C186" s="80"/>
      <c r="D186" s="81"/>
      <c r="E186" s="81"/>
      <c r="F186" s="81"/>
      <c r="G186" s="81"/>
      <c r="H186" s="81"/>
      <c r="I186" s="81"/>
      <c r="J186" s="81"/>
      <c r="K186" s="81"/>
      <c r="L186" s="81"/>
      <c r="M186" s="81"/>
      <c r="N186" s="81"/>
      <c r="O186" s="72"/>
      <c r="P186" s="66"/>
      <c r="Q186" s="66"/>
    </row>
    <row r="187" spans="1:17" s="67" customFormat="1">
      <c r="A187" s="65"/>
      <c r="B187" s="83" t="s">
        <v>179</v>
      </c>
      <c r="C187" s="83" t="s">
        <v>152</v>
      </c>
      <c r="D187" s="84"/>
      <c r="E187" s="84"/>
      <c r="F187" s="65"/>
      <c r="G187" s="86"/>
      <c r="H187" s="84"/>
      <c r="I187" s="85"/>
      <c r="J187" s="84"/>
      <c r="K187" s="84"/>
      <c r="L187" s="85"/>
      <c r="M187" s="84"/>
      <c r="N187" s="84"/>
      <c r="O187" s="72"/>
      <c r="P187" s="66"/>
      <c r="Q187" s="66"/>
    </row>
    <row r="188" spans="1:17" s="67" customFormat="1" ht="18" customHeight="1">
      <c r="A188" s="82"/>
      <c r="B188" s="89" t="s">
        <v>180</v>
      </c>
      <c r="C188" s="90"/>
      <c r="D188" s="91">
        <f>SUM(D187)</f>
        <v>0</v>
      </c>
      <c r="E188" s="91">
        <f>SUM(E187)</f>
        <v>0</v>
      </c>
      <c r="F188" s="93"/>
      <c r="G188" s="91">
        <f>SUM(G187)</f>
        <v>0</v>
      </c>
      <c r="H188" s="91">
        <f>SUM(H187)</f>
        <v>0</v>
      </c>
      <c r="I188" s="93"/>
      <c r="J188" s="91">
        <f>SUM(J187)</f>
        <v>0</v>
      </c>
      <c r="K188" s="91">
        <f>SUM(K187)</f>
        <v>0</v>
      </c>
      <c r="L188" s="93"/>
      <c r="M188" s="91">
        <f>SUM(M187)</f>
        <v>0</v>
      </c>
      <c r="N188" s="91">
        <f>SUM(N187)</f>
        <v>0</v>
      </c>
      <c r="O188" s="72"/>
      <c r="P188" s="95">
        <f>+D188+G188+J188+M188</f>
        <v>0</v>
      </c>
      <c r="Q188" s="95">
        <f>+E188+H188+K188+N188</f>
        <v>0</v>
      </c>
    </row>
    <row r="189" spans="1:17" s="67" customFormat="1" ht="15" thickBot="1">
      <c r="A189" s="65"/>
      <c r="B189" s="65"/>
      <c r="C189" s="78"/>
      <c r="D189" s="78"/>
      <c r="E189" s="78"/>
      <c r="F189" s="78"/>
      <c r="G189" s="78"/>
      <c r="H189" s="78"/>
      <c r="I189" s="78"/>
      <c r="J189" s="78"/>
      <c r="K189" s="78"/>
      <c r="L189" s="78"/>
      <c r="M189" s="78"/>
      <c r="N189" s="78"/>
      <c r="O189" s="65"/>
      <c r="P189" s="66"/>
      <c r="Q189" s="66"/>
    </row>
    <row r="190" spans="1:17" s="67" customFormat="1" ht="15" thickBot="1">
      <c r="A190" s="74"/>
      <c r="B190" s="79" t="s">
        <v>181</v>
      </c>
      <c r="C190" s="80"/>
      <c r="D190" s="81"/>
      <c r="E190" s="81"/>
      <c r="F190" s="81"/>
      <c r="G190" s="81"/>
      <c r="H190" s="81"/>
      <c r="I190" s="81"/>
      <c r="J190" s="81"/>
      <c r="K190" s="81"/>
      <c r="L190" s="81"/>
      <c r="M190" s="81"/>
      <c r="N190" s="81"/>
      <c r="O190" s="72"/>
      <c r="P190" s="66"/>
      <c r="Q190" s="66"/>
    </row>
    <row r="191" spans="1:17" s="67" customFormat="1">
      <c r="A191" s="65"/>
      <c r="B191" s="83" t="s">
        <v>179</v>
      </c>
      <c r="C191" s="83"/>
      <c r="D191" s="84"/>
      <c r="E191" s="84"/>
      <c r="F191" s="65"/>
      <c r="G191" s="86"/>
      <c r="H191" s="84"/>
      <c r="I191" s="85"/>
      <c r="J191" s="84"/>
      <c r="K191" s="84"/>
      <c r="L191" s="85"/>
      <c r="M191" s="84"/>
      <c r="N191" s="84"/>
      <c r="O191" s="72"/>
      <c r="P191" s="66"/>
      <c r="Q191" s="66"/>
    </row>
    <row r="192" spans="1:17" s="67" customFormat="1">
      <c r="A192" s="65"/>
      <c r="B192" s="83" t="s">
        <v>167</v>
      </c>
      <c r="C192" s="83"/>
      <c r="D192" s="84"/>
      <c r="E192" s="84"/>
      <c r="F192" s="65"/>
      <c r="G192" s="86"/>
      <c r="H192" s="84"/>
      <c r="I192" s="85"/>
      <c r="J192" s="84"/>
      <c r="K192" s="84"/>
      <c r="L192" s="85"/>
      <c r="M192" s="84"/>
      <c r="N192" s="84"/>
      <c r="O192" s="72"/>
      <c r="P192" s="66"/>
      <c r="Q192" s="66"/>
    </row>
    <row r="193" spans="1:17" s="67" customFormat="1" ht="18" customHeight="1">
      <c r="A193" s="82"/>
      <c r="B193" s="89" t="s">
        <v>182</v>
      </c>
      <c r="C193" s="90"/>
      <c r="D193" s="91">
        <f>SUM(D191:D192)</f>
        <v>0</v>
      </c>
      <c r="E193" s="91">
        <f>SUM(E191:E192)</f>
        <v>0</v>
      </c>
      <c r="F193" s="93"/>
      <c r="G193" s="91">
        <f>SUM(G191:G192)</f>
        <v>0</v>
      </c>
      <c r="H193" s="91">
        <f>SUM(H191:H192)</f>
        <v>0</v>
      </c>
      <c r="I193" s="93"/>
      <c r="J193" s="91">
        <f>SUM(J191:J192)</f>
        <v>0</v>
      </c>
      <c r="K193" s="91">
        <f>SUM(K191:K192)</f>
        <v>0</v>
      </c>
      <c r="L193" s="93"/>
      <c r="M193" s="91">
        <f>SUM(M191:M192)</f>
        <v>0</v>
      </c>
      <c r="N193" s="91">
        <f>SUM(N191:N192)</f>
        <v>0</v>
      </c>
      <c r="O193" s="72"/>
      <c r="P193" s="95">
        <f>+D193+G193+J193+M193</f>
        <v>0</v>
      </c>
      <c r="Q193" s="95">
        <f>+E193+H193+K193+N193</f>
        <v>0</v>
      </c>
    </row>
    <row r="194" spans="1:17" s="67" customFormat="1" ht="15" thickBot="1">
      <c r="A194" s="65"/>
      <c r="B194" s="65"/>
      <c r="C194" s="78"/>
      <c r="D194" s="78"/>
      <c r="E194" s="78"/>
      <c r="F194" s="78"/>
      <c r="G194" s="78"/>
      <c r="H194" s="78"/>
      <c r="I194" s="78"/>
      <c r="J194" s="78"/>
      <c r="K194" s="78"/>
      <c r="L194" s="78"/>
      <c r="M194" s="78"/>
      <c r="N194" s="78"/>
      <c r="O194" s="65"/>
      <c r="P194" s="66"/>
      <c r="Q194" s="66"/>
    </row>
    <row r="195" spans="1:17" s="67" customFormat="1" ht="15" thickBot="1">
      <c r="A195" s="74"/>
      <c r="B195" s="79" t="s">
        <v>183</v>
      </c>
      <c r="C195" s="80"/>
      <c r="D195" s="81"/>
      <c r="E195" s="81"/>
      <c r="F195" s="81"/>
      <c r="G195" s="81"/>
      <c r="H195" s="81"/>
      <c r="I195" s="81"/>
      <c r="J195" s="81"/>
      <c r="K195" s="81"/>
      <c r="L195" s="81"/>
      <c r="M195" s="81"/>
      <c r="N195" s="81"/>
      <c r="O195" s="72"/>
      <c r="P195" s="66"/>
      <c r="Q195" s="66"/>
    </row>
    <row r="196" spans="1:17" s="67" customFormat="1">
      <c r="A196" s="65"/>
      <c r="B196" s="83" t="s">
        <v>184</v>
      </c>
      <c r="C196" s="83" t="s">
        <v>165</v>
      </c>
      <c r="D196" s="84"/>
      <c r="E196" s="84"/>
      <c r="F196" s="65"/>
      <c r="G196" s="86"/>
      <c r="H196" s="84"/>
      <c r="I196" s="85"/>
      <c r="J196" s="84"/>
      <c r="K196" s="84"/>
      <c r="L196" s="85"/>
      <c r="M196" s="84"/>
      <c r="N196" s="84"/>
      <c r="O196" s="72"/>
      <c r="P196" s="66"/>
      <c r="Q196" s="66"/>
    </row>
    <row r="197" spans="1:17" s="67" customFormat="1">
      <c r="A197" s="65"/>
      <c r="B197" s="83" t="s">
        <v>103</v>
      </c>
      <c r="C197" s="83" t="s">
        <v>165</v>
      </c>
      <c r="D197" s="108">
        <v>9.1370000000000005</v>
      </c>
      <c r="E197" s="108">
        <v>35281.133999999998</v>
      </c>
      <c r="F197" s="65"/>
      <c r="G197" s="86"/>
      <c r="H197" s="84"/>
      <c r="I197" s="85"/>
      <c r="J197" s="84"/>
      <c r="K197" s="84">
        <f>+E197</f>
        <v>35281.133999999998</v>
      </c>
      <c r="L197" s="85"/>
      <c r="M197" s="84"/>
      <c r="N197" s="84">
        <f>+K197</f>
        <v>35281.133999999998</v>
      </c>
      <c r="O197" s="72"/>
      <c r="P197" s="66"/>
      <c r="Q197" s="66"/>
    </row>
    <row r="198" spans="1:17" s="67" customFormat="1">
      <c r="A198" s="65"/>
      <c r="B198" s="83" t="s">
        <v>185</v>
      </c>
      <c r="C198" s="83"/>
      <c r="D198" s="84"/>
      <c r="E198" s="84"/>
      <c r="F198" s="65"/>
      <c r="G198" s="86"/>
      <c r="H198" s="84"/>
      <c r="I198" s="85"/>
      <c r="J198" s="84"/>
      <c r="K198" s="84"/>
      <c r="L198" s="85"/>
      <c r="M198" s="84"/>
      <c r="N198" s="84"/>
      <c r="O198" s="72"/>
      <c r="P198" s="66"/>
      <c r="Q198" s="66"/>
    </row>
    <row r="199" spans="1:17" s="67" customFormat="1">
      <c r="A199" s="65"/>
      <c r="B199" s="83" t="s">
        <v>186</v>
      </c>
      <c r="C199" s="83"/>
      <c r="D199" s="84"/>
      <c r="E199" s="84"/>
      <c r="F199" s="65"/>
      <c r="G199" s="86"/>
      <c r="H199" s="84"/>
      <c r="I199" s="85"/>
      <c r="J199" s="84"/>
      <c r="K199" s="84"/>
      <c r="L199" s="85"/>
      <c r="M199" s="84"/>
      <c r="N199" s="84"/>
      <c r="O199" s="72"/>
      <c r="P199" s="66"/>
      <c r="Q199" s="66"/>
    </row>
    <row r="200" spans="1:17" s="67" customFormat="1">
      <c r="A200" s="65"/>
      <c r="B200" s="83" t="s">
        <v>187</v>
      </c>
      <c r="C200" s="83"/>
      <c r="D200" s="84"/>
      <c r="E200" s="84"/>
      <c r="F200" s="65"/>
      <c r="G200" s="86"/>
      <c r="H200" s="84"/>
      <c r="I200" s="85"/>
      <c r="J200" s="84"/>
      <c r="K200" s="84"/>
      <c r="L200" s="85"/>
      <c r="M200" s="84"/>
      <c r="N200" s="84"/>
      <c r="O200" s="72"/>
      <c r="P200" s="66"/>
      <c r="Q200" s="66"/>
    </row>
    <row r="201" spans="1:17" s="67" customFormat="1" ht="18" customHeight="1">
      <c r="A201" s="82"/>
      <c r="B201" s="89" t="s">
        <v>188</v>
      </c>
      <c r="C201" s="90"/>
      <c r="D201" s="91">
        <f>SUM(D196:D200)</f>
        <v>9.1370000000000005</v>
      </c>
      <c r="E201" s="91">
        <f>SUM(E196:E200)</f>
        <v>35281.133999999998</v>
      </c>
      <c r="F201" s="93"/>
      <c r="G201" s="91">
        <f>SUM(G196:G200)</f>
        <v>0</v>
      </c>
      <c r="H201" s="91">
        <f>SUM(H196:H200)</f>
        <v>0</v>
      </c>
      <c r="I201" s="93"/>
      <c r="J201" s="91">
        <f>SUM(J196:J200)</f>
        <v>0</v>
      </c>
      <c r="K201" s="91">
        <f>SUM(K196:K200)</f>
        <v>35281.133999999998</v>
      </c>
      <c r="L201" s="93"/>
      <c r="M201" s="91">
        <f>SUM(M196:M200)</f>
        <v>0</v>
      </c>
      <c r="N201" s="91">
        <f>SUM(N196:N200)</f>
        <v>35281.133999999998</v>
      </c>
      <c r="O201" s="72"/>
      <c r="P201" s="95">
        <f>+D201+G201+J201+M201</f>
        <v>9.1370000000000005</v>
      </c>
      <c r="Q201" s="95">
        <f>+E201+H201+K201+N201</f>
        <v>105843.402</v>
      </c>
    </row>
    <row r="202" spans="1:17" s="67" customFormat="1" ht="15" thickBot="1">
      <c r="A202" s="65"/>
      <c r="B202" s="65"/>
      <c r="C202" s="78"/>
      <c r="D202" s="78"/>
      <c r="E202" s="78"/>
      <c r="F202" s="78"/>
      <c r="G202" s="78"/>
      <c r="H202" s="78"/>
      <c r="I202" s="78"/>
      <c r="J202" s="78"/>
      <c r="K202" s="78"/>
      <c r="L202" s="78"/>
      <c r="M202" s="78"/>
      <c r="N202" s="78"/>
      <c r="O202" s="65"/>
      <c r="P202" s="66"/>
      <c r="Q202" s="66"/>
    </row>
    <row r="203" spans="1:17" s="67" customFormat="1" ht="15" thickBot="1">
      <c r="A203" s="74"/>
      <c r="B203" s="79" t="s">
        <v>189</v>
      </c>
      <c r="C203" s="80"/>
      <c r="D203" s="81"/>
      <c r="E203" s="81"/>
      <c r="F203" s="81"/>
      <c r="G203" s="81"/>
      <c r="H203" s="81"/>
      <c r="I203" s="81"/>
      <c r="J203" s="81"/>
      <c r="K203" s="81"/>
      <c r="L203" s="81"/>
      <c r="M203" s="81"/>
      <c r="N203" s="81"/>
      <c r="O203" s="72"/>
      <c r="P203" s="66"/>
      <c r="Q203" s="66"/>
    </row>
    <row r="204" spans="1:17" s="67" customFormat="1">
      <c r="A204" s="65"/>
      <c r="B204" s="83" t="s">
        <v>190</v>
      </c>
      <c r="C204" s="83" t="s">
        <v>165</v>
      </c>
      <c r="D204" s="84"/>
      <c r="E204" s="84"/>
      <c r="F204" s="65"/>
      <c r="G204" s="86"/>
      <c r="H204" s="84"/>
      <c r="I204" s="85"/>
      <c r="J204" s="84"/>
      <c r="K204" s="84"/>
      <c r="L204" s="85"/>
      <c r="M204" s="84"/>
      <c r="N204" s="84"/>
      <c r="O204" s="65"/>
      <c r="P204" s="66"/>
      <c r="Q204" s="66"/>
    </row>
    <row r="205" spans="1:17" s="67" customFormat="1">
      <c r="A205" s="65"/>
      <c r="B205" s="83" t="s">
        <v>191</v>
      </c>
      <c r="C205" s="83" t="s">
        <v>192</v>
      </c>
      <c r="D205" s="84"/>
      <c r="E205" s="84"/>
      <c r="F205" s="65"/>
      <c r="G205" s="86"/>
      <c r="H205" s="84"/>
      <c r="I205" s="85"/>
      <c r="J205" s="84"/>
      <c r="K205" s="84"/>
      <c r="L205" s="85"/>
      <c r="M205" s="84"/>
      <c r="N205" s="84"/>
      <c r="O205" s="65"/>
      <c r="P205" s="66"/>
      <c r="Q205" s="66"/>
    </row>
    <row r="206" spans="1:17" s="67" customFormat="1">
      <c r="A206" s="65"/>
      <c r="B206" s="83" t="s">
        <v>193</v>
      </c>
      <c r="C206" s="83"/>
      <c r="D206" s="84"/>
      <c r="E206" s="84"/>
      <c r="F206" s="65"/>
      <c r="G206" s="86"/>
      <c r="H206" s="84"/>
      <c r="I206" s="85"/>
      <c r="J206" s="84"/>
      <c r="K206" s="84"/>
      <c r="L206" s="85"/>
      <c r="M206" s="84"/>
      <c r="N206" s="84"/>
      <c r="O206" s="65"/>
      <c r="P206" s="66"/>
      <c r="Q206" s="66"/>
    </row>
    <row r="207" spans="1:17" s="67" customFormat="1" ht="18" customHeight="1">
      <c r="A207" s="82"/>
      <c r="B207" s="89" t="s">
        <v>194</v>
      </c>
      <c r="C207" s="90"/>
      <c r="D207" s="91">
        <f>SUM(D204:D206)</f>
        <v>0</v>
      </c>
      <c r="E207" s="91">
        <f>SUM(E204:E206)</f>
        <v>0</v>
      </c>
      <c r="F207" s="93"/>
      <c r="G207" s="91">
        <f>SUM(G204:G206)</f>
        <v>0</v>
      </c>
      <c r="H207" s="91">
        <f>SUM(H204:H206)</f>
        <v>0</v>
      </c>
      <c r="I207" s="93"/>
      <c r="J207" s="91">
        <f>SUM(J204:J206)</f>
        <v>0</v>
      </c>
      <c r="K207" s="91">
        <f>SUM(K204:K206)</f>
        <v>0</v>
      </c>
      <c r="L207" s="93"/>
      <c r="M207" s="91">
        <f>SUM(M204:M206)</f>
        <v>0</v>
      </c>
      <c r="N207" s="91">
        <f>SUM(N204:N206)</f>
        <v>0</v>
      </c>
      <c r="O207" s="72"/>
      <c r="P207" s="95">
        <f>+D207+G207+J207+M207</f>
        <v>0</v>
      </c>
      <c r="Q207" s="95">
        <f>+E207+H207+K207+N207</f>
        <v>0</v>
      </c>
    </row>
    <row r="208" spans="1:17" s="67" customFormat="1" ht="9" customHeight="1">
      <c r="A208" s="65"/>
      <c r="B208" s="97"/>
      <c r="C208" s="65"/>
      <c r="D208" s="65"/>
      <c r="E208" s="65"/>
      <c r="F208" s="65"/>
      <c r="G208" s="65"/>
      <c r="H208" s="65"/>
      <c r="I208" s="65"/>
      <c r="J208" s="65"/>
      <c r="K208" s="65"/>
      <c r="L208" s="65"/>
      <c r="M208" s="65"/>
      <c r="N208" s="65"/>
      <c r="O208" s="65"/>
      <c r="P208" s="66"/>
      <c r="Q208" s="66"/>
    </row>
    <row r="209" spans="1:17" s="67" customFormat="1" ht="15.75" thickBot="1">
      <c r="A209" s="65"/>
      <c r="B209" s="65"/>
      <c r="C209" s="65"/>
      <c r="D209" s="99">
        <f>+D207+D201+D193+D188+D184+D176+D162</f>
        <v>2312.4649999999997</v>
      </c>
      <c r="E209" s="99">
        <f>+E207+E201+E193+E188+E184+E176+E162</f>
        <v>2782297.3289999999</v>
      </c>
      <c r="F209" s="98"/>
      <c r="G209" s="99">
        <f>+G207+G201+G193+G188+G184+G176+G162</f>
        <v>0</v>
      </c>
      <c r="H209" s="99">
        <f>+H207+H201+H193+H188+H184+H176+H162</f>
        <v>0</v>
      </c>
      <c r="I209" s="98"/>
      <c r="J209" s="99">
        <f>+J207+J201+J193+J188+J184+J176+J162</f>
        <v>0</v>
      </c>
      <c r="K209" s="99">
        <f>+K207+K201+K193+K188+K184+K176+K162</f>
        <v>2742322.8790000002</v>
      </c>
      <c r="L209" s="98"/>
      <c r="M209" s="99">
        <f>+M207+M201+M193+M188+M184+M176+M162</f>
        <v>0</v>
      </c>
      <c r="N209" s="99">
        <f>+N207+N201+N193+N188+N184+N176+N162</f>
        <v>2742322.8790000002</v>
      </c>
      <c r="O209" s="98"/>
      <c r="P209" s="99">
        <f>+P207+P201+P193+P188+P184+P176+P162</f>
        <v>2312.4649999999997</v>
      </c>
      <c r="Q209" s="99">
        <f>+Q207+Q201+Q193+Q188+Q184+Q176+Q162</f>
        <v>8266943.0870000012</v>
      </c>
    </row>
    <row r="210" spans="1:17" s="67" customFormat="1" ht="15" thickTop="1">
      <c r="A210" s="65"/>
      <c r="B210" s="65"/>
      <c r="C210" s="98"/>
      <c r="D210" s="65"/>
      <c r="E210" s="65"/>
      <c r="F210" s="65"/>
      <c r="G210" s="65"/>
      <c r="H210" s="65"/>
      <c r="I210" s="65"/>
      <c r="J210" s="65"/>
      <c r="K210" s="65"/>
      <c r="L210" s="65"/>
      <c r="M210" s="65"/>
      <c r="N210" s="65"/>
      <c r="O210" s="65"/>
      <c r="P210" s="66"/>
      <c r="Q210" s="66"/>
    </row>
    <row r="211" spans="1:17" s="67" customFormat="1">
      <c r="A211" s="65"/>
      <c r="B211" s="97" t="s">
        <v>211</v>
      </c>
      <c r="C211" s="98"/>
      <c r="D211" s="65"/>
      <c r="E211" s="65"/>
      <c r="F211" s="65"/>
      <c r="G211" s="65"/>
      <c r="H211" s="65"/>
      <c r="I211" s="65"/>
      <c r="J211" s="65"/>
      <c r="K211" s="65"/>
      <c r="L211" s="65"/>
      <c r="M211" s="65"/>
      <c r="N211" s="65"/>
      <c r="O211" s="65"/>
      <c r="P211" s="66"/>
      <c r="Q211" s="66"/>
    </row>
    <row r="212" spans="1:17" s="67" customFormat="1">
      <c r="A212" s="65"/>
      <c r="B212" s="97" t="s">
        <v>212</v>
      </c>
      <c r="C212" s="98"/>
      <c r="D212" s="65"/>
      <c r="E212" s="65"/>
      <c r="F212" s="65"/>
      <c r="G212" s="65"/>
      <c r="H212" s="65"/>
      <c r="I212" s="65"/>
      <c r="J212" s="65"/>
      <c r="K212" s="65"/>
      <c r="L212" s="65"/>
      <c r="M212" s="65"/>
      <c r="N212" s="65"/>
      <c r="O212" s="65"/>
      <c r="P212" s="66"/>
      <c r="Q212" s="66"/>
    </row>
    <row r="213" spans="1:17" s="67" customFormat="1">
      <c r="A213" s="65"/>
      <c r="B213" s="107" t="s">
        <v>213</v>
      </c>
      <c r="C213" s="98"/>
      <c r="D213" s="65"/>
      <c r="E213" s="65"/>
      <c r="F213" s="65"/>
      <c r="G213" s="65"/>
      <c r="H213" s="65"/>
      <c r="I213" s="65"/>
      <c r="J213" s="65"/>
      <c r="K213" s="65"/>
      <c r="L213" s="65"/>
      <c r="M213" s="65"/>
      <c r="N213" s="65"/>
      <c r="O213" s="65"/>
      <c r="P213" s="66"/>
      <c r="Q213" s="66"/>
    </row>
    <row r="214" spans="1:17" s="67" customFormat="1">
      <c r="A214" s="65"/>
      <c r="B214" s="97" t="s">
        <v>214</v>
      </c>
      <c r="C214" s="97"/>
      <c r="D214" s="65"/>
      <c r="E214" s="65"/>
      <c r="F214" s="65"/>
      <c r="G214" s="65"/>
      <c r="H214" s="65"/>
      <c r="I214" s="65"/>
      <c r="J214" s="65"/>
      <c r="K214" s="65"/>
      <c r="L214" s="65"/>
      <c r="M214" s="65"/>
      <c r="N214" s="65"/>
      <c r="O214" s="65"/>
      <c r="P214" s="66"/>
      <c r="Q214" s="66"/>
    </row>
    <row r="215" spans="1:17" s="67" customFormat="1">
      <c r="A215" s="65"/>
      <c r="B215" s="97" t="s">
        <v>198</v>
      </c>
      <c r="C215" s="98"/>
      <c r="D215" s="65"/>
      <c r="E215" s="65"/>
      <c r="F215" s="65"/>
      <c r="G215" s="65"/>
      <c r="H215" s="65"/>
      <c r="I215" s="65"/>
      <c r="J215" s="65"/>
      <c r="K215" s="65"/>
      <c r="L215" s="65"/>
      <c r="M215" s="65"/>
      <c r="N215" s="65"/>
      <c r="O215" s="65"/>
      <c r="P215" s="66"/>
      <c r="Q215" s="66"/>
    </row>
    <row r="216" spans="1:17" s="67" customFormat="1">
      <c r="A216" s="65"/>
      <c r="B216" s="97" t="s">
        <v>199</v>
      </c>
      <c r="C216" s="97"/>
      <c r="D216" s="65"/>
      <c r="E216" s="65"/>
      <c r="F216" s="65"/>
      <c r="G216" s="65"/>
      <c r="H216" s="65"/>
      <c r="I216" s="65"/>
      <c r="J216" s="65"/>
      <c r="K216" s="65"/>
      <c r="L216" s="65"/>
      <c r="M216" s="65"/>
      <c r="N216" s="65"/>
      <c r="O216" s="65"/>
      <c r="P216" s="66"/>
      <c r="Q216" s="66"/>
    </row>
    <row r="217" spans="1:17" s="67" customFormat="1">
      <c r="A217" s="65"/>
      <c r="B217" s="97"/>
      <c r="C217" s="65"/>
      <c r="D217" s="65"/>
      <c r="E217" s="65"/>
      <c r="F217" s="65"/>
      <c r="G217" s="65"/>
      <c r="H217" s="65"/>
      <c r="I217" s="65"/>
      <c r="J217" s="65"/>
      <c r="K217" s="65"/>
      <c r="L217" s="65"/>
      <c r="M217" s="65"/>
      <c r="N217" s="65"/>
      <c r="O217" s="65"/>
      <c r="P217" s="66"/>
      <c r="Q217" s="66"/>
    </row>
    <row r="218" spans="1:17" s="67" customFormat="1" ht="18">
      <c r="A218" s="64" t="s">
        <v>215</v>
      </c>
      <c r="B218" s="65"/>
      <c r="C218" s="65"/>
      <c r="D218" s="65"/>
      <c r="E218" s="65"/>
      <c r="F218" s="65"/>
      <c r="G218" s="65"/>
      <c r="H218" s="65"/>
      <c r="I218" s="65"/>
      <c r="J218" s="65"/>
      <c r="K218" s="65"/>
      <c r="L218" s="65"/>
      <c r="M218" s="65"/>
      <c r="N218" s="65"/>
      <c r="O218" s="65"/>
      <c r="P218" s="66"/>
      <c r="Q218" s="66"/>
    </row>
    <row r="220" spans="1:17" s="67" customFormat="1" ht="15">
      <c r="A220" s="68"/>
      <c r="B220" s="68"/>
      <c r="C220" s="68"/>
      <c r="D220" s="206">
        <v>2012</v>
      </c>
      <c r="E220" s="206"/>
      <c r="F220" s="69"/>
      <c r="G220" s="207"/>
      <c r="H220" s="207"/>
      <c r="I220" s="70"/>
      <c r="J220" s="207">
        <v>2013</v>
      </c>
      <c r="K220" s="207"/>
      <c r="L220" s="70"/>
      <c r="M220" s="207">
        <v>2014</v>
      </c>
      <c r="N220" s="207"/>
      <c r="O220" s="68"/>
      <c r="P220" s="66"/>
      <c r="Q220" s="66"/>
    </row>
    <row r="221" spans="1:17" s="67" customFormat="1" ht="18">
      <c r="A221" s="71"/>
      <c r="B221" s="72"/>
      <c r="C221" s="72"/>
      <c r="D221" s="208" t="s">
        <v>145</v>
      </c>
      <c r="E221" s="208"/>
      <c r="F221" s="73"/>
      <c r="G221" s="207" t="s">
        <v>209</v>
      </c>
      <c r="H221" s="207"/>
      <c r="I221" s="207"/>
      <c r="J221" s="207"/>
      <c r="K221" s="207"/>
      <c r="L221" s="207"/>
      <c r="M221" s="207"/>
      <c r="N221" s="207"/>
      <c r="O221" s="72"/>
      <c r="P221" s="66"/>
      <c r="Q221" s="66"/>
    </row>
    <row r="222" spans="1:17" s="67" customFormat="1" ht="15">
      <c r="A222" s="65"/>
      <c r="B222" s="65"/>
      <c r="C222" s="65"/>
      <c r="D222" s="65"/>
      <c r="E222" s="65"/>
      <c r="F222" s="65"/>
      <c r="G222" s="65"/>
      <c r="H222" s="65"/>
      <c r="I222" s="65"/>
      <c r="J222" s="65"/>
      <c r="K222" s="65"/>
      <c r="L222" s="65"/>
      <c r="M222" s="65"/>
      <c r="N222" s="65"/>
      <c r="O222" s="65"/>
      <c r="P222" s="205" t="s">
        <v>5</v>
      </c>
      <c r="Q222" s="205"/>
    </row>
    <row r="223" spans="1:17" s="67" customFormat="1" ht="51">
      <c r="A223" s="65"/>
      <c r="B223" s="75" t="s">
        <v>216</v>
      </c>
      <c r="C223" s="75"/>
      <c r="D223" s="76" t="str">
        <f>+$D$6</f>
        <v>Peak Demand Savings (kW)</v>
      </c>
      <c r="E223" s="76" t="str">
        <f>+$E$6</f>
        <v>Energy Savings (kWh)</v>
      </c>
      <c r="G223" s="76" t="str">
        <f>+$G$6</f>
        <v>Peak Demand Savings (kW)</v>
      </c>
      <c r="H223" s="76" t="str">
        <f>+$H$6</f>
        <v>Energy Savings (kWh)</v>
      </c>
      <c r="J223" s="76" t="str">
        <f>+$J$6</f>
        <v>Peak Demand Savings (kW)</v>
      </c>
      <c r="K223" s="76" t="str">
        <f>+$K$6</f>
        <v>Energy Savings (kWh)</v>
      </c>
      <c r="M223" s="76" t="str">
        <f>+$M$6</f>
        <v>Peak Demand Savings (kW)</v>
      </c>
      <c r="N223" s="76" t="str">
        <f>+$N$6</f>
        <v>Energy Savings (kWh)</v>
      </c>
      <c r="O223" s="65"/>
      <c r="P223" s="77" t="str">
        <f>+$P$6</f>
        <v>Peak Demand Savings (kW)</v>
      </c>
      <c r="Q223" s="77" t="str">
        <f>+$Q$6</f>
        <v>Energy Savings (kWh)</v>
      </c>
    </row>
    <row r="224" spans="1:17" s="67" customFormat="1" ht="15" thickBot="1">
      <c r="A224" s="65"/>
      <c r="B224" s="78"/>
      <c r="C224" s="78"/>
      <c r="D224" s="78"/>
      <c r="E224" s="78"/>
      <c r="F224" s="78"/>
      <c r="G224" s="78"/>
      <c r="H224" s="78"/>
      <c r="I224" s="78"/>
      <c r="J224" s="78"/>
      <c r="K224" s="78"/>
      <c r="L224" s="78"/>
      <c r="M224" s="78"/>
      <c r="N224" s="78"/>
      <c r="O224" s="65"/>
      <c r="P224" s="66"/>
      <c r="Q224" s="66"/>
    </row>
    <row r="225" spans="1:17" s="67" customFormat="1" ht="15" thickBot="1">
      <c r="A225" s="65"/>
      <c r="B225" s="79" t="s">
        <v>150</v>
      </c>
      <c r="C225" s="80"/>
      <c r="D225" s="81"/>
      <c r="E225" s="81"/>
      <c r="F225" s="81"/>
      <c r="G225" s="81"/>
      <c r="H225" s="81"/>
      <c r="I225" s="81"/>
      <c r="J225" s="81"/>
      <c r="K225" s="81"/>
      <c r="L225" s="81"/>
      <c r="M225" s="81"/>
      <c r="N225" s="81"/>
      <c r="O225" s="65"/>
      <c r="P225" s="66"/>
      <c r="Q225" s="66"/>
    </row>
    <row r="226" spans="1:17" s="67" customFormat="1">
      <c r="A226" s="65"/>
      <c r="B226" s="83" t="s">
        <v>151</v>
      </c>
      <c r="C226" s="83" t="s">
        <v>152</v>
      </c>
      <c r="D226" s="84"/>
      <c r="E226" s="84"/>
      <c r="F226" s="85"/>
      <c r="G226" s="84"/>
      <c r="H226" s="84"/>
      <c r="I226" s="85"/>
      <c r="J226" s="84"/>
      <c r="K226" s="84"/>
      <c r="L226" s="85"/>
      <c r="M226" s="84"/>
      <c r="N226" s="84"/>
      <c r="O226" s="65"/>
      <c r="P226" s="66"/>
      <c r="Q226" s="66"/>
    </row>
    <row r="227" spans="1:17" s="67" customFormat="1">
      <c r="A227" s="65"/>
      <c r="B227" s="83" t="s">
        <v>153</v>
      </c>
      <c r="C227" s="83" t="s">
        <v>152</v>
      </c>
      <c r="D227" s="86"/>
      <c r="E227" s="86"/>
      <c r="F227" s="85"/>
      <c r="G227" s="86"/>
      <c r="H227" s="84"/>
      <c r="I227" s="85"/>
      <c r="J227" s="84"/>
      <c r="K227" s="84"/>
      <c r="L227" s="85"/>
      <c r="M227" s="84"/>
      <c r="N227" s="84"/>
      <c r="O227" s="65"/>
      <c r="P227" s="66"/>
      <c r="Q227" s="66"/>
    </row>
    <row r="228" spans="1:17" s="67" customFormat="1">
      <c r="A228" s="65"/>
      <c r="B228" s="83" t="s">
        <v>154</v>
      </c>
      <c r="C228" s="83" t="s">
        <v>152</v>
      </c>
      <c r="D228" s="108">
        <v>3.415</v>
      </c>
      <c r="E228" s="108">
        <v>7366.0910000000003</v>
      </c>
      <c r="F228" s="85"/>
      <c r="G228" s="86"/>
      <c r="H228" s="84"/>
      <c r="I228" s="85"/>
      <c r="J228" s="84"/>
      <c r="K228" s="84">
        <f>+E228</f>
        <v>7366.0910000000003</v>
      </c>
      <c r="L228" s="85"/>
      <c r="M228" s="110"/>
      <c r="N228" s="84">
        <f>+K228</f>
        <v>7366.0910000000003</v>
      </c>
      <c r="O228" s="65"/>
      <c r="P228" s="66"/>
      <c r="Q228" s="66"/>
    </row>
    <row r="229" spans="1:17" s="67" customFormat="1">
      <c r="A229" s="65"/>
      <c r="B229" s="83" t="s">
        <v>155</v>
      </c>
      <c r="C229" s="83" t="s">
        <v>152</v>
      </c>
      <c r="D229" s="111"/>
      <c r="E229" s="86"/>
      <c r="F229" s="85"/>
      <c r="G229" s="86"/>
      <c r="H229" s="84"/>
      <c r="I229" s="85"/>
      <c r="J229" s="84"/>
      <c r="K229" s="84"/>
      <c r="L229" s="85"/>
      <c r="M229" s="84"/>
      <c r="N229" s="84"/>
      <c r="O229" s="65"/>
      <c r="P229" s="66"/>
      <c r="Q229" s="66"/>
    </row>
    <row r="230" spans="1:17" s="67" customFormat="1">
      <c r="A230" s="65"/>
      <c r="B230" s="83" t="s">
        <v>156</v>
      </c>
      <c r="C230" s="83" t="s">
        <v>152</v>
      </c>
      <c r="D230" s="111"/>
      <c r="E230" s="86"/>
      <c r="F230" s="85"/>
      <c r="G230" s="86"/>
      <c r="H230" s="84"/>
      <c r="I230" s="85"/>
      <c r="J230" s="84"/>
      <c r="K230" s="84"/>
      <c r="L230" s="85"/>
      <c r="M230" s="84"/>
      <c r="N230" s="84"/>
      <c r="O230" s="65"/>
      <c r="P230" s="66"/>
      <c r="Q230" s="66"/>
    </row>
    <row r="231" spans="1:17" s="67" customFormat="1">
      <c r="A231" s="65"/>
      <c r="B231" s="83" t="s">
        <v>157</v>
      </c>
      <c r="C231" s="83" t="s">
        <v>152</v>
      </c>
      <c r="D231" s="84"/>
      <c r="E231" s="86"/>
      <c r="F231" s="85"/>
      <c r="G231" s="86"/>
      <c r="H231" s="84"/>
      <c r="I231" s="85"/>
      <c r="J231" s="84"/>
      <c r="K231" s="84"/>
      <c r="L231" s="85"/>
      <c r="M231" s="84"/>
      <c r="N231" s="84"/>
      <c r="O231" s="65"/>
      <c r="P231" s="66"/>
      <c r="Q231" s="66"/>
    </row>
    <row r="232" spans="1:17" s="67" customFormat="1">
      <c r="A232" s="65"/>
      <c r="B232" s="83" t="s">
        <v>158</v>
      </c>
      <c r="C232" s="83" t="s">
        <v>152</v>
      </c>
      <c r="D232" s="84"/>
      <c r="E232" s="86"/>
      <c r="F232" s="85"/>
      <c r="G232" s="86"/>
      <c r="H232" s="84"/>
      <c r="I232" s="85"/>
      <c r="J232" s="84"/>
      <c r="K232" s="84"/>
      <c r="L232" s="85"/>
      <c r="M232" s="84"/>
      <c r="N232" s="84"/>
      <c r="O232" s="65"/>
      <c r="P232" s="66"/>
      <c r="Q232" s="66"/>
    </row>
    <row r="233" spans="1:17" s="67" customFormat="1">
      <c r="A233" s="65"/>
      <c r="B233" s="83" t="s">
        <v>159</v>
      </c>
      <c r="C233" s="83" t="s">
        <v>152</v>
      </c>
      <c r="D233" s="84"/>
      <c r="E233" s="86"/>
      <c r="F233" s="85"/>
      <c r="G233" s="86"/>
      <c r="H233" s="84"/>
      <c r="I233" s="85"/>
      <c r="J233" s="84"/>
      <c r="K233" s="84"/>
      <c r="L233" s="85"/>
      <c r="M233" s="84"/>
      <c r="N233" s="84"/>
      <c r="O233" s="65"/>
      <c r="P233" s="66"/>
      <c r="Q233" s="66"/>
    </row>
    <row r="234" spans="1:17" s="67" customFormat="1">
      <c r="A234" s="65"/>
      <c r="B234" s="83" t="s">
        <v>160</v>
      </c>
      <c r="C234" s="88" t="s">
        <v>152</v>
      </c>
      <c r="D234" s="84"/>
      <c r="E234" s="86"/>
      <c r="F234" s="85"/>
      <c r="G234" s="86"/>
      <c r="H234" s="84"/>
      <c r="I234" s="85"/>
      <c r="J234" s="84"/>
      <c r="K234" s="84"/>
      <c r="L234" s="85"/>
      <c r="M234" s="84"/>
      <c r="N234" s="84"/>
      <c r="O234" s="65"/>
      <c r="P234" s="66"/>
      <c r="Q234" s="66"/>
    </row>
    <row r="235" spans="1:17" s="67" customFormat="1">
      <c r="A235" s="65"/>
      <c r="B235" s="89" t="s">
        <v>161</v>
      </c>
      <c r="C235" s="90"/>
      <c r="D235" s="91">
        <f>SUM(D226:D234)</f>
        <v>3.415</v>
      </c>
      <c r="E235" s="92">
        <f>SUM(E226:E234)</f>
        <v>7366.0910000000003</v>
      </c>
      <c r="F235" s="93"/>
      <c r="G235" s="92">
        <f>SUM(G226:G234)</f>
        <v>0</v>
      </c>
      <c r="H235" s="92">
        <f>SUM(H226:H234)</f>
        <v>0</v>
      </c>
      <c r="I235" s="93"/>
      <c r="J235" s="92">
        <f>SUM(J226:J234)</f>
        <v>0</v>
      </c>
      <c r="K235" s="92">
        <f>SUM(K226:K234)</f>
        <v>7366.0910000000003</v>
      </c>
      <c r="L235" s="93"/>
      <c r="M235" s="92">
        <f>SUM(M226:M234)</f>
        <v>0</v>
      </c>
      <c r="N235" s="92">
        <f>SUM(N226:N234)</f>
        <v>7366.0910000000003</v>
      </c>
      <c r="O235" s="65"/>
      <c r="P235" s="95">
        <f>+D235+G235+J235+M235</f>
        <v>3.415</v>
      </c>
      <c r="Q235" s="95">
        <f>+E235+H235+K235+N235</f>
        <v>22098.273000000001</v>
      </c>
    </row>
    <row r="236" spans="1:17" s="67" customFormat="1" ht="15" thickBot="1">
      <c r="A236" s="65"/>
      <c r="B236" s="65"/>
      <c r="C236" s="78"/>
      <c r="D236" s="78"/>
      <c r="E236" s="78"/>
      <c r="F236" s="78"/>
      <c r="G236" s="78"/>
      <c r="H236" s="78"/>
      <c r="I236" s="78"/>
      <c r="J236" s="78"/>
      <c r="K236" s="78"/>
      <c r="L236" s="78"/>
      <c r="M236" s="78"/>
      <c r="N236" s="78"/>
      <c r="O236" s="65"/>
      <c r="P236" s="66"/>
      <c r="Q236" s="66"/>
    </row>
    <row r="237" spans="1:17" s="67" customFormat="1" ht="15" thickBot="1">
      <c r="A237" s="65"/>
      <c r="B237" s="79" t="s">
        <v>162</v>
      </c>
      <c r="C237" s="80"/>
      <c r="D237" s="81"/>
      <c r="E237" s="81"/>
      <c r="F237" s="81"/>
      <c r="G237" s="81"/>
      <c r="H237" s="81"/>
      <c r="I237" s="81"/>
      <c r="J237" s="81"/>
      <c r="K237" s="81"/>
      <c r="L237" s="81"/>
      <c r="M237" s="81"/>
      <c r="N237" s="81"/>
      <c r="O237" s="65"/>
      <c r="P237" s="66"/>
      <c r="Q237" s="66"/>
    </row>
    <row r="238" spans="1:17" s="67" customFormat="1" ht="15" thickBot="1">
      <c r="A238" s="65"/>
      <c r="B238" s="83" t="s">
        <v>163</v>
      </c>
      <c r="C238" s="83" t="s">
        <v>164</v>
      </c>
      <c r="D238" s="84">
        <v>1.6386270049557226</v>
      </c>
      <c r="E238" s="103">
        <v>7999.5143027136219</v>
      </c>
      <c r="F238" s="65"/>
      <c r="G238" s="86"/>
      <c r="H238" s="84"/>
      <c r="I238" s="85"/>
      <c r="J238" s="84"/>
      <c r="K238" s="84">
        <f>+E238</f>
        <v>7999.5143027136219</v>
      </c>
      <c r="L238" s="85"/>
      <c r="M238" s="110"/>
      <c r="N238" s="84">
        <f>+K238</f>
        <v>7999.5143027136219</v>
      </c>
      <c r="O238" s="65"/>
      <c r="P238" s="66"/>
      <c r="Q238" s="66"/>
    </row>
    <row r="239" spans="1:17" s="67" customFormat="1" ht="15.75" thickTop="1" thickBot="1">
      <c r="A239" s="65"/>
      <c r="B239" s="83" t="s">
        <v>163</v>
      </c>
      <c r="C239" s="83" t="s">
        <v>165</v>
      </c>
      <c r="D239" s="84">
        <v>3.3613729950442632</v>
      </c>
      <c r="E239" s="103">
        <v>16442.48569728632</v>
      </c>
      <c r="F239" s="65"/>
      <c r="G239" s="86"/>
      <c r="H239" s="84"/>
      <c r="I239" s="85"/>
      <c r="J239" s="84"/>
      <c r="K239" s="84">
        <f>+E239</f>
        <v>16442.48569728632</v>
      </c>
      <c r="L239" s="85"/>
      <c r="M239" s="110"/>
      <c r="N239" s="84">
        <f>+K239</f>
        <v>16442.48569728632</v>
      </c>
      <c r="O239" s="65"/>
      <c r="P239" s="66"/>
      <c r="Q239" s="66"/>
    </row>
    <row r="240" spans="1:17" s="67" customFormat="1" ht="15" thickTop="1">
      <c r="A240" s="65"/>
      <c r="B240" s="83" t="s">
        <v>163</v>
      </c>
      <c r="C240" s="83" t="s">
        <v>111</v>
      </c>
      <c r="D240" s="110"/>
      <c r="E240" s="84"/>
      <c r="F240" s="65"/>
      <c r="G240" s="86"/>
      <c r="H240" s="84"/>
      <c r="I240" s="85"/>
      <c r="J240" s="84"/>
      <c r="K240" s="84"/>
      <c r="L240" s="85"/>
      <c r="M240" s="110"/>
      <c r="N240" s="84"/>
      <c r="O240" s="65"/>
      <c r="P240" s="66"/>
      <c r="Q240" s="66"/>
    </row>
    <row r="241" spans="1:17" s="67" customFormat="1">
      <c r="A241" s="65"/>
      <c r="B241" s="83" t="s">
        <v>163</v>
      </c>
      <c r="C241" s="83" t="s">
        <v>166</v>
      </c>
      <c r="D241" s="84"/>
      <c r="E241" s="84"/>
      <c r="F241" s="65"/>
      <c r="G241" s="86"/>
      <c r="H241" s="84"/>
      <c r="I241" s="85"/>
      <c r="J241" s="84"/>
      <c r="K241" s="84"/>
      <c r="L241" s="85"/>
      <c r="M241" s="84"/>
      <c r="N241" s="84"/>
      <c r="O241" s="65"/>
      <c r="P241" s="66"/>
      <c r="Q241" s="66"/>
    </row>
    <row r="242" spans="1:17" s="67" customFormat="1">
      <c r="A242" s="65"/>
      <c r="B242" s="83" t="s">
        <v>167</v>
      </c>
      <c r="C242" s="83" t="s">
        <v>164</v>
      </c>
      <c r="D242" s="84"/>
      <c r="E242" s="84"/>
      <c r="F242" s="65"/>
      <c r="G242" s="86"/>
      <c r="H242" s="84"/>
      <c r="I242" s="85"/>
      <c r="J242" s="84"/>
      <c r="K242" s="84"/>
      <c r="L242" s="85"/>
      <c r="M242" s="84"/>
      <c r="N242" s="84">
        <f>-3824-3474</f>
        <v>-7298</v>
      </c>
      <c r="O242" s="65"/>
      <c r="P242" s="66"/>
      <c r="Q242" s="66"/>
    </row>
    <row r="243" spans="1:17" s="67" customFormat="1">
      <c r="A243" s="65"/>
      <c r="B243" s="83" t="s">
        <v>168</v>
      </c>
      <c r="C243" s="83"/>
      <c r="D243" s="84"/>
      <c r="E243" s="84"/>
      <c r="F243" s="65"/>
      <c r="G243" s="86"/>
      <c r="H243" s="84"/>
      <c r="I243" s="85"/>
      <c r="J243" s="84"/>
      <c r="K243" s="84"/>
      <c r="L243" s="85"/>
      <c r="M243" s="84"/>
      <c r="N243" s="84"/>
      <c r="O243" s="65"/>
      <c r="P243" s="66"/>
      <c r="Q243" s="66"/>
    </row>
    <row r="244" spans="1:17" s="67" customFormat="1">
      <c r="A244" s="65"/>
      <c r="B244" s="83" t="s">
        <v>169</v>
      </c>
      <c r="C244" s="83" t="s">
        <v>165</v>
      </c>
      <c r="D244" s="84"/>
      <c r="E244" s="84"/>
      <c r="F244" s="65"/>
      <c r="G244" s="86"/>
      <c r="H244" s="84"/>
      <c r="I244" s="85"/>
      <c r="J244" s="84"/>
      <c r="K244" s="84"/>
      <c r="L244" s="85"/>
      <c r="M244" s="84"/>
      <c r="N244" s="84"/>
      <c r="O244" s="65"/>
      <c r="P244" s="66"/>
      <c r="Q244" s="66"/>
    </row>
    <row r="245" spans="1:17" s="67" customFormat="1">
      <c r="A245" s="65"/>
      <c r="B245" s="83" t="s">
        <v>170</v>
      </c>
      <c r="C245" s="83" t="s">
        <v>165</v>
      </c>
      <c r="D245" s="108">
        <v>0.69</v>
      </c>
      <c r="E245" s="108">
        <v>3416.239</v>
      </c>
      <c r="F245" s="65"/>
      <c r="G245" s="86"/>
      <c r="H245" s="84"/>
      <c r="I245" s="85"/>
      <c r="J245" s="84"/>
      <c r="K245" s="84">
        <f>+E245</f>
        <v>3416.239</v>
      </c>
      <c r="L245" s="85"/>
      <c r="M245" s="110"/>
      <c r="N245" s="84">
        <f>+K245</f>
        <v>3416.239</v>
      </c>
      <c r="O245" s="65"/>
      <c r="P245" s="66"/>
      <c r="Q245" s="66"/>
    </row>
    <row r="246" spans="1:17" s="67" customFormat="1">
      <c r="A246" s="65"/>
      <c r="B246" s="83" t="s">
        <v>171</v>
      </c>
      <c r="C246" s="83" t="s">
        <v>165</v>
      </c>
      <c r="D246" s="84"/>
      <c r="E246" s="84"/>
      <c r="F246" s="65"/>
      <c r="G246" s="86"/>
      <c r="H246" s="84"/>
      <c r="I246" s="85"/>
      <c r="J246" s="84"/>
      <c r="K246" s="84"/>
      <c r="L246" s="85"/>
      <c r="M246" s="84"/>
      <c r="N246" s="84"/>
      <c r="O246" s="65"/>
      <c r="P246" s="66"/>
      <c r="Q246" s="66"/>
    </row>
    <row r="247" spans="1:17" s="67" customFormat="1">
      <c r="A247" s="65"/>
      <c r="B247" s="83" t="s">
        <v>172</v>
      </c>
      <c r="C247" s="83"/>
      <c r="D247" s="84"/>
      <c r="E247" s="84"/>
      <c r="F247" s="65"/>
      <c r="G247" s="86"/>
      <c r="H247" s="84"/>
      <c r="I247" s="85"/>
      <c r="J247" s="84"/>
      <c r="K247" s="84"/>
      <c r="L247" s="85"/>
      <c r="M247" s="84"/>
      <c r="N247" s="84"/>
      <c r="O247" s="65"/>
      <c r="P247" s="66"/>
      <c r="Q247" s="66"/>
    </row>
    <row r="248" spans="1:17" s="67" customFormat="1">
      <c r="A248" s="65"/>
      <c r="B248" s="83" t="s">
        <v>105</v>
      </c>
      <c r="C248" s="88"/>
      <c r="D248" s="84"/>
      <c r="E248" s="84"/>
      <c r="F248" s="65"/>
      <c r="G248" s="86"/>
      <c r="H248" s="84"/>
      <c r="I248" s="85"/>
      <c r="J248" s="84"/>
      <c r="K248" s="84"/>
      <c r="L248" s="85"/>
      <c r="M248" s="84"/>
      <c r="N248" s="84"/>
      <c r="O248" s="65"/>
      <c r="P248" s="66"/>
      <c r="Q248" s="66"/>
    </row>
    <row r="249" spans="1:17" s="67" customFormat="1">
      <c r="A249" s="65"/>
      <c r="B249" s="89" t="s">
        <v>173</v>
      </c>
      <c r="C249" s="90"/>
      <c r="D249" s="91">
        <f>SUM(D238:D248)</f>
        <v>5.6899999999999853</v>
      </c>
      <c r="E249" s="92">
        <f>SUM(E238:E248)</f>
        <v>27858.238999999943</v>
      </c>
      <c r="F249" s="93"/>
      <c r="G249" s="91">
        <f>SUM(G238:G248)</f>
        <v>0</v>
      </c>
      <c r="H249" s="92">
        <f>SUM(H238:H248)</f>
        <v>0</v>
      </c>
      <c r="I249" s="93"/>
      <c r="J249" s="91">
        <f>SUM(J238:J248)</f>
        <v>0</v>
      </c>
      <c r="K249" s="92">
        <f>SUM(K238:K248)</f>
        <v>27858.238999999943</v>
      </c>
      <c r="L249" s="93"/>
      <c r="M249" s="91">
        <f>SUM(M238:M248)</f>
        <v>0</v>
      </c>
      <c r="N249" s="92">
        <f>SUM(N238:N248)</f>
        <v>20560.238999999943</v>
      </c>
      <c r="O249" s="65"/>
      <c r="P249" s="95">
        <f>+D249+G249+J249+M249</f>
        <v>5.6899999999999853</v>
      </c>
      <c r="Q249" s="95">
        <f>+E249+H249+K249+N249</f>
        <v>76276.71699999983</v>
      </c>
    </row>
    <row r="250" spans="1:17" s="67" customFormat="1" ht="15" thickBot="1">
      <c r="A250" s="65"/>
      <c r="B250" s="65"/>
      <c r="C250" s="78"/>
      <c r="D250" s="78"/>
      <c r="E250" s="78"/>
      <c r="F250" s="78"/>
      <c r="G250" s="78"/>
      <c r="H250" s="78"/>
      <c r="I250" s="78"/>
      <c r="J250" s="78"/>
      <c r="K250" s="78"/>
      <c r="L250" s="78"/>
      <c r="M250" s="78"/>
      <c r="N250" s="78"/>
      <c r="O250" s="65"/>
      <c r="P250" s="66"/>
      <c r="Q250" s="66"/>
    </row>
    <row r="251" spans="1:17" s="67" customFormat="1" ht="15" thickBot="1">
      <c r="A251" s="65"/>
      <c r="B251" s="79" t="s">
        <v>174</v>
      </c>
      <c r="C251" s="80"/>
      <c r="D251" s="81"/>
      <c r="E251" s="81"/>
      <c r="F251" s="81"/>
      <c r="G251" s="81"/>
      <c r="H251" s="81"/>
      <c r="I251" s="81"/>
      <c r="J251" s="81"/>
      <c r="K251" s="81"/>
      <c r="L251" s="81"/>
      <c r="M251" s="81"/>
      <c r="N251" s="81"/>
      <c r="O251" s="65"/>
      <c r="P251" s="66"/>
      <c r="Q251" s="66"/>
    </row>
    <row r="252" spans="1:17" s="67" customFormat="1">
      <c r="A252" s="65"/>
      <c r="B252" s="83" t="s">
        <v>175</v>
      </c>
      <c r="C252" s="83"/>
      <c r="D252" s="84"/>
      <c r="E252" s="84"/>
      <c r="F252" s="65"/>
      <c r="G252" s="86"/>
      <c r="H252" s="84"/>
      <c r="I252" s="85"/>
      <c r="J252" s="84"/>
      <c r="K252" s="84"/>
      <c r="L252" s="85"/>
      <c r="M252" s="84"/>
      <c r="N252" s="84"/>
      <c r="O252" s="65"/>
      <c r="P252" s="66"/>
      <c r="Q252" s="66"/>
    </row>
    <row r="253" spans="1:17" s="67" customFormat="1">
      <c r="A253" s="65"/>
      <c r="B253" s="83" t="s">
        <v>176</v>
      </c>
      <c r="C253" s="83"/>
      <c r="D253" s="84"/>
      <c r="E253" s="84"/>
      <c r="F253" s="65"/>
      <c r="G253" s="86"/>
      <c r="H253" s="84"/>
      <c r="I253" s="85"/>
      <c r="J253" s="84"/>
      <c r="K253" s="84"/>
      <c r="L253" s="85"/>
      <c r="M253" s="84"/>
      <c r="N253" s="84"/>
      <c r="O253" s="65"/>
      <c r="P253" s="66"/>
      <c r="Q253" s="66"/>
    </row>
    <row r="254" spans="1:17" s="67" customFormat="1">
      <c r="A254" s="65"/>
      <c r="B254" s="83" t="s">
        <v>177</v>
      </c>
      <c r="C254" s="83" t="s">
        <v>111</v>
      </c>
      <c r="D254" s="84"/>
      <c r="E254" s="84"/>
      <c r="F254" s="65"/>
      <c r="G254" s="86"/>
      <c r="H254" s="84"/>
      <c r="I254" s="85"/>
      <c r="J254" s="84"/>
      <c r="K254" s="84"/>
      <c r="L254" s="85"/>
      <c r="M254" s="84"/>
      <c r="N254" s="84"/>
      <c r="O254" s="65"/>
      <c r="P254" s="66"/>
      <c r="Q254" s="66"/>
    </row>
    <row r="255" spans="1:17" s="67" customFormat="1">
      <c r="A255" s="65"/>
      <c r="B255" s="83" t="s">
        <v>163</v>
      </c>
      <c r="C255" s="83" t="s">
        <v>111</v>
      </c>
      <c r="D255" s="84"/>
      <c r="E255" s="84"/>
      <c r="F255" s="65"/>
      <c r="G255" s="86"/>
      <c r="H255" s="84"/>
      <c r="I255" s="85"/>
      <c r="J255" s="84"/>
      <c r="K255" s="84"/>
      <c r="L255" s="85"/>
      <c r="M255" s="84"/>
      <c r="N255" s="84"/>
      <c r="O255" s="65"/>
      <c r="P255" s="66"/>
      <c r="Q255" s="66"/>
    </row>
    <row r="256" spans="1:17" s="67" customFormat="1">
      <c r="A256" s="65"/>
      <c r="B256" s="83" t="s">
        <v>105</v>
      </c>
      <c r="C256" s="83" t="s">
        <v>111</v>
      </c>
      <c r="D256" s="84"/>
      <c r="E256" s="84"/>
      <c r="F256" s="65"/>
      <c r="G256" s="86"/>
      <c r="H256" s="84"/>
      <c r="I256" s="85"/>
      <c r="J256" s="84"/>
      <c r="K256" s="84"/>
      <c r="L256" s="85"/>
      <c r="M256" s="84"/>
      <c r="N256" s="84"/>
      <c r="O256" s="65"/>
      <c r="P256" s="66"/>
      <c r="Q256" s="66"/>
    </row>
    <row r="257" spans="1:17" s="67" customFormat="1">
      <c r="A257" s="65"/>
      <c r="B257" s="89" t="s">
        <v>178</v>
      </c>
      <c r="C257" s="90"/>
      <c r="D257" s="91">
        <f>SUM(D252:D256)</f>
        <v>0</v>
      </c>
      <c r="E257" s="91">
        <f>SUM(E252:E256)</f>
        <v>0</v>
      </c>
      <c r="F257" s="93"/>
      <c r="G257" s="91">
        <f>SUM(G252:G256)</f>
        <v>0</v>
      </c>
      <c r="H257" s="91">
        <f>SUM(H252:H256)</f>
        <v>0</v>
      </c>
      <c r="I257" s="93"/>
      <c r="J257" s="91">
        <f>SUM(J252:J256)</f>
        <v>0</v>
      </c>
      <c r="K257" s="91">
        <f>SUM(K252:K256)</f>
        <v>0</v>
      </c>
      <c r="L257" s="93"/>
      <c r="M257" s="91">
        <f>SUM(M252:M256)</f>
        <v>0</v>
      </c>
      <c r="N257" s="91">
        <f>SUM(N252:N256)</f>
        <v>0</v>
      </c>
      <c r="O257" s="65"/>
      <c r="P257" s="95">
        <f>+D257+G257+J257+M257</f>
        <v>0</v>
      </c>
      <c r="Q257" s="95">
        <f>+E257+H257+K257+N257</f>
        <v>0</v>
      </c>
    </row>
    <row r="258" spans="1:17" s="67" customFormat="1" ht="15" thickBot="1">
      <c r="A258" s="65"/>
      <c r="B258" s="65"/>
      <c r="C258" s="78"/>
      <c r="D258" s="78"/>
      <c r="E258" s="78"/>
      <c r="F258" s="78"/>
      <c r="G258" s="78"/>
      <c r="H258" s="78"/>
      <c r="I258" s="78"/>
      <c r="J258" s="78"/>
      <c r="K258" s="78"/>
      <c r="L258" s="78"/>
      <c r="M258" s="78"/>
      <c r="N258" s="78"/>
      <c r="O258" s="65"/>
      <c r="P258" s="66"/>
      <c r="Q258" s="66"/>
    </row>
    <row r="259" spans="1:17" s="67" customFormat="1" ht="15" thickBot="1">
      <c r="A259" s="65"/>
      <c r="B259" s="79" t="s">
        <v>179</v>
      </c>
      <c r="C259" s="80"/>
      <c r="D259" s="81"/>
      <c r="E259" s="81"/>
      <c r="F259" s="81"/>
      <c r="G259" s="81"/>
      <c r="H259" s="81"/>
      <c r="I259" s="81"/>
      <c r="J259" s="81"/>
      <c r="K259" s="81"/>
      <c r="L259" s="81"/>
      <c r="M259" s="81"/>
      <c r="N259" s="81"/>
      <c r="O259" s="65"/>
      <c r="P259" s="66"/>
      <c r="Q259" s="66"/>
    </row>
    <row r="260" spans="1:17" s="67" customFormat="1">
      <c r="A260" s="65"/>
      <c r="B260" s="83" t="s">
        <v>179</v>
      </c>
      <c r="C260" s="83" t="s">
        <v>152</v>
      </c>
      <c r="D260" s="84"/>
      <c r="E260" s="84"/>
      <c r="F260" s="65"/>
      <c r="G260" s="86"/>
      <c r="H260" s="84"/>
      <c r="I260" s="85"/>
      <c r="J260" s="84"/>
      <c r="K260" s="84"/>
      <c r="L260" s="85"/>
      <c r="M260" s="84"/>
      <c r="N260" s="84"/>
      <c r="O260" s="65"/>
      <c r="P260" s="66"/>
      <c r="Q260" s="66"/>
    </row>
    <row r="261" spans="1:17" s="67" customFormat="1">
      <c r="A261" s="65"/>
      <c r="B261" s="89" t="s">
        <v>180</v>
      </c>
      <c r="C261" s="90"/>
      <c r="D261" s="91">
        <f>SUM(D260)</f>
        <v>0</v>
      </c>
      <c r="E261" s="91">
        <f>SUM(E260)</f>
        <v>0</v>
      </c>
      <c r="F261" s="93"/>
      <c r="G261" s="91">
        <f>SUM(G260)</f>
        <v>0</v>
      </c>
      <c r="H261" s="91">
        <f>SUM(H260)</f>
        <v>0</v>
      </c>
      <c r="I261" s="93"/>
      <c r="J261" s="91">
        <f>SUM(J260)</f>
        <v>0</v>
      </c>
      <c r="K261" s="91">
        <f>SUM(K260)</f>
        <v>0</v>
      </c>
      <c r="L261" s="93"/>
      <c r="M261" s="91">
        <f>SUM(M260)</f>
        <v>0</v>
      </c>
      <c r="N261" s="91">
        <f>SUM(N260)</f>
        <v>0</v>
      </c>
      <c r="O261" s="65"/>
      <c r="P261" s="95">
        <f>+D261+G261+J261+M261</f>
        <v>0</v>
      </c>
      <c r="Q261" s="95">
        <f>+E261+H261+K261+N261</f>
        <v>0</v>
      </c>
    </row>
    <row r="262" spans="1:17" s="67" customFormat="1" ht="15" thickBot="1">
      <c r="A262" s="65"/>
      <c r="B262" s="65"/>
      <c r="C262" s="78"/>
      <c r="D262" s="78"/>
      <c r="E262" s="78"/>
      <c r="F262" s="78"/>
      <c r="G262" s="78"/>
      <c r="H262" s="78"/>
      <c r="I262" s="78"/>
      <c r="J262" s="78"/>
      <c r="K262" s="78"/>
      <c r="L262" s="78"/>
      <c r="M262" s="78"/>
      <c r="N262" s="78"/>
      <c r="O262" s="65"/>
      <c r="P262" s="66"/>
      <c r="Q262" s="66"/>
    </row>
    <row r="263" spans="1:17" s="67" customFormat="1" ht="15" thickBot="1">
      <c r="A263" s="65"/>
      <c r="B263" s="79" t="s">
        <v>181</v>
      </c>
      <c r="C263" s="80"/>
      <c r="D263" s="81"/>
      <c r="E263" s="81"/>
      <c r="F263" s="81"/>
      <c r="G263" s="81"/>
      <c r="H263" s="81"/>
      <c r="I263" s="81"/>
      <c r="J263" s="81"/>
      <c r="K263" s="81"/>
      <c r="L263" s="81"/>
      <c r="M263" s="81"/>
      <c r="N263" s="81"/>
      <c r="O263" s="65"/>
      <c r="P263" s="66"/>
      <c r="Q263" s="66"/>
    </row>
    <row r="264" spans="1:17" s="67" customFormat="1">
      <c r="A264" s="65"/>
      <c r="B264" s="83" t="s">
        <v>179</v>
      </c>
      <c r="C264" s="83"/>
      <c r="D264" s="84"/>
      <c r="E264" s="84"/>
      <c r="F264" s="65"/>
      <c r="G264" s="86"/>
      <c r="H264" s="84"/>
      <c r="I264" s="85"/>
      <c r="J264" s="84"/>
      <c r="K264" s="84"/>
      <c r="L264" s="85"/>
      <c r="M264" s="84"/>
      <c r="N264" s="84"/>
      <c r="O264" s="65"/>
      <c r="P264" s="66"/>
      <c r="Q264" s="66"/>
    </row>
    <row r="265" spans="1:17" s="67" customFormat="1">
      <c r="A265" s="65"/>
      <c r="B265" s="83" t="s">
        <v>167</v>
      </c>
      <c r="C265" s="83"/>
      <c r="D265" s="84"/>
      <c r="E265" s="84"/>
      <c r="F265" s="65"/>
      <c r="G265" s="86"/>
      <c r="H265" s="84"/>
      <c r="I265" s="85"/>
      <c r="J265" s="84"/>
      <c r="K265" s="84"/>
      <c r="L265" s="85"/>
      <c r="M265" s="84"/>
      <c r="N265" s="84"/>
      <c r="O265" s="65"/>
      <c r="P265" s="66"/>
      <c r="Q265" s="66"/>
    </row>
    <row r="266" spans="1:17" s="67" customFormat="1">
      <c r="A266" s="65"/>
      <c r="B266" s="89" t="s">
        <v>182</v>
      </c>
      <c r="C266" s="90"/>
      <c r="D266" s="91">
        <f>SUM(D264:D265)</f>
        <v>0</v>
      </c>
      <c r="E266" s="91">
        <f>SUM(E264:E265)</f>
        <v>0</v>
      </c>
      <c r="F266" s="93"/>
      <c r="G266" s="91">
        <f>SUM(G264:G265)</f>
        <v>0</v>
      </c>
      <c r="H266" s="91">
        <f>SUM(H264:H265)</f>
        <v>0</v>
      </c>
      <c r="I266" s="93"/>
      <c r="J266" s="91">
        <f>SUM(J264:J265)</f>
        <v>0</v>
      </c>
      <c r="K266" s="91">
        <f>SUM(K264:K265)</f>
        <v>0</v>
      </c>
      <c r="L266" s="93"/>
      <c r="M266" s="91">
        <f>SUM(M264:M265)</f>
        <v>0</v>
      </c>
      <c r="N266" s="91">
        <f>SUM(N264:N265)</f>
        <v>0</v>
      </c>
      <c r="O266" s="65"/>
      <c r="P266" s="95">
        <f>+D266+G266+J266+M266</f>
        <v>0</v>
      </c>
      <c r="Q266" s="95">
        <f>+E266+H266+K266+N266</f>
        <v>0</v>
      </c>
    </row>
    <row r="267" spans="1:17" s="67" customFormat="1" ht="15" thickBot="1">
      <c r="A267" s="65"/>
      <c r="B267" s="65"/>
      <c r="C267" s="78"/>
      <c r="D267" s="78"/>
      <c r="E267" s="78"/>
      <c r="F267" s="78"/>
      <c r="G267" s="78"/>
      <c r="H267" s="78"/>
      <c r="I267" s="78"/>
      <c r="J267" s="78"/>
      <c r="K267" s="78"/>
      <c r="L267" s="78"/>
      <c r="M267" s="78"/>
      <c r="N267" s="78"/>
      <c r="O267" s="65"/>
      <c r="P267" s="66"/>
      <c r="Q267" s="66"/>
    </row>
    <row r="268" spans="1:17" s="67" customFormat="1" ht="15" thickBot="1">
      <c r="A268" s="65"/>
      <c r="B268" s="79" t="s">
        <v>183</v>
      </c>
      <c r="C268" s="80"/>
      <c r="D268" s="81"/>
      <c r="E268" s="81"/>
      <c r="F268" s="81"/>
      <c r="G268" s="81"/>
      <c r="H268" s="81"/>
      <c r="I268" s="81"/>
      <c r="J268" s="81"/>
      <c r="K268" s="81"/>
      <c r="L268" s="81"/>
      <c r="M268" s="81"/>
      <c r="N268" s="81"/>
      <c r="O268" s="65"/>
      <c r="P268" s="66"/>
      <c r="Q268" s="66"/>
    </row>
    <row r="269" spans="1:17" s="67" customFormat="1">
      <c r="A269" s="65"/>
      <c r="B269" s="83" t="s">
        <v>184</v>
      </c>
      <c r="C269" s="83" t="s">
        <v>165</v>
      </c>
      <c r="D269" s="84"/>
      <c r="E269" s="84"/>
      <c r="F269" s="65"/>
      <c r="G269" s="86"/>
      <c r="H269" s="84"/>
      <c r="I269" s="85"/>
      <c r="J269" s="84"/>
      <c r="K269" s="84"/>
      <c r="L269" s="85"/>
      <c r="M269" s="84"/>
      <c r="N269" s="84"/>
      <c r="O269" s="65"/>
      <c r="P269" s="66"/>
      <c r="Q269" s="66"/>
    </row>
    <row r="270" spans="1:17" s="67" customFormat="1">
      <c r="A270" s="65"/>
      <c r="B270" s="83" t="s">
        <v>103</v>
      </c>
      <c r="C270" s="83" t="s">
        <v>165</v>
      </c>
      <c r="D270" s="108">
        <v>29.65</v>
      </c>
      <c r="E270" s="84"/>
      <c r="F270" s="65"/>
      <c r="G270" s="86"/>
      <c r="H270" s="84"/>
      <c r="I270" s="85"/>
      <c r="J270" s="84"/>
      <c r="K270" s="84"/>
      <c r="L270" s="85"/>
      <c r="M270" s="84"/>
      <c r="N270" s="84"/>
      <c r="O270" s="65"/>
      <c r="P270" s="66"/>
      <c r="Q270" s="66"/>
    </row>
    <row r="271" spans="1:17" s="67" customFormat="1">
      <c r="A271" s="65"/>
      <c r="B271" s="83" t="s">
        <v>185</v>
      </c>
      <c r="C271" s="83"/>
      <c r="D271" s="84"/>
      <c r="E271" s="84"/>
      <c r="F271" s="65"/>
      <c r="G271" s="86"/>
      <c r="H271" s="84"/>
      <c r="I271" s="85"/>
      <c r="J271" s="84"/>
      <c r="K271" s="84"/>
      <c r="L271" s="85"/>
      <c r="M271" s="84"/>
      <c r="N271" s="84"/>
      <c r="O271" s="65"/>
      <c r="P271" s="66"/>
      <c r="Q271" s="66"/>
    </row>
    <row r="272" spans="1:17" s="67" customFormat="1">
      <c r="A272" s="65"/>
      <c r="B272" s="83" t="s">
        <v>186</v>
      </c>
      <c r="C272" s="83"/>
      <c r="D272" s="84"/>
      <c r="E272" s="84"/>
      <c r="F272" s="65"/>
      <c r="G272" s="86"/>
      <c r="H272" s="84"/>
      <c r="I272" s="85"/>
      <c r="J272" s="84"/>
      <c r="K272" s="84"/>
      <c r="L272" s="85"/>
      <c r="M272" s="84"/>
      <c r="N272" s="84"/>
      <c r="O272" s="65"/>
      <c r="P272" s="66"/>
      <c r="Q272" s="66"/>
    </row>
    <row r="273" spans="1:17" s="67" customFormat="1">
      <c r="A273" s="65"/>
      <c r="B273" s="83" t="s">
        <v>187</v>
      </c>
      <c r="C273" s="83"/>
      <c r="D273" s="84"/>
      <c r="E273" s="84"/>
      <c r="F273" s="65"/>
      <c r="G273" s="86"/>
      <c r="H273" s="84"/>
      <c r="I273" s="85"/>
      <c r="J273" s="84"/>
      <c r="K273" s="84"/>
      <c r="L273" s="85"/>
      <c r="M273" s="84"/>
      <c r="N273" s="84"/>
      <c r="O273" s="65"/>
      <c r="P273" s="66"/>
      <c r="Q273" s="66"/>
    </row>
    <row r="274" spans="1:17" s="67" customFormat="1">
      <c r="A274" s="65"/>
      <c r="B274" s="89" t="s">
        <v>188</v>
      </c>
      <c r="C274" s="90"/>
      <c r="D274" s="91">
        <f>SUM(D269:D273)</f>
        <v>29.65</v>
      </c>
      <c r="E274" s="91">
        <f>SUM(E269:E273)</f>
        <v>0</v>
      </c>
      <c r="F274" s="93"/>
      <c r="G274" s="91">
        <f>SUM(G269:G273)</f>
        <v>0</v>
      </c>
      <c r="H274" s="91">
        <f>SUM(H269:H273)</f>
        <v>0</v>
      </c>
      <c r="I274" s="93"/>
      <c r="J274" s="91">
        <f>SUM(J269:J273)</f>
        <v>0</v>
      </c>
      <c r="K274" s="91">
        <f>SUM(K269:K273)</f>
        <v>0</v>
      </c>
      <c r="L274" s="93"/>
      <c r="M274" s="91">
        <f>SUM(M269:M273)</f>
        <v>0</v>
      </c>
      <c r="N274" s="91">
        <f>SUM(N269:N273)</f>
        <v>0</v>
      </c>
      <c r="O274" s="65"/>
      <c r="P274" s="95">
        <f>+D274+G274+J274+M274</f>
        <v>29.65</v>
      </c>
      <c r="Q274" s="95">
        <f>+E274+H274+K274+N274</f>
        <v>0</v>
      </c>
    </row>
    <row r="275" spans="1:17" s="67" customFormat="1" ht="15" thickBot="1">
      <c r="A275" s="65"/>
      <c r="B275" s="65"/>
      <c r="C275" s="78"/>
      <c r="D275" s="78"/>
      <c r="E275" s="78"/>
      <c r="F275" s="78"/>
      <c r="G275" s="78"/>
      <c r="H275" s="78"/>
      <c r="I275" s="78"/>
      <c r="J275" s="78"/>
      <c r="K275" s="78"/>
      <c r="L275" s="78"/>
      <c r="M275" s="78"/>
      <c r="N275" s="78"/>
      <c r="O275" s="65"/>
      <c r="P275" s="66"/>
      <c r="Q275" s="66"/>
    </row>
    <row r="276" spans="1:17" s="67" customFormat="1" ht="15" thickBot="1">
      <c r="A276" s="65"/>
      <c r="B276" s="79" t="s">
        <v>189</v>
      </c>
      <c r="C276" s="80"/>
      <c r="D276" s="81"/>
      <c r="E276" s="81"/>
      <c r="F276" s="81"/>
      <c r="G276" s="81"/>
      <c r="H276" s="81"/>
      <c r="I276" s="81"/>
      <c r="J276" s="81"/>
      <c r="K276" s="81"/>
      <c r="L276" s="81"/>
      <c r="M276" s="81"/>
      <c r="N276" s="81"/>
      <c r="O276" s="65"/>
      <c r="P276" s="66"/>
      <c r="Q276" s="66"/>
    </row>
    <row r="277" spans="1:17" s="67" customFormat="1">
      <c r="A277" s="65"/>
      <c r="B277" s="83" t="s">
        <v>190</v>
      </c>
      <c r="C277" s="83" t="s">
        <v>165</v>
      </c>
      <c r="D277" s="112">
        <v>54.521999999999998</v>
      </c>
      <c r="E277" s="112">
        <v>47644.84</v>
      </c>
      <c r="F277" s="65"/>
      <c r="G277" s="86"/>
      <c r="H277" s="84"/>
      <c r="I277" s="85"/>
      <c r="J277" s="84"/>
      <c r="K277" s="84">
        <f>+E277</f>
        <v>47644.84</v>
      </c>
      <c r="L277" s="85"/>
      <c r="M277" s="96"/>
      <c r="N277" s="84">
        <f>+K277</f>
        <v>47644.84</v>
      </c>
      <c r="O277" s="65"/>
      <c r="P277" s="66"/>
      <c r="Q277" s="66"/>
    </row>
    <row r="278" spans="1:17" s="67" customFormat="1">
      <c r="A278" s="65"/>
      <c r="B278" s="83" t="s">
        <v>191</v>
      </c>
      <c r="C278" s="83" t="s">
        <v>192</v>
      </c>
      <c r="D278" s="84"/>
      <c r="E278" s="84"/>
      <c r="F278" s="65"/>
      <c r="G278" s="86"/>
      <c r="H278" s="84"/>
      <c r="I278" s="85"/>
      <c r="J278" s="84"/>
      <c r="K278" s="84"/>
      <c r="L278" s="85"/>
      <c r="M278" s="84"/>
      <c r="N278" s="84"/>
      <c r="O278" s="65"/>
      <c r="P278" s="66"/>
      <c r="Q278" s="66"/>
    </row>
    <row r="279" spans="1:17" s="67" customFormat="1">
      <c r="A279" s="65"/>
      <c r="B279" s="83" t="s">
        <v>193</v>
      </c>
      <c r="C279" s="83"/>
      <c r="D279" s="84"/>
      <c r="E279" s="84"/>
      <c r="F279" s="65"/>
      <c r="G279" s="86"/>
      <c r="H279" s="84"/>
      <c r="I279" s="85"/>
      <c r="J279" s="84"/>
      <c r="K279" s="84"/>
      <c r="L279" s="85"/>
      <c r="M279" s="84"/>
      <c r="N279" s="84"/>
      <c r="O279" s="65"/>
      <c r="P279" s="66"/>
      <c r="Q279" s="66"/>
    </row>
    <row r="280" spans="1:17" s="67" customFormat="1">
      <c r="A280" s="65"/>
      <c r="B280" s="89" t="s">
        <v>194</v>
      </c>
      <c r="C280" s="90"/>
      <c r="D280" s="91">
        <f>SUM(D277:D279)</f>
        <v>54.521999999999998</v>
      </c>
      <c r="E280" s="91">
        <f>SUM(E277:E279)</f>
        <v>47644.84</v>
      </c>
      <c r="F280" s="93"/>
      <c r="G280" s="91">
        <f>SUM(G277:G279)</f>
        <v>0</v>
      </c>
      <c r="H280" s="91">
        <f>SUM(H277:H279)</f>
        <v>0</v>
      </c>
      <c r="I280" s="93"/>
      <c r="J280" s="91">
        <f>SUM(J277:J279)</f>
        <v>0</v>
      </c>
      <c r="K280" s="91">
        <f>SUM(K277:K279)</f>
        <v>47644.84</v>
      </c>
      <c r="L280" s="93"/>
      <c r="M280" s="91">
        <f>SUM(M277:M279)</f>
        <v>0</v>
      </c>
      <c r="N280" s="91">
        <f>SUM(N277:N279)</f>
        <v>47644.84</v>
      </c>
      <c r="O280" s="65"/>
      <c r="P280" s="95">
        <f>+D280+G280+J280+M280</f>
        <v>54.521999999999998</v>
      </c>
      <c r="Q280" s="95">
        <f>+E280+H280+K280+N280</f>
        <v>142934.51999999999</v>
      </c>
    </row>
    <row r="282" spans="1:17" s="67" customFormat="1" ht="15.75" thickBot="1">
      <c r="A282" s="65"/>
      <c r="B282" s="65"/>
      <c r="C282" s="98"/>
      <c r="D282" s="99">
        <f>+D280+D274+D266+D261+D257+D249+D235</f>
        <v>93.276999999999987</v>
      </c>
      <c r="E282" s="99">
        <f>+E280+E274+E266+E261+E257+E249+E235</f>
        <v>82869.16999999994</v>
      </c>
      <c r="F282" s="98"/>
      <c r="G282" s="99">
        <f>+G280+G274+G266+G261+G257+G249+G235</f>
        <v>0</v>
      </c>
      <c r="H282" s="99">
        <f>+H280+H274+H266+H261+H257+H249+H235</f>
        <v>0</v>
      </c>
      <c r="I282" s="98"/>
      <c r="J282" s="99">
        <f>+J280+J274+J266+J261+J257+J249+J235</f>
        <v>0</v>
      </c>
      <c r="K282" s="99">
        <f>+K280+K274+K266+K261+K257+K249+K235</f>
        <v>82869.16999999994</v>
      </c>
      <c r="L282" s="98"/>
      <c r="M282" s="99">
        <f>+M280+M274+M266+M261+M257+M249+M235</f>
        <v>0</v>
      </c>
      <c r="N282" s="99">
        <f>+N280+N274+N266+N261+N257+N249+N235</f>
        <v>75571.16999999994</v>
      </c>
      <c r="O282" s="98"/>
      <c r="P282" s="99">
        <f>+P280+P274+P266+P261+P257+P249+P235</f>
        <v>93.276999999999987</v>
      </c>
      <c r="Q282" s="99">
        <f>+Q280+Q274+Q266+Q261+Q257+Q249+Q235</f>
        <v>241309.50999999983</v>
      </c>
    </row>
    <row r="283" spans="1:17" s="67" customFormat="1" ht="15" thickTop="1">
      <c r="A283" s="65"/>
      <c r="B283" s="65"/>
      <c r="C283" s="98"/>
      <c r="D283" s="65"/>
      <c r="E283" s="65"/>
      <c r="F283" s="65"/>
      <c r="G283" s="65"/>
      <c r="H283" s="65"/>
      <c r="I283" s="65"/>
      <c r="J283" s="65"/>
      <c r="K283" s="65"/>
      <c r="L283" s="65"/>
      <c r="M283" s="65"/>
      <c r="N283" s="65"/>
      <c r="O283" s="65"/>
      <c r="P283" s="66"/>
      <c r="Q283" s="66"/>
    </row>
    <row r="284" spans="1:17" s="67" customFormat="1">
      <c r="A284" s="65"/>
      <c r="B284" s="65"/>
      <c r="C284" s="98"/>
      <c r="D284" s="65"/>
      <c r="E284" s="65"/>
      <c r="F284" s="65"/>
      <c r="G284" s="65"/>
      <c r="H284" s="65"/>
      <c r="I284" s="65"/>
      <c r="J284" s="65"/>
      <c r="K284" s="65"/>
      <c r="L284" s="65"/>
      <c r="M284" s="65"/>
      <c r="N284" s="65"/>
      <c r="O284" s="65"/>
      <c r="P284" s="66"/>
      <c r="Q284" s="66"/>
    </row>
    <row r="285" spans="1:17" s="67" customFormat="1">
      <c r="A285" s="65"/>
      <c r="B285" s="97" t="s">
        <v>202</v>
      </c>
      <c r="C285" s="98"/>
      <c r="D285" s="65"/>
      <c r="E285" s="65"/>
      <c r="F285" s="65"/>
      <c r="G285" s="65"/>
      <c r="H285" s="65"/>
      <c r="I285" s="65"/>
      <c r="J285" s="65"/>
      <c r="K285" s="65"/>
      <c r="L285" s="65"/>
      <c r="M285" s="65"/>
      <c r="N285" s="65"/>
      <c r="O285" s="65"/>
      <c r="P285" s="66"/>
      <c r="Q285" s="66"/>
    </row>
    <row r="286" spans="1:17" s="67" customFormat="1">
      <c r="A286" s="65"/>
      <c r="B286" s="97" t="s">
        <v>217</v>
      </c>
      <c r="C286" s="98"/>
      <c r="D286" s="65"/>
      <c r="E286" s="65"/>
      <c r="F286" s="65"/>
      <c r="G286" s="65"/>
      <c r="H286" s="65"/>
      <c r="I286" s="65"/>
      <c r="J286" s="65"/>
      <c r="K286" s="65"/>
      <c r="L286" s="65"/>
      <c r="M286" s="65"/>
      <c r="N286" s="65"/>
      <c r="O286" s="65"/>
      <c r="P286" s="66"/>
      <c r="Q286" s="66"/>
    </row>
    <row r="287" spans="1:17" s="67" customFormat="1">
      <c r="A287" s="65"/>
      <c r="B287" s="107" t="s">
        <v>218</v>
      </c>
      <c r="C287" s="97"/>
      <c r="D287" s="65"/>
      <c r="E287" s="65"/>
      <c r="F287" s="65"/>
      <c r="G287" s="65"/>
      <c r="H287" s="65"/>
      <c r="I287" s="65"/>
      <c r="J287" s="65"/>
      <c r="K287" s="65"/>
      <c r="L287" s="65"/>
      <c r="M287" s="65"/>
      <c r="N287" s="65"/>
      <c r="O287" s="65"/>
      <c r="P287" s="66"/>
      <c r="Q287" s="66"/>
    </row>
    <row r="288" spans="1:17" s="67" customFormat="1">
      <c r="A288" s="65"/>
      <c r="B288" s="97" t="s">
        <v>205</v>
      </c>
      <c r="C288" s="65"/>
      <c r="D288" s="65"/>
      <c r="E288" s="65"/>
      <c r="F288" s="65"/>
      <c r="G288" s="65"/>
      <c r="H288" s="65"/>
      <c r="I288" s="65"/>
      <c r="J288" s="65"/>
      <c r="K288" s="65"/>
      <c r="L288" s="65"/>
      <c r="M288" s="65"/>
      <c r="N288" s="65"/>
      <c r="O288" s="65"/>
      <c r="P288" s="66"/>
      <c r="Q288" s="66"/>
    </row>
    <row r="289" spans="1:17" s="67" customFormat="1">
      <c r="A289" s="65"/>
      <c r="B289" s="107" t="s">
        <v>219</v>
      </c>
      <c r="C289" s="65"/>
      <c r="D289" s="65"/>
      <c r="E289" s="65"/>
      <c r="F289" s="65"/>
      <c r="G289" s="65"/>
      <c r="H289" s="65"/>
      <c r="I289" s="65"/>
      <c r="J289" s="65"/>
      <c r="K289" s="65"/>
      <c r="L289" s="65"/>
      <c r="M289" s="65"/>
      <c r="N289" s="65"/>
      <c r="O289" s="65"/>
      <c r="P289" s="66"/>
      <c r="Q289" s="66"/>
    </row>
    <row r="295" spans="1:17" s="67" customFormat="1" ht="18">
      <c r="A295" s="64" t="s">
        <v>220</v>
      </c>
      <c r="B295" s="65"/>
      <c r="C295" s="65"/>
      <c r="D295" s="65"/>
      <c r="E295" s="65"/>
      <c r="F295" s="65"/>
      <c r="G295" s="65"/>
      <c r="H295" s="65"/>
      <c r="I295" s="65"/>
      <c r="J295" s="65"/>
      <c r="K295" s="65"/>
      <c r="L295" s="65"/>
      <c r="M295" s="65"/>
      <c r="N295" s="65"/>
      <c r="O295" s="65"/>
      <c r="P295" s="66"/>
      <c r="Q295" s="66"/>
    </row>
    <row r="297" spans="1:17" s="67" customFormat="1" ht="15">
      <c r="A297" s="68"/>
      <c r="B297" s="68"/>
      <c r="C297" s="68"/>
      <c r="D297" s="206">
        <v>2013</v>
      </c>
      <c r="E297" s="206"/>
      <c r="F297" s="69"/>
      <c r="G297" s="207"/>
      <c r="H297" s="207"/>
      <c r="I297" s="70"/>
      <c r="J297" s="207">
        <v>2013</v>
      </c>
      <c r="K297" s="207"/>
      <c r="L297" s="70"/>
      <c r="M297" s="207">
        <v>2014</v>
      </c>
      <c r="N297" s="207"/>
      <c r="O297" s="68"/>
      <c r="P297" s="66"/>
      <c r="Q297" s="66"/>
    </row>
    <row r="298" spans="1:17" s="67" customFormat="1" ht="18">
      <c r="A298" s="71"/>
      <c r="B298" s="72"/>
      <c r="C298" s="72"/>
      <c r="D298" s="208" t="s">
        <v>145</v>
      </c>
      <c r="E298" s="208"/>
      <c r="F298" s="73"/>
      <c r="G298" s="207" t="s">
        <v>221</v>
      </c>
      <c r="H298" s="207"/>
      <c r="I298" s="207"/>
      <c r="J298" s="207"/>
      <c r="K298" s="207"/>
      <c r="L298" s="207"/>
      <c r="M298" s="207"/>
      <c r="N298" s="207"/>
      <c r="O298" s="72"/>
      <c r="P298" s="66"/>
      <c r="Q298" s="66"/>
    </row>
    <row r="299" spans="1:17" s="67" customFormat="1" ht="15">
      <c r="A299" s="74"/>
      <c r="B299" s="72"/>
      <c r="C299" s="72"/>
      <c r="D299" s="72"/>
      <c r="E299" s="72"/>
      <c r="F299" s="72"/>
      <c r="G299" s="72"/>
      <c r="H299" s="72"/>
      <c r="I299" s="72"/>
      <c r="J299" s="72"/>
      <c r="K299" s="72"/>
      <c r="L299" s="72"/>
      <c r="M299" s="72"/>
      <c r="N299" s="72"/>
      <c r="O299" s="72"/>
      <c r="P299" s="205" t="s">
        <v>5</v>
      </c>
      <c r="Q299" s="205"/>
    </row>
    <row r="300" spans="1:17" s="67" customFormat="1" ht="51">
      <c r="A300" s="74"/>
      <c r="B300" s="75" t="s">
        <v>222</v>
      </c>
      <c r="C300" s="75"/>
      <c r="D300" s="76" t="str">
        <f>+$D$6</f>
        <v>Peak Demand Savings (kW)</v>
      </c>
      <c r="E300" s="76" t="str">
        <f>+$E$6</f>
        <v>Energy Savings (kWh)</v>
      </c>
      <c r="G300" s="76" t="str">
        <f>+$G$6</f>
        <v>Peak Demand Savings (kW)</v>
      </c>
      <c r="H300" s="76" t="str">
        <f>+$H$6</f>
        <v>Energy Savings (kWh)</v>
      </c>
      <c r="J300" s="76" t="str">
        <f>+$J$6</f>
        <v>Peak Demand Savings (kW)</v>
      </c>
      <c r="K300" s="76" t="str">
        <f>+$K$6</f>
        <v>Energy Savings (kWh)</v>
      </c>
      <c r="M300" s="76" t="str">
        <f>+$M$6</f>
        <v>Peak Demand Savings (kW)</v>
      </c>
      <c r="N300" s="76" t="str">
        <f>+$N$6</f>
        <v>Energy Savings (kWh)</v>
      </c>
      <c r="O300" s="65"/>
      <c r="P300" s="77" t="str">
        <f>+$P$6</f>
        <v>Peak Demand Savings (kW)</v>
      </c>
      <c r="Q300" s="77" t="str">
        <f>+$Q$6</f>
        <v>Energy Savings (kWh)</v>
      </c>
    </row>
    <row r="301" spans="1:17" s="67" customFormat="1" ht="15" thickBot="1">
      <c r="A301" s="74"/>
      <c r="B301" s="78"/>
      <c r="C301" s="78"/>
      <c r="D301" s="78"/>
      <c r="E301" s="78"/>
      <c r="F301" s="78"/>
      <c r="G301" s="78"/>
      <c r="H301" s="78"/>
      <c r="I301" s="78"/>
      <c r="J301" s="78"/>
      <c r="K301" s="78"/>
      <c r="L301" s="78"/>
      <c r="M301" s="78"/>
      <c r="N301" s="78"/>
      <c r="O301" s="72"/>
      <c r="P301" s="66"/>
      <c r="Q301" s="66"/>
    </row>
    <row r="302" spans="1:17" s="67" customFormat="1" ht="15" thickBot="1">
      <c r="A302" s="74"/>
      <c r="B302" s="79" t="s">
        <v>150</v>
      </c>
      <c r="C302" s="80"/>
      <c r="D302" s="81"/>
      <c r="E302" s="81"/>
      <c r="F302" s="81"/>
      <c r="G302" s="81"/>
      <c r="H302" s="81"/>
      <c r="I302" s="81"/>
      <c r="J302" s="81"/>
      <c r="K302" s="81"/>
      <c r="L302" s="81"/>
      <c r="M302" s="81"/>
      <c r="N302" s="81"/>
      <c r="O302" s="72"/>
      <c r="P302" s="66"/>
      <c r="Q302" s="66"/>
    </row>
    <row r="303" spans="1:17" s="67" customFormat="1" ht="18" customHeight="1">
      <c r="A303" s="82"/>
      <c r="B303" s="83" t="s">
        <v>151</v>
      </c>
      <c r="C303" s="83" t="s">
        <v>152</v>
      </c>
      <c r="D303" s="108">
        <v>17.181999999999999</v>
      </c>
      <c r="E303" s="108">
        <v>115058.878</v>
      </c>
      <c r="F303" s="85"/>
      <c r="G303" s="84"/>
      <c r="H303" s="84"/>
      <c r="I303" s="85"/>
      <c r="J303" s="84"/>
      <c r="K303" s="84"/>
      <c r="L303" s="85"/>
      <c r="M303" s="84"/>
      <c r="N303" s="84">
        <f t="shared" ref="N303:N311" si="5">+E303</f>
        <v>115058.878</v>
      </c>
      <c r="O303" s="72"/>
      <c r="P303" s="66"/>
      <c r="Q303" s="66"/>
    </row>
    <row r="304" spans="1:17" s="67" customFormat="1" ht="18" customHeight="1">
      <c r="A304" s="82"/>
      <c r="B304" s="83" t="s">
        <v>153</v>
      </c>
      <c r="C304" s="83" t="s">
        <v>152</v>
      </c>
      <c r="D304" s="108">
        <v>20.512</v>
      </c>
      <c r="E304" s="108">
        <v>36574.548000000003</v>
      </c>
      <c r="F304" s="85"/>
      <c r="G304" s="86"/>
      <c r="H304" s="84"/>
      <c r="I304" s="85"/>
      <c r="J304" s="84"/>
      <c r="K304" s="84"/>
      <c r="L304" s="85"/>
      <c r="M304" s="84"/>
      <c r="N304" s="84">
        <f t="shared" si="5"/>
        <v>36574.548000000003</v>
      </c>
      <c r="O304" s="72"/>
      <c r="P304" s="66"/>
      <c r="Q304" s="66"/>
    </row>
    <row r="305" spans="1:17" s="67" customFormat="1" ht="18" customHeight="1">
      <c r="A305" s="82"/>
      <c r="B305" s="83" t="s">
        <v>154</v>
      </c>
      <c r="C305" s="83" t="s">
        <v>152</v>
      </c>
      <c r="D305" s="108">
        <v>78.116</v>
      </c>
      <c r="E305" s="108">
        <v>144494.291</v>
      </c>
      <c r="F305" s="85"/>
      <c r="G305" s="86"/>
      <c r="H305" s="84"/>
      <c r="I305" s="85"/>
      <c r="J305" s="84"/>
      <c r="K305" s="84"/>
      <c r="L305" s="85"/>
      <c r="M305" s="84"/>
      <c r="N305" s="84">
        <f t="shared" si="5"/>
        <v>144494.291</v>
      </c>
      <c r="O305" s="72"/>
      <c r="P305" s="66"/>
      <c r="Q305" s="66"/>
    </row>
    <row r="306" spans="1:17" s="67" customFormat="1" ht="18" customHeight="1">
      <c r="A306" s="82"/>
      <c r="B306" s="83" t="s">
        <v>155</v>
      </c>
      <c r="C306" s="83" t="s">
        <v>152</v>
      </c>
      <c r="D306" s="108">
        <v>4.5140000000000002</v>
      </c>
      <c r="E306" s="108">
        <v>67349.565000000002</v>
      </c>
      <c r="F306" s="85"/>
      <c r="G306" s="86"/>
      <c r="H306" s="84"/>
      <c r="I306" s="85"/>
      <c r="J306" s="84"/>
      <c r="K306" s="84"/>
      <c r="L306" s="85"/>
      <c r="M306" s="84"/>
      <c r="N306" s="84">
        <f t="shared" si="5"/>
        <v>67349.565000000002</v>
      </c>
      <c r="O306" s="72"/>
      <c r="P306" s="66"/>
      <c r="Q306" s="66"/>
    </row>
    <row r="307" spans="1:17" s="67" customFormat="1" ht="18" customHeight="1">
      <c r="A307" s="82"/>
      <c r="B307" s="83" t="s">
        <v>156</v>
      </c>
      <c r="C307" s="83" t="s">
        <v>152</v>
      </c>
      <c r="D307" s="108">
        <v>10.343</v>
      </c>
      <c r="E307" s="108">
        <v>150119.217</v>
      </c>
      <c r="F307" s="85"/>
      <c r="G307" s="86"/>
      <c r="H307" s="84"/>
      <c r="I307" s="85"/>
      <c r="J307" s="84"/>
      <c r="K307" s="84"/>
      <c r="L307" s="85"/>
      <c r="M307" s="84"/>
      <c r="N307" s="84">
        <f t="shared" si="5"/>
        <v>150119.217</v>
      </c>
      <c r="O307" s="72"/>
      <c r="P307" s="66"/>
      <c r="Q307" s="66"/>
    </row>
    <row r="308" spans="1:17" s="67" customFormat="1" ht="18" customHeight="1">
      <c r="A308" s="82"/>
      <c r="B308" s="83" t="s">
        <v>157</v>
      </c>
      <c r="C308" s="83" t="s">
        <v>152</v>
      </c>
      <c r="D308" s="108">
        <v>0</v>
      </c>
      <c r="E308" s="108">
        <v>0</v>
      </c>
      <c r="F308" s="85"/>
      <c r="G308" s="86"/>
      <c r="H308" s="84"/>
      <c r="I308" s="85"/>
      <c r="J308" s="84"/>
      <c r="K308" s="84"/>
      <c r="L308" s="85"/>
      <c r="M308" s="84"/>
      <c r="N308" s="84">
        <f t="shared" si="5"/>
        <v>0</v>
      </c>
      <c r="O308" s="72"/>
      <c r="P308" s="66"/>
      <c r="Q308" s="66"/>
    </row>
    <row r="309" spans="1:17" s="67" customFormat="1" ht="18" customHeight="1">
      <c r="A309" s="82"/>
      <c r="B309" s="83" t="s">
        <v>158</v>
      </c>
      <c r="C309" s="83" t="s">
        <v>152</v>
      </c>
      <c r="D309" s="108">
        <v>68.701999999999998</v>
      </c>
      <c r="E309" s="108">
        <v>4.673</v>
      </c>
      <c r="F309" s="85"/>
      <c r="G309" s="86"/>
      <c r="H309" s="84"/>
      <c r="I309" s="85"/>
      <c r="J309" s="84"/>
      <c r="K309" s="84"/>
      <c r="L309" s="85"/>
      <c r="M309" s="84"/>
      <c r="N309" s="84">
        <f t="shared" si="5"/>
        <v>4.673</v>
      </c>
      <c r="O309" s="72"/>
      <c r="P309" s="66"/>
      <c r="Q309" s="66"/>
    </row>
    <row r="310" spans="1:17" s="67" customFormat="1" ht="18" customHeight="1">
      <c r="A310" s="82"/>
      <c r="B310" s="83" t="s">
        <v>159</v>
      </c>
      <c r="C310" s="83" t="s">
        <v>152</v>
      </c>
      <c r="D310" s="109">
        <v>0</v>
      </c>
      <c r="E310" s="86">
        <v>0</v>
      </c>
      <c r="F310" s="85"/>
      <c r="G310" s="86"/>
      <c r="H310" s="84"/>
      <c r="I310" s="85"/>
      <c r="J310" s="84"/>
      <c r="K310" s="84"/>
      <c r="L310" s="85"/>
      <c r="M310" s="84"/>
      <c r="N310" s="84">
        <f t="shared" si="5"/>
        <v>0</v>
      </c>
      <c r="O310" s="72"/>
      <c r="P310" s="66"/>
      <c r="Q310" s="66"/>
    </row>
    <row r="311" spans="1:17" s="67" customFormat="1" ht="18" customHeight="1">
      <c r="A311" s="82"/>
      <c r="B311" s="83" t="s">
        <v>160</v>
      </c>
      <c r="C311" s="88" t="s">
        <v>152</v>
      </c>
      <c r="D311" s="108">
        <v>0</v>
      </c>
      <c r="E311" s="86">
        <v>0</v>
      </c>
      <c r="F311" s="85"/>
      <c r="G311" s="86"/>
      <c r="H311" s="84"/>
      <c r="I311" s="85"/>
      <c r="J311" s="84"/>
      <c r="K311" s="84"/>
      <c r="L311" s="85"/>
      <c r="M311" s="84"/>
      <c r="N311" s="84">
        <f t="shared" si="5"/>
        <v>0</v>
      </c>
      <c r="O311" s="72"/>
      <c r="P311" s="66"/>
      <c r="Q311" s="66"/>
    </row>
    <row r="312" spans="1:17" s="67" customFormat="1" ht="18" customHeight="1">
      <c r="A312" s="82"/>
      <c r="B312" s="89" t="s">
        <v>161</v>
      </c>
      <c r="C312" s="90"/>
      <c r="D312" s="91">
        <f>SUM(D303:D311)</f>
        <v>199.369</v>
      </c>
      <c r="E312" s="92">
        <f>SUM(E303:E311)</f>
        <v>513601.17200000002</v>
      </c>
      <c r="F312" s="93"/>
      <c r="G312" s="92">
        <f>SUM(G303:G311)</f>
        <v>0</v>
      </c>
      <c r="H312" s="92">
        <f>SUM(H303:H311)</f>
        <v>0</v>
      </c>
      <c r="I312" s="93"/>
      <c r="J312" s="92">
        <f>SUM(J303:J311)</f>
        <v>0</v>
      </c>
      <c r="K312" s="92">
        <f>SUM(K303:K311)</f>
        <v>0</v>
      </c>
      <c r="L312" s="93"/>
      <c r="M312" s="92">
        <f>SUM(M303:M311)</f>
        <v>0</v>
      </c>
      <c r="N312" s="92">
        <f>SUM(N303:N311)</f>
        <v>513601.17200000002</v>
      </c>
      <c r="O312" s="72"/>
      <c r="P312" s="95">
        <f>+D312+G312+J312+M312</f>
        <v>199.369</v>
      </c>
      <c r="Q312" s="95">
        <f>+E312+H312+K312+N312</f>
        <v>1027202.344</v>
      </c>
    </row>
    <row r="313" spans="1:17" s="67" customFormat="1" ht="15" thickBot="1">
      <c r="A313" s="65"/>
      <c r="B313" s="65"/>
      <c r="C313" s="78"/>
      <c r="D313" s="78"/>
      <c r="E313" s="78"/>
      <c r="F313" s="78"/>
      <c r="G313" s="78"/>
      <c r="H313" s="78"/>
      <c r="I313" s="78"/>
      <c r="J313" s="78"/>
      <c r="K313" s="78"/>
      <c r="L313" s="78"/>
      <c r="M313" s="78"/>
      <c r="N313" s="78"/>
      <c r="O313" s="65"/>
      <c r="P313" s="66"/>
      <c r="Q313" s="66"/>
    </row>
    <row r="314" spans="1:17" s="67" customFormat="1" ht="15" thickBot="1">
      <c r="A314" s="74"/>
      <c r="B314" s="79" t="s">
        <v>162</v>
      </c>
      <c r="C314" s="80"/>
      <c r="D314" s="81"/>
      <c r="E314" s="81"/>
      <c r="F314" s="81"/>
      <c r="G314" s="81"/>
      <c r="H314" s="81"/>
      <c r="I314" s="81"/>
      <c r="J314" s="81"/>
      <c r="K314" s="81"/>
      <c r="L314" s="81"/>
      <c r="M314" s="81"/>
      <c r="N314" s="81"/>
      <c r="O314" s="72"/>
      <c r="P314" s="66"/>
      <c r="Q314" s="66"/>
    </row>
    <row r="315" spans="1:17" s="67" customFormat="1" ht="15" thickBot="1">
      <c r="A315" s="65"/>
      <c r="B315" s="83" t="s">
        <v>163</v>
      </c>
      <c r="C315" s="83" t="s">
        <v>164</v>
      </c>
      <c r="D315" s="96">
        <v>148.07</v>
      </c>
      <c r="E315" s="103">
        <v>567881</v>
      </c>
      <c r="F315" s="65"/>
      <c r="G315" s="86"/>
      <c r="H315" s="84"/>
      <c r="I315" s="85"/>
      <c r="J315" s="84"/>
      <c r="K315" s="84"/>
      <c r="L315" s="85"/>
      <c r="M315" s="84"/>
      <c r="N315" s="84">
        <f>+E315</f>
        <v>567881</v>
      </c>
      <c r="O315" s="72"/>
      <c r="P315" s="66"/>
      <c r="Q315" s="66"/>
    </row>
    <row r="316" spans="1:17" s="67" customFormat="1" ht="15.75" thickTop="1" thickBot="1">
      <c r="A316" s="65"/>
      <c r="B316" s="83" t="s">
        <v>163</v>
      </c>
      <c r="C316" s="83" t="s">
        <v>165</v>
      </c>
      <c r="D316" s="96">
        <v>218.98</v>
      </c>
      <c r="E316" s="103">
        <v>948888</v>
      </c>
      <c r="F316" s="65"/>
      <c r="G316" s="86"/>
      <c r="H316" s="84"/>
      <c r="I316" s="85"/>
      <c r="J316" s="84"/>
      <c r="K316" s="84"/>
      <c r="L316" s="85"/>
      <c r="M316" s="84"/>
      <c r="N316" s="84">
        <f>+E316</f>
        <v>948888</v>
      </c>
      <c r="O316" s="72"/>
      <c r="P316" s="66"/>
      <c r="Q316" s="66"/>
    </row>
    <row r="317" spans="1:17" s="67" customFormat="1" ht="15.75" thickTop="1" thickBot="1">
      <c r="A317" s="65"/>
      <c r="B317" s="83" t="s">
        <v>163</v>
      </c>
      <c r="C317" s="83" t="s">
        <v>111</v>
      </c>
      <c r="D317" s="96">
        <v>257.95</v>
      </c>
      <c r="E317" s="103">
        <v>4469125</v>
      </c>
      <c r="F317" s="65"/>
      <c r="G317" s="86"/>
      <c r="H317" s="84"/>
      <c r="I317" s="85"/>
      <c r="J317" s="84"/>
      <c r="K317" s="84"/>
      <c r="L317" s="85"/>
      <c r="M317" s="84"/>
      <c r="N317" s="84">
        <f>+E317</f>
        <v>4469125</v>
      </c>
      <c r="O317" s="72"/>
      <c r="P317" s="66"/>
      <c r="Q317" s="66"/>
    </row>
    <row r="318" spans="1:17" s="67" customFormat="1" ht="15" thickTop="1">
      <c r="A318" s="65"/>
      <c r="B318" s="83" t="s">
        <v>163</v>
      </c>
      <c r="C318" s="83" t="s">
        <v>166</v>
      </c>
      <c r="D318" s="84"/>
      <c r="E318" s="84"/>
      <c r="F318" s="65"/>
      <c r="G318" s="86"/>
      <c r="H318" s="84"/>
      <c r="I318" s="85"/>
      <c r="J318" s="84"/>
      <c r="K318" s="84"/>
      <c r="L318" s="85"/>
      <c r="M318" s="84"/>
      <c r="N318" s="84"/>
      <c r="O318" s="72"/>
      <c r="P318" s="66"/>
      <c r="Q318" s="66"/>
    </row>
    <row r="319" spans="1:17" s="67" customFormat="1">
      <c r="A319" s="65"/>
      <c r="B319" s="83" t="s">
        <v>167</v>
      </c>
      <c r="C319" s="83" t="s">
        <v>164</v>
      </c>
      <c r="D319" s="108">
        <v>255.73099999999999</v>
      </c>
      <c r="E319" s="108">
        <v>884903.74699999997</v>
      </c>
      <c r="F319" s="65"/>
      <c r="G319" s="86"/>
      <c r="H319" s="84"/>
      <c r="I319" s="85"/>
      <c r="J319" s="84"/>
      <c r="K319" s="84"/>
      <c r="L319" s="85"/>
      <c r="M319" s="84"/>
      <c r="N319" s="84">
        <f>+E319</f>
        <v>884903.74699999997</v>
      </c>
      <c r="O319" s="72"/>
      <c r="P319" s="66"/>
      <c r="Q319" s="66"/>
    </row>
    <row r="320" spans="1:17" s="67" customFormat="1">
      <c r="A320" s="65"/>
      <c r="B320" s="83" t="s">
        <v>168</v>
      </c>
      <c r="C320" s="83"/>
      <c r="D320" s="84"/>
      <c r="E320" s="84"/>
      <c r="F320" s="65"/>
      <c r="G320" s="86"/>
      <c r="H320" s="84"/>
      <c r="I320" s="85"/>
      <c r="J320" s="84"/>
      <c r="K320" s="84"/>
      <c r="L320" s="85"/>
      <c r="M320" s="84"/>
      <c r="N320" s="84"/>
      <c r="O320" s="72"/>
      <c r="P320" s="66"/>
      <c r="Q320" s="66"/>
    </row>
    <row r="321" spans="1:17" s="67" customFormat="1">
      <c r="A321" s="65"/>
      <c r="B321" s="83" t="s">
        <v>169</v>
      </c>
      <c r="C321" s="83" t="s">
        <v>165</v>
      </c>
      <c r="D321" s="108"/>
      <c r="E321" s="108"/>
      <c r="F321" s="65"/>
      <c r="G321" s="86"/>
      <c r="H321" s="84"/>
      <c r="I321" s="85"/>
      <c r="J321" s="84"/>
      <c r="K321" s="84"/>
      <c r="L321" s="85"/>
      <c r="M321" s="84"/>
      <c r="N321" s="84"/>
      <c r="O321" s="72"/>
      <c r="P321" s="66"/>
      <c r="Q321" s="66"/>
    </row>
    <row r="322" spans="1:17" s="67" customFormat="1">
      <c r="A322" s="65"/>
      <c r="B322" s="83" t="s">
        <v>170</v>
      </c>
      <c r="C322" s="83" t="s">
        <v>165</v>
      </c>
      <c r="D322" s="108"/>
      <c r="E322" s="108"/>
      <c r="F322" s="65"/>
      <c r="G322" s="86"/>
      <c r="H322" s="84"/>
      <c r="I322" s="85"/>
      <c r="J322" s="84"/>
      <c r="K322" s="84"/>
      <c r="L322" s="85"/>
      <c r="M322" s="84"/>
      <c r="N322" s="84"/>
      <c r="O322" s="72"/>
      <c r="P322" s="66"/>
      <c r="Q322" s="66"/>
    </row>
    <row r="323" spans="1:17" s="67" customFormat="1">
      <c r="A323" s="65"/>
      <c r="B323" s="83" t="s">
        <v>171</v>
      </c>
      <c r="C323" s="83" t="s">
        <v>165</v>
      </c>
      <c r="D323" s="108">
        <v>0.64</v>
      </c>
      <c r="E323" s="108"/>
      <c r="F323" s="65"/>
      <c r="G323" s="86"/>
      <c r="H323" s="84"/>
      <c r="I323" s="85"/>
      <c r="J323" s="84"/>
      <c r="K323" s="84"/>
      <c r="L323" s="85"/>
      <c r="M323" s="84">
        <v>1.4</v>
      </c>
      <c r="N323" s="84"/>
      <c r="O323" s="72"/>
      <c r="P323" s="66"/>
      <c r="Q323" s="66"/>
    </row>
    <row r="324" spans="1:17" s="67" customFormat="1">
      <c r="A324" s="65"/>
      <c r="B324" s="83" t="s">
        <v>172</v>
      </c>
      <c r="C324" s="83"/>
      <c r="D324" s="84"/>
      <c r="E324" s="84"/>
      <c r="F324" s="65"/>
      <c r="G324" s="86"/>
      <c r="H324" s="84"/>
      <c r="I324" s="85"/>
      <c r="J324" s="84"/>
      <c r="K324" s="84"/>
      <c r="L324" s="85"/>
      <c r="M324" s="84"/>
      <c r="N324" s="84"/>
      <c r="O324" s="72"/>
      <c r="P324" s="66"/>
      <c r="Q324" s="66"/>
    </row>
    <row r="325" spans="1:17" s="67" customFormat="1">
      <c r="A325" s="65"/>
      <c r="B325" s="83" t="s">
        <v>105</v>
      </c>
      <c r="C325" s="88"/>
      <c r="D325" s="84"/>
      <c r="E325" s="84"/>
      <c r="F325" s="65"/>
      <c r="G325" s="86"/>
      <c r="H325" s="84"/>
      <c r="I325" s="85"/>
      <c r="J325" s="84"/>
      <c r="K325" s="84"/>
      <c r="L325" s="85"/>
      <c r="M325" s="84"/>
      <c r="N325" s="84"/>
      <c r="O325" s="72"/>
      <c r="P325" s="66"/>
      <c r="Q325" s="66"/>
    </row>
    <row r="326" spans="1:17" s="67" customFormat="1" ht="18" customHeight="1">
      <c r="A326" s="82"/>
      <c r="B326" s="89" t="s">
        <v>173</v>
      </c>
      <c r="C326" s="90"/>
      <c r="D326" s="91">
        <f>SUM(D315:D325)</f>
        <v>881.37099999999998</v>
      </c>
      <c r="E326" s="92">
        <f>SUM(E315:E325)</f>
        <v>6870797.7469999995</v>
      </c>
      <c r="F326" s="93"/>
      <c r="G326" s="91">
        <f>SUM(G315:G325)</f>
        <v>0</v>
      </c>
      <c r="H326" s="92">
        <f>SUM(H315:H325)</f>
        <v>0</v>
      </c>
      <c r="I326" s="93"/>
      <c r="J326" s="91">
        <f>SUM(J315:J325)</f>
        <v>0</v>
      </c>
      <c r="K326" s="92">
        <f>SUM(K315:K325)</f>
        <v>0</v>
      </c>
      <c r="L326" s="93"/>
      <c r="M326" s="91">
        <f>SUM(M315:M325)</f>
        <v>1.4</v>
      </c>
      <c r="N326" s="92">
        <f>SUM(N315:N325)</f>
        <v>6870797.7469999995</v>
      </c>
      <c r="O326" s="72"/>
      <c r="P326" s="95">
        <f>+D326+G326+J326+M326</f>
        <v>882.77099999999996</v>
      </c>
      <c r="Q326" s="95">
        <f>+E326+H326+K326+N326</f>
        <v>13741595.493999999</v>
      </c>
    </row>
    <row r="327" spans="1:17" s="67" customFormat="1" ht="15" thickBot="1">
      <c r="A327" s="65"/>
      <c r="B327" s="65"/>
      <c r="C327" s="78"/>
      <c r="D327" s="78"/>
      <c r="E327" s="78"/>
      <c r="F327" s="78"/>
      <c r="G327" s="78"/>
      <c r="H327" s="78"/>
      <c r="I327" s="78"/>
      <c r="J327" s="78"/>
      <c r="K327" s="78"/>
      <c r="L327" s="78"/>
      <c r="M327" s="78"/>
      <c r="N327" s="78"/>
      <c r="O327" s="65"/>
      <c r="P327" s="66"/>
      <c r="Q327" s="66"/>
    </row>
    <row r="328" spans="1:17" s="67" customFormat="1" ht="15" thickBot="1">
      <c r="A328" s="74"/>
      <c r="B328" s="79" t="s">
        <v>174</v>
      </c>
      <c r="C328" s="80"/>
      <c r="D328" s="81"/>
      <c r="E328" s="81"/>
      <c r="F328" s="81"/>
      <c r="G328" s="81"/>
      <c r="H328" s="81"/>
      <c r="I328" s="81"/>
      <c r="J328" s="81"/>
      <c r="K328" s="81"/>
      <c r="L328" s="81"/>
      <c r="M328" s="81"/>
      <c r="N328" s="81"/>
      <c r="O328" s="72"/>
      <c r="P328" s="66"/>
      <c r="Q328" s="66"/>
    </row>
    <row r="329" spans="1:17" s="67" customFormat="1">
      <c r="A329" s="65"/>
      <c r="B329" s="83" t="s">
        <v>175</v>
      </c>
      <c r="C329" s="83"/>
      <c r="D329" s="84"/>
      <c r="E329" s="84"/>
      <c r="F329" s="65"/>
      <c r="G329" s="86"/>
      <c r="H329" s="84"/>
      <c r="I329" s="85"/>
      <c r="J329" s="84"/>
      <c r="K329" s="84"/>
      <c r="L329" s="85"/>
      <c r="M329" s="84"/>
      <c r="N329" s="84"/>
      <c r="O329" s="72"/>
      <c r="P329" s="66"/>
      <c r="Q329" s="66"/>
    </row>
    <row r="330" spans="1:17" s="67" customFormat="1">
      <c r="A330" s="65"/>
      <c r="B330" s="83" t="s">
        <v>176</v>
      </c>
      <c r="C330" s="83"/>
      <c r="D330" s="84"/>
      <c r="E330" s="84"/>
      <c r="F330" s="65"/>
      <c r="G330" s="86"/>
      <c r="H330" s="84"/>
      <c r="I330" s="85"/>
      <c r="J330" s="84"/>
      <c r="K330" s="84"/>
      <c r="L330" s="85"/>
      <c r="M330" s="84"/>
      <c r="N330" s="84"/>
      <c r="O330" s="72"/>
      <c r="P330" s="66"/>
      <c r="Q330" s="66"/>
    </row>
    <row r="331" spans="1:17" s="67" customFormat="1">
      <c r="A331" s="65"/>
      <c r="B331" s="83" t="s">
        <v>177</v>
      </c>
      <c r="C331" s="83" t="s">
        <v>111</v>
      </c>
      <c r="D331" s="84"/>
      <c r="E331" s="84"/>
      <c r="F331" s="65"/>
      <c r="G331" s="86"/>
      <c r="H331" s="84"/>
      <c r="I331" s="85"/>
      <c r="J331" s="84"/>
      <c r="K331" s="84"/>
      <c r="L331" s="85"/>
      <c r="M331" s="84"/>
      <c r="N331" s="84"/>
      <c r="O331" s="72"/>
      <c r="P331" s="66"/>
      <c r="Q331" s="66"/>
    </row>
    <row r="332" spans="1:17" s="67" customFormat="1">
      <c r="A332" s="65"/>
      <c r="B332" s="83" t="s">
        <v>163</v>
      </c>
      <c r="C332" s="83" t="s">
        <v>111</v>
      </c>
      <c r="D332" s="108"/>
      <c r="E332" s="108"/>
      <c r="F332" s="65"/>
      <c r="G332" s="86"/>
      <c r="H332" s="84"/>
      <c r="I332" s="85"/>
      <c r="J332" s="84"/>
      <c r="K332" s="84"/>
      <c r="L332" s="85"/>
      <c r="M332" s="84"/>
      <c r="N332" s="84"/>
      <c r="O332" s="72"/>
      <c r="P332" s="66"/>
      <c r="Q332" s="66"/>
    </row>
    <row r="333" spans="1:17" s="67" customFormat="1">
      <c r="A333" s="65"/>
      <c r="B333" s="83" t="s">
        <v>105</v>
      </c>
      <c r="C333" s="83" t="s">
        <v>111</v>
      </c>
      <c r="D333" s="108">
        <v>1546.1479999999999</v>
      </c>
      <c r="E333" s="108">
        <v>35206.74</v>
      </c>
      <c r="F333" s="65"/>
      <c r="G333" s="86"/>
      <c r="H333" s="84"/>
      <c r="I333" s="85"/>
      <c r="J333" s="84"/>
      <c r="K333" s="84"/>
      <c r="L333" s="85"/>
      <c r="M333" s="84"/>
      <c r="N333" s="84"/>
      <c r="O333" s="72"/>
      <c r="P333" s="66"/>
      <c r="Q333" s="66"/>
    </row>
    <row r="334" spans="1:17" s="67" customFormat="1" ht="18" customHeight="1">
      <c r="A334" s="82"/>
      <c r="B334" s="89" t="s">
        <v>178</v>
      </c>
      <c r="C334" s="90"/>
      <c r="D334" s="91">
        <f>SUM(D329:D333)</f>
        <v>1546.1479999999999</v>
      </c>
      <c r="E334" s="91">
        <f>SUM(E329:E333)</f>
        <v>35206.74</v>
      </c>
      <c r="F334" s="93"/>
      <c r="G334" s="91">
        <f>SUM(G329:G333)</f>
        <v>0</v>
      </c>
      <c r="H334" s="91">
        <f>SUM(H329:H333)</f>
        <v>0</v>
      </c>
      <c r="I334" s="93"/>
      <c r="J334" s="91">
        <f>SUM(J329:J333)</f>
        <v>0</v>
      </c>
      <c r="K334" s="91">
        <f>SUM(K329:K333)</f>
        <v>0</v>
      </c>
      <c r="L334" s="93"/>
      <c r="M334" s="91">
        <f>SUM(M329:M333)</f>
        <v>0</v>
      </c>
      <c r="N334" s="91">
        <f>SUM(N329:N333)</f>
        <v>0</v>
      </c>
      <c r="O334" s="72"/>
      <c r="P334" s="95">
        <f>+D334+G334+J334+M334</f>
        <v>1546.1479999999999</v>
      </c>
      <c r="Q334" s="95">
        <f>+E334+H334+K334+N334</f>
        <v>35206.74</v>
      </c>
    </row>
    <row r="335" spans="1:17" s="67" customFormat="1" ht="15" thickBot="1">
      <c r="A335" s="65"/>
      <c r="B335" s="65"/>
      <c r="C335" s="78"/>
      <c r="D335" s="78"/>
      <c r="E335" s="78"/>
      <c r="F335" s="78"/>
      <c r="G335" s="78"/>
      <c r="H335" s="78"/>
      <c r="I335" s="78"/>
      <c r="J335" s="78"/>
      <c r="K335" s="78"/>
      <c r="L335" s="78"/>
      <c r="M335" s="78"/>
      <c r="N335" s="78"/>
      <c r="O335" s="65"/>
      <c r="P335" s="66"/>
      <c r="Q335" s="66"/>
    </row>
    <row r="336" spans="1:17" s="67" customFormat="1" ht="15" thickBot="1">
      <c r="A336" s="74"/>
      <c r="B336" s="79" t="s">
        <v>179</v>
      </c>
      <c r="C336" s="80"/>
      <c r="D336" s="81"/>
      <c r="E336" s="81"/>
      <c r="F336" s="81"/>
      <c r="G336" s="81"/>
      <c r="H336" s="81"/>
      <c r="I336" s="81"/>
      <c r="J336" s="81"/>
      <c r="K336" s="81"/>
      <c r="L336" s="81"/>
      <c r="M336" s="81"/>
      <c r="N336" s="81"/>
      <c r="O336" s="72"/>
      <c r="P336" s="66"/>
      <c r="Q336" s="66"/>
    </row>
    <row r="337" spans="1:17" s="67" customFormat="1">
      <c r="A337" s="65"/>
      <c r="B337" s="83" t="s">
        <v>179</v>
      </c>
      <c r="C337" s="83" t="s">
        <v>152</v>
      </c>
      <c r="D337" s="108">
        <v>6.4610000000000003</v>
      </c>
      <c r="E337" s="108">
        <v>92773.918999999994</v>
      </c>
      <c r="F337" s="65"/>
      <c r="G337" s="86"/>
      <c r="H337" s="84"/>
      <c r="I337" s="85"/>
      <c r="J337" s="84"/>
      <c r="K337" s="84"/>
      <c r="L337" s="85"/>
      <c r="M337" s="84"/>
      <c r="N337" s="84">
        <f>+E337</f>
        <v>92773.918999999994</v>
      </c>
      <c r="O337" s="72"/>
      <c r="P337" s="66"/>
      <c r="Q337" s="66"/>
    </row>
    <row r="338" spans="1:17" s="67" customFormat="1" ht="18" customHeight="1">
      <c r="A338" s="82"/>
      <c r="B338" s="89" t="s">
        <v>180</v>
      </c>
      <c r="C338" s="90"/>
      <c r="D338" s="91">
        <f>SUM(D337)</f>
        <v>6.4610000000000003</v>
      </c>
      <c r="E338" s="91">
        <f>SUM(E337)</f>
        <v>92773.918999999994</v>
      </c>
      <c r="F338" s="93"/>
      <c r="G338" s="91">
        <f>SUM(G337)</f>
        <v>0</v>
      </c>
      <c r="H338" s="91">
        <f>SUM(H337)</f>
        <v>0</v>
      </c>
      <c r="I338" s="93"/>
      <c r="J338" s="91">
        <f>SUM(J337)</f>
        <v>0</v>
      </c>
      <c r="K338" s="91">
        <f>SUM(K337)</f>
        <v>0</v>
      </c>
      <c r="L338" s="93"/>
      <c r="M338" s="91">
        <f>SUM(M337)</f>
        <v>0</v>
      </c>
      <c r="N338" s="91">
        <f>SUM(N337)</f>
        <v>92773.918999999994</v>
      </c>
      <c r="O338" s="72"/>
      <c r="P338" s="95">
        <f>+D338+G338+J338+M338</f>
        <v>6.4610000000000003</v>
      </c>
      <c r="Q338" s="95">
        <f>+E338+H338+K338+N338</f>
        <v>185547.83799999999</v>
      </c>
    </row>
    <row r="339" spans="1:17" s="67" customFormat="1" ht="15" thickBot="1">
      <c r="A339" s="65"/>
      <c r="B339" s="65"/>
      <c r="C339" s="78"/>
      <c r="D339" s="78"/>
      <c r="E339" s="78"/>
      <c r="F339" s="78"/>
      <c r="G339" s="78"/>
      <c r="H339" s="78"/>
      <c r="I339" s="78"/>
      <c r="J339" s="78"/>
      <c r="K339" s="78"/>
      <c r="L339" s="78"/>
      <c r="M339" s="78"/>
      <c r="N339" s="78"/>
      <c r="O339" s="65"/>
      <c r="P339" s="66"/>
      <c r="Q339" s="66"/>
    </row>
    <row r="340" spans="1:17" s="67" customFormat="1" ht="15" thickBot="1">
      <c r="A340" s="74"/>
      <c r="B340" s="79" t="s">
        <v>181</v>
      </c>
      <c r="C340" s="80"/>
      <c r="D340" s="81"/>
      <c r="E340" s="81"/>
      <c r="F340" s="81"/>
      <c r="G340" s="81"/>
      <c r="H340" s="81"/>
      <c r="I340" s="81"/>
      <c r="J340" s="81"/>
      <c r="K340" s="81"/>
      <c r="L340" s="81"/>
      <c r="M340" s="81"/>
      <c r="N340" s="81"/>
      <c r="O340" s="72"/>
      <c r="P340" s="66"/>
      <c r="Q340" s="66"/>
    </row>
    <row r="341" spans="1:17" s="67" customFormat="1">
      <c r="A341" s="65"/>
      <c r="B341" s="83" t="s">
        <v>179</v>
      </c>
      <c r="C341" s="83"/>
      <c r="D341" s="84"/>
      <c r="E341" s="84"/>
      <c r="F341" s="65"/>
      <c r="G341" s="86"/>
      <c r="H341" s="84"/>
      <c r="I341" s="85"/>
      <c r="J341" s="84"/>
      <c r="K341" s="84"/>
      <c r="L341" s="85"/>
      <c r="M341" s="84"/>
      <c r="N341" s="84"/>
      <c r="O341" s="72"/>
      <c r="P341" s="66"/>
      <c r="Q341" s="66"/>
    </row>
    <row r="342" spans="1:17" s="67" customFormat="1">
      <c r="A342" s="65"/>
      <c r="B342" s="83" t="s">
        <v>167</v>
      </c>
      <c r="C342" s="83"/>
      <c r="D342" s="84"/>
      <c r="E342" s="84"/>
      <c r="F342" s="65"/>
      <c r="G342" s="86"/>
      <c r="H342" s="84"/>
      <c r="I342" s="85"/>
      <c r="J342" s="84"/>
      <c r="K342" s="84"/>
      <c r="L342" s="85"/>
      <c r="M342" s="84"/>
      <c r="N342" s="84"/>
      <c r="O342" s="72"/>
      <c r="P342" s="66"/>
      <c r="Q342" s="66"/>
    </row>
    <row r="343" spans="1:17" s="67" customFormat="1" ht="18" customHeight="1">
      <c r="A343" s="82"/>
      <c r="B343" s="89" t="s">
        <v>182</v>
      </c>
      <c r="C343" s="90"/>
      <c r="D343" s="91">
        <f>SUM(D341:D342)</f>
        <v>0</v>
      </c>
      <c r="E343" s="91">
        <f>SUM(E341:E342)</f>
        <v>0</v>
      </c>
      <c r="F343" s="93"/>
      <c r="G343" s="91">
        <f>SUM(G341:G342)</f>
        <v>0</v>
      </c>
      <c r="H343" s="91">
        <f>SUM(H341:H342)</f>
        <v>0</v>
      </c>
      <c r="I343" s="93"/>
      <c r="J343" s="91">
        <f>SUM(J341:J342)</f>
        <v>0</v>
      </c>
      <c r="K343" s="91">
        <f>SUM(K341:K342)</f>
        <v>0</v>
      </c>
      <c r="L343" s="93"/>
      <c r="M343" s="91">
        <f>SUM(M341:M342)</f>
        <v>0</v>
      </c>
      <c r="N343" s="91">
        <f>SUM(N341:N342)</f>
        <v>0</v>
      </c>
      <c r="O343" s="72"/>
      <c r="P343" s="95">
        <f>+D343+G343+J343+M343</f>
        <v>0</v>
      </c>
      <c r="Q343" s="95">
        <f>+E343+H343+K343+N343</f>
        <v>0</v>
      </c>
    </row>
    <row r="344" spans="1:17" s="67" customFormat="1" ht="15" thickBot="1">
      <c r="A344" s="65"/>
      <c r="B344" s="65"/>
      <c r="C344" s="78"/>
      <c r="D344" s="78"/>
      <c r="E344" s="78"/>
      <c r="F344" s="78"/>
      <c r="G344" s="78"/>
      <c r="H344" s="78"/>
      <c r="I344" s="78"/>
      <c r="J344" s="78"/>
      <c r="K344" s="78"/>
      <c r="L344" s="78"/>
      <c r="M344" s="78"/>
      <c r="N344" s="78"/>
      <c r="O344" s="65"/>
      <c r="P344" s="66"/>
      <c r="Q344" s="66"/>
    </row>
    <row r="345" spans="1:17" s="67" customFormat="1" ht="15" thickBot="1">
      <c r="A345" s="74"/>
      <c r="B345" s="79" t="s">
        <v>183</v>
      </c>
      <c r="C345" s="80"/>
      <c r="D345" s="81"/>
      <c r="E345" s="81"/>
      <c r="F345" s="81"/>
      <c r="G345" s="81"/>
      <c r="H345" s="81"/>
      <c r="I345" s="81"/>
      <c r="J345" s="81"/>
      <c r="K345" s="81"/>
      <c r="L345" s="81"/>
      <c r="M345" s="81"/>
      <c r="N345" s="81"/>
      <c r="O345" s="72"/>
      <c r="P345" s="66"/>
      <c r="Q345" s="66"/>
    </row>
    <row r="346" spans="1:17" s="67" customFormat="1">
      <c r="A346" s="65"/>
      <c r="B346" s="83" t="s">
        <v>184</v>
      </c>
      <c r="C346" s="83" t="s">
        <v>165</v>
      </c>
      <c r="D346" s="84"/>
      <c r="E346" s="84"/>
      <c r="F346" s="65"/>
      <c r="G346" s="86"/>
      <c r="H346" s="84"/>
      <c r="I346" s="85"/>
      <c r="J346" s="84"/>
      <c r="K346" s="84"/>
      <c r="L346" s="85"/>
      <c r="M346" s="84"/>
      <c r="N346" s="84"/>
      <c r="O346" s="72"/>
      <c r="P346" s="66"/>
      <c r="Q346" s="66"/>
    </row>
    <row r="347" spans="1:17" s="67" customFormat="1">
      <c r="A347" s="65"/>
      <c r="B347" s="83" t="s">
        <v>103</v>
      </c>
      <c r="C347" s="83" t="s">
        <v>165</v>
      </c>
      <c r="D347" s="108"/>
      <c r="E347" s="108"/>
      <c r="F347" s="65"/>
      <c r="G347" s="86"/>
      <c r="H347" s="84"/>
      <c r="I347" s="85"/>
      <c r="J347" s="84"/>
      <c r="K347" s="84"/>
      <c r="L347" s="85"/>
      <c r="M347" s="84"/>
      <c r="N347" s="84"/>
      <c r="O347" s="72"/>
      <c r="P347" s="66"/>
      <c r="Q347" s="66"/>
    </row>
    <row r="348" spans="1:17" s="67" customFormat="1">
      <c r="A348" s="65"/>
      <c r="B348" s="83" t="s">
        <v>185</v>
      </c>
      <c r="C348" s="83"/>
      <c r="D348" s="84"/>
      <c r="E348" s="84"/>
      <c r="F348" s="65"/>
      <c r="G348" s="86"/>
      <c r="H348" s="84"/>
      <c r="I348" s="85"/>
      <c r="J348" s="84"/>
      <c r="K348" s="84"/>
      <c r="L348" s="85"/>
      <c r="M348" s="84"/>
      <c r="N348" s="84"/>
      <c r="O348" s="72"/>
      <c r="P348" s="66"/>
      <c r="Q348" s="66"/>
    </row>
    <row r="349" spans="1:17" s="67" customFormat="1">
      <c r="A349" s="65"/>
      <c r="B349" s="83" t="s">
        <v>186</v>
      </c>
      <c r="C349" s="83"/>
      <c r="D349" s="84"/>
      <c r="E349" s="84"/>
      <c r="F349" s="65"/>
      <c r="G349" s="86"/>
      <c r="H349" s="84"/>
      <c r="I349" s="85"/>
      <c r="J349" s="84"/>
      <c r="K349" s="84"/>
      <c r="L349" s="85"/>
      <c r="M349" s="84"/>
      <c r="N349" s="84"/>
      <c r="O349" s="72"/>
      <c r="P349" s="66"/>
      <c r="Q349" s="66"/>
    </row>
    <row r="350" spans="1:17" s="67" customFormat="1">
      <c r="A350" s="65"/>
      <c r="B350" s="83" t="s">
        <v>187</v>
      </c>
      <c r="C350" s="83"/>
      <c r="D350" s="84"/>
      <c r="E350" s="84"/>
      <c r="F350" s="65"/>
      <c r="G350" s="86"/>
      <c r="H350" s="84"/>
      <c r="I350" s="85"/>
      <c r="J350" s="84"/>
      <c r="K350" s="84"/>
      <c r="L350" s="85"/>
      <c r="M350" s="84"/>
      <c r="N350" s="84"/>
      <c r="O350" s="72"/>
      <c r="P350" s="66"/>
      <c r="Q350" s="66"/>
    </row>
    <row r="351" spans="1:17" s="67" customFormat="1" ht="18" customHeight="1">
      <c r="A351" s="82"/>
      <c r="B351" s="89" t="s">
        <v>188</v>
      </c>
      <c r="C351" s="90"/>
      <c r="D351" s="91">
        <f>SUM(D346:D350)</f>
        <v>0</v>
      </c>
      <c r="E351" s="91">
        <f>SUM(E346:E350)</f>
        <v>0</v>
      </c>
      <c r="F351" s="93"/>
      <c r="G351" s="91">
        <f>SUM(G346:G350)</f>
        <v>0</v>
      </c>
      <c r="H351" s="91">
        <f>SUM(H346:H350)</f>
        <v>0</v>
      </c>
      <c r="I351" s="93"/>
      <c r="J351" s="91">
        <f>SUM(J346:J350)</f>
        <v>0</v>
      </c>
      <c r="K351" s="91">
        <f>SUM(K346:K350)</f>
        <v>0</v>
      </c>
      <c r="L351" s="93"/>
      <c r="M351" s="91">
        <f>SUM(M346:M350)</f>
        <v>0</v>
      </c>
      <c r="N351" s="91">
        <f>SUM(N346:N350)</f>
        <v>0</v>
      </c>
      <c r="O351" s="72"/>
      <c r="P351" s="95">
        <f>+D351+G351+J351+M351</f>
        <v>0</v>
      </c>
      <c r="Q351" s="95">
        <f>+E351+H351+K351+N351</f>
        <v>0</v>
      </c>
    </row>
    <row r="352" spans="1:17" s="67" customFormat="1" ht="15" thickBot="1">
      <c r="A352" s="65"/>
      <c r="B352" s="65"/>
      <c r="C352" s="78"/>
      <c r="D352" s="78"/>
      <c r="E352" s="78"/>
      <c r="F352" s="78"/>
      <c r="G352" s="78"/>
      <c r="H352" s="78"/>
      <c r="I352" s="78"/>
      <c r="J352" s="78"/>
      <c r="K352" s="78"/>
      <c r="L352" s="78"/>
      <c r="M352" s="78"/>
      <c r="N352" s="78"/>
      <c r="O352" s="65"/>
      <c r="P352" s="66"/>
      <c r="Q352" s="66"/>
    </row>
    <row r="353" spans="1:17" s="67" customFormat="1" ht="15" thickBot="1">
      <c r="A353" s="74"/>
      <c r="B353" s="79" t="s">
        <v>189</v>
      </c>
      <c r="C353" s="80"/>
      <c r="D353" s="81"/>
      <c r="E353" s="81"/>
      <c r="F353" s="81"/>
      <c r="G353" s="81"/>
      <c r="H353" s="81"/>
      <c r="I353" s="81"/>
      <c r="J353" s="81"/>
      <c r="K353" s="81"/>
      <c r="L353" s="81"/>
      <c r="M353" s="81"/>
      <c r="N353" s="81"/>
      <c r="O353" s="72"/>
      <c r="P353" s="66"/>
      <c r="Q353" s="66"/>
    </row>
    <row r="354" spans="1:17" s="67" customFormat="1">
      <c r="A354" s="65"/>
      <c r="B354" s="83" t="s">
        <v>190</v>
      </c>
      <c r="C354" s="83" t="s">
        <v>165</v>
      </c>
      <c r="D354" s="84"/>
      <c r="E354" s="84"/>
      <c r="F354" s="65"/>
      <c r="G354" s="86"/>
      <c r="H354" s="84"/>
      <c r="I354" s="85"/>
      <c r="J354" s="84"/>
      <c r="K354" s="84"/>
      <c r="L354" s="85"/>
      <c r="M354" s="84"/>
      <c r="N354" s="84"/>
      <c r="O354" s="65"/>
      <c r="P354" s="66"/>
      <c r="Q354" s="66"/>
    </row>
    <row r="355" spans="1:17" s="67" customFormat="1">
      <c r="A355" s="65"/>
      <c r="B355" s="83" t="s">
        <v>191</v>
      </c>
      <c r="C355" s="83" t="s">
        <v>192</v>
      </c>
      <c r="D355" s="84"/>
      <c r="E355" s="84"/>
      <c r="F355" s="65"/>
      <c r="G355" s="86"/>
      <c r="H355" s="84"/>
      <c r="I355" s="85"/>
      <c r="J355" s="84"/>
      <c r="K355" s="84"/>
      <c r="L355" s="85"/>
      <c r="M355" s="84"/>
      <c r="N355" s="84"/>
      <c r="O355" s="65"/>
      <c r="P355" s="66"/>
      <c r="Q355" s="66"/>
    </row>
    <row r="356" spans="1:17" s="67" customFormat="1">
      <c r="A356" s="65"/>
      <c r="B356" s="83" t="s">
        <v>193</v>
      </c>
      <c r="C356" s="83"/>
      <c r="D356" s="84"/>
      <c r="E356" s="84"/>
      <c r="F356" s="65"/>
      <c r="G356" s="86"/>
      <c r="H356" s="84"/>
      <c r="I356" s="85"/>
      <c r="J356" s="84"/>
      <c r="K356" s="84"/>
      <c r="L356" s="85"/>
      <c r="M356" s="84"/>
      <c r="N356" s="84"/>
      <c r="O356" s="65"/>
      <c r="P356" s="66"/>
      <c r="Q356" s="66"/>
    </row>
    <row r="357" spans="1:17" s="67" customFormat="1" ht="18" customHeight="1">
      <c r="A357" s="82"/>
      <c r="B357" s="89" t="s">
        <v>194</v>
      </c>
      <c r="C357" s="90"/>
      <c r="D357" s="91">
        <f>SUM(D354:D356)</f>
        <v>0</v>
      </c>
      <c r="E357" s="91">
        <f>SUM(E354:E356)</f>
        <v>0</v>
      </c>
      <c r="F357" s="93"/>
      <c r="G357" s="91">
        <f>SUM(G354:G356)</f>
        <v>0</v>
      </c>
      <c r="H357" s="91">
        <f>SUM(H354:H356)</f>
        <v>0</v>
      </c>
      <c r="I357" s="93"/>
      <c r="J357" s="91">
        <f>SUM(J354:J356)</f>
        <v>0</v>
      </c>
      <c r="K357" s="91">
        <f>SUM(K354:K356)</f>
        <v>0</v>
      </c>
      <c r="L357" s="93"/>
      <c r="M357" s="91">
        <f>SUM(M354:M356)</f>
        <v>0</v>
      </c>
      <c r="N357" s="91">
        <f>SUM(N354:N356)</f>
        <v>0</v>
      </c>
      <c r="O357" s="72"/>
      <c r="P357" s="95">
        <f>+D357+G357+J357+M357</f>
        <v>0</v>
      </c>
      <c r="Q357" s="95">
        <f>+E357+H357+K357+N357</f>
        <v>0</v>
      </c>
    </row>
    <row r="358" spans="1:17" s="67" customFormat="1" ht="7.5" customHeight="1">
      <c r="A358" s="65"/>
      <c r="B358" s="97"/>
      <c r="C358" s="65"/>
      <c r="D358" s="65"/>
      <c r="E358" s="65"/>
      <c r="F358" s="65"/>
      <c r="G358" s="65"/>
      <c r="H358" s="65"/>
      <c r="I358" s="65"/>
      <c r="J358" s="65"/>
      <c r="K358" s="65"/>
      <c r="L358" s="65"/>
      <c r="M358" s="65"/>
      <c r="N358" s="65"/>
      <c r="O358" s="65"/>
      <c r="P358" s="66"/>
      <c r="Q358" s="66"/>
    </row>
    <row r="359" spans="1:17" s="67" customFormat="1" ht="15.75" thickBot="1">
      <c r="A359" s="65"/>
      <c r="B359" s="65"/>
      <c r="C359" s="98"/>
      <c r="D359" s="99">
        <f>+D357+D351+D343+D338+D334+D326+D312</f>
        <v>2633.3490000000002</v>
      </c>
      <c r="E359" s="99">
        <f>+E357+E351+E343+E338+E334+E326+E312</f>
        <v>7512379.5779999997</v>
      </c>
      <c r="F359" s="98"/>
      <c r="G359" s="99">
        <f>+G357+G351+G343+G338+G334+G326+G312</f>
        <v>0</v>
      </c>
      <c r="H359" s="99">
        <f>+H357+H351+H343+H338+H334+H326+H312</f>
        <v>0</v>
      </c>
      <c r="I359" s="98"/>
      <c r="J359" s="99">
        <f>+J357+J351+J343+J338+J334+J326+J312</f>
        <v>0</v>
      </c>
      <c r="K359" s="99">
        <f>+K357+K351+K343+K338+K334+K326+K312</f>
        <v>0</v>
      </c>
      <c r="L359" s="98"/>
      <c r="M359" s="99">
        <f>+M357+M351+M343+M338+M334+M326+M312</f>
        <v>1.4</v>
      </c>
      <c r="N359" s="99">
        <f>+N357+N351+N343+N338+N334+N326+N312</f>
        <v>7477172.8379999995</v>
      </c>
      <c r="O359" s="98"/>
      <c r="P359" s="99">
        <f>+P357+P351+P343+P338+P334+P326+P312</f>
        <v>2634.7490000000003</v>
      </c>
      <c r="Q359" s="99">
        <f>+Q357+Q351+Q343+Q338+Q334+Q326+Q312</f>
        <v>14989552.415999999</v>
      </c>
    </row>
    <row r="360" spans="1:17" s="67" customFormat="1" ht="15" thickTop="1">
      <c r="A360" s="65"/>
      <c r="B360" s="65"/>
      <c r="C360" s="98"/>
      <c r="D360" s="65"/>
      <c r="E360" s="65"/>
      <c r="F360" s="65"/>
      <c r="G360" s="65"/>
      <c r="H360" s="65"/>
      <c r="I360" s="65"/>
      <c r="J360" s="65"/>
      <c r="K360" s="65"/>
      <c r="L360" s="65"/>
      <c r="M360" s="65"/>
      <c r="N360" s="65"/>
      <c r="O360" s="65"/>
      <c r="P360" s="66"/>
      <c r="Q360" s="66"/>
    </row>
    <row r="361" spans="1:17" s="67" customFormat="1">
      <c r="A361" s="65"/>
      <c r="B361" s="97" t="s">
        <v>223</v>
      </c>
      <c r="C361" s="98"/>
      <c r="D361" s="65"/>
      <c r="E361" s="65"/>
      <c r="F361" s="65"/>
      <c r="G361" s="65"/>
      <c r="H361" s="65"/>
      <c r="I361" s="65"/>
      <c r="J361" s="65"/>
      <c r="K361" s="65"/>
      <c r="L361" s="65"/>
      <c r="M361" s="65"/>
      <c r="N361" s="65"/>
      <c r="O361" s="65"/>
      <c r="P361" s="66"/>
      <c r="Q361" s="66"/>
    </row>
    <row r="362" spans="1:17" s="67" customFormat="1">
      <c r="A362" s="65"/>
      <c r="B362" s="97" t="s">
        <v>224</v>
      </c>
      <c r="C362" s="98"/>
      <c r="D362" s="65"/>
      <c r="E362" s="65"/>
      <c r="F362" s="65"/>
      <c r="G362" s="65"/>
      <c r="H362" s="65"/>
      <c r="I362" s="65"/>
      <c r="J362" s="65"/>
      <c r="K362" s="65"/>
      <c r="L362" s="65"/>
      <c r="M362" s="65"/>
      <c r="N362" s="65"/>
      <c r="O362" s="65"/>
      <c r="P362" s="66"/>
      <c r="Q362" s="66"/>
    </row>
    <row r="363" spans="1:17" s="67" customFormat="1">
      <c r="A363" s="65"/>
      <c r="B363" s="107" t="s">
        <v>225</v>
      </c>
      <c r="C363" s="98"/>
      <c r="D363" s="65"/>
      <c r="E363" s="65"/>
      <c r="F363" s="65"/>
      <c r="G363" s="65"/>
      <c r="H363" s="65"/>
      <c r="I363" s="65"/>
      <c r="J363" s="65"/>
      <c r="K363" s="65"/>
      <c r="L363" s="65"/>
      <c r="M363" s="65"/>
      <c r="N363" s="65"/>
      <c r="O363" s="65"/>
      <c r="P363" s="66"/>
      <c r="Q363" s="66"/>
    </row>
    <row r="364" spans="1:17" s="67" customFormat="1">
      <c r="A364" s="65"/>
      <c r="B364" s="97" t="s">
        <v>226</v>
      </c>
      <c r="C364" s="97"/>
      <c r="D364" s="65"/>
      <c r="E364" s="65"/>
      <c r="F364" s="65"/>
      <c r="G364" s="65"/>
      <c r="H364" s="65"/>
      <c r="I364" s="65"/>
      <c r="J364" s="65"/>
      <c r="K364" s="65"/>
      <c r="L364" s="65"/>
      <c r="M364" s="65"/>
      <c r="N364" s="65"/>
      <c r="O364" s="65"/>
      <c r="P364" s="66"/>
      <c r="Q364" s="66"/>
    </row>
    <row r="365" spans="1:17" s="67" customFormat="1">
      <c r="A365" s="65"/>
      <c r="B365" s="97" t="s">
        <v>198</v>
      </c>
      <c r="C365" s="98"/>
      <c r="D365" s="65"/>
      <c r="E365" s="65"/>
      <c r="F365" s="65"/>
      <c r="G365" s="65"/>
      <c r="H365" s="65"/>
      <c r="I365" s="65"/>
      <c r="J365" s="65"/>
      <c r="K365" s="65"/>
      <c r="L365" s="65"/>
      <c r="M365" s="65"/>
      <c r="N365" s="65"/>
      <c r="O365" s="65"/>
      <c r="P365" s="66"/>
      <c r="Q365" s="66"/>
    </row>
    <row r="366" spans="1:17" s="67" customFormat="1">
      <c r="A366" s="65"/>
      <c r="B366" s="97" t="s">
        <v>227</v>
      </c>
      <c r="C366" s="97"/>
      <c r="D366" s="65"/>
      <c r="E366" s="65"/>
      <c r="F366" s="65"/>
      <c r="G366" s="65"/>
      <c r="H366" s="65"/>
      <c r="I366" s="65"/>
      <c r="J366" s="65"/>
      <c r="K366" s="65"/>
      <c r="L366" s="65"/>
      <c r="M366" s="65"/>
      <c r="N366" s="65"/>
      <c r="O366" s="65"/>
      <c r="P366" s="66"/>
      <c r="Q366" s="66"/>
    </row>
    <row r="367" spans="1:17" s="67" customFormat="1">
      <c r="A367" s="65"/>
      <c r="B367" s="97"/>
      <c r="C367" s="65"/>
      <c r="D367" s="65"/>
      <c r="E367" s="65"/>
      <c r="F367" s="65"/>
      <c r="G367" s="65"/>
      <c r="H367" s="65"/>
      <c r="I367" s="65"/>
      <c r="J367" s="65"/>
      <c r="K367" s="65"/>
      <c r="L367" s="65"/>
      <c r="M367" s="65"/>
      <c r="N367" s="65"/>
      <c r="O367" s="65"/>
      <c r="P367" s="66"/>
      <c r="Q367" s="66"/>
    </row>
    <row r="368" spans="1:17" s="67" customFormat="1" ht="18">
      <c r="A368" s="64" t="s">
        <v>228</v>
      </c>
      <c r="B368" s="65"/>
      <c r="C368" s="65"/>
      <c r="D368" s="65"/>
      <c r="E368" s="65"/>
      <c r="F368" s="65"/>
      <c r="G368" s="65"/>
      <c r="H368" s="65"/>
      <c r="I368" s="65"/>
      <c r="J368" s="65"/>
      <c r="K368" s="65"/>
      <c r="L368" s="65"/>
      <c r="M368" s="65"/>
      <c r="N368" s="65"/>
      <c r="O368" s="65"/>
      <c r="P368" s="66"/>
      <c r="Q368" s="66"/>
    </row>
    <row r="370" spans="1:18" s="67" customFormat="1" ht="15">
      <c r="A370" s="68"/>
      <c r="B370" s="68"/>
      <c r="C370" s="68"/>
      <c r="D370" s="206">
        <v>2013</v>
      </c>
      <c r="E370" s="206"/>
      <c r="F370" s="69"/>
      <c r="G370" s="207"/>
      <c r="H370" s="207"/>
      <c r="I370" s="70"/>
      <c r="J370" s="207">
        <v>2013</v>
      </c>
      <c r="K370" s="207"/>
      <c r="L370" s="70"/>
      <c r="M370" s="207">
        <v>2014</v>
      </c>
      <c r="N370" s="207"/>
      <c r="O370" s="68"/>
      <c r="P370" s="66"/>
      <c r="Q370" s="66"/>
    </row>
    <row r="371" spans="1:18" s="67" customFormat="1" ht="18">
      <c r="A371" s="71"/>
      <c r="B371" s="72"/>
      <c r="C371" s="72"/>
      <c r="D371" s="208" t="s">
        <v>145</v>
      </c>
      <c r="E371" s="208"/>
      <c r="F371" s="73"/>
      <c r="G371" s="207" t="s">
        <v>221</v>
      </c>
      <c r="H371" s="207"/>
      <c r="I371" s="207"/>
      <c r="J371" s="207"/>
      <c r="K371" s="207"/>
      <c r="L371" s="207"/>
      <c r="M371" s="207"/>
      <c r="N371" s="207"/>
      <c r="O371" s="72"/>
      <c r="P371" s="66"/>
      <c r="Q371" s="66"/>
    </row>
    <row r="372" spans="1:18" s="67" customFormat="1" ht="15">
      <c r="A372" s="65"/>
      <c r="B372" s="65"/>
      <c r="C372" s="65"/>
      <c r="D372" s="65"/>
      <c r="E372" s="65"/>
      <c r="F372" s="65"/>
      <c r="G372" s="65"/>
      <c r="H372" s="65"/>
      <c r="I372" s="65"/>
      <c r="J372" s="65"/>
      <c r="K372" s="65"/>
      <c r="L372" s="65"/>
      <c r="M372" s="65"/>
      <c r="N372" s="65"/>
      <c r="O372" s="65"/>
      <c r="P372" s="205" t="s">
        <v>5</v>
      </c>
      <c r="Q372" s="205"/>
    </row>
    <row r="373" spans="1:18" s="67" customFormat="1" ht="51">
      <c r="A373" s="65"/>
      <c r="B373" s="75" t="s">
        <v>229</v>
      </c>
      <c r="C373" s="75"/>
      <c r="D373" s="76" t="str">
        <f>+$D$6</f>
        <v>Peak Demand Savings (kW)</v>
      </c>
      <c r="E373" s="76" t="str">
        <f>+$E$6</f>
        <v>Energy Savings (kWh)</v>
      </c>
      <c r="G373" s="76" t="str">
        <f>+$G$6</f>
        <v>Peak Demand Savings (kW)</v>
      </c>
      <c r="H373" s="76" t="str">
        <f>+$H$6</f>
        <v>Energy Savings (kWh)</v>
      </c>
      <c r="J373" s="76" t="str">
        <f>+$J$6</f>
        <v>Peak Demand Savings (kW)</v>
      </c>
      <c r="K373" s="76" t="str">
        <f>+$K$6</f>
        <v>Energy Savings (kWh)</v>
      </c>
      <c r="M373" s="76" t="str">
        <f>+$M$6</f>
        <v>Peak Demand Savings (kW)</v>
      </c>
      <c r="N373" s="76" t="str">
        <f>+$N$6</f>
        <v>Energy Savings (kWh)</v>
      </c>
      <c r="O373" s="65"/>
      <c r="P373" s="77" t="str">
        <f>+$P$6</f>
        <v>Peak Demand Savings (kW)</v>
      </c>
      <c r="Q373" s="77" t="str">
        <f>+$Q$6</f>
        <v>Energy Savings (kWh)</v>
      </c>
    </row>
    <row r="374" spans="1:18" s="67" customFormat="1" ht="15" thickBot="1">
      <c r="A374" s="65"/>
      <c r="B374" s="78"/>
      <c r="C374" s="78"/>
      <c r="D374" s="78"/>
      <c r="E374" s="78"/>
      <c r="F374" s="78"/>
      <c r="G374" s="78"/>
      <c r="H374" s="78"/>
      <c r="I374" s="78"/>
      <c r="J374" s="78"/>
      <c r="K374" s="78"/>
      <c r="L374" s="78"/>
      <c r="M374" s="78"/>
      <c r="N374" s="78"/>
      <c r="O374" s="65"/>
      <c r="P374" s="66"/>
      <c r="Q374" s="66"/>
    </row>
    <row r="375" spans="1:18" s="67" customFormat="1" ht="15" thickBot="1">
      <c r="A375" s="65"/>
      <c r="B375" s="79" t="s">
        <v>150</v>
      </c>
      <c r="C375" s="80"/>
      <c r="D375" s="81"/>
      <c r="E375" s="81"/>
      <c r="F375" s="81"/>
      <c r="G375" s="81"/>
      <c r="H375" s="81"/>
      <c r="I375" s="81"/>
      <c r="J375" s="81"/>
      <c r="K375" s="81"/>
      <c r="L375" s="81"/>
      <c r="M375" s="81"/>
      <c r="N375" s="81"/>
      <c r="O375" s="65"/>
      <c r="P375" s="66"/>
      <c r="Q375" s="66"/>
    </row>
    <row r="376" spans="1:18" s="67" customFormat="1">
      <c r="A376" s="65"/>
      <c r="B376" s="83" t="s">
        <v>151</v>
      </c>
      <c r="C376" s="83" t="s">
        <v>152</v>
      </c>
      <c r="D376" s="84"/>
      <c r="E376" s="84"/>
      <c r="F376" s="85"/>
      <c r="G376" s="84"/>
      <c r="H376" s="84"/>
      <c r="I376" s="85"/>
      <c r="J376" s="84"/>
      <c r="K376" s="84"/>
      <c r="L376" s="85"/>
      <c r="M376" s="84"/>
      <c r="N376" s="84">
        <f>+N586</f>
        <v>-35855</v>
      </c>
      <c r="O376" s="65"/>
      <c r="P376" s="66"/>
      <c r="Q376" s="66"/>
      <c r="R376" s="84"/>
    </row>
    <row r="377" spans="1:18" s="67" customFormat="1">
      <c r="A377" s="65"/>
      <c r="B377" s="83" t="s">
        <v>153</v>
      </c>
      <c r="C377" s="83" t="s">
        <v>152</v>
      </c>
      <c r="D377" s="86"/>
      <c r="E377" s="86"/>
      <c r="F377" s="85"/>
      <c r="G377" s="86"/>
      <c r="H377" s="84"/>
      <c r="I377" s="85"/>
      <c r="J377" s="84"/>
      <c r="K377" s="84"/>
      <c r="L377" s="85"/>
      <c r="M377" s="84"/>
      <c r="N377" s="84"/>
      <c r="O377" s="65"/>
      <c r="P377" s="66"/>
      <c r="Q377" s="66"/>
    </row>
    <row r="378" spans="1:18" s="67" customFormat="1">
      <c r="A378" s="65"/>
      <c r="B378" s="83" t="s">
        <v>154</v>
      </c>
      <c r="C378" s="83" t="s">
        <v>152</v>
      </c>
      <c r="D378" s="108">
        <v>7.6319999999999997</v>
      </c>
      <c r="E378" s="108">
        <v>13710.5853572</v>
      </c>
      <c r="F378" s="85"/>
      <c r="G378" s="86"/>
      <c r="H378" s="84"/>
      <c r="I378" s="85"/>
      <c r="J378" s="84"/>
      <c r="K378" s="84"/>
      <c r="L378" s="85"/>
      <c r="M378" s="84"/>
      <c r="N378" s="84">
        <f>+E378</f>
        <v>13710.5853572</v>
      </c>
      <c r="O378" s="65"/>
      <c r="P378" s="66"/>
      <c r="Q378" s="66"/>
    </row>
    <row r="379" spans="1:18" s="67" customFormat="1">
      <c r="A379" s="65"/>
      <c r="B379" s="83" t="s">
        <v>155</v>
      </c>
      <c r="C379" s="83" t="s">
        <v>152</v>
      </c>
      <c r="D379" s="108">
        <v>1.4999999999999999E-2</v>
      </c>
      <c r="E379" s="108">
        <v>206</v>
      </c>
      <c r="F379" s="85"/>
      <c r="G379" s="86"/>
      <c r="H379" s="84"/>
      <c r="I379" s="85"/>
      <c r="J379" s="84"/>
      <c r="K379" s="84"/>
      <c r="L379" s="85"/>
      <c r="M379" s="84"/>
      <c r="N379" s="84">
        <f>+E379</f>
        <v>206</v>
      </c>
      <c r="O379" s="65"/>
      <c r="P379" s="66"/>
      <c r="Q379" s="66"/>
    </row>
    <row r="380" spans="1:18" s="67" customFormat="1">
      <c r="A380" s="65"/>
      <c r="B380" s="83" t="s">
        <v>156</v>
      </c>
      <c r="C380" s="83" t="s">
        <v>152</v>
      </c>
      <c r="D380" s="111"/>
      <c r="E380" s="86"/>
      <c r="F380" s="85"/>
      <c r="G380" s="86"/>
      <c r="H380" s="84"/>
      <c r="I380" s="85"/>
      <c r="J380" s="84"/>
      <c r="K380" s="84"/>
      <c r="L380" s="85"/>
      <c r="M380" s="84"/>
      <c r="N380" s="84"/>
      <c r="O380" s="65"/>
      <c r="P380" s="66"/>
      <c r="Q380" s="66"/>
    </row>
    <row r="381" spans="1:18" s="67" customFormat="1">
      <c r="A381" s="65"/>
      <c r="B381" s="83" t="s">
        <v>157</v>
      </c>
      <c r="C381" s="83" t="s">
        <v>152</v>
      </c>
      <c r="D381" s="84"/>
      <c r="E381" s="86"/>
      <c r="F381" s="85"/>
      <c r="G381" s="86"/>
      <c r="H381" s="84"/>
      <c r="I381" s="85"/>
      <c r="J381" s="84"/>
      <c r="K381" s="84"/>
      <c r="L381" s="85"/>
      <c r="M381" s="84"/>
      <c r="N381" s="84"/>
      <c r="O381" s="65"/>
      <c r="P381" s="66"/>
      <c r="Q381" s="66"/>
    </row>
    <row r="382" spans="1:18" s="67" customFormat="1">
      <c r="A382" s="65"/>
      <c r="B382" s="83" t="s">
        <v>158</v>
      </c>
      <c r="C382" s="83" t="s">
        <v>152</v>
      </c>
      <c r="D382" s="84"/>
      <c r="E382" s="86"/>
      <c r="F382" s="85"/>
      <c r="G382" s="86"/>
      <c r="H382" s="84"/>
      <c r="I382" s="85"/>
      <c r="J382" s="84"/>
      <c r="K382" s="84"/>
      <c r="L382" s="85"/>
      <c r="M382" s="84"/>
      <c r="N382" s="84"/>
      <c r="O382" s="65"/>
      <c r="P382" s="66"/>
      <c r="Q382" s="66"/>
    </row>
    <row r="383" spans="1:18" s="67" customFormat="1">
      <c r="A383" s="65"/>
      <c r="B383" s="83" t="s">
        <v>159</v>
      </c>
      <c r="C383" s="83" t="s">
        <v>152</v>
      </c>
      <c r="D383" s="84"/>
      <c r="E383" s="86"/>
      <c r="F383" s="85"/>
      <c r="G383" s="86"/>
      <c r="H383" s="84"/>
      <c r="I383" s="85"/>
      <c r="J383" s="84"/>
      <c r="K383" s="84"/>
      <c r="L383" s="85"/>
      <c r="M383" s="84"/>
      <c r="N383" s="84"/>
      <c r="O383" s="65"/>
      <c r="P383" s="66"/>
      <c r="Q383" s="66"/>
    </row>
    <row r="384" spans="1:18" s="67" customFormat="1">
      <c r="A384" s="65"/>
      <c r="B384" s="83" t="s">
        <v>160</v>
      </c>
      <c r="C384" s="88" t="s">
        <v>152</v>
      </c>
      <c r="D384" s="84"/>
      <c r="E384" s="86"/>
      <c r="F384" s="85"/>
      <c r="G384" s="86"/>
      <c r="H384" s="84"/>
      <c r="I384" s="85"/>
      <c r="J384" s="84"/>
      <c r="K384" s="84"/>
      <c r="L384" s="85"/>
      <c r="M384" s="84"/>
      <c r="N384" s="84"/>
      <c r="O384" s="65"/>
      <c r="P384" s="66"/>
      <c r="Q384" s="66"/>
    </row>
    <row r="385" spans="1:18" s="67" customFormat="1">
      <c r="A385" s="65"/>
      <c r="B385" s="89" t="s">
        <v>161</v>
      </c>
      <c r="C385" s="90"/>
      <c r="D385" s="91">
        <f>SUM(D376:D384)</f>
        <v>7.6469999999999994</v>
      </c>
      <c r="E385" s="92">
        <f>SUM(E376:E384)</f>
        <v>13916.5853572</v>
      </c>
      <c r="F385" s="93"/>
      <c r="G385" s="92">
        <f>SUM(G376:G384)</f>
        <v>0</v>
      </c>
      <c r="H385" s="92">
        <f>SUM(H376:H384)</f>
        <v>0</v>
      </c>
      <c r="I385" s="93"/>
      <c r="J385" s="92">
        <f>SUM(J376:J384)</f>
        <v>0</v>
      </c>
      <c r="K385" s="92">
        <f>SUM(K376:K384)</f>
        <v>0</v>
      </c>
      <c r="L385" s="93"/>
      <c r="M385" s="92">
        <f>SUM(M376:M384)</f>
        <v>0</v>
      </c>
      <c r="N385" s="92">
        <f>SUM(N376:N384)</f>
        <v>-21938.414642800002</v>
      </c>
      <c r="O385" s="65"/>
      <c r="P385" s="95">
        <f>+D385+G385+J385+M385</f>
        <v>7.6469999999999994</v>
      </c>
      <c r="Q385" s="95">
        <f>+E385+H385+K385+N385</f>
        <v>-8021.8292856000025</v>
      </c>
    </row>
    <row r="386" spans="1:18" s="67" customFormat="1" ht="15" thickBot="1">
      <c r="A386" s="65"/>
      <c r="B386" s="65"/>
      <c r="C386" s="78"/>
      <c r="D386" s="78"/>
      <c r="E386" s="78"/>
      <c r="F386" s="78"/>
      <c r="G386" s="78"/>
      <c r="H386" s="78"/>
      <c r="I386" s="78"/>
      <c r="J386" s="78"/>
      <c r="K386" s="78"/>
      <c r="L386" s="78"/>
      <c r="M386" s="78"/>
      <c r="N386" s="78"/>
      <c r="O386" s="65"/>
      <c r="P386" s="66"/>
      <c r="Q386" s="66"/>
    </row>
    <row r="387" spans="1:18" s="67" customFormat="1" ht="15" thickBot="1">
      <c r="A387" s="65"/>
      <c r="B387" s="79" t="s">
        <v>162</v>
      </c>
      <c r="C387" s="80"/>
      <c r="D387" s="81"/>
      <c r="E387" s="81"/>
      <c r="F387" s="81"/>
      <c r="G387" s="81"/>
      <c r="H387" s="81"/>
      <c r="I387" s="81"/>
      <c r="J387" s="81"/>
      <c r="K387" s="81"/>
      <c r="L387" s="81"/>
      <c r="M387" s="81"/>
      <c r="N387" s="81"/>
      <c r="O387" s="65"/>
      <c r="P387" s="66"/>
      <c r="Q387" s="66"/>
    </row>
    <row r="388" spans="1:18" s="67" customFormat="1" ht="15" thickBot="1">
      <c r="A388" s="65"/>
      <c r="B388" s="83" t="s">
        <v>163</v>
      </c>
      <c r="C388" s="83" t="s">
        <v>164</v>
      </c>
      <c r="D388" s="84">
        <v>5.0272633272486473</v>
      </c>
      <c r="E388" s="103">
        <v>25142.65800660511</v>
      </c>
      <c r="F388" s="65"/>
      <c r="G388" s="86"/>
      <c r="H388" s="84"/>
      <c r="I388" s="85"/>
      <c r="J388" s="84"/>
      <c r="K388" s="84"/>
      <c r="L388" s="85"/>
      <c r="M388" s="84"/>
      <c r="N388" s="84">
        <f>+E388</f>
        <v>25142.65800660511</v>
      </c>
      <c r="O388" s="65"/>
      <c r="P388" s="66"/>
      <c r="Q388" s="66"/>
    </row>
    <row r="389" spans="1:18" s="67" customFormat="1" ht="15.75" thickTop="1" thickBot="1">
      <c r="A389" s="65"/>
      <c r="B389" s="83" t="s">
        <v>163</v>
      </c>
      <c r="C389" s="83" t="s">
        <v>165</v>
      </c>
      <c r="D389" s="84">
        <v>8.4055438457037042</v>
      </c>
      <c r="E389" s="103">
        <v>42012.69221955142</v>
      </c>
      <c r="F389" s="65"/>
      <c r="G389" s="86"/>
      <c r="H389" s="84"/>
      <c r="I389" s="85"/>
      <c r="J389" s="84"/>
      <c r="K389" s="84"/>
      <c r="L389" s="85"/>
      <c r="M389" s="84"/>
      <c r="N389" s="84">
        <f>+E389</f>
        <v>42012.69221955142</v>
      </c>
      <c r="O389" s="65"/>
      <c r="P389" s="66"/>
      <c r="Q389" s="66"/>
    </row>
    <row r="390" spans="1:18" s="67" customFormat="1" ht="15.75" thickTop="1" thickBot="1">
      <c r="A390" s="65"/>
      <c r="B390" s="83" t="s">
        <v>163</v>
      </c>
      <c r="C390" s="83" t="s">
        <v>111</v>
      </c>
      <c r="D390" s="84">
        <v>39.567192827047677</v>
      </c>
      <c r="E390" s="103">
        <v>197872.64977384359</v>
      </c>
      <c r="F390" s="65"/>
      <c r="G390" s="86"/>
      <c r="H390" s="84"/>
      <c r="I390" s="85"/>
      <c r="J390" s="84"/>
      <c r="K390" s="84"/>
      <c r="L390" s="85"/>
      <c r="M390" s="84"/>
      <c r="N390" s="84">
        <f>+E390</f>
        <v>197872.64977384359</v>
      </c>
      <c r="O390" s="65"/>
      <c r="P390" s="66"/>
      <c r="Q390" s="66"/>
    </row>
    <row r="391" spans="1:18" s="67" customFormat="1" ht="15" thickTop="1">
      <c r="A391" s="65"/>
      <c r="B391" s="83" t="s">
        <v>163</v>
      </c>
      <c r="C391" s="83" t="s">
        <v>166</v>
      </c>
      <c r="D391" s="84"/>
      <c r="E391" s="84"/>
      <c r="F391" s="65"/>
      <c r="G391" s="86"/>
      <c r="H391" s="84"/>
      <c r="I391" s="85"/>
      <c r="J391" s="84"/>
      <c r="K391" s="84"/>
      <c r="L391" s="85"/>
      <c r="M391" s="104"/>
      <c r="N391" s="104"/>
      <c r="O391" s="65"/>
      <c r="P391" s="66"/>
      <c r="Q391" s="66"/>
    </row>
    <row r="392" spans="1:18" s="67" customFormat="1">
      <c r="A392" s="65"/>
      <c r="B392" s="83" t="s">
        <v>167</v>
      </c>
      <c r="C392" s="83" t="s">
        <v>164</v>
      </c>
      <c r="D392" s="84"/>
      <c r="E392" s="84"/>
      <c r="F392" s="65"/>
      <c r="G392" s="86"/>
      <c r="H392" s="84"/>
      <c r="I392" s="85"/>
      <c r="J392" s="84"/>
      <c r="K392" s="84"/>
      <c r="L392" s="85"/>
      <c r="M392" s="104"/>
      <c r="N392" s="84">
        <f>+N586</f>
        <v>-35855</v>
      </c>
      <c r="O392" s="65"/>
      <c r="P392" s="66"/>
      <c r="Q392" s="66"/>
      <c r="R392" s="84"/>
    </row>
    <row r="393" spans="1:18" s="67" customFormat="1">
      <c r="A393" s="65"/>
      <c r="B393" s="83" t="s">
        <v>168</v>
      </c>
      <c r="C393" s="83"/>
      <c r="D393" s="84"/>
      <c r="E393" s="84"/>
      <c r="F393" s="65"/>
      <c r="G393" s="86"/>
      <c r="H393" s="84"/>
      <c r="I393" s="85"/>
      <c r="J393" s="84"/>
      <c r="K393" s="84"/>
      <c r="L393" s="85"/>
      <c r="M393" s="104"/>
      <c r="N393" s="104"/>
      <c r="O393" s="65"/>
      <c r="P393" s="66"/>
      <c r="Q393" s="66"/>
    </row>
    <row r="394" spans="1:18" s="67" customFormat="1">
      <c r="A394" s="65"/>
      <c r="B394" s="83" t="s">
        <v>169</v>
      </c>
      <c r="C394" s="83" t="s">
        <v>165</v>
      </c>
      <c r="D394" s="84"/>
      <c r="E394" s="84"/>
      <c r="F394" s="65"/>
      <c r="G394" s="86"/>
      <c r="H394" s="84"/>
      <c r="I394" s="85"/>
      <c r="J394" s="84"/>
      <c r="K394" s="84"/>
      <c r="L394" s="85"/>
      <c r="M394" s="104"/>
      <c r="N394" s="104"/>
      <c r="O394" s="65"/>
      <c r="P394" s="66"/>
      <c r="Q394" s="66"/>
    </row>
    <row r="395" spans="1:18" s="67" customFormat="1">
      <c r="A395" s="65"/>
      <c r="B395" s="83" t="s">
        <v>170</v>
      </c>
      <c r="C395" s="83" t="s">
        <v>165</v>
      </c>
      <c r="D395" s="108"/>
      <c r="E395" s="108"/>
      <c r="F395" s="65"/>
      <c r="G395" s="86"/>
      <c r="H395" s="84"/>
      <c r="I395" s="85"/>
      <c r="J395" s="84"/>
      <c r="K395" s="84"/>
      <c r="L395" s="85"/>
      <c r="M395" s="104"/>
      <c r="N395" s="104"/>
      <c r="O395" s="65"/>
      <c r="P395" s="66"/>
      <c r="Q395" s="66"/>
    </row>
    <row r="396" spans="1:18" s="67" customFormat="1">
      <c r="A396" s="65"/>
      <c r="B396" s="83" t="s">
        <v>171</v>
      </c>
      <c r="C396" s="83" t="s">
        <v>165</v>
      </c>
      <c r="D396" s="84"/>
      <c r="E396" s="84"/>
      <c r="F396" s="65"/>
      <c r="G396" s="86"/>
      <c r="H396" s="84"/>
      <c r="I396" s="85"/>
      <c r="J396" s="84"/>
      <c r="K396" s="84"/>
      <c r="L396" s="85"/>
      <c r="M396" s="104"/>
      <c r="N396" s="104"/>
      <c r="O396" s="65"/>
      <c r="P396" s="66"/>
      <c r="Q396" s="66"/>
    </row>
    <row r="397" spans="1:18" s="67" customFormat="1">
      <c r="A397" s="65"/>
      <c r="B397" s="83" t="s">
        <v>172</v>
      </c>
      <c r="C397" s="83"/>
      <c r="D397" s="84"/>
      <c r="E397" s="84"/>
      <c r="F397" s="65"/>
      <c r="G397" s="86"/>
      <c r="H397" s="84"/>
      <c r="I397" s="85"/>
      <c r="J397" s="84"/>
      <c r="K397" s="84"/>
      <c r="L397" s="85"/>
      <c r="M397" s="104"/>
      <c r="N397" s="104"/>
      <c r="O397" s="65"/>
      <c r="P397" s="66"/>
      <c r="Q397" s="66"/>
    </row>
    <row r="398" spans="1:18" s="67" customFormat="1">
      <c r="A398" s="65"/>
      <c r="B398" s="83" t="s">
        <v>105</v>
      </c>
      <c r="C398" s="88"/>
      <c r="D398" s="84"/>
      <c r="E398" s="84"/>
      <c r="F398" s="65"/>
      <c r="G398" s="86"/>
      <c r="H398" s="84"/>
      <c r="I398" s="85"/>
      <c r="J398" s="84"/>
      <c r="K398" s="84"/>
      <c r="L398" s="85"/>
      <c r="M398" s="104"/>
      <c r="N398" s="104"/>
      <c r="O398" s="65"/>
      <c r="P398" s="66"/>
      <c r="Q398" s="66"/>
    </row>
    <row r="399" spans="1:18" s="67" customFormat="1">
      <c r="A399" s="65"/>
      <c r="B399" s="89" t="s">
        <v>173</v>
      </c>
      <c r="C399" s="90"/>
      <c r="D399" s="91">
        <f>SUM(D388:D398)</f>
        <v>53.000000000000028</v>
      </c>
      <c r="E399" s="92">
        <f>SUM(E388:E398)</f>
        <v>265028.00000000012</v>
      </c>
      <c r="F399" s="93"/>
      <c r="G399" s="91">
        <f>SUM(G388:G398)</f>
        <v>0</v>
      </c>
      <c r="H399" s="92">
        <f>SUM(H388:H398)</f>
        <v>0</v>
      </c>
      <c r="I399" s="93"/>
      <c r="J399" s="91">
        <f>SUM(J388:J398)</f>
        <v>0</v>
      </c>
      <c r="K399" s="92">
        <f>SUM(K388:K398)</f>
        <v>0</v>
      </c>
      <c r="L399" s="93"/>
      <c r="M399" s="91">
        <f>SUM(M388:M398)</f>
        <v>0</v>
      </c>
      <c r="N399" s="92">
        <f>SUM(N388:N398)</f>
        <v>229173.00000000012</v>
      </c>
      <c r="O399" s="65"/>
      <c r="P399" s="95">
        <f>+D399+G399+J399+M399</f>
        <v>53.000000000000028</v>
      </c>
      <c r="Q399" s="95">
        <f>+E399+H399+K399+N399</f>
        <v>494201.00000000023</v>
      </c>
    </row>
    <row r="400" spans="1:18" s="67" customFormat="1" ht="15" thickBot="1">
      <c r="A400" s="65"/>
      <c r="B400" s="65"/>
      <c r="C400" s="78"/>
      <c r="D400" s="78"/>
      <c r="E400" s="78"/>
      <c r="F400" s="78"/>
      <c r="G400" s="78"/>
      <c r="H400" s="78"/>
      <c r="I400" s="78"/>
      <c r="J400" s="78"/>
      <c r="K400" s="78"/>
      <c r="L400" s="78"/>
      <c r="M400" s="78"/>
      <c r="N400" s="78"/>
      <c r="O400" s="65"/>
      <c r="P400" s="66"/>
      <c r="Q400" s="66"/>
    </row>
    <row r="401" spans="1:18" s="67" customFormat="1" ht="15" thickBot="1">
      <c r="A401" s="65"/>
      <c r="B401" s="79" t="s">
        <v>174</v>
      </c>
      <c r="C401" s="80"/>
      <c r="D401" s="81"/>
      <c r="E401" s="81"/>
      <c r="F401" s="81"/>
      <c r="G401" s="81"/>
      <c r="H401" s="81"/>
      <c r="I401" s="81"/>
      <c r="J401" s="81"/>
      <c r="K401" s="81"/>
      <c r="L401" s="81"/>
      <c r="M401" s="81"/>
      <c r="N401" s="81"/>
      <c r="O401" s="65"/>
      <c r="P401" s="66"/>
      <c r="Q401" s="66"/>
    </row>
    <row r="402" spans="1:18" s="67" customFormat="1">
      <c r="A402" s="65"/>
      <c r="B402" s="83" t="s">
        <v>175</v>
      </c>
      <c r="C402" s="83"/>
      <c r="D402" s="84"/>
      <c r="E402" s="84"/>
      <c r="F402" s="65"/>
      <c r="G402" s="86"/>
      <c r="H402" s="84"/>
      <c r="I402" s="85"/>
      <c r="J402" s="84"/>
      <c r="K402" s="84"/>
      <c r="L402" s="85"/>
      <c r="M402" s="84"/>
      <c r="N402" s="84"/>
      <c r="O402" s="65"/>
      <c r="P402" s="66"/>
      <c r="Q402" s="66"/>
    </row>
    <row r="403" spans="1:18" s="67" customFormat="1">
      <c r="A403" s="65"/>
      <c r="B403" s="83" t="s">
        <v>176</v>
      </c>
      <c r="C403" s="83"/>
      <c r="D403" s="84"/>
      <c r="E403" s="84"/>
      <c r="F403" s="65"/>
      <c r="G403" s="86"/>
      <c r="H403" s="84"/>
      <c r="I403" s="85"/>
      <c r="J403" s="84"/>
      <c r="K403" s="84"/>
      <c r="L403" s="85"/>
      <c r="M403" s="84"/>
      <c r="N403" s="84"/>
      <c r="O403" s="65"/>
      <c r="P403" s="66"/>
      <c r="Q403" s="66"/>
    </row>
    <row r="404" spans="1:18" s="67" customFormat="1">
      <c r="A404" s="65"/>
      <c r="B404" s="83" t="s">
        <v>177</v>
      </c>
      <c r="C404" s="83" t="s">
        <v>111</v>
      </c>
      <c r="D404" s="84"/>
      <c r="E404" s="84"/>
      <c r="F404" s="65"/>
      <c r="G404" s="86"/>
      <c r="H404" s="84"/>
      <c r="I404" s="85"/>
      <c r="J404" s="84"/>
      <c r="K404" s="84"/>
      <c r="L404" s="85"/>
      <c r="M404" s="84"/>
      <c r="N404" s="84"/>
      <c r="O404" s="65"/>
      <c r="P404" s="66"/>
      <c r="Q404" s="66"/>
    </row>
    <row r="405" spans="1:18" s="67" customFormat="1">
      <c r="A405" s="65"/>
      <c r="B405" s="83" t="s">
        <v>163</v>
      </c>
      <c r="C405" s="83" t="s">
        <v>111</v>
      </c>
      <c r="D405" s="84"/>
      <c r="E405" s="84"/>
      <c r="F405" s="65"/>
      <c r="G405" s="86"/>
      <c r="H405" s="84"/>
      <c r="I405" s="85"/>
      <c r="J405" s="84"/>
      <c r="K405" s="84"/>
      <c r="L405" s="85"/>
      <c r="M405" s="84"/>
      <c r="N405" s="84"/>
      <c r="O405" s="65"/>
      <c r="P405" s="66"/>
      <c r="Q405" s="66"/>
    </row>
    <row r="406" spans="1:18" s="67" customFormat="1">
      <c r="A406" s="65"/>
      <c r="B406" s="83" t="s">
        <v>105</v>
      </c>
      <c r="C406" s="83" t="s">
        <v>111</v>
      </c>
      <c r="D406" s="84"/>
      <c r="E406" s="84"/>
      <c r="F406" s="65"/>
      <c r="G406" s="86"/>
      <c r="H406" s="84"/>
      <c r="I406" s="85"/>
      <c r="J406" s="84"/>
      <c r="K406" s="84"/>
      <c r="L406" s="85"/>
      <c r="M406" s="84"/>
      <c r="N406" s="84"/>
      <c r="O406" s="65"/>
      <c r="P406" s="66"/>
      <c r="Q406" s="66"/>
    </row>
    <row r="407" spans="1:18" s="67" customFormat="1">
      <c r="A407" s="65"/>
      <c r="B407" s="89" t="s">
        <v>178</v>
      </c>
      <c r="C407" s="90"/>
      <c r="D407" s="91">
        <f>SUM(D402:D406)</f>
        <v>0</v>
      </c>
      <c r="E407" s="91">
        <f>SUM(E402:E406)</f>
        <v>0</v>
      </c>
      <c r="F407" s="93"/>
      <c r="G407" s="91">
        <f>SUM(G402:G406)</f>
        <v>0</v>
      </c>
      <c r="H407" s="91">
        <f>SUM(H402:H406)</f>
        <v>0</v>
      </c>
      <c r="I407" s="93"/>
      <c r="J407" s="91">
        <f>SUM(J402:J406)</f>
        <v>0</v>
      </c>
      <c r="K407" s="91">
        <f>SUM(K402:K406)</f>
        <v>0</v>
      </c>
      <c r="L407" s="93"/>
      <c r="M407" s="91">
        <f>SUM(M402:M406)</f>
        <v>0</v>
      </c>
      <c r="N407" s="91">
        <f>SUM(N402:N406)</f>
        <v>0</v>
      </c>
      <c r="O407" s="65"/>
      <c r="P407" s="95">
        <f>+D407+G407+J407+M407</f>
        <v>0</v>
      </c>
      <c r="Q407" s="95">
        <f>+E407+H407+K407+N407</f>
        <v>0</v>
      </c>
    </row>
    <row r="408" spans="1:18" s="67" customFormat="1" ht="15" thickBot="1">
      <c r="A408" s="65"/>
      <c r="B408" s="65"/>
      <c r="C408" s="78"/>
      <c r="D408" s="78"/>
      <c r="E408" s="78"/>
      <c r="F408" s="78"/>
      <c r="G408" s="78"/>
      <c r="H408" s="78"/>
      <c r="I408" s="78"/>
      <c r="J408" s="78"/>
      <c r="K408" s="78"/>
      <c r="L408" s="78"/>
      <c r="M408" s="78"/>
      <c r="N408" s="78"/>
      <c r="O408" s="65"/>
      <c r="P408" s="66"/>
      <c r="Q408" s="66"/>
    </row>
    <row r="409" spans="1:18" s="67" customFormat="1" ht="15" thickBot="1">
      <c r="A409" s="65"/>
      <c r="B409" s="79" t="s">
        <v>179</v>
      </c>
      <c r="C409" s="80"/>
      <c r="D409" s="81"/>
      <c r="E409" s="81"/>
      <c r="F409" s="81"/>
      <c r="G409" s="81"/>
      <c r="H409" s="81"/>
      <c r="I409" s="81"/>
      <c r="J409" s="81"/>
      <c r="K409" s="81"/>
      <c r="L409" s="81"/>
      <c r="M409" s="81"/>
      <c r="N409" s="81"/>
      <c r="O409" s="65"/>
      <c r="P409" s="66"/>
      <c r="Q409" s="66"/>
    </row>
    <row r="410" spans="1:18" s="67" customFormat="1">
      <c r="A410" s="65"/>
      <c r="B410" s="83" t="s">
        <v>179</v>
      </c>
      <c r="C410" s="83" t="s">
        <v>152</v>
      </c>
      <c r="D410" s="113">
        <v>2.2360000000000002</v>
      </c>
      <c r="E410" s="113">
        <v>26400.886900000001</v>
      </c>
      <c r="F410" s="65"/>
      <c r="G410" s="86"/>
      <c r="H410" s="84"/>
      <c r="I410" s="85"/>
      <c r="J410" s="84"/>
      <c r="K410" s="84"/>
      <c r="L410" s="85"/>
      <c r="M410" s="84"/>
      <c r="N410" s="84">
        <f>+E410-606</f>
        <v>25794.886900000001</v>
      </c>
      <c r="O410" s="65"/>
      <c r="P410" s="66"/>
      <c r="Q410" s="66"/>
      <c r="R410" s="84"/>
    </row>
    <row r="411" spans="1:18" s="67" customFormat="1">
      <c r="A411" s="65"/>
      <c r="B411" s="89" t="s">
        <v>180</v>
      </c>
      <c r="C411" s="90"/>
      <c r="D411" s="91">
        <f>SUM(D410)</f>
        <v>2.2360000000000002</v>
      </c>
      <c r="E411" s="91">
        <f>SUM(E410)</f>
        <v>26400.886900000001</v>
      </c>
      <c r="F411" s="93"/>
      <c r="G411" s="91">
        <f>SUM(G410)</f>
        <v>0</v>
      </c>
      <c r="H411" s="91">
        <f>SUM(H410)</f>
        <v>0</v>
      </c>
      <c r="I411" s="93"/>
      <c r="J411" s="91">
        <f>SUM(J410)</f>
        <v>0</v>
      </c>
      <c r="K411" s="91">
        <f>SUM(K410)</f>
        <v>0</v>
      </c>
      <c r="L411" s="93"/>
      <c r="M411" s="91">
        <f>SUM(M410)</f>
        <v>0</v>
      </c>
      <c r="N411" s="91">
        <f>SUM(N410)</f>
        <v>25794.886900000001</v>
      </c>
      <c r="O411" s="65"/>
      <c r="P411" s="95">
        <f>+D411+G411+J411+M411</f>
        <v>2.2360000000000002</v>
      </c>
      <c r="Q411" s="95">
        <f>+E411+H411+K411+N411</f>
        <v>52195.773800000003</v>
      </c>
    </row>
    <row r="412" spans="1:18" s="67" customFormat="1" ht="15" thickBot="1">
      <c r="A412" s="65"/>
      <c r="B412" s="65"/>
      <c r="C412" s="78"/>
      <c r="D412" s="78"/>
      <c r="E412" s="78"/>
      <c r="F412" s="78"/>
      <c r="G412" s="78"/>
      <c r="H412" s="78"/>
      <c r="I412" s="78"/>
      <c r="J412" s="78"/>
      <c r="K412" s="78"/>
      <c r="L412" s="78"/>
      <c r="M412" s="78"/>
      <c r="N412" s="78"/>
      <c r="O412" s="65"/>
      <c r="P412" s="66"/>
      <c r="Q412" s="66"/>
    </row>
    <row r="413" spans="1:18" s="67" customFormat="1" ht="15" thickBot="1">
      <c r="A413" s="65"/>
      <c r="B413" s="79" t="s">
        <v>181</v>
      </c>
      <c r="C413" s="80"/>
      <c r="D413" s="81"/>
      <c r="E413" s="81"/>
      <c r="F413" s="81"/>
      <c r="G413" s="81"/>
      <c r="H413" s="81"/>
      <c r="I413" s="81"/>
      <c r="J413" s="81"/>
      <c r="K413" s="81"/>
      <c r="L413" s="81"/>
      <c r="M413" s="81"/>
      <c r="N413" s="81"/>
      <c r="O413" s="65"/>
      <c r="P413" s="66"/>
      <c r="Q413" s="66"/>
    </row>
    <row r="414" spans="1:18" s="67" customFormat="1">
      <c r="A414" s="65"/>
      <c r="B414" s="83" t="s">
        <v>179</v>
      </c>
      <c r="C414" s="83"/>
      <c r="D414" s="84"/>
      <c r="E414" s="84"/>
      <c r="F414" s="65"/>
      <c r="G414" s="86"/>
      <c r="H414" s="84"/>
      <c r="I414" s="85"/>
      <c r="J414" s="84"/>
      <c r="K414" s="84"/>
      <c r="L414" s="85"/>
      <c r="M414" s="84"/>
      <c r="N414" s="84"/>
      <c r="O414" s="65"/>
      <c r="P414" s="66"/>
      <c r="Q414" s="66"/>
    </row>
    <row r="415" spans="1:18" s="67" customFormat="1">
      <c r="A415" s="65"/>
      <c r="B415" s="83" t="s">
        <v>167</v>
      </c>
      <c r="C415" s="83"/>
      <c r="D415" s="84"/>
      <c r="E415" s="84"/>
      <c r="F415" s="65"/>
      <c r="G415" s="86"/>
      <c r="H415" s="84"/>
      <c r="I415" s="85"/>
      <c r="J415" s="84"/>
      <c r="K415" s="84"/>
      <c r="L415" s="85"/>
      <c r="M415" s="84"/>
      <c r="N415" s="84"/>
      <c r="O415" s="65"/>
      <c r="P415" s="66"/>
      <c r="Q415" s="66"/>
    </row>
    <row r="416" spans="1:18" s="67" customFormat="1">
      <c r="A416" s="65"/>
      <c r="B416" s="89" t="s">
        <v>182</v>
      </c>
      <c r="C416" s="90"/>
      <c r="D416" s="91">
        <f>SUM(D414:D415)</f>
        <v>0</v>
      </c>
      <c r="E416" s="91">
        <f>SUM(E414:E415)</f>
        <v>0</v>
      </c>
      <c r="F416" s="93"/>
      <c r="G416" s="91">
        <f>SUM(G414:G415)</f>
        <v>0</v>
      </c>
      <c r="H416" s="91">
        <f>SUM(H414:H415)</f>
        <v>0</v>
      </c>
      <c r="I416" s="93"/>
      <c r="J416" s="91">
        <f>SUM(J414:J415)</f>
        <v>0</v>
      </c>
      <c r="K416" s="91">
        <f>SUM(K414:K415)</f>
        <v>0</v>
      </c>
      <c r="L416" s="93"/>
      <c r="M416" s="91">
        <f>SUM(M414:M415)</f>
        <v>0</v>
      </c>
      <c r="N416" s="91">
        <f>SUM(N414:N415)</f>
        <v>0</v>
      </c>
      <c r="O416" s="65"/>
      <c r="P416" s="95">
        <f>+D416+G416+J416+M416</f>
        <v>0</v>
      </c>
      <c r="Q416" s="95">
        <f>+E416+H416+K416+N416</f>
        <v>0</v>
      </c>
    </row>
    <row r="417" spans="1:17" s="67" customFormat="1" ht="15" thickBot="1">
      <c r="A417" s="65"/>
      <c r="B417" s="65"/>
      <c r="C417" s="78"/>
      <c r="D417" s="78"/>
      <c r="E417" s="78"/>
      <c r="F417" s="78"/>
      <c r="G417" s="78"/>
      <c r="H417" s="78"/>
      <c r="I417" s="78"/>
      <c r="J417" s="78"/>
      <c r="K417" s="78"/>
      <c r="L417" s="78"/>
      <c r="M417" s="78"/>
      <c r="N417" s="78"/>
      <c r="O417" s="65"/>
      <c r="P417" s="66"/>
      <c r="Q417" s="66"/>
    </row>
    <row r="418" spans="1:17" s="67" customFormat="1" ht="15" thickBot="1">
      <c r="A418" s="65"/>
      <c r="B418" s="79" t="s">
        <v>183</v>
      </c>
      <c r="C418" s="80"/>
      <c r="D418" s="81"/>
      <c r="E418" s="81"/>
      <c r="F418" s="81"/>
      <c r="G418" s="81"/>
      <c r="H418" s="81"/>
      <c r="I418" s="81"/>
      <c r="J418" s="81"/>
      <c r="K418" s="81"/>
      <c r="L418" s="81"/>
      <c r="M418" s="81"/>
      <c r="N418" s="81"/>
      <c r="O418" s="65"/>
      <c r="P418" s="66"/>
      <c r="Q418" s="66"/>
    </row>
    <row r="419" spans="1:17" s="67" customFormat="1">
      <c r="A419" s="65"/>
      <c r="B419" s="83" t="s">
        <v>184</v>
      </c>
      <c r="C419" s="83" t="s">
        <v>165</v>
      </c>
      <c r="D419" s="84"/>
      <c r="E419" s="84"/>
      <c r="F419" s="65"/>
      <c r="G419" s="86"/>
      <c r="H419" s="84"/>
      <c r="I419" s="85"/>
      <c r="J419" s="84"/>
      <c r="K419" s="84"/>
      <c r="L419" s="85"/>
      <c r="M419" s="84"/>
      <c r="N419" s="84"/>
      <c r="O419" s="65"/>
      <c r="P419" s="66"/>
      <c r="Q419" s="66"/>
    </row>
    <row r="420" spans="1:17" s="67" customFormat="1">
      <c r="A420" s="65"/>
      <c r="B420" s="83" t="s">
        <v>103</v>
      </c>
      <c r="C420" s="83" t="s">
        <v>165</v>
      </c>
      <c r="D420" s="108"/>
      <c r="E420" s="84"/>
      <c r="F420" s="65"/>
      <c r="G420" s="86"/>
      <c r="H420" s="84"/>
      <c r="I420" s="85"/>
      <c r="J420" s="84"/>
      <c r="K420" s="84"/>
      <c r="L420" s="85"/>
      <c r="M420" s="84"/>
      <c r="N420" s="84"/>
      <c r="O420" s="65"/>
      <c r="P420" s="66"/>
      <c r="Q420" s="66"/>
    </row>
    <row r="421" spans="1:17" s="67" customFormat="1">
      <c r="A421" s="65"/>
      <c r="B421" s="83" t="s">
        <v>185</v>
      </c>
      <c r="C421" s="83"/>
      <c r="D421" s="84"/>
      <c r="E421" s="84"/>
      <c r="F421" s="65"/>
      <c r="G421" s="86"/>
      <c r="H421" s="84"/>
      <c r="I421" s="85"/>
      <c r="J421" s="84"/>
      <c r="K421" s="84"/>
      <c r="L421" s="85"/>
      <c r="M421" s="84"/>
      <c r="N421" s="84"/>
      <c r="O421" s="65"/>
      <c r="P421" s="66"/>
      <c r="Q421" s="66"/>
    </row>
    <row r="422" spans="1:17" s="67" customFormat="1">
      <c r="A422" s="65"/>
      <c r="B422" s="83" t="s">
        <v>186</v>
      </c>
      <c r="C422" s="83"/>
      <c r="D422" s="84"/>
      <c r="E422" s="84"/>
      <c r="F422" s="65"/>
      <c r="G422" s="86"/>
      <c r="H422" s="84"/>
      <c r="I422" s="85"/>
      <c r="J422" s="84"/>
      <c r="K422" s="84"/>
      <c r="L422" s="85"/>
      <c r="M422" s="84"/>
      <c r="N422" s="84"/>
      <c r="O422" s="65"/>
      <c r="P422" s="66"/>
      <c r="Q422" s="66"/>
    </row>
    <row r="423" spans="1:17" s="67" customFormat="1">
      <c r="A423" s="65"/>
      <c r="B423" s="83" t="s">
        <v>187</v>
      </c>
      <c r="C423" s="83"/>
      <c r="D423" s="84"/>
      <c r="E423" s="84"/>
      <c r="F423" s="65"/>
      <c r="G423" s="86"/>
      <c r="H423" s="84"/>
      <c r="I423" s="85"/>
      <c r="J423" s="84"/>
      <c r="K423" s="84"/>
      <c r="L423" s="85"/>
      <c r="M423" s="84"/>
      <c r="N423" s="84"/>
      <c r="O423" s="65"/>
      <c r="P423" s="66"/>
      <c r="Q423" s="66"/>
    </row>
    <row r="424" spans="1:17" s="67" customFormat="1">
      <c r="A424" s="65"/>
      <c r="B424" s="89" t="s">
        <v>188</v>
      </c>
      <c r="C424" s="90"/>
      <c r="D424" s="91">
        <f>SUM(D419:D423)</f>
        <v>0</v>
      </c>
      <c r="E424" s="91">
        <f>SUM(E419:E423)</f>
        <v>0</v>
      </c>
      <c r="F424" s="93"/>
      <c r="G424" s="91">
        <f>SUM(G419:G423)</f>
        <v>0</v>
      </c>
      <c r="H424" s="91">
        <f>SUM(H419:H423)</f>
        <v>0</v>
      </c>
      <c r="I424" s="93"/>
      <c r="J424" s="91">
        <f>SUM(J419:J423)</f>
        <v>0</v>
      </c>
      <c r="K424" s="91">
        <f>SUM(K419:K423)</f>
        <v>0</v>
      </c>
      <c r="L424" s="93"/>
      <c r="M424" s="91">
        <f>SUM(M419:M423)</f>
        <v>0</v>
      </c>
      <c r="N424" s="91">
        <f>SUM(N419:N423)</f>
        <v>0</v>
      </c>
      <c r="O424" s="65"/>
      <c r="P424" s="95">
        <f>+D424+G424+J424+M424</f>
        <v>0</v>
      </c>
      <c r="Q424" s="95">
        <f>+E424+H424+K424+N424</f>
        <v>0</v>
      </c>
    </row>
    <row r="425" spans="1:17" s="67" customFormat="1" ht="15" thickBot="1">
      <c r="A425" s="65"/>
      <c r="B425" s="65"/>
      <c r="C425" s="78"/>
      <c r="D425" s="78"/>
      <c r="E425" s="78"/>
      <c r="F425" s="78"/>
      <c r="G425" s="78"/>
      <c r="H425" s="78"/>
      <c r="I425" s="78"/>
      <c r="J425" s="78"/>
      <c r="K425" s="78"/>
      <c r="L425" s="78"/>
      <c r="M425" s="78"/>
      <c r="N425" s="78"/>
      <c r="O425" s="65"/>
      <c r="P425" s="66"/>
      <c r="Q425" s="66"/>
    </row>
    <row r="426" spans="1:17" s="67" customFormat="1" ht="15" thickBot="1">
      <c r="A426" s="65"/>
      <c r="B426" s="79" t="s">
        <v>189</v>
      </c>
      <c r="C426" s="80"/>
      <c r="D426" s="81"/>
      <c r="E426" s="81"/>
      <c r="F426" s="81"/>
      <c r="G426" s="81"/>
      <c r="H426" s="81"/>
      <c r="I426" s="81"/>
      <c r="J426" s="81"/>
      <c r="K426" s="81"/>
      <c r="L426" s="81"/>
      <c r="M426" s="81"/>
      <c r="N426" s="81"/>
      <c r="O426" s="65"/>
      <c r="P426" s="66"/>
      <c r="Q426" s="66"/>
    </row>
    <row r="427" spans="1:17" s="67" customFormat="1">
      <c r="A427" s="65"/>
      <c r="B427" s="83" t="s">
        <v>190</v>
      </c>
      <c r="C427" s="83" t="s">
        <v>165</v>
      </c>
      <c r="D427" s="112">
        <v>152.761</v>
      </c>
      <c r="E427" s="112">
        <v>1320951.92</v>
      </c>
      <c r="F427" s="65"/>
      <c r="G427" s="86"/>
      <c r="H427" s="84"/>
      <c r="I427" s="85"/>
      <c r="J427" s="84"/>
      <c r="K427" s="84"/>
      <c r="L427" s="85"/>
      <c r="M427" s="84"/>
      <c r="N427" s="84">
        <f>+E427</f>
        <v>1320951.92</v>
      </c>
      <c r="O427" s="65"/>
      <c r="P427" s="66"/>
      <c r="Q427" s="66"/>
    </row>
    <row r="428" spans="1:17" s="67" customFormat="1">
      <c r="A428" s="65"/>
      <c r="B428" s="83" t="s">
        <v>191</v>
      </c>
      <c r="C428" s="83" t="s">
        <v>192</v>
      </c>
      <c r="D428" s="84"/>
      <c r="E428" s="84"/>
      <c r="F428" s="65"/>
      <c r="G428" s="86"/>
      <c r="H428" s="84"/>
      <c r="I428" s="85"/>
      <c r="J428" s="84"/>
      <c r="K428" s="84"/>
      <c r="L428" s="85"/>
      <c r="M428" s="84"/>
      <c r="N428" s="84"/>
      <c r="O428" s="65"/>
      <c r="P428" s="66"/>
      <c r="Q428" s="66"/>
    </row>
    <row r="429" spans="1:17" s="67" customFormat="1">
      <c r="A429" s="65"/>
      <c r="B429" s="83" t="s">
        <v>193</v>
      </c>
      <c r="C429" s="83"/>
      <c r="D429" s="84"/>
      <c r="E429" s="84"/>
      <c r="F429" s="65"/>
      <c r="G429" s="86"/>
      <c r="H429" s="84"/>
      <c r="I429" s="85"/>
      <c r="J429" s="84"/>
      <c r="K429" s="84"/>
      <c r="L429" s="85"/>
      <c r="M429" s="84"/>
      <c r="N429" s="84"/>
      <c r="O429" s="65"/>
      <c r="P429" s="66"/>
      <c r="Q429" s="66"/>
    </row>
    <row r="430" spans="1:17" s="67" customFormat="1">
      <c r="A430" s="65"/>
      <c r="B430" s="89" t="s">
        <v>194</v>
      </c>
      <c r="C430" s="90"/>
      <c r="D430" s="91">
        <f>SUM(D427:D429)</f>
        <v>152.761</v>
      </c>
      <c r="E430" s="91">
        <f>SUM(E427:E429)</f>
        <v>1320951.92</v>
      </c>
      <c r="F430" s="93"/>
      <c r="G430" s="91">
        <f>SUM(G427:G429)</f>
        <v>0</v>
      </c>
      <c r="H430" s="91">
        <f>SUM(H427:H429)</f>
        <v>0</v>
      </c>
      <c r="I430" s="93"/>
      <c r="J430" s="91">
        <f>SUM(J427:J429)</f>
        <v>0</v>
      </c>
      <c r="K430" s="91">
        <f>SUM(K427:K429)</f>
        <v>0</v>
      </c>
      <c r="L430" s="93"/>
      <c r="M430" s="91">
        <f>SUM(M427:M429)</f>
        <v>0</v>
      </c>
      <c r="N430" s="91">
        <f>SUM(N427:N429)</f>
        <v>1320951.92</v>
      </c>
      <c r="O430" s="65"/>
      <c r="P430" s="95">
        <f>+D430+G430+J430+M430</f>
        <v>152.761</v>
      </c>
      <c r="Q430" s="95">
        <f>+E430+H430+K430+N430</f>
        <v>2641903.84</v>
      </c>
    </row>
    <row r="432" spans="1:17" s="67" customFormat="1" ht="15.75" thickBot="1">
      <c r="A432" s="65"/>
      <c r="B432" s="65"/>
      <c r="C432" s="65"/>
      <c r="D432" s="99">
        <f>+D430+D424+D416+D411+D407+D399+D385</f>
        <v>215.64400000000001</v>
      </c>
      <c r="E432" s="99">
        <f>+E430+E424+E416+E411+E407+E399+E385</f>
        <v>1626297.3922572001</v>
      </c>
      <c r="F432" s="98"/>
      <c r="G432" s="99">
        <f>+G430+G424+G416+G411+G407+G399+G385</f>
        <v>0</v>
      </c>
      <c r="H432" s="99">
        <f>+H430+H424+H416+H411+H407+H399+H385</f>
        <v>0</v>
      </c>
      <c r="I432" s="98"/>
      <c r="J432" s="99">
        <f>+J430+J424+J416+J411+J407+J399+J385</f>
        <v>0</v>
      </c>
      <c r="K432" s="99">
        <f>+K430+K424+K416+K411+K407+K399+K385</f>
        <v>0</v>
      </c>
      <c r="L432" s="98"/>
      <c r="M432" s="99">
        <f>+M430+M424+M416+M411+M407+M399+M385</f>
        <v>0</v>
      </c>
      <c r="N432" s="99">
        <f>+N430+N424+N416+N411+N407+N399+N385</f>
        <v>1553981.3922572001</v>
      </c>
      <c r="O432" s="98"/>
      <c r="P432" s="99">
        <f>+P430+P424+P416+P411+P407+P399+P385</f>
        <v>215.64400000000001</v>
      </c>
      <c r="Q432" s="99">
        <f>+Q430+Q424+Q416+Q411+Q407+Q399+Q385</f>
        <v>3180278.7845144002</v>
      </c>
    </row>
    <row r="433" spans="1:17" s="67" customFormat="1" ht="15" thickTop="1">
      <c r="A433" s="65"/>
      <c r="B433" s="65"/>
      <c r="C433" s="98"/>
      <c r="D433" s="65"/>
      <c r="E433" s="65"/>
      <c r="F433" s="65"/>
      <c r="G433" s="65"/>
      <c r="H433" s="65"/>
      <c r="I433" s="65"/>
      <c r="J433" s="65"/>
      <c r="K433" s="65"/>
      <c r="L433" s="65"/>
      <c r="M433" s="65"/>
      <c r="N433" s="65"/>
      <c r="O433" s="65"/>
      <c r="P433" s="66"/>
      <c r="Q433" s="66"/>
    </row>
    <row r="434" spans="1:17" s="67" customFormat="1">
      <c r="A434" s="65"/>
      <c r="B434" s="65"/>
      <c r="C434" s="98"/>
      <c r="D434" s="65"/>
      <c r="E434" s="65"/>
      <c r="F434" s="65"/>
      <c r="G434" s="65"/>
      <c r="H434" s="65"/>
      <c r="I434" s="65"/>
      <c r="J434" s="65"/>
      <c r="K434" s="65"/>
      <c r="L434" s="65"/>
      <c r="M434" s="65"/>
      <c r="N434" s="65"/>
      <c r="O434" s="65"/>
      <c r="P434" s="66"/>
      <c r="Q434" s="66"/>
    </row>
    <row r="435" spans="1:17" s="67" customFormat="1">
      <c r="A435" s="65"/>
      <c r="B435" s="97" t="s">
        <v>202</v>
      </c>
      <c r="C435" s="98"/>
      <c r="D435" s="65"/>
      <c r="E435" s="65"/>
      <c r="F435" s="65"/>
      <c r="G435" s="65"/>
      <c r="H435" s="65"/>
      <c r="I435" s="65"/>
      <c r="J435" s="65"/>
      <c r="K435" s="65"/>
      <c r="L435" s="65"/>
      <c r="M435" s="65"/>
      <c r="N435" s="65"/>
      <c r="O435" s="65"/>
      <c r="P435" s="66"/>
      <c r="Q435" s="66"/>
    </row>
    <row r="436" spans="1:17" s="67" customFormat="1">
      <c r="A436" s="65"/>
      <c r="B436" s="97" t="s">
        <v>230</v>
      </c>
      <c r="C436" s="98"/>
      <c r="D436" s="65"/>
      <c r="E436" s="65"/>
      <c r="F436" s="65"/>
      <c r="G436" s="65"/>
      <c r="H436" s="65"/>
      <c r="I436" s="65"/>
      <c r="J436" s="65"/>
      <c r="K436" s="65"/>
      <c r="L436" s="65"/>
      <c r="M436" s="65"/>
      <c r="N436" s="65"/>
      <c r="O436" s="65"/>
      <c r="P436" s="66"/>
      <c r="Q436" s="66"/>
    </row>
    <row r="437" spans="1:17" s="67" customFormat="1">
      <c r="A437" s="65"/>
      <c r="B437" s="107" t="s">
        <v>231</v>
      </c>
      <c r="C437" s="98"/>
      <c r="D437" s="65"/>
      <c r="E437" s="65"/>
      <c r="F437" s="65"/>
      <c r="G437" s="65"/>
      <c r="H437" s="65"/>
      <c r="I437" s="65"/>
      <c r="J437" s="65"/>
      <c r="K437" s="65"/>
      <c r="L437" s="65"/>
      <c r="M437" s="65"/>
      <c r="N437" s="65"/>
      <c r="O437" s="65"/>
      <c r="P437" s="66"/>
      <c r="Q437" s="66"/>
    </row>
    <row r="438" spans="1:17" s="67" customFormat="1">
      <c r="A438" s="65"/>
      <c r="B438" s="97" t="s">
        <v>205</v>
      </c>
      <c r="C438" s="97"/>
      <c r="D438" s="65"/>
      <c r="E438" s="65"/>
      <c r="F438" s="65"/>
      <c r="G438" s="65"/>
      <c r="H438" s="65"/>
      <c r="I438" s="65"/>
      <c r="J438" s="65"/>
      <c r="K438" s="65"/>
      <c r="L438" s="65"/>
      <c r="M438" s="65"/>
      <c r="N438" s="65"/>
      <c r="O438" s="65"/>
      <c r="P438" s="66"/>
      <c r="Q438" s="66"/>
    </row>
    <row r="439" spans="1:17" s="67" customFormat="1">
      <c r="A439" s="65"/>
      <c r="B439" s="107" t="s">
        <v>232</v>
      </c>
      <c r="C439" s="65"/>
      <c r="D439" s="65"/>
      <c r="E439" s="65"/>
      <c r="F439" s="65"/>
      <c r="G439" s="65"/>
      <c r="H439" s="65"/>
      <c r="I439" s="65"/>
      <c r="J439" s="65"/>
      <c r="K439" s="65"/>
      <c r="L439" s="65"/>
      <c r="M439" s="65"/>
      <c r="N439" s="65"/>
      <c r="O439" s="65"/>
      <c r="P439" s="66"/>
      <c r="Q439" s="66"/>
    </row>
    <row r="444" spans="1:17" s="67" customFormat="1" ht="18">
      <c r="A444" s="64" t="s">
        <v>233</v>
      </c>
      <c r="B444" s="65"/>
      <c r="C444" s="65"/>
      <c r="D444" s="65"/>
      <c r="E444" s="65"/>
      <c r="F444" s="65"/>
      <c r="G444" s="65"/>
      <c r="H444" s="65"/>
      <c r="I444" s="65"/>
      <c r="J444" s="65"/>
      <c r="K444" s="65"/>
      <c r="L444" s="65"/>
      <c r="M444" s="65"/>
      <c r="N444" s="65"/>
      <c r="O444" s="65"/>
      <c r="P444" s="66"/>
      <c r="Q444" s="66"/>
    </row>
    <row r="446" spans="1:17" s="67" customFormat="1" ht="15">
      <c r="A446" s="68"/>
      <c r="B446" s="68"/>
      <c r="C446" s="68"/>
      <c r="D446" s="206">
        <v>2014</v>
      </c>
      <c r="E446" s="206"/>
      <c r="F446" s="69"/>
      <c r="G446" s="207"/>
      <c r="H446" s="207"/>
      <c r="I446" s="70"/>
      <c r="J446" s="207"/>
      <c r="K446" s="207"/>
      <c r="L446" s="70"/>
      <c r="M446" s="207"/>
      <c r="N446" s="207"/>
      <c r="O446" s="68"/>
      <c r="P446" s="66"/>
      <c r="Q446" s="66"/>
    </row>
    <row r="447" spans="1:17" s="67" customFormat="1" ht="18">
      <c r="A447" s="71"/>
      <c r="B447" s="72"/>
      <c r="C447" s="72"/>
      <c r="D447" s="208" t="s">
        <v>145</v>
      </c>
      <c r="E447" s="208"/>
      <c r="F447" s="73"/>
      <c r="G447" s="207"/>
      <c r="H447" s="207"/>
      <c r="I447" s="207"/>
      <c r="J447" s="207"/>
      <c r="K447" s="207"/>
      <c r="L447" s="207"/>
      <c r="M447" s="207"/>
      <c r="N447" s="207"/>
      <c r="O447" s="72"/>
      <c r="P447" s="66"/>
      <c r="Q447" s="66"/>
    </row>
    <row r="448" spans="1:17" s="67" customFormat="1" ht="15">
      <c r="A448" s="74"/>
      <c r="B448" s="72"/>
      <c r="C448" s="72"/>
      <c r="D448" s="72"/>
      <c r="E448" s="72"/>
      <c r="F448" s="72"/>
      <c r="G448" s="72"/>
      <c r="H448" s="72"/>
      <c r="I448" s="72"/>
      <c r="J448" s="72"/>
      <c r="K448" s="72"/>
      <c r="L448" s="72"/>
      <c r="M448" s="72"/>
      <c r="N448" s="72"/>
      <c r="O448" s="72"/>
      <c r="P448" s="205" t="s">
        <v>5</v>
      </c>
      <c r="Q448" s="205"/>
    </row>
    <row r="449" spans="1:17" s="67" customFormat="1" ht="51">
      <c r="A449" s="74"/>
      <c r="B449" s="75" t="s">
        <v>234</v>
      </c>
      <c r="C449" s="75"/>
      <c r="D449" s="76" t="str">
        <f>+$D$6</f>
        <v>Peak Demand Savings (kW)</v>
      </c>
      <c r="E449" s="76" t="str">
        <f>+$E$6</f>
        <v>Energy Savings (kWh)</v>
      </c>
      <c r="G449" s="76" t="str">
        <f>+$G$6</f>
        <v>Peak Demand Savings (kW)</v>
      </c>
      <c r="H449" s="76" t="str">
        <f>+$H$6</f>
        <v>Energy Savings (kWh)</v>
      </c>
      <c r="J449" s="76" t="str">
        <f>+$J$6</f>
        <v>Peak Demand Savings (kW)</v>
      </c>
      <c r="K449" s="76" t="str">
        <f>+$K$6</f>
        <v>Energy Savings (kWh)</v>
      </c>
      <c r="M449" s="76" t="str">
        <f>+$M$6</f>
        <v>Peak Demand Savings (kW)</v>
      </c>
      <c r="N449" s="76" t="str">
        <f>+$N$6</f>
        <v>Energy Savings (kWh)</v>
      </c>
      <c r="O449" s="65"/>
      <c r="P449" s="77" t="str">
        <f>+$P$6</f>
        <v>Peak Demand Savings (kW)</v>
      </c>
      <c r="Q449" s="77" t="str">
        <f>+$Q$6</f>
        <v>Energy Savings (kWh)</v>
      </c>
    </row>
    <row r="450" spans="1:17" s="67" customFormat="1" ht="15" thickBot="1">
      <c r="A450" s="74"/>
      <c r="B450" s="78"/>
      <c r="C450" s="78"/>
      <c r="D450" s="78"/>
      <c r="E450" s="78"/>
      <c r="F450" s="78"/>
      <c r="G450" s="78"/>
      <c r="H450" s="78"/>
      <c r="I450" s="78"/>
      <c r="J450" s="78"/>
      <c r="K450" s="78"/>
      <c r="L450" s="78"/>
      <c r="M450" s="78"/>
      <c r="N450" s="78"/>
      <c r="O450" s="72"/>
      <c r="P450" s="66"/>
      <c r="Q450" s="66"/>
    </row>
    <row r="451" spans="1:17" s="67" customFormat="1" ht="15" thickBot="1">
      <c r="A451" s="74"/>
      <c r="B451" s="79" t="s">
        <v>150</v>
      </c>
      <c r="C451" s="80"/>
      <c r="D451" s="81"/>
      <c r="E451" s="81"/>
      <c r="F451" s="81"/>
      <c r="G451" s="81"/>
      <c r="H451" s="81"/>
      <c r="I451" s="81"/>
      <c r="J451" s="81"/>
      <c r="K451" s="81"/>
      <c r="L451" s="81"/>
      <c r="M451" s="81"/>
      <c r="N451" s="81"/>
      <c r="O451" s="72"/>
      <c r="P451" s="66"/>
      <c r="Q451" s="66"/>
    </row>
    <row r="452" spans="1:17" s="67" customFormat="1" ht="18" customHeight="1">
      <c r="A452" s="82"/>
      <c r="B452" s="83" t="s">
        <v>151</v>
      </c>
      <c r="C452" s="83" t="s">
        <v>152</v>
      </c>
      <c r="D452" s="84">
        <v>14.018000000000001</v>
      </c>
      <c r="E452" s="84">
        <v>94441.441999999995</v>
      </c>
      <c r="F452" s="85"/>
      <c r="G452" s="84"/>
      <c r="H452" s="84"/>
      <c r="I452" s="85"/>
      <c r="J452" s="84"/>
      <c r="K452" s="84"/>
      <c r="L452" s="85"/>
      <c r="M452" s="84"/>
      <c r="N452" s="84"/>
      <c r="O452" s="72"/>
      <c r="P452" s="66"/>
      <c r="Q452" s="66"/>
    </row>
    <row r="453" spans="1:17" s="67" customFormat="1" ht="18" customHeight="1">
      <c r="A453" s="82"/>
      <c r="B453" s="83" t="s">
        <v>153</v>
      </c>
      <c r="C453" s="83" t="s">
        <v>152</v>
      </c>
      <c r="D453" s="84">
        <v>12.432</v>
      </c>
      <c r="E453" s="84">
        <v>22166.393</v>
      </c>
      <c r="F453" s="85"/>
      <c r="G453" s="86"/>
      <c r="H453" s="84"/>
      <c r="I453" s="85"/>
      <c r="J453" s="84"/>
      <c r="K453" s="84"/>
      <c r="L453" s="85"/>
      <c r="M453" s="84"/>
      <c r="N453" s="84"/>
      <c r="O453" s="72"/>
      <c r="P453" s="66"/>
      <c r="Q453" s="66"/>
    </row>
    <row r="454" spans="1:17" s="67" customFormat="1" ht="18" customHeight="1">
      <c r="A454" s="82"/>
      <c r="B454" s="83" t="s">
        <v>154</v>
      </c>
      <c r="C454" s="83" t="s">
        <v>152</v>
      </c>
      <c r="D454" s="84">
        <v>175.83500000000001</v>
      </c>
      <c r="E454" s="84">
        <v>334873.85499999998</v>
      </c>
      <c r="F454" s="85"/>
      <c r="G454" s="86"/>
      <c r="H454" s="84"/>
      <c r="I454" s="85"/>
      <c r="J454" s="84"/>
      <c r="K454" s="84"/>
      <c r="L454" s="85"/>
      <c r="M454" s="84"/>
      <c r="N454" s="84"/>
      <c r="O454" s="72"/>
      <c r="P454" s="66"/>
      <c r="Q454" s="66"/>
    </row>
    <row r="455" spans="1:17" s="67" customFormat="1" ht="18" customHeight="1">
      <c r="A455" s="82"/>
      <c r="B455" s="83" t="s">
        <v>155</v>
      </c>
      <c r="C455" s="83" t="s">
        <v>152</v>
      </c>
      <c r="D455" s="84">
        <v>18.407</v>
      </c>
      <c r="E455" s="84">
        <v>246039.12400000001</v>
      </c>
      <c r="F455" s="85"/>
      <c r="G455" s="86"/>
      <c r="H455" s="84"/>
      <c r="I455" s="85"/>
      <c r="J455" s="84"/>
      <c r="K455" s="84"/>
      <c r="L455" s="85"/>
      <c r="M455" s="84"/>
      <c r="N455" s="84"/>
      <c r="O455" s="72"/>
      <c r="P455" s="66"/>
      <c r="Q455" s="66"/>
    </row>
    <row r="456" spans="1:17" s="67" customFormat="1" ht="18" customHeight="1">
      <c r="A456" s="82"/>
      <c r="B456" s="83" t="s">
        <v>156</v>
      </c>
      <c r="C456" s="83" t="s">
        <v>152</v>
      </c>
      <c r="D456" s="84">
        <v>70.284000000000006</v>
      </c>
      <c r="E456" s="84">
        <v>1073937.0390000001</v>
      </c>
      <c r="F456" s="85"/>
      <c r="G456" s="86"/>
      <c r="H456" s="84"/>
      <c r="I456" s="85"/>
      <c r="J456" s="84"/>
      <c r="K456" s="84"/>
      <c r="L456" s="85"/>
      <c r="M456" s="84"/>
      <c r="N456" s="84"/>
      <c r="O456" s="72"/>
      <c r="P456" s="66"/>
      <c r="Q456" s="66"/>
    </row>
    <row r="457" spans="1:17" s="67" customFormat="1" ht="18" customHeight="1">
      <c r="A457" s="82"/>
      <c r="B457" s="83" t="s">
        <v>157</v>
      </c>
      <c r="C457" s="83" t="s">
        <v>152</v>
      </c>
      <c r="D457" s="84"/>
      <c r="E457" s="84"/>
      <c r="F457" s="85"/>
      <c r="G457" s="86"/>
      <c r="H457" s="84"/>
      <c r="I457" s="85"/>
      <c r="J457" s="84"/>
      <c r="K457" s="84"/>
      <c r="L457" s="85"/>
      <c r="M457" s="84"/>
      <c r="N457" s="84"/>
      <c r="O457" s="72"/>
      <c r="P457" s="66"/>
      <c r="Q457" s="66"/>
    </row>
    <row r="458" spans="1:17" s="67" customFormat="1" ht="18" customHeight="1">
      <c r="A458" s="82"/>
      <c r="B458" s="83" t="s">
        <v>158</v>
      </c>
      <c r="C458" s="83" t="s">
        <v>152</v>
      </c>
      <c r="D458" s="84">
        <v>115.285</v>
      </c>
      <c r="E458" s="84"/>
      <c r="F458" s="85"/>
      <c r="G458" s="86"/>
      <c r="H458" s="84"/>
      <c r="I458" s="85"/>
      <c r="J458" s="84"/>
      <c r="K458" s="84"/>
      <c r="L458" s="85"/>
      <c r="M458" s="84"/>
      <c r="N458" s="84"/>
      <c r="O458" s="72"/>
      <c r="P458" s="66"/>
      <c r="Q458" s="66"/>
    </row>
    <row r="459" spans="1:17" s="67" customFormat="1" ht="18" customHeight="1">
      <c r="A459" s="82"/>
      <c r="B459" s="83" t="s">
        <v>159</v>
      </c>
      <c r="C459" s="83" t="s">
        <v>152</v>
      </c>
      <c r="D459" s="84"/>
      <c r="E459" s="84"/>
      <c r="F459" s="85"/>
      <c r="G459" s="86"/>
      <c r="H459" s="84"/>
      <c r="I459" s="85"/>
      <c r="J459" s="84"/>
      <c r="K459" s="84"/>
      <c r="L459" s="85"/>
      <c r="M459" s="84"/>
      <c r="N459" s="84"/>
      <c r="O459" s="72"/>
      <c r="P459" s="66"/>
      <c r="Q459" s="66"/>
    </row>
    <row r="460" spans="1:17" s="67" customFormat="1" ht="18" customHeight="1">
      <c r="A460" s="82"/>
      <c r="B460" s="83" t="s">
        <v>160</v>
      </c>
      <c r="C460" s="88" t="s">
        <v>152</v>
      </c>
      <c r="D460" s="108"/>
      <c r="E460" s="86"/>
      <c r="F460" s="85"/>
      <c r="G460" s="86"/>
      <c r="H460" s="84"/>
      <c r="I460" s="85"/>
      <c r="J460" s="84"/>
      <c r="K460" s="84"/>
      <c r="L460" s="85"/>
      <c r="M460" s="84"/>
      <c r="N460" s="84"/>
      <c r="O460" s="72"/>
      <c r="P460" s="66"/>
      <c r="Q460" s="66"/>
    </row>
    <row r="461" spans="1:17" s="67" customFormat="1" ht="18" customHeight="1">
      <c r="A461" s="82"/>
      <c r="B461" s="89" t="s">
        <v>161</v>
      </c>
      <c r="C461" s="90"/>
      <c r="D461" s="91">
        <f>SUM(D452:D460)</f>
        <v>406.26100000000008</v>
      </c>
      <c r="E461" s="92">
        <f>SUM(E452:E460)</f>
        <v>1771457.8530000001</v>
      </c>
      <c r="F461" s="93"/>
      <c r="G461" s="92"/>
      <c r="H461" s="92"/>
      <c r="I461" s="93"/>
      <c r="J461" s="92"/>
      <c r="K461" s="92"/>
      <c r="L461" s="93"/>
      <c r="M461" s="92"/>
      <c r="N461" s="92"/>
      <c r="O461" s="72"/>
      <c r="P461" s="95">
        <f>+D461+G461+J461+M461</f>
        <v>406.26100000000008</v>
      </c>
      <c r="Q461" s="95">
        <f>+E461+H461+K461+N461</f>
        <v>1771457.8530000001</v>
      </c>
    </row>
    <row r="462" spans="1:17" s="67" customFormat="1" ht="15" thickBot="1">
      <c r="A462" s="65"/>
      <c r="B462" s="65"/>
      <c r="C462" s="78"/>
      <c r="D462" s="78"/>
      <c r="E462" s="78"/>
      <c r="F462" s="78"/>
      <c r="G462" s="78"/>
      <c r="H462" s="78"/>
      <c r="I462" s="78"/>
      <c r="J462" s="78"/>
      <c r="K462" s="78"/>
      <c r="L462" s="78"/>
      <c r="M462" s="78"/>
      <c r="N462" s="78"/>
      <c r="O462" s="65"/>
      <c r="P462" s="66"/>
      <c r="Q462" s="66"/>
    </row>
    <row r="463" spans="1:17" s="67" customFormat="1" ht="15" thickBot="1">
      <c r="A463" s="74"/>
      <c r="B463" s="79" t="s">
        <v>162</v>
      </c>
      <c r="C463" s="80"/>
      <c r="D463" s="81"/>
      <c r="E463" s="81"/>
      <c r="F463" s="81"/>
      <c r="G463" s="81"/>
      <c r="H463" s="81"/>
      <c r="I463" s="81"/>
      <c r="J463" s="81"/>
      <c r="K463" s="81"/>
      <c r="L463" s="81"/>
      <c r="M463" s="81"/>
      <c r="N463" s="81"/>
      <c r="O463" s="72"/>
      <c r="P463" s="66"/>
      <c r="Q463" s="66"/>
    </row>
    <row r="464" spans="1:17" s="67" customFormat="1" ht="15" thickBot="1">
      <c r="A464" s="65"/>
      <c r="B464" s="83" t="s">
        <v>163</v>
      </c>
      <c r="C464" s="83" t="s">
        <v>164</v>
      </c>
      <c r="D464" s="84">
        <v>153.91565097241732</v>
      </c>
      <c r="E464" s="103">
        <v>671589.12958096189</v>
      </c>
      <c r="F464" s="65"/>
      <c r="G464" s="86"/>
      <c r="H464" s="84"/>
      <c r="I464" s="85"/>
      <c r="J464" s="84"/>
      <c r="K464" s="84"/>
      <c r="L464" s="85"/>
      <c r="M464" s="84"/>
      <c r="N464" s="84"/>
      <c r="O464" s="72"/>
      <c r="P464" s="66"/>
      <c r="Q464" s="66"/>
    </row>
    <row r="465" spans="1:17" s="67" customFormat="1" ht="15.75" thickTop="1" thickBot="1">
      <c r="A465" s="65"/>
      <c r="B465" s="83" t="s">
        <v>163</v>
      </c>
      <c r="C465" s="83" t="s">
        <v>165</v>
      </c>
      <c r="D465" s="84">
        <v>197.41201647988211</v>
      </c>
      <c r="E465" s="103">
        <v>921387.29804359528</v>
      </c>
      <c r="F465" s="65"/>
      <c r="G465" s="86"/>
      <c r="H465" s="84"/>
      <c r="I465" s="85"/>
      <c r="J465" s="84"/>
      <c r="K465" s="84"/>
      <c r="L465" s="85"/>
      <c r="M465" s="84"/>
      <c r="N465" s="84"/>
      <c r="O465" s="72"/>
      <c r="P465" s="66"/>
      <c r="Q465" s="66"/>
    </row>
    <row r="466" spans="1:17" s="67" customFormat="1" ht="15.75" thickTop="1" thickBot="1">
      <c r="A466" s="65"/>
      <c r="B466" s="83" t="s">
        <v>163</v>
      </c>
      <c r="C466" s="83" t="s">
        <v>111</v>
      </c>
      <c r="D466" s="84">
        <v>356.14942095431837</v>
      </c>
      <c r="E466" s="103">
        <v>3535167.9750264171</v>
      </c>
      <c r="F466" s="65"/>
      <c r="G466" s="86"/>
      <c r="H466" s="84"/>
      <c r="I466" s="85"/>
      <c r="J466" s="84"/>
      <c r="K466" s="84"/>
      <c r="L466" s="85"/>
      <c r="M466" s="84"/>
      <c r="N466" s="84"/>
      <c r="O466" s="72"/>
      <c r="P466" s="66"/>
      <c r="Q466" s="66"/>
    </row>
    <row r="467" spans="1:17" s="67" customFormat="1" ht="15.75" thickTop="1" thickBot="1">
      <c r="A467" s="65"/>
      <c r="B467" s="83" t="s">
        <v>163</v>
      </c>
      <c r="C467" s="83" t="s">
        <v>166</v>
      </c>
      <c r="D467" s="84">
        <v>46.52291159338219</v>
      </c>
      <c r="E467" s="103">
        <v>261486.59734902583</v>
      </c>
      <c r="F467" s="65"/>
      <c r="G467" s="86"/>
      <c r="H467" s="84"/>
      <c r="I467" s="85"/>
      <c r="J467" s="84"/>
      <c r="K467" s="84"/>
      <c r="L467" s="85"/>
      <c r="M467" s="84"/>
      <c r="N467" s="84"/>
      <c r="O467" s="72"/>
      <c r="P467" s="66"/>
      <c r="Q467" s="66"/>
    </row>
    <row r="468" spans="1:17" s="67" customFormat="1" ht="15" thickTop="1">
      <c r="A468" s="65"/>
      <c r="B468" s="83" t="s">
        <v>167</v>
      </c>
      <c r="C468" s="83" t="s">
        <v>164</v>
      </c>
      <c r="D468" s="84">
        <v>236.167</v>
      </c>
      <c r="E468" s="84">
        <v>866071.53500000003</v>
      </c>
      <c r="F468" s="65"/>
      <c r="G468" s="86"/>
      <c r="H468" s="84"/>
      <c r="I468" s="85"/>
      <c r="J468" s="84"/>
      <c r="K468" s="84"/>
      <c r="L468" s="85"/>
      <c r="M468" s="84"/>
      <c r="N468" s="84"/>
      <c r="O468" s="72"/>
      <c r="P468" s="66"/>
      <c r="Q468" s="66"/>
    </row>
    <row r="469" spans="1:17" s="67" customFormat="1">
      <c r="A469" s="65"/>
      <c r="B469" s="83" t="s">
        <v>168</v>
      </c>
      <c r="C469" s="83"/>
      <c r="D469" s="84"/>
      <c r="E469" s="84"/>
      <c r="F469" s="65"/>
      <c r="G469" s="86"/>
      <c r="H469" s="84"/>
      <c r="I469" s="85"/>
      <c r="J469" s="84"/>
      <c r="K469" s="84"/>
      <c r="L469" s="85"/>
      <c r="M469" s="84"/>
      <c r="N469" s="84"/>
      <c r="O469" s="72"/>
      <c r="P469" s="66"/>
      <c r="Q469" s="66"/>
    </row>
    <row r="470" spans="1:17" s="67" customFormat="1">
      <c r="A470" s="65"/>
      <c r="B470" s="83" t="s">
        <v>169</v>
      </c>
      <c r="C470" s="83" t="s">
        <v>165</v>
      </c>
      <c r="D470" s="84">
        <v>8.4879999999999995</v>
      </c>
      <c r="E470" s="84">
        <v>-4435.3639999999996</v>
      </c>
      <c r="F470" s="65"/>
      <c r="G470" s="86"/>
      <c r="H470" s="84"/>
      <c r="I470" s="85"/>
      <c r="J470" s="84"/>
      <c r="K470" s="84"/>
      <c r="L470" s="85"/>
      <c r="M470" s="84"/>
      <c r="N470" s="84"/>
      <c r="O470" s="72"/>
      <c r="P470" s="66"/>
      <c r="Q470" s="66"/>
    </row>
    <row r="471" spans="1:17" s="67" customFormat="1">
      <c r="A471" s="65"/>
      <c r="B471" s="83" t="s">
        <v>170</v>
      </c>
      <c r="C471" s="83" t="s">
        <v>165</v>
      </c>
      <c r="D471" s="84">
        <v>1.847</v>
      </c>
      <c r="E471" s="84"/>
      <c r="F471" s="65"/>
      <c r="G471" s="86"/>
      <c r="H471" s="84"/>
      <c r="I471" s="85"/>
      <c r="J471" s="84"/>
      <c r="K471" s="84"/>
      <c r="L471" s="85"/>
      <c r="M471" s="84"/>
      <c r="N471" s="84"/>
      <c r="O471" s="72"/>
      <c r="P471" s="66"/>
      <c r="Q471" s="66"/>
    </row>
    <row r="472" spans="1:17" s="67" customFormat="1">
      <c r="A472" s="65"/>
      <c r="B472" s="83" t="s">
        <v>171</v>
      </c>
      <c r="C472" s="83" t="s">
        <v>165</v>
      </c>
      <c r="D472" s="84"/>
      <c r="E472" s="84"/>
      <c r="F472" s="65"/>
      <c r="G472" s="86"/>
      <c r="H472" s="84"/>
      <c r="I472" s="85"/>
      <c r="J472" s="84"/>
      <c r="K472" s="84"/>
      <c r="L472" s="85"/>
      <c r="M472" s="84"/>
      <c r="N472" s="84"/>
      <c r="O472" s="72"/>
      <c r="P472" s="66"/>
      <c r="Q472" s="66"/>
    </row>
    <row r="473" spans="1:17" s="67" customFormat="1">
      <c r="A473" s="65"/>
      <c r="B473" s="83" t="s">
        <v>172</v>
      </c>
      <c r="C473" s="83"/>
      <c r="D473" s="84"/>
      <c r="E473" s="84"/>
      <c r="F473" s="65"/>
      <c r="G473" s="86"/>
      <c r="H473" s="84"/>
      <c r="I473" s="85"/>
      <c r="J473" s="84"/>
      <c r="K473" s="84"/>
      <c r="L473" s="85"/>
      <c r="M473" s="84"/>
      <c r="N473" s="84"/>
      <c r="O473" s="72"/>
      <c r="P473" s="66"/>
      <c r="Q473" s="66"/>
    </row>
    <row r="474" spans="1:17" s="67" customFormat="1">
      <c r="A474" s="65"/>
      <c r="B474" s="83" t="s">
        <v>105</v>
      </c>
      <c r="C474" s="88"/>
      <c r="D474" s="84"/>
      <c r="E474" s="84"/>
      <c r="F474" s="65"/>
      <c r="G474" s="86"/>
      <c r="H474" s="84"/>
      <c r="I474" s="85"/>
      <c r="J474" s="84"/>
      <c r="K474" s="84"/>
      <c r="L474" s="85"/>
      <c r="M474" s="84"/>
      <c r="N474" s="84"/>
      <c r="O474" s="72"/>
      <c r="P474" s="66"/>
      <c r="Q474" s="66"/>
    </row>
    <row r="475" spans="1:17" s="67" customFormat="1" ht="18" customHeight="1">
      <c r="A475" s="82"/>
      <c r="B475" s="89" t="s">
        <v>173</v>
      </c>
      <c r="C475" s="90"/>
      <c r="D475" s="91">
        <f>SUM(D464:D474)</f>
        <v>1000.5020000000002</v>
      </c>
      <c r="E475" s="92">
        <f>SUM(E464:E474)</f>
        <v>6251267.171000001</v>
      </c>
      <c r="F475" s="93"/>
      <c r="G475" s="91"/>
      <c r="H475" s="92"/>
      <c r="I475" s="93"/>
      <c r="J475" s="91"/>
      <c r="K475" s="92"/>
      <c r="L475" s="93"/>
      <c r="M475" s="91"/>
      <c r="N475" s="92"/>
      <c r="O475" s="72"/>
      <c r="P475" s="95">
        <f>+D475+G475+J475+M475</f>
        <v>1000.5020000000002</v>
      </c>
      <c r="Q475" s="95">
        <f>+E475+H475+K475+N475</f>
        <v>6251267.171000001</v>
      </c>
    </row>
    <row r="476" spans="1:17" s="67" customFormat="1" ht="15" thickBot="1">
      <c r="A476" s="65"/>
      <c r="B476" s="65"/>
      <c r="C476" s="78"/>
      <c r="D476" s="78"/>
      <c r="E476" s="78"/>
      <c r="F476" s="78"/>
      <c r="G476" s="78"/>
      <c r="H476" s="78"/>
      <c r="I476" s="78"/>
      <c r="J476" s="78"/>
      <c r="K476" s="78"/>
      <c r="L476" s="78"/>
      <c r="M476" s="78"/>
      <c r="N476" s="78"/>
      <c r="O476" s="65"/>
      <c r="P476" s="66"/>
      <c r="Q476" s="66"/>
    </row>
    <row r="477" spans="1:17" s="67" customFormat="1" ht="15" thickBot="1">
      <c r="A477" s="74"/>
      <c r="B477" s="79" t="s">
        <v>174</v>
      </c>
      <c r="C477" s="80"/>
      <c r="D477" s="81"/>
      <c r="E477" s="81"/>
      <c r="F477" s="81"/>
      <c r="G477" s="81"/>
      <c r="H477" s="81"/>
      <c r="I477" s="81"/>
      <c r="J477" s="81"/>
      <c r="K477" s="81"/>
      <c r="L477" s="81"/>
      <c r="M477" s="81"/>
      <c r="N477" s="81"/>
      <c r="O477" s="72"/>
      <c r="P477" s="66"/>
      <c r="Q477" s="66"/>
    </row>
    <row r="478" spans="1:17" s="67" customFormat="1">
      <c r="A478" s="65"/>
      <c r="B478" s="83" t="s">
        <v>175</v>
      </c>
      <c r="C478" s="83"/>
      <c r="D478" s="84"/>
      <c r="E478" s="84"/>
      <c r="F478" s="65"/>
      <c r="G478" s="86"/>
      <c r="H478" s="84"/>
      <c r="I478" s="85"/>
      <c r="J478" s="84"/>
      <c r="K478" s="84"/>
      <c r="L478" s="85"/>
      <c r="M478" s="84"/>
      <c r="N478" s="84"/>
      <c r="O478" s="72"/>
      <c r="P478" s="66"/>
      <c r="Q478" s="66"/>
    </row>
    <row r="479" spans="1:17" s="67" customFormat="1">
      <c r="A479" s="65"/>
      <c r="B479" s="83" t="s">
        <v>176</v>
      </c>
      <c r="C479" s="83"/>
      <c r="D479" s="84"/>
      <c r="E479" s="84"/>
      <c r="F479" s="65"/>
      <c r="G479" s="86"/>
      <c r="H479" s="84"/>
      <c r="I479" s="85"/>
      <c r="J479" s="84"/>
      <c r="K479" s="84"/>
      <c r="L479" s="85"/>
      <c r="M479" s="84"/>
      <c r="N479" s="84"/>
      <c r="O479" s="72"/>
      <c r="P479" s="66"/>
      <c r="Q479" s="66"/>
    </row>
    <row r="480" spans="1:17" s="67" customFormat="1">
      <c r="A480" s="65"/>
      <c r="B480" s="83" t="s">
        <v>177</v>
      </c>
      <c r="C480" s="83" t="s">
        <v>111</v>
      </c>
      <c r="D480" s="84">
        <v>200.655</v>
      </c>
      <c r="E480" s="84">
        <v>1859328</v>
      </c>
      <c r="F480" s="65"/>
      <c r="G480" s="86"/>
      <c r="H480" s="84"/>
      <c r="I480" s="85"/>
      <c r="J480" s="84"/>
      <c r="K480" s="84"/>
      <c r="L480" s="85"/>
      <c r="M480" s="84"/>
      <c r="N480" s="84"/>
      <c r="O480" s="72"/>
      <c r="P480" s="66"/>
      <c r="Q480" s="66"/>
    </row>
    <row r="481" spans="1:17" s="67" customFormat="1">
      <c r="A481" s="65"/>
      <c r="B481" s="83" t="s">
        <v>163</v>
      </c>
      <c r="C481" s="83" t="s">
        <v>111</v>
      </c>
      <c r="D481" s="84"/>
      <c r="E481" s="84"/>
      <c r="F481" s="65"/>
      <c r="G481" s="86"/>
      <c r="H481" s="84"/>
      <c r="I481" s="85"/>
      <c r="J481" s="84"/>
      <c r="K481" s="84"/>
      <c r="L481" s="85"/>
      <c r="M481" s="84"/>
      <c r="N481" s="84"/>
      <c r="O481" s="72"/>
      <c r="P481" s="66"/>
      <c r="Q481" s="66"/>
    </row>
    <row r="482" spans="1:17" s="67" customFormat="1">
      <c r="A482" s="65"/>
      <c r="B482" s="83" t="s">
        <v>105</v>
      </c>
      <c r="C482" s="83" t="s">
        <v>111</v>
      </c>
      <c r="D482" s="84">
        <v>1546.1479999999999</v>
      </c>
      <c r="E482" s="84"/>
      <c r="F482" s="65"/>
      <c r="G482" s="86"/>
      <c r="H482" s="84"/>
      <c r="I482" s="85"/>
      <c r="J482" s="84"/>
      <c r="K482" s="84"/>
      <c r="L482" s="85"/>
      <c r="M482" s="84"/>
      <c r="N482" s="84"/>
      <c r="O482" s="72"/>
      <c r="P482" s="66"/>
      <c r="Q482" s="66"/>
    </row>
    <row r="483" spans="1:17" s="67" customFormat="1" ht="18" customHeight="1">
      <c r="A483" s="82"/>
      <c r="B483" s="89" t="s">
        <v>178</v>
      </c>
      <c r="C483" s="90"/>
      <c r="D483" s="91">
        <f>SUM(D478:D482)</f>
        <v>1746.8029999999999</v>
      </c>
      <c r="E483" s="91">
        <f>SUM(E478:E482)</f>
        <v>1859328</v>
      </c>
      <c r="F483" s="93"/>
      <c r="G483" s="91"/>
      <c r="H483" s="91"/>
      <c r="I483" s="93"/>
      <c r="J483" s="91"/>
      <c r="K483" s="91"/>
      <c r="L483" s="93"/>
      <c r="M483" s="91"/>
      <c r="N483" s="91"/>
      <c r="O483" s="72"/>
      <c r="P483" s="95">
        <f>+D483+G483+J483+M483</f>
        <v>1746.8029999999999</v>
      </c>
      <c r="Q483" s="95">
        <f>+E483+H483+K483+N483</f>
        <v>1859328</v>
      </c>
    </row>
    <row r="484" spans="1:17" s="67" customFormat="1" ht="15" thickBot="1">
      <c r="A484" s="65"/>
      <c r="B484" s="65"/>
      <c r="C484" s="78"/>
      <c r="D484" s="78"/>
      <c r="E484" s="78"/>
      <c r="F484" s="78"/>
      <c r="G484" s="78"/>
      <c r="H484" s="78"/>
      <c r="I484" s="78"/>
      <c r="J484" s="78"/>
      <c r="K484" s="78"/>
      <c r="L484" s="78"/>
      <c r="M484" s="78"/>
      <c r="N484" s="78"/>
      <c r="O484" s="65"/>
      <c r="P484" s="66"/>
      <c r="Q484" s="66"/>
    </row>
    <row r="485" spans="1:17" s="67" customFormat="1" ht="15" thickBot="1">
      <c r="A485" s="74"/>
      <c r="B485" s="79" t="s">
        <v>179</v>
      </c>
      <c r="C485" s="80"/>
      <c r="D485" s="81"/>
      <c r="E485" s="81"/>
      <c r="F485" s="81"/>
      <c r="G485" s="81"/>
      <c r="H485" s="81"/>
      <c r="I485" s="81"/>
      <c r="J485" s="81"/>
      <c r="K485" s="81"/>
      <c r="L485" s="81"/>
      <c r="M485" s="81"/>
      <c r="N485" s="81"/>
      <c r="O485" s="72"/>
      <c r="P485" s="66"/>
      <c r="Q485" s="66"/>
    </row>
    <row r="486" spans="1:17" s="67" customFormat="1">
      <c r="A486" s="65"/>
      <c r="B486" s="83" t="s">
        <v>179</v>
      </c>
      <c r="C486" s="83" t="s">
        <v>152</v>
      </c>
      <c r="D486" s="84">
        <v>8.3219999999999992</v>
      </c>
      <c r="E486" s="84">
        <v>113069.713</v>
      </c>
      <c r="F486" s="65"/>
      <c r="G486" s="86"/>
      <c r="H486" s="84"/>
      <c r="I486" s="85"/>
      <c r="J486" s="84"/>
      <c r="K486" s="84"/>
      <c r="L486" s="85"/>
      <c r="M486" s="84"/>
      <c r="N486" s="84"/>
      <c r="O486" s="72"/>
      <c r="P486" s="66"/>
      <c r="Q486" s="66"/>
    </row>
    <row r="487" spans="1:17" s="67" customFormat="1" ht="18" customHeight="1">
      <c r="A487" s="82"/>
      <c r="B487" s="89" t="s">
        <v>180</v>
      </c>
      <c r="C487" s="90"/>
      <c r="D487" s="91">
        <f>SUM(D486)</f>
        <v>8.3219999999999992</v>
      </c>
      <c r="E487" s="91">
        <f>SUM(E486)</f>
        <v>113069.713</v>
      </c>
      <c r="F487" s="93"/>
      <c r="G487" s="91"/>
      <c r="H487" s="91"/>
      <c r="I487" s="93"/>
      <c r="J487" s="91"/>
      <c r="K487" s="91"/>
      <c r="L487" s="93"/>
      <c r="M487" s="91"/>
      <c r="N487" s="91"/>
      <c r="O487" s="72"/>
      <c r="P487" s="95">
        <f>+D487+G487+J487+M487</f>
        <v>8.3219999999999992</v>
      </c>
      <c r="Q487" s="95">
        <f>+E487+H487+K487+N487</f>
        <v>113069.713</v>
      </c>
    </row>
    <row r="488" spans="1:17" s="67" customFormat="1" ht="15" thickBot="1">
      <c r="A488" s="65"/>
      <c r="B488" s="65"/>
      <c r="C488" s="78"/>
      <c r="D488" s="78"/>
      <c r="E488" s="78"/>
      <c r="F488" s="78"/>
      <c r="G488" s="78"/>
      <c r="H488" s="78"/>
      <c r="I488" s="78"/>
      <c r="J488" s="78"/>
      <c r="K488" s="78"/>
      <c r="L488" s="78"/>
      <c r="M488" s="78"/>
      <c r="N488" s="78"/>
      <c r="O488" s="65"/>
      <c r="P488" s="66"/>
      <c r="Q488" s="66"/>
    </row>
    <row r="489" spans="1:17" s="67" customFormat="1" ht="15" thickBot="1">
      <c r="A489" s="74"/>
      <c r="B489" s="79" t="s">
        <v>181</v>
      </c>
      <c r="C489" s="80"/>
      <c r="D489" s="81"/>
      <c r="E489" s="81"/>
      <c r="F489" s="81"/>
      <c r="G489" s="81"/>
      <c r="H489" s="81"/>
      <c r="I489" s="81"/>
      <c r="J489" s="81"/>
      <c r="K489" s="81"/>
      <c r="L489" s="81"/>
      <c r="M489" s="81"/>
      <c r="N489" s="81"/>
      <c r="O489" s="72"/>
      <c r="P489" s="66"/>
      <c r="Q489" s="66"/>
    </row>
    <row r="490" spans="1:17" s="67" customFormat="1">
      <c r="A490" s="65"/>
      <c r="B490" s="83" t="s">
        <v>179</v>
      </c>
      <c r="C490" s="83"/>
      <c r="D490" s="84"/>
      <c r="E490" s="84"/>
      <c r="F490" s="65"/>
      <c r="G490" s="86"/>
      <c r="H490" s="84"/>
      <c r="I490" s="85"/>
      <c r="J490" s="84"/>
      <c r="K490" s="84"/>
      <c r="L490" s="85"/>
      <c r="M490" s="84"/>
      <c r="N490" s="84"/>
      <c r="O490" s="72"/>
      <c r="P490" s="66"/>
      <c r="Q490" s="66"/>
    </row>
    <row r="491" spans="1:17" s="67" customFormat="1">
      <c r="A491" s="65"/>
      <c r="B491" s="83" t="s">
        <v>167</v>
      </c>
      <c r="C491" s="83"/>
      <c r="D491" s="84"/>
      <c r="E491" s="84"/>
      <c r="F491" s="65"/>
      <c r="G491" s="86"/>
      <c r="H491" s="84"/>
      <c r="I491" s="85"/>
      <c r="J491" s="84"/>
      <c r="K491" s="84"/>
      <c r="L491" s="85"/>
      <c r="M491" s="84"/>
      <c r="N491" s="84"/>
      <c r="O491" s="72"/>
      <c r="P491" s="66"/>
      <c r="Q491" s="66"/>
    </row>
    <row r="492" spans="1:17" s="67" customFormat="1" ht="18" customHeight="1">
      <c r="A492" s="82"/>
      <c r="B492" s="89" t="s">
        <v>182</v>
      </c>
      <c r="C492" s="90"/>
      <c r="D492" s="91">
        <f>SUM(D490:D491)</f>
        <v>0</v>
      </c>
      <c r="E492" s="91">
        <f>SUM(E490:E491)</f>
        <v>0</v>
      </c>
      <c r="F492" s="93"/>
      <c r="G492" s="91"/>
      <c r="H492" s="91"/>
      <c r="I492" s="93"/>
      <c r="J492" s="91"/>
      <c r="K492" s="91"/>
      <c r="L492" s="93"/>
      <c r="M492" s="91"/>
      <c r="N492" s="91"/>
      <c r="O492" s="72"/>
      <c r="P492" s="66"/>
      <c r="Q492" s="66"/>
    </row>
    <row r="493" spans="1:17" s="67" customFormat="1" ht="15" thickBot="1">
      <c r="A493" s="65"/>
      <c r="B493" s="65"/>
      <c r="C493" s="78"/>
      <c r="D493" s="78"/>
      <c r="E493" s="78"/>
      <c r="F493" s="78"/>
      <c r="G493" s="78"/>
      <c r="H493" s="78"/>
      <c r="I493" s="78"/>
      <c r="J493" s="78"/>
      <c r="K493" s="78"/>
      <c r="L493" s="78"/>
      <c r="M493" s="78"/>
      <c r="N493" s="78"/>
      <c r="O493" s="72"/>
      <c r="P493" s="66"/>
      <c r="Q493" s="66"/>
    </row>
    <row r="494" spans="1:17" s="67" customFormat="1" ht="15" thickBot="1">
      <c r="A494" s="74"/>
      <c r="B494" s="79" t="s">
        <v>183</v>
      </c>
      <c r="C494" s="80"/>
      <c r="D494" s="81"/>
      <c r="E494" s="81"/>
      <c r="F494" s="81"/>
      <c r="G494" s="81"/>
      <c r="H494" s="81"/>
      <c r="I494" s="81"/>
      <c r="J494" s="81"/>
      <c r="K494" s="81"/>
      <c r="L494" s="81"/>
      <c r="M494" s="81"/>
      <c r="N494" s="81"/>
      <c r="O494" s="72"/>
      <c r="P494" s="66"/>
      <c r="Q494" s="66"/>
    </row>
    <row r="495" spans="1:17" s="67" customFormat="1">
      <c r="A495" s="65"/>
      <c r="B495" s="83" t="s">
        <v>184</v>
      </c>
      <c r="C495" s="83" t="s">
        <v>165</v>
      </c>
      <c r="D495" s="84"/>
      <c r="E495" s="84"/>
      <c r="F495" s="65"/>
      <c r="G495" s="86"/>
      <c r="H495" s="84"/>
      <c r="I495" s="85"/>
      <c r="J495" s="84"/>
      <c r="K495" s="84"/>
      <c r="L495" s="85"/>
      <c r="M495" s="84"/>
      <c r="N495" s="84"/>
      <c r="O495" s="72"/>
      <c r="P495" s="66"/>
      <c r="Q495" s="66"/>
    </row>
    <row r="496" spans="1:17" s="67" customFormat="1">
      <c r="A496" s="65"/>
      <c r="B496" s="83" t="s">
        <v>103</v>
      </c>
      <c r="C496" s="83" t="s">
        <v>165</v>
      </c>
      <c r="D496" s="108"/>
      <c r="E496" s="108"/>
      <c r="F496" s="65"/>
      <c r="G496" s="86"/>
      <c r="H496" s="84"/>
      <c r="I496" s="85"/>
      <c r="J496" s="84"/>
      <c r="K496" s="84"/>
      <c r="L496" s="85"/>
      <c r="M496" s="84"/>
      <c r="N496" s="84"/>
      <c r="O496" s="72"/>
      <c r="P496" s="66"/>
      <c r="Q496" s="66"/>
    </row>
    <row r="497" spans="1:17" s="67" customFormat="1">
      <c r="A497" s="65"/>
      <c r="B497" s="83" t="s">
        <v>185</v>
      </c>
      <c r="C497" s="83"/>
      <c r="D497" s="84"/>
      <c r="E497" s="84"/>
      <c r="F497" s="65"/>
      <c r="G497" s="86"/>
      <c r="H497" s="84"/>
      <c r="I497" s="85"/>
      <c r="J497" s="84"/>
      <c r="K497" s="84"/>
      <c r="L497" s="85"/>
      <c r="M497" s="84"/>
      <c r="N497" s="84"/>
      <c r="O497" s="72"/>
      <c r="P497" s="66"/>
      <c r="Q497" s="66"/>
    </row>
    <row r="498" spans="1:17" s="67" customFormat="1">
      <c r="A498" s="65"/>
      <c r="B498" s="83" t="s">
        <v>186</v>
      </c>
      <c r="C498" s="83"/>
      <c r="D498" s="84"/>
      <c r="E498" s="84"/>
      <c r="F498" s="65"/>
      <c r="G498" s="86"/>
      <c r="H498" s="84"/>
      <c r="I498" s="85"/>
      <c r="J498" s="84"/>
      <c r="K498" s="84"/>
      <c r="L498" s="85"/>
      <c r="M498" s="84"/>
      <c r="N498" s="84"/>
      <c r="O498" s="72"/>
      <c r="P498" s="66"/>
      <c r="Q498" s="66"/>
    </row>
    <row r="499" spans="1:17" s="67" customFormat="1">
      <c r="A499" s="65"/>
      <c r="B499" s="83" t="s">
        <v>187</v>
      </c>
      <c r="C499" s="83"/>
      <c r="D499" s="84"/>
      <c r="E499" s="84"/>
      <c r="F499" s="65"/>
      <c r="G499" s="86"/>
      <c r="H499" s="84"/>
      <c r="I499" s="85"/>
      <c r="J499" s="84"/>
      <c r="K499" s="84"/>
      <c r="L499" s="85"/>
      <c r="M499" s="84"/>
      <c r="N499" s="84"/>
      <c r="O499" s="72"/>
      <c r="P499" s="66"/>
      <c r="Q499" s="66"/>
    </row>
    <row r="500" spans="1:17" s="67" customFormat="1" ht="18" customHeight="1">
      <c r="A500" s="82"/>
      <c r="B500" s="89" t="s">
        <v>188</v>
      </c>
      <c r="C500" s="90"/>
      <c r="D500" s="91">
        <f>SUM(D495:D499)</f>
        <v>0</v>
      </c>
      <c r="E500" s="91">
        <f>SUM(E495:E499)</f>
        <v>0</v>
      </c>
      <c r="F500" s="93"/>
      <c r="G500" s="91"/>
      <c r="H500" s="91"/>
      <c r="I500" s="93"/>
      <c r="J500" s="91"/>
      <c r="K500" s="91"/>
      <c r="L500" s="93"/>
      <c r="M500" s="91"/>
      <c r="N500" s="91"/>
      <c r="O500" s="72"/>
      <c r="P500" s="66"/>
      <c r="Q500" s="66"/>
    </row>
    <row r="501" spans="1:17" s="67" customFormat="1" ht="15" thickBot="1">
      <c r="A501" s="65"/>
      <c r="B501" s="65"/>
      <c r="C501" s="78"/>
      <c r="D501" s="78"/>
      <c r="E501" s="78"/>
      <c r="F501" s="78"/>
      <c r="G501" s="78"/>
      <c r="H501" s="78"/>
      <c r="I501" s="78"/>
      <c r="J501" s="78"/>
      <c r="K501" s="78"/>
      <c r="L501" s="78"/>
      <c r="M501" s="78"/>
      <c r="N501" s="78"/>
      <c r="O501" s="72"/>
      <c r="P501" s="66"/>
      <c r="Q501" s="66"/>
    </row>
    <row r="502" spans="1:17" s="67" customFormat="1" ht="15" thickBot="1">
      <c r="A502" s="74"/>
      <c r="B502" s="79" t="s">
        <v>189</v>
      </c>
      <c r="C502" s="80"/>
      <c r="D502" s="81"/>
      <c r="E502" s="81"/>
      <c r="F502" s="81"/>
      <c r="G502" s="81"/>
      <c r="H502" s="81"/>
      <c r="I502" s="81"/>
      <c r="J502" s="81"/>
      <c r="K502" s="81"/>
      <c r="L502" s="81"/>
      <c r="M502" s="81"/>
      <c r="N502" s="81"/>
      <c r="O502" s="72"/>
      <c r="P502" s="66"/>
      <c r="Q502" s="66"/>
    </row>
    <row r="503" spans="1:17" s="67" customFormat="1">
      <c r="A503" s="65"/>
      <c r="B503" s="83" t="s">
        <v>190</v>
      </c>
      <c r="C503" s="83" t="s">
        <v>165</v>
      </c>
      <c r="D503" s="84">
        <v>347.834</v>
      </c>
      <c r="E503" s="84">
        <v>1629539</v>
      </c>
      <c r="F503" s="65"/>
      <c r="G503" s="86"/>
      <c r="H503" s="84"/>
      <c r="I503" s="85"/>
      <c r="J503" s="84"/>
      <c r="K503" s="84"/>
      <c r="L503" s="85"/>
      <c r="M503" s="84"/>
      <c r="N503" s="84"/>
      <c r="O503" s="65"/>
      <c r="P503" s="66"/>
      <c r="Q503" s="66"/>
    </row>
    <row r="504" spans="1:17" s="67" customFormat="1">
      <c r="A504" s="65"/>
      <c r="B504" s="83" t="s">
        <v>191</v>
      </c>
      <c r="C504" s="83" t="s">
        <v>192</v>
      </c>
      <c r="D504" s="84">
        <v>349.36200000000002</v>
      </c>
      <c r="E504" s="84"/>
      <c r="F504" s="65"/>
      <c r="G504" s="86"/>
      <c r="H504" s="84"/>
      <c r="I504" s="85"/>
      <c r="J504" s="84"/>
      <c r="K504" s="84"/>
      <c r="L504" s="85"/>
      <c r="M504" s="84"/>
      <c r="N504" s="84"/>
      <c r="O504" s="65"/>
      <c r="P504" s="66"/>
      <c r="Q504" s="66"/>
    </row>
    <row r="505" spans="1:17" s="67" customFormat="1">
      <c r="A505" s="65"/>
      <c r="B505" s="83" t="s">
        <v>193</v>
      </c>
      <c r="C505" s="83"/>
      <c r="D505" s="84"/>
      <c r="E505" s="84"/>
      <c r="F505" s="65"/>
      <c r="G505" s="86"/>
      <c r="H505" s="84"/>
      <c r="I505" s="85"/>
      <c r="J505" s="84"/>
      <c r="K505" s="84"/>
      <c r="L505" s="85"/>
      <c r="M505" s="84"/>
      <c r="N505" s="84"/>
      <c r="O505" s="65"/>
      <c r="P505" s="66"/>
      <c r="Q505" s="66"/>
    </row>
    <row r="506" spans="1:17" s="67" customFormat="1" ht="18" customHeight="1">
      <c r="A506" s="82"/>
      <c r="B506" s="89" t="s">
        <v>194</v>
      </c>
      <c r="C506" s="90"/>
      <c r="D506" s="91">
        <f>SUM(D503:D505)</f>
        <v>697.19600000000003</v>
      </c>
      <c r="E506" s="91">
        <f>SUM(E503:E505)</f>
        <v>1629539</v>
      </c>
      <c r="F506" s="93"/>
      <c r="G506" s="91"/>
      <c r="H506" s="91"/>
      <c r="I506" s="93"/>
      <c r="J506" s="91"/>
      <c r="K506" s="91"/>
      <c r="L506" s="93"/>
      <c r="M506" s="91"/>
      <c r="N506" s="91"/>
      <c r="O506" s="72"/>
      <c r="P506" s="95">
        <f>+D506+G506+J506+M506</f>
        <v>697.19600000000003</v>
      </c>
      <c r="Q506" s="95">
        <f>+E506+H506+K506+N506</f>
        <v>1629539</v>
      </c>
    </row>
    <row r="507" spans="1:17" s="67" customFormat="1">
      <c r="A507" s="65"/>
      <c r="B507" s="97"/>
      <c r="C507" s="65"/>
      <c r="D507" s="65"/>
      <c r="E507" s="65"/>
      <c r="F507" s="65"/>
      <c r="G507" s="65"/>
      <c r="H507" s="65"/>
      <c r="I507" s="65"/>
      <c r="J507" s="65"/>
      <c r="K507" s="65"/>
      <c r="L507" s="65"/>
      <c r="M507" s="65"/>
      <c r="N507" s="65"/>
      <c r="O507" s="65"/>
      <c r="P507" s="66"/>
      <c r="Q507" s="66"/>
    </row>
    <row r="508" spans="1:17" s="67" customFormat="1" ht="15.75" thickBot="1">
      <c r="A508" s="65"/>
      <c r="B508" s="65"/>
      <c r="C508" s="65"/>
      <c r="D508" s="99">
        <f>+D506+D500+D492+D487+D483+D475+D461</f>
        <v>3859.0840000000003</v>
      </c>
      <c r="E508" s="99">
        <f>+E506+E500+E492+E487+E483+E475+E461</f>
        <v>11624661.737000002</v>
      </c>
      <c r="F508" s="98"/>
      <c r="G508" s="99"/>
      <c r="H508" s="99"/>
      <c r="I508" s="98"/>
      <c r="J508" s="99"/>
      <c r="K508" s="99"/>
      <c r="L508" s="98"/>
      <c r="M508" s="99"/>
      <c r="N508" s="99"/>
      <c r="O508" s="98"/>
      <c r="P508" s="99">
        <f>+P506+P500+P492+P487+P483+P475+P461</f>
        <v>3859.0840000000003</v>
      </c>
      <c r="Q508" s="99">
        <f>+Q506+Q500+Q492+Q487+Q483+Q475+Q461</f>
        <v>11624661.737000002</v>
      </c>
    </row>
    <row r="509" spans="1:17" ht="15" thickTop="1">
      <c r="P509" s="105"/>
      <c r="Q509" s="105"/>
    </row>
    <row r="511" spans="1:17">
      <c r="B511" s="97" t="s">
        <v>202</v>
      </c>
      <c r="C511" s="98"/>
      <c r="N511" s="114"/>
    </row>
    <row r="512" spans="1:17">
      <c r="B512" s="97" t="s">
        <v>235</v>
      </c>
      <c r="C512" s="97"/>
      <c r="P512" s="115"/>
      <c r="Q512" s="115"/>
    </row>
    <row r="513" spans="1:68">
      <c r="B513" s="97" t="s">
        <v>236</v>
      </c>
      <c r="P513" s="105"/>
      <c r="Q513" s="105"/>
    </row>
    <row r="514" spans="1:68">
      <c r="P514" s="105"/>
      <c r="Q514" s="105"/>
    </row>
    <row r="516" spans="1:68" s="117" customFormat="1" ht="18">
      <c r="A516" s="116" t="s">
        <v>237</v>
      </c>
      <c r="R516" s="118"/>
      <c r="S516" s="118"/>
      <c r="T516" s="118"/>
      <c r="U516" s="118"/>
      <c r="V516" s="118"/>
      <c r="W516" s="118"/>
      <c r="X516" s="118"/>
      <c r="Y516" s="118"/>
      <c r="Z516" s="118"/>
      <c r="AA516" s="118"/>
      <c r="AB516" s="118"/>
      <c r="AC516" s="118"/>
      <c r="AD516" s="118"/>
      <c r="AE516" s="118"/>
      <c r="AF516" s="118"/>
      <c r="AG516" s="118"/>
      <c r="AH516" s="118"/>
      <c r="AI516" s="118"/>
      <c r="AJ516" s="118"/>
      <c r="AK516" s="118"/>
      <c r="AL516" s="118"/>
      <c r="AM516" s="118"/>
      <c r="AN516" s="118"/>
      <c r="AO516" s="118"/>
      <c r="AP516" s="118"/>
      <c r="AQ516" s="118"/>
      <c r="AR516" s="118"/>
      <c r="AS516" s="118"/>
      <c r="AT516" s="118"/>
      <c r="AU516" s="118"/>
      <c r="AV516" s="118"/>
      <c r="AW516" s="118"/>
      <c r="AX516" s="118"/>
      <c r="AY516" s="118"/>
      <c r="AZ516" s="118"/>
      <c r="BA516" s="118"/>
      <c r="BB516" s="118"/>
      <c r="BC516" s="118"/>
      <c r="BD516" s="118"/>
      <c r="BE516" s="118"/>
      <c r="BF516" s="118"/>
      <c r="BG516" s="118"/>
      <c r="BH516" s="118"/>
      <c r="BI516" s="118"/>
      <c r="BJ516" s="118"/>
      <c r="BK516" s="118"/>
      <c r="BL516" s="118"/>
      <c r="BM516" s="118"/>
      <c r="BN516" s="118"/>
      <c r="BO516" s="118"/>
      <c r="BP516" s="118"/>
    </row>
    <row r="517" spans="1:68" s="66" customFormat="1" ht="4.5" customHeight="1">
      <c r="R517" s="67"/>
      <c r="S517" s="67"/>
      <c r="T517" s="67"/>
      <c r="U517" s="67"/>
      <c r="V517" s="67"/>
      <c r="W517" s="67"/>
      <c r="X517" s="67"/>
      <c r="Y517" s="67"/>
      <c r="Z517" s="67"/>
      <c r="AA517" s="67"/>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7"/>
      <c r="BC517" s="67"/>
      <c r="BD517" s="67"/>
      <c r="BE517" s="67"/>
      <c r="BF517" s="67"/>
      <c r="BG517" s="67"/>
      <c r="BH517" s="67"/>
      <c r="BI517" s="67"/>
      <c r="BJ517" s="67"/>
      <c r="BK517" s="67"/>
      <c r="BL517" s="67"/>
      <c r="BM517" s="67"/>
      <c r="BN517" s="67"/>
      <c r="BO517" s="67"/>
      <c r="BP517" s="67"/>
    </row>
    <row r="518" spans="1:68" s="66" customFormat="1" ht="15">
      <c r="A518" s="119"/>
      <c r="B518" s="119"/>
      <c r="C518" s="119"/>
      <c r="D518" s="209">
        <v>2011</v>
      </c>
      <c r="E518" s="209"/>
      <c r="F518" s="120"/>
      <c r="G518" s="209">
        <v>2012</v>
      </c>
      <c r="H518" s="209"/>
      <c r="I518" s="120"/>
      <c r="J518" s="209">
        <v>2013</v>
      </c>
      <c r="K518" s="209"/>
      <c r="L518" s="120"/>
      <c r="M518" s="209">
        <v>2014</v>
      </c>
      <c r="N518" s="209"/>
      <c r="O518" s="119"/>
      <c r="R518" s="67"/>
      <c r="S518" s="67"/>
      <c r="T518" s="67"/>
      <c r="U518" s="67"/>
      <c r="V518" s="67"/>
      <c r="W518" s="67"/>
      <c r="X518" s="67"/>
      <c r="Y518" s="67"/>
      <c r="Z518" s="67"/>
      <c r="AA518" s="67"/>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7"/>
      <c r="BC518" s="67"/>
      <c r="BD518" s="67"/>
      <c r="BE518" s="67"/>
      <c r="BF518" s="67"/>
      <c r="BG518" s="67"/>
      <c r="BH518" s="67"/>
      <c r="BI518" s="67"/>
      <c r="BJ518" s="67"/>
      <c r="BK518" s="67"/>
      <c r="BL518" s="67"/>
      <c r="BM518" s="67"/>
      <c r="BN518" s="67"/>
      <c r="BO518" s="67"/>
      <c r="BP518" s="67"/>
    </row>
    <row r="519" spans="1:68" s="66" customFormat="1" ht="8.25" customHeight="1">
      <c r="A519" s="121"/>
      <c r="B519" s="122"/>
      <c r="C519" s="122"/>
      <c r="D519" s="122"/>
      <c r="E519" s="122"/>
      <c r="F519" s="122"/>
      <c r="G519" s="122"/>
      <c r="H519" s="122"/>
      <c r="I519" s="122"/>
      <c r="J519" s="122"/>
      <c r="K519" s="122"/>
      <c r="L519" s="122"/>
      <c r="M519" s="122"/>
      <c r="N519" s="122"/>
      <c r="O519" s="122"/>
      <c r="P519" s="205" t="s">
        <v>5</v>
      </c>
      <c r="Q519" s="205"/>
      <c r="R519" s="67"/>
      <c r="S519" s="67"/>
      <c r="T519" s="67"/>
      <c r="U519" s="67"/>
      <c r="V519" s="67"/>
      <c r="W519" s="67"/>
      <c r="X519" s="67"/>
      <c r="Y519" s="67"/>
      <c r="Z519" s="67"/>
      <c r="AA519" s="67"/>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67"/>
      <c r="AY519" s="67"/>
      <c r="AZ519" s="67"/>
      <c r="BA519" s="67"/>
      <c r="BB519" s="67"/>
      <c r="BC519" s="67"/>
      <c r="BD519" s="67"/>
      <c r="BE519" s="67"/>
      <c r="BF519" s="67"/>
      <c r="BG519" s="67"/>
      <c r="BH519" s="67"/>
      <c r="BI519" s="67"/>
      <c r="BJ519" s="67"/>
      <c r="BK519" s="67"/>
      <c r="BL519" s="67"/>
      <c r="BM519" s="67"/>
      <c r="BN519" s="67"/>
      <c r="BO519" s="67"/>
      <c r="BP519" s="67"/>
    </row>
    <row r="520" spans="1:68" s="66" customFormat="1" ht="51">
      <c r="A520" s="121"/>
      <c r="B520" s="123"/>
      <c r="C520" s="123"/>
      <c r="D520" s="77" t="s">
        <v>238</v>
      </c>
      <c r="E520" s="77" t="s">
        <v>239</v>
      </c>
      <c r="G520" s="77" t="s">
        <v>238</v>
      </c>
      <c r="H520" s="77" t="s">
        <v>239</v>
      </c>
      <c r="J520" s="77" t="s">
        <v>238</v>
      </c>
      <c r="K520" s="77" t="s">
        <v>239</v>
      </c>
      <c r="M520" s="77" t="s">
        <v>238</v>
      </c>
      <c r="N520" s="77" t="s">
        <v>239</v>
      </c>
      <c r="O520" s="122"/>
      <c r="P520" s="77" t="s">
        <v>238</v>
      </c>
      <c r="Q520" s="77" t="s">
        <v>239</v>
      </c>
      <c r="R520" s="67"/>
      <c r="S520" s="67"/>
      <c r="T520" s="67"/>
      <c r="U520" s="67"/>
      <c r="V520" s="67"/>
      <c r="W520" s="67"/>
      <c r="X520" s="67"/>
      <c r="Y520" s="67"/>
      <c r="Z520" s="67"/>
      <c r="AA520" s="67"/>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7"/>
      <c r="BC520" s="67"/>
      <c r="BD520" s="67"/>
      <c r="BE520" s="67"/>
      <c r="BF520" s="67"/>
      <c r="BG520" s="67"/>
      <c r="BH520" s="67"/>
      <c r="BI520" s="67"/>
      <c r="BJ520" s="67"/>
      <c r="BK520" s="67"/>
      <c r="BL520" s="67"/>
      <c r="BM520" s="67"/>
      <c r="BN520" s="67"/>
      <c r="BO520" s="67"/>
      <c r="BP520" s="67"/>
    </row>
    <row r="521" spans="1:68" s="66" customFormat="1" ht="15" thickBot="1">
      <c r="A521" s="121"/>
      <c r="B521" s="124"/>
      <c r="C521" s="124"/>
      <c r="D521" s="124"/>
      <c r="E521" s="124"/>
      <c r="F521" s="124"/>
      <c r="G521" s="124"/>
      <c r="H521" s="124"/>
      <c r="I521" s="124"/>
      <c r="J521" s="124"/>
      <c r="K521" s="124"/>
      <c r="L521" s="124"/>
      <c r="M521" s="124"/>
      <c r="N521" s="124"/>
      <c r="O521" s="122"/>
      <c r="R521" s="67"/>
      <c r="S521" s="67"/>
      <c r="T521" s="67"/>
      <c r="U521" s="67"/>
      <c r="V521" s="67"/>
      <c r="W521" s="67"/>
      <c r="X521" s="67"/>
      <c r="Y521" s="67"/>
      <c r="Z521" s="67"/>
      <c r="AA521" s="67"/>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67"/>
      <c r="AY521" s="67"/>
      <c r="AZ521" s="67"/>
      <c r="BA521" s="67"/>
      <c r="BB521" s="67"/>
      <c r="BC521" s="67"/>
      <c r="BD521" s="67"/>
      <c r="BE521" s="67"/>
      <c r="BF521" s="67"/>
      <c r="BG521" s="67"/>
      <c r="BH521" s="67"/>
      <c r="BI521" s="67"/>
      <c r="BJ521" s="67"/>
      <c r="BK521" s="67"/>
      <c r="BL521" s="67"/>
      <c r="BM521" s="67"/>
      <c r="BN521" s="67"/>
      <c r="BO521" s="67"/>
      <c r="BP521" s="67"/>
    </row>
    <row r="522" spans="1:68" s="66" customFormat="1" ht="15" thickBot="1">
      <c r="A522" s="121"/>
      <c r="B522" s="125" t="s">
        <v>150</v>
      </c>
      <c r="C522" s="126"/>
      <c r="D522" s="127"/>
      <c r="E522" s="127"/>
      <c r="F522" s="127"/>
      <c r="G522" s="127"/>
      <c r="H522" s="127"/>
      <c r="I522" s="127"/>
      <c r="J522" s="127"/>
      <c r="K522" s="127"/>
      <c r="L522" s="127"/>
      <c r="M522" s="127"/>
      <c r="N522" s="127"/>
      <c r="O522" s="122"/>
      <c r="R522" s="67"/>
      <c r="S522" s="67"/>
      <c r="T522" s="67"/>
      <c r="U522" s="67"/>
      <c r="V522" s="67"/>
      <c r="W522" s="67"/>
      <c r="X522" s="67"/>
      <c r="Y522" s="67"/>
      <c r="Z522" s="67"/>
      <c r="AA522" s="67"/>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7"/>
      <c r="BC522" s="67"/>
      <c r="BD522" s="67"/>
      <c r="BE522" s="67"/>
      <c r="BF522" s="67"/>
      <c r="BG522" s="67"/>
      <c r="BH522" s="67"/>
      <c r="BI522" s="67"/>
      <c r="BJ522" s="67"/>
      <c r="BK522" s="67"/>
      <c r="BL522" s="67"/>
      <c r="BM522" s="67"/>
      <c r="BN522" s="67"/>
      <c r="BO522" s="67"/>
      <c r="BP522" s="67"/>
    </row>
    <row r="523" spans="1:68" s="66" customFormat="1">
      <c r="A523" s="128"/>
      <c r="B523" s="129" t="s">
        <v>151</v>
      </c>
      <c r="C523" s="129" t="s">
        <v>152</v>
      </c>
      <c r="D523" s="130">
        <f>+D9+D77</f>
        <v>43.680999999999997</v>
      </c>
      <c r="E523" s="130">
        <f>+E9+H9+K9+N9+E77+H77+K77+N77</f>
        <v>1175901.2439999999</v>
      </c>
      <c r="F523" s="131"/>
      <c r="G523" s="130">
        <f>+D153+D226</f>
        <v>23.981000000000002</v>
      </c>
      <c r="H523" s="130">
        <f>+E153+H153+K153+N153+E226+H226+K226+N226</f>
        <v>521192.09099999996</v>
      </c>
      <c r="I523" s="131"/>
      <c r="J523" s="130">
        <f>+D303+D376</f>
        <v>17.181999999999999</v>
      </c>
      <c r="K523" s="130">
        <f>+E303+H303+K303+N303+E376+H376+K376+N376</f>
        <v>194262.75599999999</v>
      </c>
      <c r="L523" s="131"/>
      <c r="M523" s="130">
        <f t="shared" ref="M523:N527" si="6">+D452</f>
        <v>14.018000000000001</v>
      </c>
      <c r="N523" s="130">
        <f t="shared" si="6"/>
        <v>94441.441999999995</v>
      </c>
      <c r="O523" s="122"/>
      <c r="P523" s="115">
        <f>+D523+G523+J523+M523</f>
        <v>98.862000000000009</v>
      </c>
      <c r="Q523" s="115">
        <f>+E523+H523+K523+N523</f>
        <v>1985797.5330000001</v>
      </c>
      <c r="R523" s="67"/>
      <c r="S523" s="67"/>
      <c r="T523" s="67"/>
      <c r="U523" s="67"/>
      <c r="V523" s="67"/>
      <c r="W523" s="67"/>
      <c r="X523" s="67"/>
      <c r="Y523" s="67"/>
      <c r="Z523" s="67"/>
      <c r="AA523" s="67"/>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7"/>
      <c r="BC523" s="67"/>
      <c r="BD523" s="67"/>
      <c r="BE523" s="67"/>
      <c r="BF523" s="67"/>
      <c r="BG523" s="67"/>
      <c r="BH523" s="67"/>
      <c r="BI523" s="67"/>
      <c r="BJ523" s="67"/>
      <c r="BK523" s="67"/>
      <c r="BL523" s="67"/>
      <c r="BM523" s="67"/>
      <c r="BN523" s="67"/>
      <c r="BO523" s="67"/>
      <c r="BP523" s="67"/>
    </row>
    <row r="524" spans="1:68" s="66" customFormat="1">
      <c r="A524" s="128"/>
      <c r="B524" s="129" t="s">
        <v>153</v>
      </c>
      <c r="C524" s="129" t="s">
        <v>152</v>
      </c>
      <c r="D524" s="130">
        <f>+D10+D78</f>
        <v>1.4810000000000001</v>
      </c>
      <c r="E524" s="130">
        <f>+E10+H10+K10+N10+E78+H78+K78+N78</f>
        <v>7874.268</v>
      </c>
      <c r="F524" s="131"/>
      <c r="G524" s="130">
        <f>+D154+D227</f>
        <v>6.7229999999999999</v>
      </c>
      <c r="H524" s="130">
        <f>+E154+H154+K154+N154+E227+H227+K227+N227</f>
        <v>35913.593999999997</v>
      </c>
      <c r="I524" s="131"/>
      <c r="J524" s="130">
        <f>+D304+D377</f>
        <v>20.512</v>
      </c>
      <c r="K524" s="130">
        <f>+E304+H304+K304+N304+E377+H377+K377+N377</f>
        <v>73149.096000000005</v>
      </c>
      <c r="L524" s="131"/>
      <c r="M524" s="130">
        <f t="shared" si="6"/>
        <v>12.432</v>
      </c>
      <c r="N524" s="130">
        <f t="shared" si="6"/>
        <v>22166.393</v>
      </c>
      <c r="O524" s="122"/>
      <c r="P524" s="115">
        <f t="shared" ref="P524:Q531" si="7">+D524+G524+J524+M524</f>
        <v>41.148000000000003</v>
      </c>
      <c r="Q524" s="115">
        <f t="shared" si="7"/>
        <v>139103.351</v>
      </c>
      <c r="R524" s="67"/>
      <c r="S524" s="67"/>
      <c r="T524" s="67"/>
      <c r="U524" s="67"/>
      <c r="V524" s="67"/>
      <c r="W524" s="67"/>
      <c r="X524" s="67"/>
      <c r="Y524" s="67"/>
      <c r="Z524" s="67"/>
      <c r="AA524" s="67"/>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7"/>
      <c r="BC524" s="67"/>
      <c r="BD524" s="67"/>
      <c r="BE524" s="67"/>
      <c r="BF524" s="67"/>
      <c r="BG524" s="67"/>
      <c r="BH524" s="67"/>
      <c r="BI524" s="67"/>
      <c r="BJ524" s="67"/>
      <c r="BK524" s="67"/>
      <c r="BL524" s="67"/>
      <c r="BM524" s="67"/>
      <c r="BN524" s="67"/>
      <c r="BO524" s="67"/>
      <c r="BP524" s="67"/>
    </row>
    <row r="525" spans="1:68" s="66" customFormat="1">
      <c r="A525" s="128"/>
      <c r="B525" s="129" t="s">
        <v>154</v>
      </c>
      <c r="C525" s="129" t="s">
        <v>152</v>
      </c>
      <c r="D525" s="130">
        <f>+D11+D79</f>
        <v>139.13799999999998</v>
      </c>
      <c r="E525" s="130">
        <f>+E11+H11+K11+N11+E79+H79+K79+N79</f>
        <v>1114491.5640000002</v>
      </c>
      <c r="F525" s="131"/>
      <c r="G525" s="130">
        <f>+D155+D228</f>
        <v>84.348000000000013</v>
      </c>
      <c r="H525" s="130">
        <f>+E155+H155+K155+N155+E228+H228+K228+N228</f>
        <v>478015.614</v>
      </c>
      <c r="I525" s="131"/>
      <c r="J525" s="130">
        <f>+D305+D378</f>
        <v>85.748000000000005</v>
      </c>
      <c r="K525" s="130">
        <f>+E305+H305+K305+N305+E378+H378+K378+N378</f>
        <v>316409.75271440001</v>
      </c>
      <c r="L525" s="131"/>
      <c r="M525" s="130">
        <f t="shared" si="6"/>
        <v>175.83500000000001</v>
      </c>
      <c r="N525" s="130">
        <f t="shared" si="6"/>
        <v>334873.85499999998</v>
      </c>
      <c r="O525" s="122"/>
      <c r="P525" s="115">
        <f t="shared" si="7"/>
        <v>485.06899999999996</v>
      </c>
      <c r="Q525" s="115">
        <f t="shared" si="7"/>
        <v>2243790.7857144</v>
      </c>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67"/>
      <c r="BG525" s="67"/>
      <c r="BH525" s="67"/>
      <c r="BI525" s="67"/>
      <c r="BJ525" s="67"/>
      <c r="BK525" s="67"/>
      <c r="BL525" s="67"/>
      <c r="BM525" s="67"/>
      <c r="BN525" s="67"/>
      <c r="BO525" s="67"/>
      <c r="BP525" s="67"/>
    </row>
    <row r="526" spans="1:68" s="66" customFormat="1">
      <c r="A526" s="128"/>
      <c r="B526" s="129" t="s">
        <v>155</v>
      </c>
      <c r="C526" s="129" t="s">
        <v>152</v>
      </c>
      <c r="D526" s="130">
        <f>+D12+D80</f>
        <v>10.362</v>
      </c>
      <c r="E526" s="130">
        <f>+E12+H12+K12+N12+E80+H80+K80+N80</f>
        <v>677242.82799999986</v>
      </c>
      <c r="F526" s="131"/>
      <c r="G526" s="130">
        <f>+D156+D229</f>
        <v>2.0129999999999999</v>
      </c>
      <c r="H526" s="130">
        <f>+E156+H156+K156+N156+E229+H229+K229+N229</f>
        <v>36652.896000000001</v>
      </c>
      <c r="I526" s="131"/>
      <c r="J526" s="130">
        <f>+D306+D379</f>
        <v>4.5289999999999999</v>
      </c>
      <c r="K526" s="130">
        <f>+E306+H306+K306+N306+E379+H379+K379+N379</f>
        <v>135111.13</v>
      </c>
      <c r="L526" s="131"/>
      <c r="M526" s="130">
        <f t="shared" si="6"/>
        <v>18.407</v>
      </c>
      <c r="N526" s="130">
        <f t="shared" si="6"/>
        <v>246039.12400000001</v>
      </c>
      <c r="O526" s="122"/>
      <c r="P526" s="115">
        <f t="shared" si="7"/>
        <v>35.311</v>
      </c>
      <c r="Q526" s="115">
        <f t="shared" si="7"/>
        <v>1095045.9779999999</v>
      </c>
      <c r="R526" s="67"/>
      <c r="S526" s="67"/>
      <c r="T526" s="67"/>
      <c r="U526" s="67"/>
      <c r="V526" s="67"/>
      <c r="W526" s="67"/>
      <c r="X526" s="67"/>
      <c r="Y526" s="67"/>
      <c r="Z526" s="67"/>
      <c r="AA526" s="67"/>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7"/>
      <c r="BC526" s="67"/>
      <c r="BD526" s="67"/>
      <c r="BE526" s="67"/>
      <c r="BF526" s="67"/>
      <c r="BG526" s="67"/>
      <c r="BH526" s="67"/>
      <c r="BI526" s="67"/>
      <c r="BJ526" s="67"/>
      <c r="BK526" s="67"/>
      <c r="BL526" s="67"/>
      <c r="BM526" s="67"/>
      <c r="BN526" s="67"/>
      <c r="BO526" s="67"/>
      <c r="BP526" s="67"/>
    </row>
    <row r="527" spans="1:68" s="66" customFormat="1">
      <c r="A527" s="128"/>
      <c r="B527" s="129" t="s">
        <v>156</v>
      </c>
      <c r="C527" s="129" t="s">
        <v>152</v>
      </c>
      <c r="D527" s="130">
        <f>+D13+D81</f>
        <v>15.635999999999999</v>
      </c>
      <c r="E527" s="130">
        <f>+E13+H13+K13+N13+E81+H81+K81+N81</f>
        <v>1103477.6639999999</v>
      </c>
      <c r="F527" s="131"/>
      <c r="G527" s="130">
        <f>+D157+D230</f>
        <v>12.932</v>
      </c>
      <c r="H527" s="130">
        <f>+E157+H157+K157+N157+E230+H230+K230+N230</f>
        <v>702063.07499999995</v>
      </c>
      <c r="I527" s="131"/>
      <c r="J527" s="130">
        <f>+D307+D380</f>
        <v>10.343</v>
      </c>
      <c r="K527" s="130">
        <f>+E307+H307+K307+N307+E380+H380+K380+N380</f>
        <v>300238.43400000001</v>
      </c>
      <c r="L527" s="131"/>
      <c r="M527" s="130">
        <f t="shared" si="6"/>
        <v>70.284000000000006</v>
      </c>
      <c r="N527" s="130">
        <f t="shared" si="6"/>
        <v>1073937.0390000001</v>
      </c>
      <c r="O527" s="122"/>
      <c r="P527" s="115">
        <f t="shared" si="7"/>
        <v>109.19500000000001</v>
      </c>
      <c r="Q527" s="115">
        <f t="shared" si="7"/>
        <v>3179716.2120000003</v>
      </c>
      <c r="R527" s="67"/>
      <c r="S527" s="67"/>
      <c r="T527" s="67"/>
      <c r="U527" s="67"/>
      <c r="V527" s="67"/>
      <c r="W527" s="67"/>
      <c r="X527" s="67"/>
      <c r="Y527" s="67"/>
      <c r="Z527" s="67"/>
      <c r="AA527" s="67"/>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7"/>
      <c r="BC527" s="67"/>
      <c r="BD527" s="67"/>
      <c r="BE527" s="67"/>
      <c r="BF527" s="67"/>
      <c r="BG527" s="67"/>
      <c r="BH527" s="67"/>
      <c r="BI527" s="67"/>
      <c r="BJ527" s="67"/>
      <c r="BK527" s="67"/>
      <c r="BL527" s="67"/>
      <c r="BM527" s="67"/>
      <c r="BN527" s="67"/>
      <c r="BO527" s="67"/>
      <c r="BP527" s="67"/>
    </row>
    <row r="528" spans="1:68" s="66" customFormat="1">
      <c r="A528" s="128"/>
      <c r="B528" s="129" t="s">
        <v>157</v>
      </c>
      <c r="C528" s="129" t="s">
        <v>152</v>
      </c>
      <c r="D528" s="130"/>
      <c r="E528" s="130"/>
      <c r="F528" s="131"/>
      <c r="G528" s="130"/>
      <c r="H528" s="130"/>
      <c r="I528" s="131"/>
      <c r="J528" s="130"/>
      <c r="K528" s="130"/>
      <c r="L528" s="131"/>
      <c r="M528" s="130"/>
      <c r="N528" s="130"/>
      <c r="O528" s="122"/>
      <c r="P528" s="115">
        <f t="shared" si="7"/>
        <v>0</v>
      </c>
      <c r="Q528" s="115">
        <f t="shared" si="7"/>
        <v>0</v>
      </c>
      <c r="R528" s="67"/>
      <c r="S528" s="67"/>
      <c r="T528" s="67"/>
      <c r="U528" s="67"/>
      <c r="V528" s="67"/>
      <c r="W528" s="67"/>
      <c r="X528" s="67"/>
      <c r="Y528" s="67"/>
      <c r="Z528" s="67"/>
      <c r="AA528" s="67"/>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7"/>
      <c r="BC528" s="67"/>
      <c r="BD528" s="67"/>
      <c r="BE528" s="67"/>
      <c r="BF528" s="67"/>
      <c r="BG528" s="67"/>
      <c r="BH528" s="67"/>
      <c r="BI528" s="67"/>
      <c r="BJ528" s="67"/>
      <c r="BK528" s="67"/>
      <c r="BL528" s="67"/>
      <c r="BM528" s="67"/>
      <c r="BN528" s="67"/>
      <c r="BO528" s="67"/>
      <c r="BP528" s="67"/>
    </row>
    <row r="529" spans="1:68" s="66" customFormat="1">
      <c r="A529" s="128"/>
      <c r="B529" s="129" t="s">
        <v>158</v>
      </c>
      <c r="C529" s="129" t="s">
        <v>152</v>
      </c>
      <c r="D529" s="130"/>
      <c r="E529" s="130"/>
      <c r="F529" s="131"/>
      <c r="G529" s="130"/>
      <c r="H529" s="130"/>
      <c r="I529" s="131"/>
      <c r="J529" s="130"/>
      <c r="K529" s="130">
        <f t="shared" ref="K529" si="8">+E309+H309+K309+N309+E382+H382+K382+N382</f>
        <v>9.3460000000000001</v>
      </c>
      <c r="L529" s="131"/>
      <c r="M529" s="130">
        <f>+D458</f>
        <v>115.285</v>
      </c>
      <c r="N529" s="130"/>
      <c r="O529" s="122"/>
      <c r="P529" s="115">
        <f t="shared" si="7"/>
        <v>115.285</v>
      </c>
      <c r="Q529" s="115">
        <f t="shared" si="7"/>
        <v>9.3460000000000001</v>
      </c>
      <c r="R529" s="67"/>
      <c r="S529" s="67"/>
      <c r="T529" s="67"/>
      <c r="U529" s="67"/>
      <c r="V529" s="67"/>
      <c r="W529" s="67"/>
      <c r="X529" s="67"/>
      <c r="Y529" s="67"/>
      <c r="Z529" s="67"/>
      <c r="AA529" s="67"/>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7"/>
      <c r="BC529" s="67"/>
      <c r="BD529" s="67"/>
      <c r="BE529" s="67"/>
      <c r="BF529" s="67"/>
      <c r="BG529" s="67"/>
      <c r="BH529" s="67"/>
      <c r="BI529" s="67"/>
      <c r="BJ529" s="67"/>
      <c r="BK529" s="67"/>
      <c r="BL529" s="67"/>
      <c r="BM529" s="67"/>
      <c r="BN529" s="67"/>
      <c r="BO529" s="67"/>
      <c r="BP529" s="67"/>
    </row>
    <row r="530" spans="1:68" s="66" customFormat="1">
      <c r="A530" s="128"/>
      <c r="B530" s="129" t="s">
        <v>159</v>
      </c>
      <c r="C530" s="129" t="s">
        <v>152</v>
      </c>
      <c r="D530" s="130"/>
      <c r="E530" s="130"/>
      <c r="F530" s="131"/>
      <c r="G530" s="130"/>
      <c r="H530" s="130"/>
      <c r="I530" s="131"/>
      <c r="J530" s="130"/>
      <c r="K530" s="130"/>
      <c r="L530" s="131"/>
      <c r="M530" s="130"/>
      <c r="N530" s="130"/>
      <c r="O530" s="122"/>
      <c r="P530" s="115">
        <f t="shared" si="7"/>
        <v>0</v>
      </c>
      <c r="Q530" s="115">
        <f t="shared" si="7"/>
        <v>0</v>
      </c>
      <c r="R530" s="67"/>
      <c r="S530" s="67"/>
      <c r="T530" s="67"/>
      <c r="U530" s="67"/>
      <c r="V530" s="67"/>
      <c r="W530" s="67"/>
      <c r="X530" s="67"/>
      <c r="Y530" s="67"/>
      <c r="Z530" s="67"/>
      <c r="AA530" s="67"/>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7"/>
      <c r="BC530" s="67"/>
      <c r="BD530" s="67"/>
      <c r="BE530" s="67"/>
      <c r="BF530" s="67"/>
      <c r="BG530" s="67"/>
      <c r="BH530" s="67"/>
      <c r="BI530" s="67"/>
      <c r="BJ530" s="67"/>
      <c r="BK530" s="67"/>
      <c r="BL530" s="67"/>
      <c r="BM530" s="67"/>
      <c r="BN530" s="67"/>
      <c r="BO530" s="67"/>
      <c r="BP530" s="67"/>
    </row>
    <row r="531" spans="1:68" s="66" customFormat="1">
      <c r="A531" s="128"/>
      <c r="B531" s="129" t="s">
        <v>160</v>
      </c>
      <c r="C531" s="132" t="s">
        <v>152</v>
      </c>
      <c r="D531" s="130"/>
      <c r="E531" s="130"/>
      <c r="F531" s="131"/>
      <c r="G531" s="130"/>
      <c r="H531" s="130"/>
      <c r="I531" s="131"/>
      <c r="J531" s="130"/>
      <c r="K531" s="130"/>
      <c r="L531" s="131"/>
      <c r="M531" s="130"/>
      <c r="N531" s="130"/>
      <c r="O531" s="122"/>
      <c r="P531" s="115">
        <f t="shared" si="7"/>
        <v>0</v>
      </c>
      <c r="Q531" s="115">
        <f t="shared" si="7"/>
        <v>0</v>
      </c>
      <c r="R531" s="67"/>
      <c r="S531" s="67"/>
      <c r="T531" s="67"/>
      <c r="U531" s="67"/>
      <c r="V531" s="67"/>
      <c r="W531" s="67"/>
      <c r="X531" s="67"/>
      <c r="Y531" s="67"/>
      <c r="Z531" s="67"/>
      <c r="AA531" s="67"/>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7"/>
      <c r="BC531" s="67"/>
      <c r="BD531" s="67"/>
      <c r="BE531" s="67"/>
      <c r="BF531" s="67"/>
      <c r="BG531" s="67"/>
      <c r="BH531" s="67"/>
      <c r="BI531" s="67"/>
      <c r="BJ531" s="67"/>
      <c r="BK531" s="67"/>
      <c r="BL531" s="67"/>
      <c r="BM531" s="67"/>
      <c r="BN531" s="67"/>
      <c r="BO531" s="67"/>
      <c r="BP531" s="67"/>
    </row>
    <row r="532" spans="1:68" s="66" customFormat="1">
      <c r="A532" s="128"/>
      <c r="B532" s="133" t="s">
        <v>161</v>
      </c>
      <c r="C532" s="134"/>
      <c r="D532" s="135">
        <f>SUM(D523:D531)</f>
        <v>210.29799999999997</v>
      </c>
      <c r="E532" s="136">
        <f>SUM(E523:E531)</f>
        <v>4078987.568</v>
      </c>
      <c r="F532" s="137"/>
      <c r="G532" s="136">
        <f>SUM(G523:G531)</f>
        <v>129.99700000000001</v>
      </c>
      <c r="H532" s="136">
        <f>SUM(H523:H531)</f>
        <v>1773837.2699999998</v>
      </c>
      <c r="I532" s="137"/>
      <c r="J532" s="136">
        <f>SUM(J523:J531)</f>
        <v>138.31399999999999</v>
      </c>
      <c r="K532" s="136">
        <f>SUM(K523:K531)</f>
        <v>1019180.5147144001</v>
      </c>
      <c r="L532" s="137"/>
      <c r="M532" s="136">
        <f>SUM(M523:M531)</f>
        <v>406.26100000000008</v>
      </c>
      <c r="N532" s="136">
        <f>SUM(N523:N531)</f>
        <v>1771457.8530000001</v>
      </c>
      <c r="O532" s="138"/>
      <c r="P532" s="95">
        <f>SUM(P523:P531)</f>
        <v>884.87</v>
      </c>
      <c r="Q532" s="95">
        <f>SUM(Q523:Q531)</f>
        <v>8643463.2057144009</v>
      </c>
      <c r="R532" s="67"/>
      <c r="S532" s="67"/>
      <c r="T532" s="67"/>
      <c r="U532" s="67"/>
      <c r="V532" s="67"/>
      <c r="W532" s="67"/>
      <c r="X532" s="67"/>
      <c r="Y532" s="67"/>
      <c r="Z532" s="67"/>
      <c r="AA532" s="67"/>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7"/>
      <c r="BC532" s="67"/>
      <c r="BD532" s="67"/>
      <c r="BE532" s="67"/>
      <c r="BF532" s="67"/>
      <c r="BG532" s="67"/>
      <c r="BH532" s="67"/>
      <c r="BI532" s="67"/>
      <c r="BJ532" s="67"/>
      <c r="BK532" s="67"/>
      <c r="BL532" s="67"/>
      <c r="BM532" s="67"/>
      <c r="BN532" s="67"/>
      <c r="BO532" s="67"/>
      <c r="BP532" s="67"/>
    </row>
    <row r="533" spans="1:68" s="66" customFormat="1" ht="15" thickBot="1">
      <c r="C533" s="124"/>
      <c r="D533" s="124"/>
      <c r="E533" s="124"/>
      <c r="F533" s="124"/>
      <c r="G533" s="124"/>
      <c r="H533" s="124"/>
      <c r="I533" s="124"/>
      <c r="J533" s="124"/>
      <c r="K533" s="124"/>
      <c r="L533" s="124"/>
      <c r="M533" s="124"/>
      <c r="N533" s="124"/>
      <c r="P533" s="105"/>
      <c r="Q533" s="105"/>
      <c r="R533" s="67"/>
      <c r="S533" s="67"/>
      <c r="T533" s="67"/>
      <c r="U533" s="67"/>
      <c r="V533" s="67"/>
      <c r="W533" s="67"/>
      <c r="X533" s="67"/>
      <c r="Y533" s="67"/>
      <c r="Z533" s="67"/>
      <c r="AA533" s="67"/>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7"/>
      <c r="BC533" s="67"/>
      <c r="BD533" s="67"/>
      <c r="BE533" s="67"/>
      <c r="BF533" s="67"/>
      <c r="BG533" s="67"/>
      <c r="BH533" s="67"/>
      <c r="BI533" s="67"/>
      <c r="BJ533" s="67"/>
      <c r="BK533" s="67"/>
      <c r="BL533" s="67"/>
      <c r="BM533" s="67"/>
      <c r="BN533" s="67"/>
      <c r="BO533" s="67"/>
      <c r="BP533" s="67"/>
    </row>
    <row r="534" spans="1:68" s="66" customFormat="1" ht="15" thickBot="1">
      <c r="A534" s="121"/>
      <c r="B534" s="125" t="s">
        <v>162</v>
      </c>
      <c r="C534" s="126"/>
      <c r="D534" s="127"/>
      <c r="E534" s="127"/>
      <c r="F534" s="127"/>
      <c r="G534" s="127"/>
      <c r="H534" s="127"/>
      <c r="I534" s="127"/>
      <c r="J534" s="127"/>
      <c r="K534" s="127"/>
      <c r="L534" s="127"/>
      <c r="M534" s="127"/>
      <c r="N534" s="127"/>
      <c r="O534" s="122"/>
      <c r="R534" s="67"/>
      <c r="S534" s="67"/>
      <c r="T534" s="67"/>
      <c r="U534" s="67"/>
      <c r="V534" s="67"/>
      <c r="W534" s="67"/>
      <c r="X534" s="67"/>
      <c r="Y534" s="67"/>
      <c r="Z534" s="67"/>
      <c r="AA534" s="67"/>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7"/>
      <c r="BC534" s="67"/>
      <c r="BD534" s="67"/>
      <c r="BE534" s="67"/>
      <c r="BF534" s="67"/>
      <c r="BG534" s="67"/>
      <c r="BH534" s="67"/>
      <c r="BI534" s="67"/>
      <c r="BJ534" s="67"/>
      <c r="BK534" s="67"/>
      <c r="BL534" s="67"/>
      <c r="BM534" s="67"/>
      <c r="BN534" s="67"/>
      <c r="BO534" s="67"/>
      <c r="BP534" s="67"/>
    </row>
    <row r="535" spans="1:68" s="66" customFormat="1">
      <c r="B535" s="129" t="s">
        <v>163</v>
      </c>
      <c r="C535" s="129" t="s">
        <v>164</v>
      </c>
      <c r="D535" s="130">
        <f>+D17+D89+M89</f>
        <v>19.588520690821696</v>
      </c>
      <c r="E535" s="130">
        <f>+E17+H17+K17+N17+E89+H89+K89+N89</f>
        <v>707405.35069139116</v>
      </c>
      <c r="F535" s="131"/>
      <c r="G535" s="130">
        <f>+D165+D238</f>
        <v>90.348627004955716</v>
      </c>
      <c r="H535" s="130">
        <f>+E165+H165+K165+N165+E238+H238+K238+N238</f>
        <v>1235980.5429081407</v>
      </c>
      <c r="I535" s="131"/>
      <c r="J535" s="130">
        <f>+D315+D388</f>
        <v>153.09726332724864</v>
      </c>
      <c r="K535" s="130">
        <f>+E315+H315+K315+N315+E388+H388+K388+N388</f>
        <v>1186047.3160132105</v>
      </c>
      <c r="L535" s="131"/>
      <c r="M535" s="130">
        <f>+D464</f>
        <v>153.91565097241732</v>
      </c>
      <c r="N535" s="130">
        <f>+E464</f>
        <v>671589.12958096189</v>
      </c>
      <c r="O535" s="122"/>
      <c r="P535" s="115">
        <f t="shared" ref="P535:Q545" si="9">+D535+G535+J535+M535</f>
        <v>416.95006199544338</v>
      </c>
      <c r="Q535" s="115">
        <f t="shared" si="9"/>
        <v>3801022.3391937041</v>
      </c>
      <c r="R535" s="67"/>
      <c r="S535" s="67"/>
      <c r="T535" s="67"/>
      <c r="U535" s="67"/>
      <c r="V535" s="67"/>
      <c r="W535" s="67"/>
      <c r="X535" s="67"/>
      <c r="Y535" s="67"/>
      <c r="Z535" s="67"/>
      <c r="AA535" s="67"/>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7"/>
      <c r="BC535" s="67"/>
      <c r="BD535" s="67"/>
      <c r="BE535" s="67"/>
      <c r="BF535" s="67"/>
      <c r="BG535" s="67"/>
      <c r="BH535" s="67"/>
      <c r="BI535" s="67"/>
      <c r="BJ535" s="67"/>
      <c r="BK535" s="67"/>
      <c r="BL535" s="67"/>
      <c r="BM535" s="67"/>
      <c r="BN535" s="67"/>
      <c r="BO535" s="67"/>
      <c r="BP535" s="67"/>
    </row>
    <row r="536" spans="1:68" s="66" customFormat="1">
      <c r="B536" s="129" t="s">
        <v>163</v>
      </c>
      <c r="C536" s="129" t="s">
        <v>165</v>
      </c>
      <c r="D536" s="130">
        <f>+D18+D90</f>
        <v>76.341679065247362</v>
      </c>
      <c r="E536" s="130">
        <f>+E18+H18+K18+N18+E90+H90+K90+N90</f>
        <v>1452739.2489626538</v>
      </c>
      <c r="F536" s="131"/>
      <c r="G536" s="130">
        <f>+D166+D239</f>
        <v>195.65137299504426</v>
      </c>
      <c r="H536" s="130">
        <f>+E166+H166+K166+N166+E239+H239+K239+N239</f>
        <v>2540563.4570918586</v>
      </c>
      <c r="I536" s="131"/>
      <c r="J536" s="130">
        <f>+D316+D389</f>
        <v>227.38554384570369</v>
      </c>
      <c r="K536" s="130">
        <f>+E316+H316+K316+N316+E389+H389+K389+N389</f>
        <v>1981801.3844391028</v>
      </c>
      <c r="L536" s="131"/>
      <c r="M536" s="130">
        <f t="shared" ref="M536:M543" si="10">+D465</f>
        <v>197.41201647988211</v>
      </c>
      <c r="N536" s="130">
        <f>+E465</f>
        <v>921387.29804359528</v>
      </c>
      <c r="O536" s="122"/>
      <c r="P536" s="115">
        <f t="shared" si="9"/>
        <v>696.79061238587747</v>
      </c>
      <c r="Q536" s="115">
        <f t="shared" si="9"/>
        <v>6896491.3885372113</v>
      </c>
      <c r="R536" s="67"/>
      <c r="S536" s="67"/>
      <c r="T536" s="67"/>
      <c r="U536" s="67"/>
      <c r="V536" s="67"/>
      <c r="W536" s="67"/>
      <c r="X536" s="67"/>
      <c r="Y536" s="67"/>
      <c r="Z536" s="67"/>
      <c r="AA536" s="67"/>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7"/>
      <c r="BC536" s="67"/>
      <c r="BD536" s="67"/>
      <c r="BE536" s="67"/>
      <c r="BF536" s="67"/>
      <c r="BG536" s="67"/>
      <c r="BH536" s="67"/>
      <c r="BI536" s="67"/>
      <c r="BJ536" s="67"/>
      <c r="BK536" s="67"/>
      <c r="BL536" s="67"/>
      <c r="BM536" s="67"/>
      <c r="BN536" s="67"/>
      <c r="BO536" s="67"/>
      <c r="BP536" s="67"/>
    </row>
    <row r="537" spans="1:68" s="66" customFormat="1">
      <c r="B537" s="129" t="s">
        <v>163</v>
      </c>
      <c r="C537" s="129" t="s">
        <v>111</v>
      </c>
      <c r="D537" s="130">
        <f>+D19+D91</f>
        <v>16.069800243930956</v>
      </c>
      <c r="E537" s="130">
        <f>+E19+H19+K19+N19+E91+H91+K91+N91</f>
        <v>231767.40034595458</v>
      </c>
      <c r="F537" s="131"/>
      <c r="G537" s="130"/>
      <c r="H537" s="130"/>
      <c r="I537" s="131"/>
      <c r="J537" s="130">
        <f>+D317+D390</f>
        <v>297.51719282704767</v>
      </c>
      <c r="K537" s="130">
        <f>+E317+H317+K317+N317+E390+H390+K390+N390</f>
        <v>9333995.2995476872</v>
      </c>
      <c r="L537" s="131"/>
      <c r="M537" s="130">
        <f t="shared" si="10"/>
        <v>356.14942095431837</v>
      </c>
      <c r="N537" s="130">
        <f>+E466</f>
        <v>3535167.9750264171</v>
      </c>
      <c r="O537" s="122"/>
      <c r="P537" s="115">
        <f t="shared" si="9"/>
        <v>669.73641402529699</v>
      </c>
      <c r="Q537" s="115">
        <f t="shared" si="9"/>
        <v>13100930.67492006</v>
      </c>
      <c r="R537" s="67"/>
      <c r="S537" s="67"/>
      <c r="T537" s="67"/>
      <c r="U537" s="67"/>
      <c r="V537" s="67"/>
      <c r="W537" s="67"/>
      <c r="X537" s="67"/>
      <c r="Y537" s="67"/>
      <c r="Z537" s="67"/>
      <c r="AA537" s="67"/>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7"/>
      <c r="BC537" s="67"/>
      <c r="BD537" s="67"/>
      <c r="BE537" s="67"/>
      <c r="BF537" s="67"/>
      <c r="BG537" s="67"/>
      <c r="BH537" s="67"/>
      <c r="BI537" s="67"/>
      <c r="BJ537" s="67"/>
      <c r="BK537" s="67"/>
      <c r="BL537" s="67"/>
      <c r="BM537" s="67"/>
      <c r="BN537" s="67"/>
      <c r="BO537" s="67"/>
      <c r="BP537" s="67"/>
    </row>
    <row r="538" spans="1:68" s="66" customFormat="1">
      <c r="B538" s="129" t="s">
        <v>163</v>
      </c>
      <c r="C538" s="129" t="s">
        <v>166</v>
      </c>
      <c r="D538" s="139"/>
      <c r="E538" s="139"/>
      <c r="F538" s="140"/>
      <c r="G538" s="139"/>
      <c r="H538" s="139"/>
      <c r="I538" s="140"/>
      <c r="J538" s="139"/>
      <c r="K538" s="139"/>
      <c r="L538" s="131"/>
      <c r="M538" s="130">
        <f t="shared" si="10"/>
        <v>46.52291159338219</v>
      </c>
      <c r="N538" s="130">
        <f>+E467</f>
        <v>261486.59734902583</v>
      </c>
      <c r="O538" s="122"/>
      <c r="P538" s="115">
        <f t="shared" si="9"/>
        <v>46.52291159338219</v>
      </c>
      <c r="Q538" s="115">
        <f t="shared" si="9"/>
        <v>261486.59734902583</v>
      </c>
      <c r="R538" s="67"/>
      <c r="S538" s="67"/>
      <c r="T538" s="67"/>
      <c r="U538" s="67"/>
      <c r="V538" s="67"/>
      <c r="W538" s="67"/>
      <c r="X538" s="67"/>
      <c r="Y538" s="67"/>
      <c r="Z538" s="67"/>
      <c r="AA538" s="67"/>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7"/>
      <c r="BC538" s="67"/>
      <c r="BD538" s="67"/>
      <c r="BE538" s="67"/>
      <c r="BF538" s="67"/>
      <c r="BG538" s="67"/>
      <c r="BH538" s="67"/>
      <c r="BI538" s="67"/>
      <c r="BJ538" s="67"/>
      <c r="BK538" s="67"/>
      <c r="BL538" s="67"/>
      <c r="BM538" s="67"/>
      <c r="BN538" s="67"/>
      <c r="BO538" s="67"/>
      <c r="BP538" s="67"/>
    </row>
    <row r="539" spans="1:68" s="66" customFormat="1">
      <c r="B539" s="129" t="s">
        <v>167</v>
      </c>
      <c r="C539" s="129" t="s">
        <v>164</v>
      </c>
      <c r="D539" s="130">
        <f>+D21+D93+M21+M93</f>
        <v>67.574000000000012</v>
      </c>
      <c r="E539" s="130">
        <f>+E21+H21+K21+N21+E93+H93+K93+N93</f>
        <v>1119612.1839999999</v>
      </c>
      <c r="F539" s="131"/>
      <c r="G539" s="130">
        <f>+D169+D242</f>
        <v>216.316</v>
      </c>
      <c r="H539" s="130">
        <f>+E169+H169+K169+N169+E242+H242+K242+N242</f>
        <v>2356755.1839999999</v>
      </c>
      <c r="I539" s="131"/>
      <c r="J539" s="130">
        <f>+D319+D392</f>
        <v>255.73099999999999</v>
      </c>
      <c r="K539" s="130">
        <f>+E319+H319+K319+N319+E392+H392+K392+N392</f>
        <v>1733952.4939999999</v>
      </c>
      <c r="L539" s="131"/>
      <c r="M539" s="130">
        <f>+D468</f>
        <v>236.167</v>
      </c>
      <c r="N539" s="130">
        <f>+E468</f>
        <v>866071.53500000003</v>
      </c>
      <c r="O539" s="122"/>
      <c r="P539" s="115">
        <f t="shared" si="9"/>
        <v>775.78800000000001</v>
      </c>
      <c r="Q539" s="115">
        <f t="shared" si="9"/>
        <v>6076391.3969999999</v>
      </c>
      <c r="R539" s="67"/>
      <c r="S539" s="67"/>
      <c r="T539" s="67"/>
      <c r="U539" s="67"/>
      <c r="V539" s="67"/>
      <c r="W539" s="67"/>
      <c r="X539" s="67"/>
      <c r="Y539" s="67"/>
      <c r="Z539" s="67"/>
      <c r="AA539" s="67"/>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7"/>
      <c r="BC539" s="67"/>
      <c r="BD539" s="67"/>
      <c r="BE539" s="67"/>
      <c r="BF539" s="67"/>
      <c r="BG539" s="67"/>
      <c r="BH539" s="67"/>
      <c r="BI539" s="67"/>
      <c r="BJ539" s="67"/>
      <c r="BK539" s="67"/>
      <c r="BL539" s="67"/>
      <c r="BM539" s="67"/>
      <c r="BN539" s="67"/>
      <c r="BO539" s="67"/>
      <c r="BP539" s="67"/>
    </row>
    <row r="540" spans="1:68" s="66" customFormat="1">
      <c r="B540" s="129" t="s">
        <v>168</v>
      </c>
      <c r="C540" s="129"/>
      <c r="D540" s="130"/>
      <c r="E540" s="130"/>
      <c r="F540" s="131"/>
      <c r="G540" s="130"/>
      <c r="H540" s="130"/>
      <c r="I540" s="131"/>
      <c r="J540" s="130"/>
      <c r="K540" s="130"/>
      <c r="L540" s="131"/>
      <c r="M540" s="130"/>
      <c r="N540" s="130"/>
      <c r="O540" s="122"/>
      <c r="P540" s="115">
        <f t="shared" si="9"/>
        <v>0</v>
      </c>
      <c r="Q540" s="115">
        <f t="shared" si="9"/>
        <v>0</v>
      </c>
      <c r="R540" s="67"/>
      <c r="S540" s="67"/>
      <c r="T540" s="67"/>
      <c r="U540" s="67"/>
      <c r="V540" s="67"/>
      <c r="W540" s="67"/>
      <c r="X540" s="67"/>
      <c r="Y540" s="67"/>
      <c r="Z540" s="67"/>
      <c r="AA540" s="67"/>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7"/>
      <c r="BC540" s="67"/>
      <c r="BD540" s="67"/>
      <c r="BE540" s="67"/>
      <c r="BF540" s="67"/>
      <c r="BG540" s="67"/>
      <c r="BH540" s="67"/>
      <c r="BI540" s="67"/>
      <c r="BJ540" s="67"/>
      <c r="BK540" s="67"/>
      <c r="BL540" s="67"/>
      <c r="BM540" s="67"/>
      <c r="BN540" s="67"/>
      <c r="BO540" s="67"/>
      <c r="BP540" s="67"/>
    </row>
    <row r="541" spans="1:68" s="66" customFormat="1">
      <c r="B541" s="129" t="s">
        <v>169</v>
      </c>
      <c r="C541" s="129" t="s">
        <v>165</v>
      </c>
      <c r="D541" s="130"/>
      <c r="E541" s="130"/>
      <c r="F541" s="131"/>
      <c r="G541" s="130"/>
      <c r="H541" s="130"/>
      <c r="I541" s="131"/>
      <c r="J541" s="130"/>
      <c r="K541" s="130"/>
      <c r="L541" s="131"/>
      <c r="M541" s="130">
        <f t="shared" si="10"/>
        <v>8.4879999999999995</v>
      </c>
      <c r="N541" s="130">
        <f>+E470</f>
        <v>-4435.3639999999996</v>
      </c>
      <c r="O541" s="122"/>
      <c r="P541" s="115">
        <f t="shared" si="9"/>
        <v>8.4879999999999995</v>
      </c>
      <c r="Q541" s="115">
        <f t="shared" si="9"/>
        <v>-4435.3639999999996</v>
      </c>
      <c r="R541" s="67"/>
      <c r="S541" s="67"/>
      <c r="T541" s="67"/>
      <c r="U541" s="67"/>
      <c r="V541" s="67"/>
      <c r="W541" s="67"/>
      <c r="X541" s="67"/>
      <c r="Y541" s="67"/>
      <c r="Z541" s="67"/>
      <c r="AA541" s="67"/>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7"/>
      <c r="BC541" s="67"/>
      <c r="BD541" s="67"/>
      <c r="BE541" s="67"/>
      <c r="BF541" s="67"/>
      <c r="BG541" s="67"/>
      <c r="BH541" s="67"/>
      <c r="BI541" s="67"/>
      <c r="BJ541" s="67"/>
      <c r="BK541" s="67"/>
      <c r="BL541" s="67"/>
      <c r="BM541" s="67"/>
      <c r="BN541" s="67"/>
      <c r="BO541" s="67"/>
      <c r="BP541" s="67"/>
    </row>
    <row r="542" spans="1:68" s="66" customFormat="1">
      <c r="B542" s="129" t="s">
        <v>170</v>
      </c>
      <c r="C542" s="129" t="s">
        <v>165</v>
      </c>
      <c r="D542" s="130">
        <f>+D24+D96</f>
        <v>16.271999999999998</v>
      </c>
      <c r="E542" s="130">
        <f>+E24+H24+K24+N24+E96+H96+K96+N96</f>
        <v>316779.53999999998</v>
      </c>
      <c r="F542" s="131"/>
      <c r="G542" s="130">
        <f>+D172+D245</f>
        <v>21.399000000000001</v>
      </c>
      <c r="H542" s="130">
        <f>+E172+H172+K172+N172+E245+H245+K245+N245</f>
        <v>312363.77100000001</v>
      </c>
      <c r="I542" s="131"/>
      <c r="J542" s="130"/>
      <c r="K542" s="130"/>
      <c r="L542" s="131"/>
      <c r="M542" s="130"/>
      <c r="N542" s="130"/>
      <c r="O542" s="122"/>
      <c r="P542" s="115">
        <f t="shared" si="9"/>
        <v>37.670999999999999</v>
      </c>
      <c r="Q542" s="115">
        <f t="shared" si="9"/>
        <v>629143.31099999999</v>
      </c>
      <c r="R542" s="67"/>
      <c r="S542" s="67"/>
      <c r="T542" s="67"/>
      <c r="U542" s="67"/>
      <c r="V542" s="67"/>
      <c r="W542" s="67"/>
      <c r="X542" s="67"/>
      <c r="Y542" s="67"/>
      <c r="Z542" s="67"/>
      <c r="AA542" s="67"/>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7"/>
      <c r="BC542" s="67"/>
      <c r="BD542" s="67"/>
      <c r="BE542" s="67"/>
      <c r="BF542" s="67"/>
      <c r="BG542" s="67"/>
      <c r="BH542" s="67"/>
      <c r="BI542" s="67"/>
      <c r="BJ542" s="67"/>
      <c r="BK542" s="67"/>
      <c r="BL542" s="67"/>
      <c r="BM542" s="67"/>
      <c r="BN542" s="67"/>
      <c r="BO542" s="67"/>
      <c r="BP542" s="67"/>
    </row>
    <row r="543" spans="1:68" s="66" customFormat="1">
      <c r="B543" s="129" t="s">
        <v>171</v>
      </c>
      <c r="C543" s="129" t="s">
        <v>165</v>
      </c>
      <c r="D543" s="130"/>
      <c r="E543" s="130"/>
      <c r="F543" s="131"/>
      <c r="G543" s="130"/>
      <c r="H543" s="130"/>
      <c r="I543" s="131"/>
      <c r="J543" s="130">
        <f>+D323+D396</f>
        <v>0.64</v>
      </c>
      <c r="K543" s="130"/>
      <c r="L543" s="131"/>
      <c r="M543" s="130">
        <f t="shared" si="10"/>
        <v>0</v>
      </c>
      <c r="N543" s="130"/>
      <c r="O543" s="122"/>
      <c r="P543" s="115">
        <f t="shared" si="9"/>
        <v>0.64</v>
      </c>
      <c r="Q543" s="115">
        <f t="shared" si="9"/>
        <v>0</v>
      </c>
      <c r="R543" s="67"/>
      <c r="S543" s="67"/>
      <c r="T543" s="67"/>
      <c r="U543" s="67"/>
      <c r="V543" s="67"/>
      <c r="W543" s="67"/>
      <c r="X543" s="67"/>
      <c r="Y543" s="67"/>
      <c r="Z543" s="67"/>
      <c r="AA543" s="67"/>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7"/>
      <c r="BC543" s="67"/>
      <c r="BD543" s="67"/>
      <c r="BE543" s="67"/>
      <c r="BF543" s="67"/>
      <c r="BG543" s="67"/>
      <c r="BH543" s="67"/>
      <c r="BI543" s="67"/>
      <c r="BJ543" s="67"/>
      <c r="BK543" s="67"/>
      <c r="BL543" s="67"/>
      <c r="BM543" s="67"/>
      <c r="BN543" s="67"/>
      <c r="BO543" s="67"/>
      <c r="BP543" s="67"/>
    </row>
    <row r="544" spans="1:68" s="66" customFormat="1">
      <c r="B544" s="129" t="s">
        <v>172</v>
      </c>
      <c r="C544" s="129"/>
      <c r="D544" s="130"/>
      <c r="E544" s="130"/>
      <c r="F544" s="131"/>
      <c r="G544" s="130"/>
      <c r="H544" s="130"/>
      <c r="I544" s="131"/>
      <c r="J544" s="130"/>
      <c r="K544" s="130"/>
      <c r="L544" s="131"/>
      <c r="M544" s="130"/>
      <c r="N544" s="130"/>
      <c r="O544" s="122"/>
      <c r="P544" s="115">
        <f t="shared" si="9"/>
        <v>0</v>
      </c>
      <c r="Q544" s="115">
        <f t="shared" si="9"/>
        <v>0</v>
      </c>
      <c r="R544" s="67"/>
      <c r="S544" s="67"/>
      <c r="T544" s="67"/>
      <c r="U544" s="67"/>
      <c r="V544" s="67"/>
      <c r="W544" s="67"/>
      <c r="X544" s="67"/>
      <c r="Y544" s="67"/>
      <c r="Z544" s="67"/>
      <c r="AA544" s="67"/>
      <c r="AB544" s="67"/>
      <c r="AC544" s="67"/>
      <c r="AD544" s="67"/>
      <c r="AE544" s="67"/>
      <c r="AF544" s="67"/>
      <c r="AG544" s="67"/>
      <c r="AH544" s="67"/>
      <c r="AI544" s="67"/>
      <c r="AJ544" s="67"/>
      <c r="AK544" s="67"/>
      <c r="AL544" s="67"/>
      <c r="AM544" s="67"/>
      <c r="AN544" s="67"/>
      <c r="AO544" s="67"/>
      <c r="AP544" s="67"/>
      <c r="AQ544" s="67"/>
      <c r="AR544" s="67"/>
      <c r="AS544" s="67"/>
      <c r="AT544" s="67"/>
      <c r="AU544" s="67"/>
      <c r="AV544" s="67"/>
      <c r="AW544" s="67"/>
      <c r="AX544" s="67"/>
      <c r="AY544" s="67"/>
      <c r="AZ544" s="67"/>
      <c r="BA544" s="67"/>
      <c r="BB544" s="67"/>
      <c r="BC544" s="67"/>
      <c r="BD544" s="67"/>
      <c r="BE544" s="67"/>
      <c r="BF544" s="67"/>
      <c r="BG544" s="67"/>
      <c r="BH544" s="67"/>
      <c r="BI544" s="67"/>
      <c r="BJ544" s="67"/>
      <c r="BK544" s="67"/>
      <c r="BL544" s="67"/>
      <c r="BM544" s="67"/>
      <c r="BN544" s="67"/>
      <c r="BO544" s="67"/>
      <c r="BP544" s="67"/>
    </row>
    <row r="545" spans="1:68" s="66" customFormat="1">
      <c r="B545" s="129" t="s">
        <v>105</v>
      </c>
      <c r="C545" s="132"/>
      <c r="D545" s="130"/>
      <c r="E545" s="130"/>
      <c r="F545" s="131"/>
      <c r="G545" s="130"/>
      <c r="H545" s="130"/>
      <c r="I545" s="131"/>
      <c r="J545" s="130"/>
      <c r="K545" s="130"/>
      <c r="L545" s="131"/>
      <c r="M545" s="130"/>
      <c r="N545" s="130"/>
      <c r="O545" s="122"/>
      <c r="P545" s="115">
        <f t="shared" si="9"/>
        <v>0</v>
      </c>
      <c r="Q545" s="115">
        <f t="shared" si="9"/>
        <v>0</v>
      </c>
      <c r="R545" s="67"/>
      <c r="S545" s="67"/>
      <c r="T545" s="67"/>
      <c r="U545" s="67"/>
      <c r="V545" s="67"/>
      <c r="W545" s="67"/>
      <c r="X545" s="67"/>
      <c r="Y545" s="67"/>
      <c r="Z545" s="67"/>
      <c r="AA545" s="67"/>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7"/>
      <c r="BC545" s="67"/>
      <c r="BD545" s="67"/>
      <c r="BE545" s="67"/>
      <c r="BF545" s="67"/>
      <c r="BG545" s="67"/>
      <c r="BH545" s="67"/>
      <c r="BI545" s="67"/>
      <c r="BJ545" s="67"/>
      <c r="BK545" s="67"/>
      <c r="BL545" s="67"/>
      <c r="BM545" s="67"/>
      <c r="BN545" s="67"/>
      <c r="BO545" s="67"/>
      <c r="BP545" s="67"/>
    </row>
    <row r="546" spans="1:68" s="66" customFormat="1">
      <c r="A546" s="128"/>
      <c r="B546" s="133" t="s">
        <v>173</v>
      </c>
      <c r="C546" s="134"/>
      <c r="D546" s="135">
        <f>SUM(D535:D545)</f>
        <v>195.846</v>
      </c>
      <c r="E546" s="135">
        <f>SUM(E535:E545)</f>
        <v>3828303.7239999995</v>
      </c>
      <c r="F546" s="137"/>
      <c r="G546" s="135">
        <f>SUM(G535:G545)</f>
        <v>523.71500000000003</v>
      </c>
      <c r="H546" s="135">
        <f>SUM(H535:H545)</f>
        <v>6445662.9549999982</v>
      </c>
      <c r="I546" s="137"/>
      <c r="J546" s="135">
        <f>SUM(J535:J545)</f>
        <v>934.37099999999998</v>
      </c>
      <c r="K546" s="135">
        <f>SUM(K535:K545)</f>
        <v>14235796.493999999</v>
      </c>
      <c r="L546" s="137"/>
      <c r="M546" s="135">
        <f>SUM(M535:M545)</f>
        <v>998.6550000000002</v>
      </c>
      <c r="N546" s="135">
        <f>SUM(N535:N545)</f>
        <v>6251267.171000001</v>
      </c>
      <c r="O546" s="122"/>
      <c r="P546" s="95">
        <f>+D546+G546+J546+M546</f>
        <v>2652.5870000000004</v>
      </c>
      <c r="Q546" s="95">
        <f>+E546+H546+K546+N546</f>
        <v>30761030.343999997</v>
      </c>
      <c r="R546" s="67"/>
      <c r="S546" s="67"/>
      <c r="T546" s="67"/>
      <c r="U546" s="67"/>
      <c r="V546" s="67"/>
      <c r="W546" s="67"/>
      <c r="X546" s="67"/>
      <c r="Y546" s="67"/>
      <c r="Z546" s="67"/>
      <c r="AA546" s="67"/>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7"/>
      <c r="BC546" s="67"/>
      <c r="BD546" s="67"/>
      <c r="BE546" s="67"/>
      <c r="BF546" s="67"/>
      <c r="BG546" s="67"/>
      <c r="BH546" s="67"/>
      <c r="BI546" s="67"/>
      <c r="BJ546" s="67"/>
      <c r="BK546" s="67"/>
      <c r="BL546" s="67"/>
      <c r="BM546" s="67"/>
      <c r="BN546" s="67"/>
      <c r="BO546" s="67"/>
      <c r="BP546" s="67"/>
    </row>
    <row r="547" spans="1:68" s="66" customFormat="1" ht="15" thickBot="1">
      <c r="C547" s="124"/>
      <c r="D547" s="124"/>
      <c r="E547" s="124"/>
      <c r="F547" s="124"/>
      <c r="G547" s="124"/>
      <c r="H547" s="124"/>
      <c r="I547" s="124"/>
      <c r="J547" s="124"/>
      <c r="K547" s="124"/>
      <c r="L547" s="124"/>
      <c r="M547" s="124"/>
      <c r="N547" s="124"/>
      <c r="P547" s="105"/>
      <c r="Q547" s="105"/>
      <c r="R547" s="67"/>
      <c r="S547" s="67"/>
      <c r="T547" s="67"/>
      <c r="U547" s="67"/>
      <c r="V547" s="67"/>
      <c r="W547" s="67"/>
      <c r="X547" s="67"/>
      <c r="Y547" s="67"/>
      <c r="Z547" s="67"/>
      <c r="AA547" s="67"/>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7"/>
      <c r="BC547" s="67"/>
      <c r="BD547" s="67"/>
      <c r="BE547" s="67"/>
      <c r="BF547" s="67"/>
      <c r="BG547" s="67"/>
      <c r="BH547" s="67"/>
      <c r="BI547" s="67"/>
      <c r="BJ547" s="67"/>
      <c r="BK547" s="67"/>
      <c r="BL547" s="67"/>
      <c r="BM547" s="67"/>
      <c r="BN547" s="67"/>
      <c r="BO547" s="67"/>
      <c r="BP547" s="67"/>
    </row>
    <row r="548" spans="1:68" s="66" customFormat="1" ht="15" thickBot="1">
      <c r="A548" s="121"/>
      <c r="B548" s="125" t="s">
        <v>174</v>
      </c>
      <c r="C548" s="126"/>
      <c r="D548" s="127"/>
      <c r="E548" s="127"/>
      <c r="F548" s="127"/>
      <c r="G548" s="127"/>
      <c r="H548" s="127"/>
      <c r="I548" s="127"/>
      <c r="J548" s="127"/>
      <c r="K548" s="127"/>
      <c r="L548" s="127"/>
      <c r="M548" s="127"/>
      <c r="N548" s="127"/>
      <c r="O548" s="122"/>
      <c r="R548" s="67"/>
      <c r="S548" s="67"/>
      <c r="T548" s="67"/>
      <c r="U548" s="67"/>
      <c r="V548" s="67"/>
      <c r="W548" s="67"/>
      <c r="X548" s="67"/>
      <c r="Y548" s="67"/>
      <c r="Z548" s="67"/>
      <c r="AA548" s="67"/>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7"/>
      <c r="BC548" s="67"/>
      <c r="BD548" s="67"/>
      <c r="BE548" s="67"/>
      <c r="BF548" s="67"/>
      <c r="BG548" s="67"/>
      <c r="BH548" s="67"/>
      <c r="BI548" s="67"/>
      <c r="BJ548" s="67"/>
      <c r="BK548" s="67"/>
      <c r="BL548" s="67"/>
      <c r="BM548" s="67"/>
      <c r="BN548" s="67"/>
      <c r="BO548" s="67"/>
      <c r="BP548" s="67"/>
    </row>
    <row r="549" spans="1:68" s="66" customFormat="1">
      <c r="B549" s="129" t="s">
        <v>175</v>
      </c>
      <c r="C549" s="129"/>
      <c r="D549" s="130"/>
      <c r="E549" s="130"/>
      <c r="F549" s="131"/>
      <c r="G549" s="130"/>
      <c r="H549" s="130"/>
      <c r="I549" s="131"/>
      <c r="J549" s="130"/>
      <c r="K549" s="130"/>
      <c r="L549" s="131"/>
      <c r="M549" s="130"/>
      <c r="N549" s="130"/>
      <c r="O549" s="122"/>
      <c r="P549" s="115">
        <f t="shared" ref="P549:Q554" si="11">+D549+G549+J549+M549</f>
        <v>0</v>
      </c>
      <c r="Q549" s="115">
        <f t="shared" si="11"/>
        <v>0</v>
      </c>
      <c r="R549" s="67"/>
      <c r="S549" s="67"/>
      <c r="T549" s="67"/>
      <c r="U549" s="67"/>
      <c r="V549" s="67"/>
      <c r="W549" s="67"/>
      <c r="X549" s="67"/>
      <c r="Y549" s="67"/>
      <c r="Z549" s="67"/>
      <c r="AA549" s="67"/>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7"/>
      <c r="BC549" s="67"/>
      <c r="BD549" s="67"/>
      <c r="BE549" s="67"/>
      <c r="BF549" s="67"/>
      <c r="BG549" s="67"/>
      <c r="BH549" s="67"/>
      <c r="BI549" s="67"/>
      <c r="BJ549" s="67"/>
      <c r="BK549" s="67"/>
      <c r="BL549" s="67"/>
      <c r="BM549" s="67"/>
      <c r="BN549" s="67"/>
      <c r="BO549" s="67"/>
      <c r="BP549" s="67"/>
    </row>
    <row r="550" spans="1:68" s="66" customFormat="1">
      <c r="B550" s="129" t="s">
        <v>176</v>
      </c>
      <c r="C550" s="129"/>
      <c r="D550" s="130"/>
      <c r="E550" s="130"/>
      <c r="F550" s="131"/>
      <c r="G550" s="130"/>
      <c r="H550" s="130"/>
      <c r="I550" s="131"/>
      <c r="J550" s="130"/>
      <c r="K550" s="130"/>
      <c r="L550" s="131"/>
      <c r="M550" s="130"/>
      <c r="N550" s="130"/>
      <c r="O550" s="122"/>
      <c r="P550" s="115">
        <f t="shared" si="11"/>
        <v>0</v>
      </c>
      <c r="Q550" s="115">
        <f t="shared" si="11"/>
        <v>0</v>
      </c>
      <c r="R550" s="67"/>
      <c r="S550" s="67"/>
      <c r="T550" s="67"/>
      <c r="U550" s="67"/>
      <c r="V550" s="67"/>
      <c r="W550" s="67"/>
      <c r="X550" s="67"/>
      <c r="Y550" s="67"/>
      <c r="Z550" s="67"/>
      <c r="AA550" s="67"/>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7"/>
      <c r="BC550" s="67"/>
      <c r="BD550" s="67"/>
      <c r="BE550" s="67"/>
      <c r="BF550" s="67"/>
      <c r="BG550" s="67"/>
      <c r="BH550" s="67"/>
      <c r="BI550" s="67"/>
      <c r="BJ550" s="67"/>
      <c r="BK550" s="67"/>
      <c r="BL550" s="67"/>
      <c r="BM550" s="67"/>
      <c r="BN550" s="67"/>
      <c r="BO550" s="67"/>
      <c r="BP550" s="67"/>
    </row>
    <row r="551" spans="1:68" s="66" customFormat="1">
      <c r="B551" s="129" t="s">
        <v>177</v>
      </c>
      <c r="C551" s="129" t="s">
        <v>111</v>
      </c>
      <c r="D551" s="130"/>
      <c r="E551" s="130"/>
      <c r="F551" s="131"/>
      <c r="G551" s="130"/>
      <c r="H551" s="130"/>
      <c r="I551" s="131"/>
      <c r="J551" s="130"/>
      <c r="K551" s="130"/>
      <c r="L551" s="131"/>
      <c r="M551" s="130">
        <f>+D480</f>
        <v>200.655</v>
      </c>
      <c r="N551" s="130">
        <f>+E480</f>
        <v>1859328</v>
      </c>
      <c r="O551" s="122"/>
      <c r="P551" s="115">
        <f t="shared" si="11"/>
        <v>200.655</v>
      </c>
      <c r="Q551" s="115">
        <f t="shared" si="11"/>
        <v>1859328</v>
      </c>
      <c r="R551" s="67"/>
      <c r="S551" s="67"/>
      <c r="T551" s="67"/>
      <c r="U551" s="67"/>
      <c r="V551" s="67"/>
      <c r="W551" s="67"/>
      <c r="X551" s="67"/>
      <c r="Y551" s="67"/>
      <c r="Z551" s="67"/>
      <c r="AA551" s="67"/>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7"/>
      <c r="BC551" s="67"/>
      <c r="BD551" s="67"/>
      <c r="BE551" s="67"/>
      <c r="BF551" s="67"/>
      <c r="BG551" s="67"/>
      <c r="BH551" s="67"/>
      <c r="BI551" s="67"/>
      <c r="BJ551" s="67"/>
      <c r="BK551" s="67"/>
      <c r="BL551" s="67"/>
      <c r="BM551" s="67"/>
      <c r="BN551" s="67"/>
      <c r="BO551" s="67"/>
      <c r="BP551" s="67"/>
    </row>
    <row r="552" spans="1:68" s="66" customFormat="1">
      <c r="B552" s="129" t="s">
        <v>163</v>
      </c>
      <c r="C552" s="129" t="s">
        <v>111</v>
      </c>
      <c r="D552" s="130">
        <f>+D34+D106</f>
        <v>17.788</v>
      </c>
      <c r="E552" s="130">
        <f>+E34+H34+K34+N34+E106+H106+K106+N106</f>
        <v>436376.25199999998</v>
      </c>
      <c r="F552" s="131"/>
      <c r="G552" s="130"/>
      <c r="H552" s="130"/>
      <c r="I552" s="131"/>
      <c r="J552" s="130"/>
      <c r="K552" s="130"/>
      <c r="L552" s="131"/>
      <c r="M552" s="130"/>
      <c r="N552" s="130"/>
      <c r="O552" s="122"/>
      <c r="P552" s="115">
        <f t="shared" si="11"/>
        <v>17.788</v>
      </c>
      <c r="Q552" s="115">
        <f t="shared" si="11"/>
        <v>436376.25199999998</v>
      </c>
      <c r="R552" s="67"/>
      <c r="S552" s="67"/>
      <c r="T552" s="67"/>
      <c r="U552" s="67"/>
      <c r="V552" s="67"/>
      <c r="W552" s="67"/>
      <c r="X552" s="67"/>
      <c r="Y552" s="67"/>
      <c r="Z552" s="67"/>
      <c r="AA552" s="67"/>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7"/>
      <c r="BC552" s="67"/>
      <c r="BD552" s="67"/>
      <c r="BE552" s="67"/>
      <c r="BF552" s="67"/>
      <c r="BG552" s="67"/>
      <c r="BH552" s="67"/>
      <c r="BI552" s="67"/>
      <c r="BJ552" s="67"/>
      <c r="BK552" s="67"/>
      <c r="BL552" s="67"/>
      <c r="BM552" s="67"/>
      <c r="BN552" s="67"/>
      <c r="BO552" s="67"/>
      <c r="BP552" s="67"/>
    </row>
    <row r="553" spans="1:68" s="66" customFormat="1">
      <c r="B553" s="129" t="s">
        <v>105</v>
      </c>
      <c r="C553" s="129" t="s">
        <v>111</v>
      </c>
      <c r="D553" s="130"/>
      <c r="E553" s="130"/>
      <c r="F553" s="131"/>
      <c r="G553" s="130"/>
      <c r="H553" s="130">
        <f>+E183+H183+K183+N183+E256+H256+K256+N256</f>
        <v>39974.449999999997</v>
      </c>
      <c r="I553" s="131"/>
      <c r="J553" s="130"/>
      <c r="K553" s="130">
        <f>+E333+H333+K333+N333+E406+H406+K406+N406</f>
        <v>35206.74</v>
      </c>
      <c r="L553" s="131"/>
      <c r="M553" s="130">
        <f>+D482</f>
        <v>1546.1479999999999</v>
      </c>
      <c r="N553" s="130"/>
      <c r="O553" s="122"/>
      <c r="P553" s="115">
        <f t="shared" si="11"/>
        <v>1546.1479999999999</v>
      </c>
      <c r="Q553" s="115">
        <f t="shared" si="11"/>
        <v>75181.19</v>
      </c>
      <c r="R553" s="67"/>
      <c r="S553" s="67"/>
      <c r="T553" s="67"/>
      <c r="U553" s="67"/>
      <c r="V553" s="67"/>
      <c r="W553" s="67"/>
      <c r="X553" s="67"/>
      <c r="Y553" s="67"/>
      <c r="Z553" s="67"/>
      <c r="AA553" s="67"/>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7"/>
      <c r="BC553" s="67"/>
      <c r="BD553" s="67"/>
      <c r="BE553" s="67"/>
      <c r="BF553" s="67"/>
      <c r="BG553" s="67"/>
      <c r="BH553" s="67"/>
      <c r="BI553" s="67"/>
      <c r="BJ553" s="67"/>
      <c r="BK553" s="67"/>
      <c r="BL553" s="67"/>
      <c r="BM553" s="67"/>
      <c r="BN553" s="67"/>
      <c r="BO553" s="67"/>
      <c r="BP553" s="67"/>
    </row>
    <row r="554" spans="1:68" s="66" customFormat="1">
      <c r="A554" s="128"/>
      <c r="B554" s="133" t="s">
        <v>178</v>
      </c>
      <c r="C554" s="134"/>
      <c r="D554" s="135">
        <f>SUM(D549:D553)</f>
        <v>17.788</v>
      </c>
      <c r="E554" s="135">
        <f>SUM(E549:E553)</f>
        <v>436376.25199999998</v>
      </c>
      <c r="F554" s="137"/>
      <c r="G554" s="135">
        <f>SUM(G549:G553)</f>
        <v>0</v>
      </c>
      <c r="H554" s="135">
        <f>SUM(H549:H553)</f>
        <v>39974.449999999997</v>
      </c>
      <c r="I554" s="137"/>
      <c r="J554" s="135">
        <f>SUM(J549:J553)</f>
        <v>0</v>
      </c>
      <c r="K554" s="135">
        <f>SUM(K549:K553)</f>
        <v>35206.74</v>
      </c>
      <c r="L554" s="137"/>
      <c r="M554" s="135">
        <f>SUM(M549:M553)</f>
        <v>1746.8029999999999</v>
      </c>
      <c r="N554" s="135">
        <f>SUM(N549:N553)</f>
        <v>1859328</v>
      </c>
      <c r="O554" s="122"/>
      <c r="P554" s="95">
        <f t="shared" si="11"/>
        <v>1764.5909999999999</v>
      </c>
      <c r="Q554" s="95">
        <f t="shared" si="11"/>
        <v>2370885.4419999998</v>
      </c>
      <c r="R554" s="67"/>
      <c r="S554" s="67"/>
      <c r="T554" s="67"/>
      <c r="U554" s="67"/>
      <c r="V554" s="67"/>
      <c r="W554" s="67"/>
      <c r="X554" s="67"/>
      <c r="Y554" s="67"/>
      <c r="Z554" s="67"/>
      <c r="AA554" s="67"/>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7"/>
      <c r="BC554" s="67"/>
      <c r="BD554" s="67"/>
      <c r="BE554" s="67"/>
      <c r="BF554" s="67"/>
      <c r="BG554" s="67"/>
      <c r="BH554" s="67"/>
      <c r="BI554" s="67"/>
      <c r="BJ554" s="67"/>
      <c r="BK554" s="67"/>
      <c r="BL554" s="67"/>
      <c r="BM554" s="67"/>
      <c r="BN554" s="67"/>
      <c r="BO554" s="67"/>
      <c r="BP554" s="67"/>
    </row>
    <row r="555" spans="1:68" s="66" customFormat="1" ht="15" thickBot="1">
      <c r="C555" s="124"/>
      <c r="D555" s="124"/>
      <c r="E555" s="124"/>
      <c r="F555" s="124"/>
      <c r="G555" s="124"/>
      <c r="H555" s="124"/>
      <c r="I555" s="124"/>
      <c r="J555" s="124"/>
      <c r="K555" s="124"/>
      <c r="L555" s="124"/>
      <c r="M555" s="124"/>
      <c r="N555" s="124"/>
      <c r="P555" s="105"/>
      <c r="R555" s="67"/>
      <c r="S555" s="67"/>
      <c r="T555" s="67"/>
      <c r="U555" s="67"/>
      <c r="V555" s="67"/>
      <c r="W555" s="67"/>
      <c r="X555" s="67"/>
      <c r="Y555" s="67"/>
      <c r="Z555" s="67"/>
      <c r="AA555" s="67"/>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c r="BP555" s="67"/>
    </row>
    <row r="556" spans="1:68" s="66" customFormat="1" ht="15" thickBot="1">
      <c r="A556" s="121"/>
      <c r="B556" s="125" t="s">
        <v>179</v>
      </c>
      <c r="C556" s="126"/>
      <c r="D556" s="127"/>
      <c r="E556" s="127"/>
      <c r="F556" s="127"/>
      <c r="G556" s="127"/>
      <c r="H556" s="127"/>
      <c r="I556" s="127"/>
      <c r="J556" s="127"/>
      <c r="K556" s="127"/>
      <c r="L556" s="127"/>
      <c r="M556" s="127"/>
      <c r="N556" s="127"/>
      <c r="O556" s="122"/>
      <c r="R556" s="67"/>
      <c r="S556" s="67"/>
      <c r="T556" s="67"/>
      <c r="U556" s="67"/>
      <c r="V556" s="67"/>
      <c r="W556" s="67"/>
      <c r="X556" s="67"/>
      <c r="Y556" s="67"/>
      <c r="Z556" s="67"/>
      <c r="AA556" s="67"/>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7"/>
      <c r="BC556" s="67"/>
      <c r="BD556" s="67"/>
      <c r="BE556" s="67"/>
      <c r="BF556" s="67"/>
      <c r="BG556" s="67"/>
      <c r="BH556" s="67"/>
      <c r="BI556" s="67"/>
      <c r="BJ556" s="67"/>
      <c r="BK556" s="67"/>
      <c r="BL556" s="67"/>
      <c r="BM556" s="67"/>
      <c r="BN556" s="67"/>
      <c r="BO556" s="67"/>
      <c r="BP556" s="67"/>
    </row>
    <row r="557" spans="1:68" s="66" customFormat="1">
      <c r="B557" s="129" t="s">
        <v>179</v>
      </c>
      <c r="C557" s="129" t="s">
        <v>152</v>
      </c>
      <c r="D557" s="130"/>
      <c r="E557" s="130"/>
      <c r="F557" s="131"/>
      <c r="G557" s="130"/>
      <c r="H557" s="130"/>
      <c r="I557" s="131"/>
      <c r="J557" s="130">
        <f>+D337+D410</f>
        <v>8.697000000000001</v>
      </c>
      <c r="K557" s="130">
        <f>+E337+H337+K337+N337+E410+H410+K410+N410</f>
        <v>237743.61180000001</v>
      </c>
      <c r="L557" s="131"/>
      <c r="M557" s="130">
        <f>+D486</f>
        <v>8.3219999999999992</v>
      </c>
      <c r="N557" s="130">
        <f>+E486</f>
        <v>113069.713</v>
      </c>
      <c r="O557" s="122"/>
      <c r="P557" s="115">
        <f>+D557+G557+J557+M557</f>
        <v>17.018999999999998</v>
      </c>
      <c r="Q557" s="115">
        <f>+E557+H557+K557+N557</f>
        <v>350813.3248</v>
      </c>
      <c r="R557" s="67"/>
      <c r="S557" s="67"/>
      <c r="T557" s="67"/>
      <c r="U557" s="67"/>
      <c r="V557" s="67"/>
      <c r="W557" s="67"/>
      <c r="X557" s="67"/>
      <c r="Y557" s="67"/>
      <c r="Z557" s="67"/>
      <c r="AA557" s="67"/>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7"/>
      <c r="BC557" s="67"/>
      <c r="BD557" s="67"/>
      <c r="BE557" s="67"/>
      <c r="BF557" s="67"/>
      <c r="BG557" s="67"/>
      <c r="BH557" s="67"/>
      <c r="BI557" s="67"/>
      <c r="BJ557" s="67"/>
      <c r="BK557" s="67"/>
      <c r="BL557" s="67"/>
      <c r="BM557" s="67"/>
      <c r="BN557" s="67"/>
      <c r="BO557" s="67"/>
      <c r="BP557" s="67"/>
    </row>
    <row r="558" spans="1:68" s="66" customFormat="1">
      <c r="A558" s="128"/>
      <c r="B558" s="133" t="s">
        <v>180</v>
      </c>
      <c r="C558" s="134"/>
      <c r="D558" s="135">
        <f>SUM(D557)</f>
        <v>0</v>
      </c>
      <c r="E558" s="135">
        <f>SUM(E557)</f>
        <v>0</v>
      </c>
      <c r="F558" s="137"/>
      <c r="G558" s="135">
        <f>SUM(G557)</f>
        <v>0</v>
      </c>
      <c r="H558" s="135">
        <f>SUM(H557)</f>
        <v>0</v>
      </c>
      <c r="I558" s="137"/>
      <c r="J558" s="135">
        <f>SUM(J557)</f>
        <v>8.697000000000001</v>
      </c>
      <c r="K558" s="135">
        <f>SUM(K557)</f>
        <v>237743.61180000001</v>
      </c>
      <c r="L558" s="137"/>
      <c r="M558" s="135">
        <f>SUM(M557)</f>
        <v>8.3219999999999992</v>
      </c>
      <c r="N558" s="135">
        <f>SUM(N557)</f>
        <v>113069.713</v>
      </c>
      <c r="O558" s="122"/>
      <c r="P558" s="95">
        <f>+D558+G558+J558+M558</f>
        <v>17.018999999999998</v>
      </c>
      <c r="Q558" s="95">
        <f>+E558+H558+K558+N558</f>
        <v>350813.3248</v>
      </c>
      <c r="R558" s="67"/>
      <c r="S558" s="67"/>
      <c r="T558" s="67"/>
      <c r="U558" s="67"/>
      <c r="V558" s="67"/>
      <c r="W558" s="67"/>
      <c r="X558" s="67"/>
      <c r="Y558" s="67"/>
      <c r="Z558" s="67"/>
      <c r="AA558" s="67"/>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c r="BP558" s="67"/>
    </row>
    <row r="559" spans="1:68" s="66" customFormat="1" ht="15" thickBot="1">
      <c r="C559" s="124"/>
      <c r="D559" s="124"/>
      <c r="E559" s="124"/>
      <c r="F559" s="124"/>
      <c r="G559" s="124"/>
      <c r="H559" s="124"/>
      <c r="I559" s="124"/>
      <c r="J559" s="124"/>
      <c r="K559" s="124"/>
      <c r="L559" s="124"/>
      <c r="M559" s="124"/>
      <c r="N559" s="124"/>
      <c r="P559" s="105"/>
      <c r="R559" s="67"/>
      <c r="S559" s="67"/>
      <c r="T559" s="67"/>
      <c r="U559" s="67"/>
      <c r="V559" s="67"/>
      <c r="W559" s="67"/>
      <c r="X559" s="67"/>
      <c r="Y559" s="67"/>
      <c r="Z559" s="67"/>
      <c r="AA559" s="67"/>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7"/>
      <c r="BC559" s="67"/>
      <c r="BD559" s="67"/>
      <c r="BE559" s="67"/>
      <c r="BF559" s="67"/>
      <c r="BG559" s="67"/>
      <c r="BH559" s="67"/>
      <c r="BI559" s="67"/>
      <c r="BJ559" s="67"/>
      <c r="BK559" s="67"/>
      <c r="BL559" s="67"/>
      <c r="BM559" s="67"/>
      <c r="BN559" s="67"/>
      <c r="BO559" s="67"/>
      <c r="BP559" s="67"/>
    </row>
    <row r="560" spans="1:68" s="66" customFormat="1" ht="15" thickBot="1">
      <c r="A560" s="121"/>
      <c r="B560" s="125" t="s">
        <v>181</v>
      </c>
      <c r="C560" s="126"/>
      <c r="D560" s="127"/>
      <c r="E560" s="127"/>
      <c r="F560" s="127"/>
      <c r="G560" s="127"/>
      <c r="H560" s="127"/>
      <c r="I560" s="127"/>
      <c r="J560" s="127"/>
      <c r="K560" s="127"/>
      <c r="L560" s="127"/>
      <c r="M560" s="127"/>
      <c r="N560" s="127"/>
      <c r="O560" s="122"/>
      <c r="R560" s="67"/>
      <c r="S560" s="67"/>
      <c r="T560" s="67"/>
      <c r="U560" s="67"/>
      <c r="V560" s="67"/>
      <c r="W560" s="67"/>
      <c r="X560" s="67"/>
      <c r="Y560" s="67"/>
      <c r="Z560" s="67"/>
      <c r="AA560" s="67"/>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7"/>
      <c r="BC560" s="67"/>
      <c r="BD560" s="67"/>
      <c r="BE560" s="67"/>
      <c r="BF560" s="67"/>
      <c r="BG560" s="67"/>
      <c r="BH560" s="67"/>
      <c r="BI560" s="67"/>
      <c r="BJ560" s="67"/>
      <c r="BK560" s="67"/>
      <c r="BL560" s="67"/>
      <c r="BM560" s="67"/>
      <c r="BN560" s="67"/>
      <c r="BO560" s="67"/>
      <c r="BP560" s="67"/>
    </row>
    <row r="561" spans="1:68" s="66" customFormat="1">
      <c r="B561" s="129" t="s">
        <v>179</v>
      </c>
      <c r="C561" s="129"/>
      <c r="D561" s="130"/>
      <c r="E561" s="130"/>
      <c r="F561" s="131"/>
      <c r="G561" s="130"/>
      <c r="H561" s="130"/>
      <c r="I561" s="131"/>
      <c r="J561" s="130"/>
      <c r="K561" s="130"/>
      <c r="L561" s="131"/>
      <c r="M561" s="130"/>
      <c r="N561" s="130"/>
      <c r="O561" s="122"/>
      <c r="P561" s="115">
        <f t="shared" ref="P561:Q563" si="12">+D561+G561+J561+M561</f>
        <v>0</v>
      </c>
      <c r="Q561" s="115">
        <f t="shared" si="12"/>
        <v>0</v>
      </c>
      <c r="R561" s="67"/>
      <c r="S561" s="67"/>
      <c r="T561" s="67"/>
      <c r="U561" s="67"/>
      <c r="V561" s="67"/>
      <c r="W561" s="67"/>
      <c r="X561" s="67"/>
      <c r="Y561" s="67"/>
      <c r="Z561" s="67"/>
      <c r="AA561" s="67"/>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7"/>
      <c r="BC561" s="67"/>
      <c r="BD561" s="67"/>
      <c r="BE561" s="67"/>
      <c r="BF561" s="67"/>
      <c r="BG561" s="67"/>
      <c r="BH561" s="67"/>
      <c r="BI561" s="67"/>
      <c r="BJ561" s="67"/>
      <c r="BK561" s="67"/>
      <c r="BL561" s="67"/>
      <c r="BM561" s="67"/>
      <c r="BN561" s="67"/>
      <c r="BO561" s="67"/>
      <c r="BP561" s="67"/>
    </row>
    <row r="562" spans="1:68" s="66" customFormat="1">
      <c r="B562" s="129" t="s">
        <v>167</v>
      </c>
      <c r="C562" s="129"/>
      <c r="D562" s="130"/>
      <c r="E562" s="130"/>
      <c r="F562" s="131"/>
      <c r="G562" s="130"/>
      <c r="H562" s="130"/>
      <c r="I562" s="131"/>
      <c r="J562" s="130"/>
      <c r="K562" s="130"/>
      <c r="L562" s="131"/>
      <c r="M562" s="130"/>
      <c r="N562" s="130"/>
      <c r="O562" s="122"/>
      <c r="P562" s="115">
        <f t="shared" si="12"/>
        <v>0</v>
      </c>
      <c r="Q562" s="115">
        <f t="shared" si="12"/>
        <v>0</v>
      </c>
      <c r="R562" s="67"/>
      <c r="S562" s="67"/>
      <c r="T562" s="67"/>
      <c r="U562" s="67"/>
      <c r="V562" s="67"/>
      <c r="W562" s="67"/>
      <c r="X562" s="67"/>
      <c r="Y562" s="67"/>
      <c r="Z562" s="67"/>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67"/>
      <c r="BG562" s="67"/>
      <c r="BH562" s="67"/>
      <c r="BI562" s="67"/>
      <c r="BJ562" s="67"/>
      <c r="BK562" s="67"/>
      <c r="BL562" s="67"/>
      <c r="BM562" s="67"/>
      <c r="BN562" s="67"/>
      <c r="BO562" s="67"/>
      <c r="BP562" s="67"/>
    </row>
    <row r="563" spans="1:68" s="66" customFormat="1">
      <c r="A563" s="128"/>
      <c r="B563" s="133" t="s">
        <v>182</v>
      </c>
      <c r="C563" s="134"/>
      <c r="D563" s="135">
        <f>SUM(D561:D562)</f>
        <v>0</v>
      </c>
      <c r="E563" s="135">
        <f>SUM(E561:E562)</f>
        <v>0</v>
      </c>
      <c r="F563" s="137"/>
      <c r="G563" s="135">
        <f>SUM(G561:G562)</f>
        <v>0</v>
      </c>
      <c r="H563" s="135">
        <f>SUM(H561:H562)</f>
        <v>0</v>
      </c>
      <c r="I563" s="137"/>
      <c r="J563" s="135">
        <f>SUM(J561:J562)</f>
        <v>0</v>
      </c>
      <c r="K563" s="135">
        <f>SUM(K561:K562)</f>
        <v>0</v>
      </c>
      <c r="L563" s="137"/>
      <c r="M563" s="135">
        <f>SUM(M561:M562)</f>
        <v>0</v>
      </c>
      <c r="N563" s="135">
        <f>SUM(N561:N562)</f>
        <v>0</v>
      </c>
      <c r="O563" s="122"/>
      <c r="P563" s="95">
        <f t="shared" si="12"/>
        <v>0</v>
      </c>
      <c r="Q563" s="95">
        <f t="shared" si="12"/>
        <v>0</v>
      </c>
      <c r="R563" s="67"/>
      <c r="S563" s="67"/>
      <c r="T563" s="67"/>
      <c r="U563" s="67"/>
      <c r="V563" s="67"/>
      <c r="W563" s="67"/>
      <c r="X563" s="67"/>
      <c r="Y563" s="67"/>
      <c r="Z563" s="67"/>
      <c r="AA563" s="67"/>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7"/>
      <c r="BC563" s="67"/>
      <c r="BD563" s="67"/>
      <c r="BE563" s="67"/>
      <c r="BF563" s="67"/>
      <c r="BG563" s="67"/>
      <c r="BH563" s="67"/>
      <c r="BI563" s="67"/>
      <c r="BJ563" s="67"/>
      <c r="BK563" s="67"/>
      <c r="BL563" s="67"/>
      <c r="BM563" s="67"/>
      <c r="BN563" s="67"/>
      <c r="BO563" s="67"/>
      <c r="BP563" s="67"/>
    </row>
    <row r="564" spans="1:68" s="66" customFormat="1" ht="15" thickBot="1">
      <c r="C564" s="124"/>
      <c r="D564" s="124"/>
      <c r="E564" s="124"/>
      <c r="F564" s="124"/>
      <c r="G564" s="124"/>
      <c r="H564" s="124"/>
      <c r="I564" s="124"/>
      <c r="J564" s="124"/>
      <c r="K564" s="124"/>
      <c r="L564" s="124"/>
      <c r="M564" s="124"/>
      <c r="N564" s="124"/>
      <c r="R564" s="67"/>
      <c r="S564" s="67"/>
      <c r="T564" s="67"/>
      <c r="U564" s="67"/>
      <c r="V564" s="67"/>
      <c r="W564" s="67"/>
      <c r="X564" s="67"/>
      <c r="Y564" s="67"/>
      <c r="Z564" s="67"/>
      <c r="AA564" s="67"/>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7"/>
      <c r="BC564" s="67"/>
      <c r="BD564" s="67"/>
      <c r="BE564" s="67"/>
      <c r="BF564" s="67"/>
      <c r="BG564" s="67"/>
      <c r="BH564" s="67"/>
      <c r="BI564" s="67"/>
      <c r="BJ564" s="67"/>
      <c r="BK564" s="67"/>
      <c r="BL564" s="67"/>
      <c r="BM564" s="67"/>
      <c r="BN564" s="67"/>
      <c r="BO564" s="67"/>
      <c r="BP564" s="67"/>
    </row>
    <row r="565" spans="1:68" s="66" customFormat="1" ht="15" thickBot="1">
      <c r="A565" s="121"/>
      <c r="B565" s="125" t="s">
        <v>183</v>
      </c>
      <c r="C565" s="126"/>
      <c r="D565" s="127"/>
      <c r="E565" s="127"/>
      <c r="F565" s="127"/>
      <c r="G565" s="127"/>
      <c r="H565" s="127"/>
      <c r="I565" s="127"/>
      <c r="J565" s="127"/>
      <c r="K565" s="127"/>
      <c r="L565" s="127"/>
      <c r="M565" s="127"/>
      <c r="N565" s="127"/>
      <c r="O565" s="122"/>
      <c r="R565" s="67"/>
      <c r="S565" s="67"/>
      <c r="T565" s="67"/>
      <c r="U565" s="67"/>
      <c r="V565" s="67"/>
      <c r="W565" s="67"/>
      <c r="X565" s="67"/>
      <c r="Y565" s="67"/>
      <c r="Z565" s="67"/>
      <c r="AA565" s="67"/>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7"/>
      <c r="BC565" s="67"/>
      <c r="BD565" s="67"/>
      <c r="BE565" s="67"/>
      <c r="BF565" s="67"/>
      <c r="BG565" s="67"/>
      <c r="BH565" s="67"/>
      <c r="BI565" s="67"/>
      <c r="BJ565" s="67"/>
      <c r="BK565" s="67"/>
      <c r="BL565" s="67"/>
      <c r="BM565" s="67"/>
      <c r="BN565" s="67"/>
      <c r="BO565" s="67"/>
      <c r="BP565" s="67"/>
    </row>
    <row r="566" spans="1:68" s="66" customFormat="1">
      <c r="B566" s="129" t="s">
        <v>184</v>
      </c>
      <c r="C566" s="129" t="s">
        <v>165</v>
      </c>
      <c r="D566" s="130">
        <f>+D48+D120</f>
        <v>14.683</v>
      </c>
      <c r="E566" s="130">
        <f>+E48+H48+K48+N48+E120+H120+K120+N120</f>
        <v>341266.31599999999</v>
      </c>
      <c r="F566" s="131"/>
      <c r="G566" s="130">
        <f>+D196+D269</f>
        <v>0</v>
      </c>
      <c r="H566" s="130">
        <f>+E196+H196+K196+N196+E269+H269+K269+N269</f>
        <v>0</v>
      </c>
      <c r="I566" s="131"/>
      <c r="J566" s="130"/>
      <c r="K566" s="130"/>
      <c r="L566" s="131"/>
      <c r="M566" s="130"/>
      <c r="N566" s="130"/>
      <c r="O566" s="122"/>
      <c r="P566" s="115">
        <f t="shared" ref="P566:Q571" si="13">+D566+G566+J566+M566</f>
        <v>14.683</v>
      </c>
      <c r="Q566" s="115">
        <f t="shared" si="13"/>
        <v>341266.31599999999</v>
      </c>
      <c r="R566" s="67"/>
      <c r="S566" s="67"/>
      <c r="T566" s="67"/>
      <c r="U566" s="67"/>
      <c r="V566" s="67"/>
      <c r="W566" s="67"/>
      <c r="X566" s="67"/>
      <c r="Y566" s="67"/>
      <c r="Z566" s="67"/>
      <c r="AA566" s="67"/>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7"/>
      <c r="BC566" s="67"/>
      <c r="BD566" s="67"/>
      <c r="BE566" s="67"/>
      <c r="BF566" s="67"/>
      <c r="BG566" s="67"/>
      <c r="BH566" s="67"/>
      <c r="BI566" s="67"/>
      <c r="BJ566" s="67"/>
      <c r="BK566" s="67"/>
      <c r="BL566" s="67"/>
      <c r="BM566" s="67"/>
      <c r="BN566" s="67"/>
      <c r="BO566" s="67"/>
      <c r="BP566" s="67"/>
    </row>
    <row r="567" spans="1:68" s="66" customFormat="1">
      <c r="B567" s="129" t="s">
        <v>103</v>
      </c>
      <c r="C567" s="129" t="s">
        <v>165</v>
      </c>
      <c r="D567" s="130">
        <f>+D49+D121</f>
        <v>0.53100000000000003</v>
      </c>
      <c r="E567" s="130">
        <f>+E49+H49+K49+N49+E121+H121+K121+N121</f>
        <v>10906.252</v>
      </c>
      <c r="F567" s="131"/>
      <c r="G567" s="130">
        <f>+D197+D270</f>
        <v>38.786999999999999</v>
      </c>
      <c r="H567" s="130">
        <f>+E197+H197+K197+N197+E270+H270+K270+N270</f>
        <v>105843.402</v>
      </c>
      <c r="I567" s="131"/>
      <c r="J567" s="130"/>
      <c r="K567" s="130"/>
      <c r="L567" s="131"/>
      <c r="M567" s="130"/>
      <c r="N567" s="130"/>
      <c r="O567" s="122"/>
      <c r="P567" s="115">
        <f t="shared" si="13"/>
        <v>39.317999999999998</v>
      </c>
      <c r="Q567" s="115">
        <f t="shared" si="13"/>
        <v>116749.65400000001</v>
      </c>
      <c r="R567" s="67"/>
      <c r="S567" s="67"/>
      <c r="T567" s="67"/>
      <c r="U567" s="67"/>
      <c r="V567" s="67"/>
      <c r="W567" s="67"/>
      <c r="X567" s="67"/>
      <c r="Y567" s="67"/>
      <c r="Z567" s="67"/>
      <c r="AA567" s="67"/>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7"/>
      <c r="BC567" s="67"/>
      <c r="BD567" s="67"/>
      <c r="BE567" s="67"/>
      <c r="BF567" s="67"/>
      <c r="BG567" s="67"/>
      <c r="BH567" s="67"/>
      <c r="BI567" s="67"/>
      <c r="BJ567" s="67"/>
      <c r="BK567" s="67"/>
      <c r="BL567" s="67"/>
      <c r="BM567" s="67"/>
      <c r="BN567" s="67"/>
      <c r="BO567" s="67"/>
      <c r="BP567" s="67"/>
    </row>
    <row r="568" spans="1:68" s="66" customFormat="1">
      <c r="B568" s="129" t="s">
        <v>185</v>
      </c>
      <c r="C568" s="129"/>
      <c r="D568" s="130"/>
      <c r="E568" s="130"/>
      <c r="F568" s="131"/>
      <c r="G568" s="130"/>
      <c r="H568" s="130"/>
      <c r="I568" s="131"/>
      <c r="J568" s="130"/>
      <c r="K568" s="130"/>
      <c r="L568" s="131"/>
      <c r="M568" s="130"/>
      <c r="N568" s="130"/>
      <c r="O568" s="122"/>
      <c r="P568" s="115">
        <f t="shared" si="13"/>
        <v>0</v>
      </c>
      <c r="Q568" s="115">
        <f t="shared" si="13"/>
        <v>0</v>
      </c>
      <c r="R568" s="67"/>
      <c r="S568" s="67"/>
      <c r="T568" s="67"/>
      <c r="U568" s="67"/>
      <c r="V568" s="67"/>
      <c r="W568" s="67"/>
      <c r="X568" s="67"/>
      <c r="Y568" s="67"/>
      <c r="Z568" s="67"/>
      <c r="AA568" s="67"/>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67"/>
      <c r="AY568" s="67"/>
      <c r="AZ568" s="67"/>
      <c r="BA568" s="67"/>
      <c r="BB568" s="67"/>
      <c r="BC568" s="67"/>
      <c r="BD568" s="67"/>
      <c r="BE568" s="67"/>
      <c r="BF568" s="67"/>
      <c r="BG568" s="67"/>
      <c r="BH568" s="67"/>
      <c r="BI568" s="67"/>
      <c r="BJ568" s="67"/>
      <c r="BK568" s="67"/>
      <c r="BL568" s="67"/>
      <c r="BM568" s="67"/>
      <c r="BN568" s="67"/>
      <c r="BO568" s="67"/>
      <c r="BP568" s="67"/>
    </row>
    <row r="569" spans="1:68" s="66" customFormat="1">
      <c r="B569" s="129" t="s">
        <v>186</v>
      </c>
      <c r="C569" s="129"/>
      <c r="D569" s="130"/>
      <c r="E569" s="130"/>
      <c r="F569" s="131"/>
      <c r="G569" s="130"/>
      <c r="H569" s="130"/>
      <c r="I569" s="131"/>
      <c r="J569" s="130"/>
      <c r="K569" s="130"/>
      <c r="L569" s="131"/>
      <c r="M569" s="130"/>
      <c r="N569" s="130"/>
      <c r="O569" s="122"/>
      <c r="P569" s="115">
        <f t="shared" si="13"/>
        <v>0</v>
      </c>
      <c r="Q569" s="115">
        <f t="shared" si="13"/>
        <v>0</v>
      </c>
      <c r="R569" s="67"/>
      <c r="S569" s="67"/>
      <c r="T569" s="67"/>
      <c r="U569" s="67"/>
      <c r="V569" s="67"/>
      <c r="W569" s="67"/>
      <c r="X569" s="67"/>
      <c r="Y569" s="67"/>
      <c r="Z569" s="67"/>
      <c r="AA569" s="67"/>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7"/>
      <c r="BC569" s="67"/>
      <c r="BD569" s="67"/>
      <c r="BE569" s="67"/>
      <c r="BF569" s="67"/>
      <c r="BG569" s="67"/>
      <c r="BH569" s="67"/>
      <c r="BI569" s="67"/>
      <c r="BJ569" s="67"/>
      <c r="BK569" s="67"/>
      <c r="BL569" s="67"/>
      <c r="BM569" s="67"/>
      <c r="BN569" s="67"/>
      <c r="BO569" s="67"/>
      <c r="BP569" s="67"/>
    </row>
    <row r="570" spans="1:68" s="66" customFormat="1">
      <c r="B570" s="129" t="s">
        <v>187</v>
      </c>
      <c r="C570" s="129"/>
      <c r="D570" s="130"/>
      <c r="E570" s="130"/>
      <c r="F570" s="131"/>
      <c r="G570" s="130"/>
      <c r="H570" s="130"/>
      <c r="I570" s="131"/>
      <c r="J570" s="130"/>
      <c r="K570" s="130"/>
      <c r="L570" s="131"/>
      <c r="M570" s="130"/>
      <c r="N570" s="130"/>
      <c r="O570" s="122"/>
      <c r="P570" s="115">
        <f t="shared" si="13"/>
        <v>0</v>
      </c>
      <c r="Q570" s="115">
        <f t="shared" si="13"/>
        <v>0</v>
      </c>
      <c r="R570" s="67"/>
      <c r="S570" s="67"/>
      <c r="T570" s="67"/>
      <c r="U570" s="67"/>
      <c r="V570" s="67"/>
      <c r="W570" s="67"/>
      <c r="X570" s="67"/>
      <c r="Y570" s="67"/>
      <c r="Z570" s="67"/>
      <c r="AA570" s="67"/>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7"/>
      <c r="BC570" s="67"/>
      <c r="BD570" s="67"/>
      <c r="BE570" s="67"/>
      <c r="BF570" s="67"/>
      <c r="BG570" s="67"/>
      <c r="BH570" s="67"/>
      <c r="BI570" s="67"/>
      <c r="BJ570" s="67"/>
      <c r="BK570" s="67"/>
      <c r="BL570" s="67"/>
      <c r="BM570" s="67"/>
      <c r="BN570" s="67"/>
      <c r="BO570" s="67"/>
      <c r="BP570" s="67"/>
    </row>
    <row r="571" spans="1:68" s="66" customFormat="1">
      <c r="A571" s="128"/>
      <c r="B571" s="133" t="s">
        <v>188</v>
      </c>
      <c r="C571" s="134"/>
      <c r="D571" s="135">
        <f>SUM(D566:D570)</f>
        <v>15.214</v>
      </c>
      <c r="E571" s="135">
        <f>SUM(E566:E570)</f>
        <v>352172.56799999997</v>
      </c>
      <c r="F571" s="137"/>
      <c r="G571" s="135">
        <f>SUM(G566:G570)</f>
        <v>38.786999999999999</v>
      </c>
      <c r="H571" s="135">
        <f>SUM(H566:H570)</f>
        <v>105843.402</v>
      </c>
      <c r="I571" s="137"/>
      <c r="J571" s="135">
        <f>SUM(J566:J570)</f>
        <v>0</v>
      </c>
      <c r="K571" s="135">
        <f>SUM(K566:K570)</f>
        <v>0</v>
      </c>
      <c r="L571" s="137"/>
      <c r="M571" s="135">
        <f>SUM(M566:M570)</f>
        <v>0</v>
      </c>
      <c r="N571" s="135">
        <f>SUM(N566:N570)</f>
        <v>0</v>
      </c>
      <c r="O571" s="122"/>
      <c r="P571" s="95">
        <f t="shared" si="13"/>
        <v>54.000999999999998</v>
      </c>
      <c r="Q571" s="95">
        <f t="shared" si="13"/>
        <v>458015.97</v>
      </c>
      <c r="R571" s="67"/>
      <c r="S571" s="67"/>
      <c r="T571" s="67"/>
      <c r="U571" s="67"/>
      <c r="V571" s="67"/>
      <c r="W571" s="67"/>
      <c r="X571" s="67"/>
      <c r="Y571" s="67"/>
      <c r="Z571" s="67"/>
      <c r="AA571" s="67"/>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7"/>
      <c r="BC571" s="67"/>
      <c r="BD571" s="67"/>
      <c r="BE571" s="67"/>
      <c r="BF571" s="67"/>
      <c r="BG571" s="67"/>
      <c r="BH571" s="67"/>
      <c r="BI571" s="67"/>
      <c r="BJ571" s="67"/>
      <c r="BK571" s="67"/>
      <c r="BL571" s="67"/>
      <c r="BM571" s="67"/>
      <c r="BN571" s="67"/>
      <c r="BO571" s="67"/>
      <c r="BP571" s="67"/>
    </row>
    <row r="572" spans="1:68" s="66" customFormat="1" ht="15" thickBot="1">
      <c r="C572" s="124"/>
      <c r="D572" s="124"/>
      <c r="E572" s="124"/>
      <c r="F572" s="124"/>
      <c r="G572" s="124"/>
      <c r="H572" s="124"/>
      <c r="I572" s="124"/>
      <c r="J572" s="124"/>
      <c r="K572" s="124"/>
      <c r="L572" s="124"/>
      <c r="M572" s="124"/>
      <c r="N572" s="124"/>
      <c r="P572" s="105"/>
      <c r="R572" s="67"/>
      <c r="S572" s="67"/>
      <c r="T572" s="67"/>
      <c r="U572" s="67"/>
      <c r="V572" s="67"/>
      <c r="W572" s="67"/>
      <c r="X572" s="67"/>
      <c r="Y572" s="67"/>
      <c r="Z572" s="67"/>
      <c r="AA572" s="67"/>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7"/>
      <c r="BC572" s="67"/>
      <c r="BD572" s="67"/>
      <c r="BE572" s="67"/>
      <c r="BF572" s="67"/>
      <c r="BG572" s="67"/>
      <c r="BH572" s="67"/>
      <c r="BI572" s="67"/>
      <c r="BJ572" s="67"/>
      <c r="BK572" s="67"/>
      <c r="BL572" s="67"/>
      <c r="BM572" s="67"/>
      <c r="BN572" s="67"/>
      <c r="BO572" s="67"/>
      <c r="BP572" s="67"/>
    </row>
    <row r="573" spans="1:68" s="66" customFormat="1" ht="15" thickBot="1">
      <c r="A573" s="121"/>
      <c r="B573" s="125" t="s">
        <v>189</v>
      </c>
      <c r="C573" s="126"/>
      <c r="D573" s="127"/>
      <c r="E573" s="127"/>
      <c r="F573" s="127"/>
      <c r="G573" s="127"/>
      <c r="H573" s="127"/>
      <c r="I573" s="127"/>
      <c r="J573" s="127"/>
      <c r="K573" s="127"/>
      <c r="L573" s="127"/>
      <c r="M573" s="127"/>
      <c r="N573" s="127"/>
      <c r="O573" s="122"/>
      <c r="R573" s="67"/>
      <c r="S573" s="67"/>
      <c r="T573" s="67"/>
      <c r="U573" s="67"/>
      <c r="V573" s="67"/>
      <c r="W573" s="67"/>
      <c r="X573" s="67"/>
      <c r="Y573" s="67"/>
      <c r="Z573" s="67"/>
      <c r="AA573" s="67"/>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7"/>
      <c r="BC573" s="67"/>
      <c r="BD573" s="67"/>
      <c r="BE573" s="67"/>
      <c r="BF573" s="67"/>
      <c r="BG573" s="67"/>
      <c r="BH573" s="67"/>
      <c r="BI573" s="67"/>
      <c r="BJ573" s="67"/>
      <c r="BK573" s="67"/>
      <c r="BL573" s="67"/>
      <c r="BM573" s="67"/>
      <c r="BN573" s="67"/>
      <c r="BO573" s="67"/>
      <c r="BP573" s="67"/>
    </row>
    <row r="574" spans="1:68" s="66" customFormat="1">
      <c r="B574" s="129" t="s">
        <v>190</v>
      </c>
      <c r="C574" s="129" t="s">
        <v>165</v>
      </c>
      <c r="D574" s="130"/>
      <c r="E574" s="130"/>
      <c r="F574" s="131"/>
      <c r="G574" s="130">
        <f>+D204+D277</f>
        <v>54.521999999999998</v>
      </c>
      <c r="H574" s="130">
        <f>+E204+H204+K204+N204+E277+H277+K277+N277</f>
        <v>142934.51999999999</v>
      </c>
      <c r="I574" s="131"/>
      <c r="J574" s="130">
        <f>+D354+D427</f>
        <v>152.761</v>
      </c>
      <c r="K574" s="130">
        <f>+E354+H354+K354+N354+E427+H427+K427+N427</f>
        <v>2641903.84</v>
      </c>
      <c r="L574" s="131"/>
      <c r="M574" s="130"/>
      <c r="N574" s="130">
        <f>+E503</f>
        <v>1629539</v>
      </c>
      <c r="P574" s="115">
        <f t="shared" ref="P574:Q577" si="14">+D574+G574+J574+M574</f>
        <v>207.28299999999999</v>
      </c>
      <c r="Q574" s="115">
        <f t="shared" si="14"/>
        <v>4414377.3599999994</v>
      </c>
      <c r="R574" s="67"/>
      <c r="S574" s="67"/>
      <c r="T574" s="67"/>
      <c r="U574" s="67"/>
      <c r="V574" s="67"/>
      <c r="W574" s="67"/>
      <c r="X574" s="67"/>
      <c r="Y574" s="67"/>
      <c r="Z574" s="67"/>
      <c r="AA574" s="67"/>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7"/>
      <c r="BC574" s="67"/>
      <c r="BD574" s="67"/>
      <c r="BE574" s="67"/>
      <c r="BF574" s="67"/>
      <c r="BG574" s="67"/>
      <c r="BH574" s="67"/>
      <c r="BI574" s="67"/>
      <c r="BJ574" s="67"/>
      <c r="BK574" s="67"/>
      <c r="BL574" s="67"/>
      <c r="BM574" s="67"/>
      <c r="BN574" s="67"/>
      <c r="BO574" s="67"/>
      <c r="BP574" s="67"/>
    </row>
    <row r="575" spans="1:68" s="66" customFormat="1">
      <c r="B575" s="129" t="s">
        <v>191</v>
      </c>
      <c r="C575" s="129" t="s">
        <v>192</v>
      </c>
      <c r="D575" s="130"/>
      <c r="E575" s="130"/>
      <c r="F575" s="131"/>
      <c r="G575" s="130"/>
      <c r="H575" s="130"/>
      <c r="I575" s="131"/>
      <c r="J575" s="130"/>
      <c r="K575" s="130"/>
      <c r="L575" s="131"/>
      <c r="M575" s="130">
        <f>+D504</f>
        <v>349.36200000000002</v>
      </c>
      <c r="N575" s="130"/>
      <c r="P575" s="115">
        <f t="shared" si="14"/>
        <v>349.36200000000002</v>
      </c>
      <c r="Q575" s="115">
        <f t="shared" si="14"/>
        <v>0</v>
      </c>
      <c r="R575" s="67"/>
      <c r="S575" s="67"/>
      <c r="T575" s="67"/>
      <c r="U575" s="67"/>
      <c r="V575" s="67"/>
      <c r="W575" s="67"/>
      <c r="X575" s="67"/>
      <c r="Y575" s="67"/>
      <c r="Z575" s="67"/>
      <c r="AA575" s="67"/>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7"/>
      <c r="BC575" s="67"/>
      <c r="BD575" s="67"/>
      <c r="BE575" s="67"/>
      <c r="BF575" s="67"/>
      <c r="BG575" s="67"/>
      <c r="BH575" s="67"/>
      <c r="BI575" s="67"/>
      <c r="BJ575" s="67"/>
      <c r="BK575" s="67"/>
      <c r="BL575" s="67"/>
      <c r="BM575" s="67"/>
      <c r="BN575" s="67"/>
      <c r="BO575" s="67"/>
      <c r="BP575" s="67"/>
    </row>
    <row r="576" spans="1:68" s="66" customFormat="1">
      <c r="B576" s="129" t="s">
        <v>193</v>
      </c>
      <c r="C576" s="129"/>
      <c r="D576" s="130"/>
      <c r="E576" s="130"/>
      <c r="F576" s="131"/>
      <c r="G576" s="130"/>
      <c r="H576" s="130"/>
      <c r="I576" s="131"/>
      <c r="J576" s="130"/>
      <c r="K576" s="130"/>
      <c r="L576" s="131"/>
      <c r="M576" s="130"/>
      <c r="N576" s="130"/>
      <c r="P576" s="115">
        <f t="shared" si="14"/>
        <v>0</v>
      </c>
      <c r="Q576" s="115">
        <f t="shared" si="14"/>
        <v>0</v>
      </c>
      <c r="R576" s="67"/>
      <c r="S576" s="67"/>
      <c r="T576" s="67"/>
      <c r="U576" s="67"/>
      <c r="V576" s="67"/>
      <c r="W576" s="67"/>
      <c r="X576" s="67"/>
      <c r="Y576" s="67"/>
      <c r="Z576" s="67"/>
      <c r="AA576" s="67"/>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7"/>
      <c r="BC576" s="67"/>
      <c r="BD576" s="67"/>
      <c r="BE576" s="67"/>
      <c r="BF576" s="67"/>
      <c r="BG576" s="67"/>
      <c r="BH576" s="67"/>
      <c r="BI576" s="67"/>
      <c r="BJ576" s="67"/>
      <c r="BK576" s="67"/>
      <c r="BL576" s="67"/>
      <c r="BM576" s="67"/>
      <c r="BN576" s="67"/>
      <c r="BO576" s="67"/>
      <c r="BP576" s="67"/>
    </row>
    <row r="577" spans="1:68" s="66" customFormat="1">
      <c r="A577" s="128"/>
      <c r="B577" s="133" t="s">
        <v>194</v>
      </c>
      <c r="C577" s="134"/>
      <c r="D577" s="135">
        <f>SUM(D574:D576)</f>
        <v>0</v>
      </c>
      <c r="E577" s="135">
        <f>SUM(E574:E576)</f>
        <v>0</v>
      </c>
      <c r="F577" s="137"/>
      <c r="G577" s="135">
        <f>SUM(G574:G576)</f>
        <v>54.521999999999998</v>
      </c>
      <c r="H577" s="135">
        <f>SUM(H574:H576)</f>
        <v>142934.51999999999</v>
      </c>
      <c r="I577" s="137"/>
      <c r="J577" s="135">
        <f>SUM(J574:J576)</f>
        <v>152.761</v>
      </c>
      <c r="K577" s="135">
        <f>SUM(K574:K576)</f>
        <v>2641903.84</v>
      </c>
      <c r="L577" s="137"/>
      <c r="M577" s="135">
        <f>SUM(M574:M576)</f>
        <v>349.36200000000002</v>
      </c>
      <c r="N577" s="135">
        <f>SUM(N574:N576)</f>
        <v>1629539</v>
      </c>
      <c r="O577" s="122"/>
      <c r="P577" s="95">
        <f t="shared" si="14"/>
        <v>556.64499999999998</v>
      </c>
      <c r="Q577" s="95">
        <f t="shared" si="14"/>
        <v>4414377.3599999994</v>
      </c>
      <c r="R577" s="67"/>
      <c r="S577" s="67"/>
      <c r="T577" s="67"/>
      <c r="U577" s="67"/>
      <c r="V577" s="67"/>
      <c r="W577" s="67"/>
      <c r="X577" s="67"/>
      <c r="Y577" s="67"/>
      <c r="Z577" s="67"/>
      <c r="AA577" s="67"/>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7"/>
      <c r="BC577" s="67"/>
      <c r="BD577" s="67"/>
      <c r="BE577" s="67"/>
      <c r="BF577" s="67"/>
      <c r="BG577" s="67"/>
      <c r="BH577" s="67"/>
      <c r="BI577" s="67"/>
      <c r="BJ577" s="67"/>
      <c r="BK577" s="67"/>
      <c r="BL577" s="67"/>
      <c r="BM577" s="67"/>
      <c r="BN577" s="67"/>
      <c r="BO577" s="67"/>
      <c r="BP577" s="67"/>
    </row>
    <row r="578" spans="1:68" s="66" customFormat="1" ht="8.25" customHeight="1">
      <c r="B578" s="141"/>
      <c r="D578" s="105"/>
      <c r="G578" s="105"/>
      <c r="J578" s="105"/>
      <c r="M578" s="105"/>
      <c r="R578" s="67"/>
      <c r="S578" s="67"/>
      <c r="T578" s="67"/>
      <c r="U578" s="67"/>
      <c r="V578" s="67"/>
      <c r="W578" s="67"/>
      <c r="X578" s="67"/>
      <c r="Y578" s="67"/>
      <c r="Z578" s="67"/>
      <c r="AA578" s="67"/>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7"/>
      <c r="BC578" s="67"/>
      <c r="BD578" s="67"/>
      <c r="BE578" s="67"/>
      <c r="BF578" s="67"/>
      <c r="BG578" s="67"/>
      <c r="BH578" s="67"/>
      <c r="BI578" s="67"/>
      <c r="BJ578" s="67"/>
      <c r="BK578" s="67"/>
      <c r="BL578" s="67"/>
      <c r="BM578" s="67"/>
      <c r="BN578" s="67"/>
      <c r="BO578" s="67"/>
      <c r="BP578" s="67"/>
    </row>
    <row r="579" spans="1:68" s="66" customFormat="1" ht="15.75" thickBot="1">
      <c r="D579" s="142">
        <f>+D532+D546+D554+D558+D563+D571+D577</f>
        <v>439.14600000000002</v>
      </c>
      <c r="E579" s="142">
        <f>+E532+E546+E554+E558+E563+E571+E577</f>
        <v>8695840.1119999997</v>
      </c>
      <c r="F579" s="143"/>
      <c r="G579" s="142">
        <f>+G532+G546+G554+G558+G563+G571+G577</f>
        <v>747.02100000000007</v>
      </c>
      <c r="H579" s="142">
        <f>+H532+H546+H554+H558+H563+H571+H577</f>
        <v>8508252.5969999973</v>
      </c>
      <c r="I579" s="143"/>
      <c r="J579" s="142">
        <f>+J532+J546+J554+J558+J563+J571+J577</f>
        <v>1234.1429999999998</v>
      </c>
      <c r="K579" s="142">
        <f>+K532+K546+K554+K558+K563+K571+K577</f>
        <v>18169831.200514399</v>
      </c>
      <c r="L579" s="143"/>
      <c r="M579" s="142">
        <f>+M532+M546+M554+M558+M563+M571+M577</f>
        <v>3509.4030000000002</v>
      </c>
      <c r="N579" s="142">
        <f>+N532+N546+N554+N558+N563+N571+N577</f>
        <v>11624661.737</v>
      </c>
      <c r="O579" s="143"/>
      <c r="P579" s="99">
        <f>+P577+P571+P563+P558+P554+P546+P532</f>
        <v>5929.7130000000006</v>
      </c>
      <c r="Q579" s="99">
        <f>+Q577+Q571+Q563+Q558+Q554+Q546+Q532</f>
        <v>46998585.646514401</v>
      </c>
      <c r="R579" s="67"/>
      <c r="S579" s="67"/>
      <c r="T579" s="67"/>
      <c r="U579" s="67"/>
      <c r="V579" s="67"/>
      <c r="W579" s="67"/>
      <c r="X579" s="67"/>
      <c r="Y579" s="67"/>
      <c r="Z579" s="67"/>
      <c r="AA579" s="67"/>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7"/>
      <c r="BC579" s="67"/>
      <c r="BD579" s="67"/>
      <c r="BE579" s="67"/>
      <c r="BF579" s="67"/>
      <c r="BG579" s="67"/>
      <c r="BH579" s="67"/>
      <c r="BI579" s="67"/>
      <c r="BJ579" s="67"/>
      <c r="BK579" s="67"/>
      <c r="BL579" s="67"/>
      <c r="BM579" s="67"/>
      <c r="BN579" s="67"/>
      <c r="BO579" s="67"/>
      <c r="BP579" s="67"/>
    </row>
    <row r="580" spans="1:68" s="66" customFormat="1" ht="18.75" thickTop="1">
      <c r="A580" s="144" t="s">
        <v>240</v>
      </c>
      <c r="R580" s="67"/>
      <c r="S580" s="67"/>
      <c r="T580" s="67"/>
      <c r="U580" s="67"/>
      <c r="V580" s="67"/>
      <c r="W580" s="67"/>
      <c r="X580" s="67"/>
      <c r="Y580" s="67"/>
      <c r="Z580" s="67"/>
      <c r="AA580" s="67"/>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7"/>
      <c r="BC580" s="67"/>
      <c r="BD580" s="67"/>
      <c r="BE580" s="67"/>
      <c r="BF580" s="67"/>
      <c r="BG580" s="67"/>
      <c r="BH580" s="67"/>
      <c r="BI580" s="67"/>
      <c r="BJ580" s="67"/>
      <c r="BK580" s="67"/>
      <c r="BL580" s="67"/>
      <c r="BM580" s="67"/>
      <c r="BN580" s="67"/>
      <c r="BO580" s="67"/>
      <c r="BP580" s="67"/>
    </row>
    <row r="581" spans="1:68" s="66" customFormat="1">
      <c r="E581" s="145"/>
      <c r="F581" s="146"/>
      <c r="G581" s="147" t="s">
        <v>120</v>
      </c>
      <c r="H581" s="145"/>
      <c r="I581" s="146"/>
      <c r="J581" s="146"/>
      <c r="K581" s="147" t="s">
        <v>120</v>
      </c>
      <c r="L581" s="145"/>
      <c r="M581" s="146"/>
      <c r="N581" s="147" t="s">
        <v>120</v>
      </c>
      <c r="P581" s="105">
        <f>5930-P579</f>
        <v>0.28699999999935244</v>
      </c>
      <c r="Q581" s="115">
        <f>46998586-Q579</f>
        <v>0.3534855991601944</v>
      </c>
      <c r="R581" s="67"/>
      <c r="S581" s="67"/>
      <c r="T581" s="67"/>
      <c r="U581" s="67"/>
      <c r="V581" s="67"/>
      <c r="W581" s="67"/>
      <c r="X581" s="67"/>
      <c r="Y581" s="67"/>
      <c r="Z581" s="67"/>
      <c r="AA581" s="67"/>
      <c r="AB581" s="67"/>
      <c r="AC581" s="67"/>
      <c r="AD581" s="67"/>
      <c r="AE581" s="67"/>
      <c r="AF581" s="67"/>
      <c r="AG581" s="67"/>
      <c r="AH581" s="67"/>
      <c r="AI581" s="67"/>
      <c r="AJ581" s="67"/>
      <c r="AK581" s="67"/>
      <c r="AL581" s="67"/>
      <c r="AM581" s="67"/>
      <c r="AN581" s="67"/>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c r="BP581" s="67"/>
    </row>
    <row r="582" spans="1:68" s="66" customFormat="1">
      <c r="E582" s="148"/>
      <c r="F582" s="149"/>
      <c r="G582" s="150" t="s">
        <v>241</v>
      </c>
      <c r="H582" s="148"/>
      <c r="I582" s="149"/>
      <c r="J582" s="149"/>
      <c r="K582" s="150" t="s">
        <v>242</v>
      </c>
      <c r="L582" s="148"/>
      <c r="M582" s="149"/>
      <c r="N582" s="150" t="s">
        <v>243</v>
      </c>
      <c r="R582" s="67"/>
      <c r="S582" s="67"/>
      <c r="T582" s="67"/>
      <c r="U582" s="67"/>
      <c r="V582" s="67"/>
      <c r="W582" s="67"/>
      <c r="X582" s="67"/>
      <c r="Y582" s="67"/>
      <c r="Z582" s="67"/>
      <c r="AA582" s="67"/>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67"/>
      <c r="AY582" s="67"/>
      <c r="AZ582" s="67"/>
      <c r="BA582" s="67"/>
      <c r="BB582" s="67"/>
      <c r="BC582" s="67"/>
      <c r="BD582" s="67"/>
      <c r="BE582" s="67"/>
      <c r="BF582" s="67"/>
      <c r="BG582" s="67"/>
      <c r="BH582" s="67"/>
      <c r="BI582" s="67"/>
      <c r="BJ582" s="67"/>
      <c r="BK582" s="67"/>
      <c r="BL582" s="67"/>
      <c r="BM582" s="67"/>
      <c r="BN582" s="67"/>
      <c r="BO582" s="67"/>
      <c r="BP582" s="67"/>
    </row>
    <row r="583" spans="1:68" s="66" customFormat="1" ht="5.25" customHeight="1">
      <c r="E583" s="148"/>
      <c r="F583" s="149"/>
      <c r="G583" s="150" t="s">
        <v>244</v>
      </c>
      <c r="H583" s="148"/>
      <c r="I583" s="149"/>
      <c r="J583" s="149"/>
      <c r="K583" s="151" t="s">
        <v>244</v>
      </c>
      <c r="L583" s="148"/>
      <c r="M583" s="149"/>
      <c r="N583" s="150" t="s">
        <v>245</v>
      </c>
      <c r="R583" s="67"/>
      <c r="S583" s="67"/>
      <c r="T583" s="67"/>
      <c r="U583" s="67"/>
      <c r="V583" s="67"/>
      <c r="W583" s="67"/>
      <c r="X583" s="67"/>
      <c r="Y583" s="67"/>
      <c r="Z583" s="67"/>
      <c r="AA583" s="67"/>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7"/>
      <c r="BC583" s="67"/>
      <c r="BD583" s="67"/>
      <c r="BE583" s="67"/>
      <c r="BF583" s="67"/>
      <c r="BG583" s="67"/>
      <c r="BH583" s="67"/>
      <c r="BI583" s="67"/>
      <c r="BJ583" s="67"/>
      <c r="BK583" s="67"/>
      <c r="BL583" s="67"/>
      <c r="BM583" s="67"/>
      <c r="BN583" s="67"/>
      <c r="BO583" s="67"/>
      <c r="BP583" s="67"/>
    </row>
    <row r="584" spans="1:68" s="66" customFormat="1" ht="15">
      <c r="B584" s="152" t="s">
        <v>120</v>
      </c>
      <c r="E584" s="148"/>
      <c r="F584" s="149"/>
      <c r="G584" s="153">
        <f>-126458-4</f>
        <v>-126462</v>
      </c>
      <c r="H584" s="154"/>
      <c r="I584" s="155"/>
      <c r="J584" s="155"/>
      <c r="K584" s="153">
        <f>SUM(K587:K588)</f>
        <v>-7298</v>
      </c>
      <c r="L584" s="154"/>
      <c r="M584" s="155"/>
      <c r="N584" s="153">
        <v>-71710</v>
      </c>
      <c r="R584" s="67"/>
      <c r="S584" s="67"/>
      <c r="T584" s="67"/>
      <c r="U584" s="67"/>
      <c r="V584" s="67"/>
      <c r="W584" s="67"/>
      <c r="X584" s="67"/>
      <c r="Y584" s="67"/>
      <c r="Z584" s="67"/>
      <c r="AA584" s="67"/>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67"/>
      <c r="AY584" s="67"/>
      <c r="AZ584" s="67"/>
      <c r="BA584" s="67"/>
      <c r="BB584" s="67"/>
      <c r="BC584" s="67"/>
      <c r="BD584" s="67"/>
      <c r="BE584" s="67"/>
      <c r="BF584" s="67"/>
      <c r="BG584" s="67"/>
      <c r="BH584" s="67"/>
      <c r="BI584" s="67"/>
      <c r="BJ584" s="67"/>
      <c r="BK584" s="67"/>
      <c r="BL584" s="67"/>
      <c r="BM584" s="67"/>
      <c r="BN584" s="67"/>
      <c r="BO584" s="67"/>
      <c r="BP584" s="67"/>
    </row>
    <row r="585" spans="1:68" s="66" customFormat="1" ht="15">
      <c r="B585" s="152"/>
      <c r="E585" s="148"/>
      <c r="F585" s="149"/>
      <c r="G585" s="153"/>
      <c r="H585" s="154"/>
      <c r="I585" s="155"/>
      <c r="J585" s="155"/>
      <c r="K585" s="156"/>
      <c r="L585" s="154"/>
      <c r="M585" s="155"/>
      <c r="N585" s="153"/>
      <c r="R585" s="67"/>
      <c r="S585" s="67"/>
      <c r="T585" s="67"/>
      <c r="U585" s="67"/>
      <c r="V585" s="67"/>
      <c r="W585" s="67"/>
      <c r="X585" s="67"/>
      <c r="Y585" s="67"/>
      <c r="Z585" s="67"/>
      <c r="AA585" s="67"/>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7"/>
      <c r="BC585" s="67"/>
      <c r="BD585" s="67"/>
      <c r="BE585" s="67"/>
      <c r="BF585" s="67"/>
      <c r="BG585" s="67"/>
      <c r="BH585" s="67"/>
      <c r="BI585" s="67"/>
      <c r="BJ585" s="67"/>
      <c r="BK585" s="67"/>
      <c r="BL585" s="67"/>
      <c r="BM585" s="67"/>
      <c r="BN585" s="67"/>
      <c r="BO585" s="67"/>
      <c r="BP585" s="67"/>
    </row>
    <row r="586" spans="1:68" s="66" customFormat="1">
      <c r="B586" s="157" t="s">
        <v>74</v>
      </c>
      <c r="C586" s="158">
        <v>5369511.4000000004</v>
      </c>
      <c r="D586" s="159">
        <f t="shared" ref="D586:D592" si="15">C586/$C$593</f>
        <v>0.35521270947913086</v>
      </c>
      <c r="E586" s="160" t="s">
        <v>152</v>
      </c>
      <c r="F586" s="149"/>
      <c r="G586" s="161">
        <f>0.5*G584</f>
        <v>-63231</v>
      </c>
      <c r="H586" s="148"/>
      <c r="I586" s="149"/>
      <c r="J586" s="149"/>
      <c r="K586" s="150"/>
      <c r="L586" s="148"/>
      <c r="M586" s="162" t="s">
        <v>152</v>
      </c>
      <c r="N586" s="161">
        <f>0.5*N584</f>
        <v>-35855</v>
      </c>
      <c r="R586" s="67"/>
      <c r="S586" s="67"/>
      <c r="T586" s="67"/>
      <c r="U586" s="67"/>
      <c r="V586" s="67"/>
      <c r="W586" s="67"/>
      <c r="X586" s="67"/>
      <c r="Y586" s="67"/>
      <c r="Z586" s="67"/>
      <c r="AA586" s="67"/>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7"/>
      <c r="BC586" s="67"/>
      <c r="BD586" s="67"/>
      <c r="BE586" s="67"/>
      <c r="BF586" s="67"/>
      <c r="BG586" s="67"/>
      <c r="BH586" s="67"/>
      <c r="BI586" s="67"/>
      <c r="BJ586" s="67"/>
      <c r="BK586" s="67"/>
      <c r="BL586" s="67"/>
      <c r="BM586" s="67"/>
      <c r="BN586" s="67"/>
      <c r="BO586" s="67"/>
      <c r="BP586" s="67"/>
    </row>
    <row r="587" spans="1:68" s="66" customFormat="1">
      <c r="B587" s="157" t="s">
        <v>246</v>
      </c>
      <c r="C587" s="158">
        <v>2076931</v>
      </c>
      <c r="D587" s="159">
        <f t="shared" si="15"/>
        <v>0.13739654001129428</v>
      </c>
      <c r="E587" s="163" t="s">
        <v>247</v>
      </c>
      <c r="F587" s="164"/>
      <c r="G587" s="165">
        <f>+G586</f>
        <v>-63231</v>
      </c>
      <c r="H587" s="148" t="s">
        <v>248</v>
      </c>
      <c r="I587" s="149"/>
      <c r="J587" s="149"/>
      <c r="K587" s="161">
        <v>-3824</v>
      </c>
      <c r="L587" s="148"/>
      <c r="M587" s="162" t="s">
        <v>164</v>
      </c>
      <c r="N587" s="161">
        <f>+N586</f>
        <v>-35855</v>
      </c>
      <c r="R587" s="67"/>
      <c r="S587" s="67"/>
      <c r="T587" s="67"/>
      <c r="U587" s="67"/>
      <c r="V587" s="67"/>
      <c r="W587" s="67"/>
      <c r="X587" s="67"/>
      <c r="Y587" s="67"/>
      <c r="Z587" s="67"/>
      <c r="AA587" s="67"/>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7"/>
      <c r="BC587" s="67"/>
      <c r="BD587" s="67"/>
      <c r="BE587" s="67"/>
      <c r="BF587" s="67"/>
      <c r="BG587" s="67"/>
      <c r="BH587" s="67"/>
      <c r="BI587" s="67"/>
      <c r="BJ587" s="67"/>
      <c r="BK587" s="67"/>
      <c r="BL587" s="67"/>
      <c r="BM587" s="67"/>
      <c r="BN587" s="67"/>
      <c r="BO587" s="67"/>
      <c r="BP587" s="67"/>
    </row>
    <row r="588" spans="1:68" s="66" customFormat="1">
      <c r="B588" s="157" t="s">
        <v>249</v>
      </c>
      <c r="C588" s="158">
        <v>4558323.4000000004</v>
      </c>
      <c r="D588" s="159">
        <f t="shared" si="15"/>
        <v>0.30154967276838712</v>
      </c>
      <c r="E588" s="166"/>
      <c r="F588" s="166"/>
      <c r="G588" s="166"/>
      <c r="H588" s="167" t="s">
        <v>248</v>
      </c>
      <c r="I588" s="164"/>
      <c r="J588" s="164"/>
      <c r="K588" s="165">
        <v>-3474</v>
      </c>
      <c r="L588" s="167"/>
      <c r="M588" s="164"/>
      <c r="N588" s="168"/>
      <c r="R588" s="67"/>
      <c r="S588" s="67"/>
      <c r="T588" s="67"/>
      <c r="U588" s="67"/>
      <c r="V588" s="67"/>
      <c r="W588" s="67"/>
      <c r="X588" s="67"/>
      <c r="Y588" s="67"/>
      <c r="Z588" s="67"/>
      <c r="AA588" s="67"/>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7"/>
      <c r="BC588" s="67"/>
      <c r="BD588" s="67"/>
      <c r="BE588" s="67"/>
      <c r="BF588" s="67"/>
      <c r="BG588" s="67"/>
      <c r="BH588" s="67"/>
      <c r="BI588" s="67"/>
      <c r="BJ588" s="67"/>
      <c r="BK588" s="67"/>
      <c r="BL588" s="67"/>
      <c r="BM588" s="67"/>
      <c r="BN588" s="67"/>
      <c r="BO588" s="67"/>
      <c r="BP588" s="67"/>
    </row>
    <row r="589" spans="1:68" s="66" customFormat="1">
      <c r="B589" s="157" t="s">
        <v>250</v>
      </c>
      <c r="C589" s="158">
        <v>2900856</v>
      </c>
      <c r="D589" s="159">
        <f t="shared" si="15"/>
        <v>0.19190217559996123</v>
      </c>
      <c r="E589" s="166"/>
      <c r="F589" s="166"/>
      <c r="G589" s="166"/>
      <c r="H589" s="166"/>
      <c r="I589" s="166"/>
      <c r="J589" s="166"/>
      <c r="K589" s="166"/>
      <c r="L589" s="166"/>
      <c r="M589" s="166"/>
      <c r="N589" s="166"/>
      <c r="R589" s="67"/>
      <c r="S589" s="67"/>
      <c r="T589" s="67"/>
      <c r="U589" s="67"/>
      <c r="V589" s="67"/>
      <c r="W589" s="67"/>
      <c r="X589" s="67"/>
      <c r="Y589" s="67"/>
      <c r="Z589" s="67"/>
      <c r="AA589" s="67"/>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7"/>
      <c r="BC589" s="67"/>
      <c r="BD589" s="67"/>
      <c r="BE589" s="67"/>
      <c r="BF589" s="67"/>
      <c r="BG589" s="67"/>
      <c r="BH589" s="67"/>
      <c r="BI589" s="67"/>
      <c r="BJ589" s="67"/>
      <c r="BK589" s="67"/>
      <c r="BL589" s="67"/>
      <c r="BM589" s="67"/>
      <c r="BN589" s="67"/>
      <c r="BO589" s="67"/>
      <c r="BP589" s="67"/>
    </row>
    <row r="590" spans="1:68" s="66" customFormat="1">
      <c r="B590" s="157" t="s">
        <v>251</v>
      </c>
      <c r="C590" s="158">
        <v>32005</v>
      </c>
      <c r="D590" s="159">
        <f t="shared" si="15"/>
        <v>2.1172471608645032E-3</v>
      </c>
      <c r="E590" s="166"/>
      <c r="F590" s="166"/>
      <c r="G590" s="166"/>
      <c r="H590" s="166"/>
      <c r="I590" s="166"/>
      <c r="J590" s="145"/>
      <c r="K590" s="146"/>
      <c r="L590" s="146"/>
      <c r="M590" s="146"/>
      <c r="N590" s="169"/>
      <c r="R590" s="67"/>
      <c r="S590" s="67"/>
      <c r="T590" s="67"/>
      <c r="U590" s="67"/>
      <c r="V590" s="67"/>
      <c r="W590" s="67"/>
      <c r="X590" s="67"/>
      <c r="Y590" s="67"/>
      <c r="Z590" s="67"/>
      <c r="AA590" s="67"/>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7"/>
      <c r="BC590" s="67"/>
      <c r="BD590" s="67"/>
      <c r="BE590" s="67"/>
      <c r="BF590" s="67"/>
      <c r="BG590" s="67"/>
      <c r="BH590" s="67"/>
      <c r="BI590" s="67"/>
      <c r="BJ590" s="67"/>
      <c r="BK590" s="67"/>
      <c r="BL590" s="67"/>
      <c r="BM590" s="67"/>
      <c r="BN590" s="67"/>
      <c r="BO590" s="67"/>
      <c r="BP590" s="67"/>
    </row>
    <row r="591" spans="1:68" s="66" customFormat="1">
      <c r="B591" s="157" t="s">
        <v>75</v>
      </c>
      <c r="C591" s="158">
        <v>1936</v>
      </c>
      <c r="D591" s="159">
        <f t="shared" si="15"/>
        <v>1.2807344175702791E-4</v>
      </c>
      <c r="E591" s="166"/>
      <c r="F591" s="166"/>
      <c r="G591" s="166"/>
      <c r="H591" s="166"/>
      <c r="I591" s="166"/>
      <c r="J591" s="148"/>
      <c r="K591" s="149"/>
      <c r="L591" s="149"/>
      <c r="M591" s="149"/>
      <c r="N591" s="150"/>
      <c r="R591" s="67"/>
      <c r="S591" s="67"/>
      <c r="T591" s="67"/>
      <c r="U591" s="67"/>
      <c r="V591" s="67"/>
      <c r="W591" s="67"/>
      <c r="X591" s="67"/>
      <c r="Y591" s="67"/>
      <c r="Z591" s="67"/>
      <c r="AA591" s="67"/>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7"/>
      <c r="BJ591" s="67"/>
      <c r="BK591" s="67"/>
      <c r="BL591" s="67"/>
      <c r="BM591" s="67"/>
      <c r="BN591" s="67"/>
      <c r="BO591" s="67"/>
      <c r="BP591" s="67"/>
    </row>
    <row r="592" spans="1:68" s="66" customFormat="1">
      <c r="A592" s="66" t="s">
        <v>252</v>
      </c>
      <c r="B592" s="157" t="s">
        <v>253</v>
      </c>
      <c r="C592" s="158">
        <v>176764</v>
      </c>
      <c r="D592" s="159">
        <f t="shared" si="15"/>
        <v>1.1693581538604999E-2</v>
      </c>
      <c r="E592" s="166"/>
      <c r="F592" s="166"/>
      <c r="G592" s="166"/>
      <c r="H592" s="166"/>
      <c r="I592" s="166"/>
      <c r="J592" s="145"/>
      <c r="K592" s="146" t="s">
        <v>254</v>
      </c>
      <c r="L592" s="146"/>
      <c r="M592" s="146"/>
      <c r="N592" s="170">
        <v>-606</v>
      </c>
      <c r="R592" s="67"/>
      <c r="S592" s="67"/>
      <c r="T592" s="67"/>
      <c r="U592" s="67"/>
      <c r="V592" s="67"/>
      <c r="W592" s="67"/>
      <c r="X592" s="67"/>
      <c r="Y592" s="67"/>
      <c r="Z592" s="67"/>
      <c r="AA592" s="67"/>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7"/>
      <c r="BC592" s="67"/>
      <c r="BD592" s="67"/>
      <c r="BE592" s="67"/>
      <c r="BF592" s="67"/>
      <c r="BG592" s="67"/>
      <c r="BH592" s="67"/>
      <c r="BI592" s="67"/>
      <c r="BJ592" s="67"/>
      <c r="BK592" s="67"/>
      <c r="BL592" s="67"/>
      <c r="BM592" s="67"/>
      <c r="BN592" s="67"/>
      <c r="BO592" s="67"/>
      <c r="BP592" s="67"/>
    </row>
    <row r="593" spans="1:68" s="66" customFormat="1" ht="15" thickBot="1">
      <c r="B593" s="171"/>
      <c r="C593" s="171">
        <f>SUM(C586:C592)</f>
        <v>15116326.800000001</v>
      </c>
      <c r="D593" s="172"/>
      <c r="E593" s="166"/>
      <c r="F593" s="166"/>
      <c r="G593" s="145" t="s">
        <v>255</v>
      </c>
      <c r="H593" s="146"/>
      <c r="I593" s="146"/>
      <c r="J593" s="146"/>
      <c r="K593" s="146"/>
      <c r="L593" s="146"/>
      <c r="M593" s="169"/>
      <c r="N593" s="166"/>
      <c r="R593" s="67"/>
      <c r="S593" s="67"/>
      <c r="T593" s="67"/>
      <c r="U593" s="67"/>
      <c r="V593" s="67"/>
      <c r="W593" s="67"/>
      <c r="X593" s="67"/>
      <c r="Y593" s="67"/>
      <c r="Z593" s="67"/>
      <c r="AA593" s="67"/>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7"/>
      <c r="BC593" s="67"/>
      <c r="BD593" s="67"/>
      <c r="BE593" s="67"/>
      <c r="BF593" s="67"/>
      <c r="BG593" s="67"/>
      <c r="BH593" s="67"/>
      <c r="BI593" s="67"/>
      <c r="BJ593" s="67"/>
      <c r="BK593" s="67"/>
      <c r="BL593" s="67"/>
      <c r="BM593" s="67"/>
      <c r="BN593" s="67"/>
      <c r="BO593" s="67"/>
      <c r="BP593" s="67"/>
    </row>
    <row r="594" spans="1:68" s="66" customFormat="1" ht="15" thickTop="1">
      <c r="E594" s="166"/>
      <c r="F594" s="166"/>
      <c r="G594" s="167" t="s">
        <v>256</v>
      </c>
      <c r="H594" s="164"/>
      <c r="I594" s="164"/>
      <c r="J594" s="164"/>
      <c r="K594" s="164"/>
      <c r="L594" s="164"/>
      <c r="M594" s="168"/>
      <c r="N594" s="166"/>
      <c r="R594" s="67"/>
      <c r="S594" s="67"/>
      <c r="T594" s="67"/>
      <c r="U594" s="67"/>
      <c r="V594" s="67"/>
      <c r="W594" s="67"/>
      <c r="X594" s="67"/>
      <c r="Y594" s="67"/>
      <c r="Z594" s="67"/>
      <c r="AA594" s="67"/>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7"/>
      <c r="BC594" s="67"/>
      <c r="BD594" s="67"/>
      <c r="BE594" s="67"/>
      <c r="BF594" s="67"/>
      <c r="BG594" s="67"/>
      <c r="BH594" s="67"/>
      <c r="BI594" s="67"/>
      <c r="BJ594" s="67"/>
      <c r="BK594" s="67"/>
      <c r="BL594" s="67"/>
      <c r="BM594" s="67"/>
      <c r="BN594" s="67"/>
      <c r="BO594" s="67"/>
      <c r="BP594" s="67"/>
    </row>
    <row r="595" spans="1:68" s="66" customForma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7"/>
      <c r="BC595" s="67"/>
      <c r="BD595" s="67"/>
      <c r="BE595" s="67"/>
      <c r="BF595" s="67"/>
      <c r="BG595" s="67"/>
      <c r="BH595" s="67"/>
      <c r="BI595" s="67"/>
      <c r="BJ595" s="67"/>
      <c r="BK595" s="67"/>
      <c r="BL595" s="67"/>
      <c r="BM595" s="67"/>
      <c r="BN595" s="67"/>
      <c r="BO595" s="67"/>
      <c r="BP595" s="67"/>
    </row>
    <row r="596" spans="1:68" s="66" customForma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7"/>
      <c r="BC596" s="67"/>
      <c r="BD596" s="67"/>
      <c r="BE596" s="67"/>
      <c r="BF596" s="67"/>
      <c r="BG596" s="67"/>
      <c r="BH596" s="67"/>
      <c r="BI596" s="67"/>
      <c r="BJ596" s="67"/>
      <c r="BK596" s="67"/>
      <c r="BL596" s="67"/>
      <c r="BM596" s="67"/>
      <c r="BN596" s="67"/>
      <c r="BO596" s="67"/>
      <c r="BP596" s="67"/>
    </row>
    <row r="597" spans="1:68" s="66" customForma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7"/>
      <c r="BC597" s="67"/>
      <c r="BD597" s="67"/>
      <c r="BE597" s="67"/>
      <c r="BF597" s="67"/>
      <c r="BG597" s="67"/>
      <c r="BH597" s="67"/>
      <c r="BI597" s="67"/>
      <c r="BJ597" s="67"/>
      <c r="BK597" s="67"/>
      <c r="BL597" s="67"/>
      <c r="BM597" s="67"/>
      <c r="BN597" s="67"/>
      <c r="BO597" s="67"/>
      <c r="BP597" s="67"/>
    </row>
    <row r="598" spans="1:68" s="66" customForma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7"/>
      <c r="BC598" s="67"/>
      <c r="BD598" s="67"/>
      <c r="BE598" s="67"/>
      <c r="BF598" s="67"/>
      <c r="BG598" s="67"/>
      <c r="BH598" s="67"/>
      <c r="BI598" s="67"/>
      <c r="BJ598" s="67"/>
      <c r="BK598" s="67"/>
      <c r="BL598" s="67"/>
      <c r="BM598" s="67"/>
      <c r="BN598" s="67"/>
      <c r="BO598" s="67"/>
      <c r="BP598" s="67"/>
    </row>
    <row r="599" spans="1:68" s="66" customForma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c r="BP599" s="67"/>
    </row>
    <row r="600" spans="1:68" s="66" customForma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7"/>
      <c r="BC600" s="67"/>
      <c r="BD600" s="67"/>
      <c r="BE600" s="67"/>
      <c r="BF600" s="67"/>
      <c r="BG600" s="67"/>
      <c r="BH600" s="67"/>
      <c r="BI600" s="67"/>
      <c r="BJ600" s="67"/>
      <c r="BK600" s="67"/>
      <c r="BL600" s="67"/>
      <c r="BM600" s="67"/>
      <c r="BN600" s="67"/>
      <c r="BO600" s="67"/>
      <c r="BP600" s="67"/>
    </row>
    <row r="601" spans="1:68">
      <c r="A601" s="67"/>
      <c r="B601" s="67"/>
      <c r="C601" s="67"/>
      <c r="D601" s="67"/>
      <c r="E601" s="67"/>
      <c r="F601" s="67"/>
      <c r="G601" s="67"/>
      <c r="H601" s="67"/>
      <c r="I601" s="67"/>
      <c r="J601" s="67"/>
      <c r="K601" s="67"/>
      <c r="L601" s="67"/>
      <c r="M601" s="67"/>
      <c r="N601" s="67"/>
      <c r="O601" s="67"/>
      <c r="P601" s="67"/>
      <c r="Q601" s="67"/>
    </row>
    <row r="602" spans="1:68">
      <c r="A602" s="67"/>
      <c r="B602" s="67"/>
      <c r="C602" s="67"/>
      <c r="D602" s="67"/>
      <c r="E602" s="67"/>
      <c r="F602" s="67"/>
      <c r="G602" s="67"/>
      <c r="H602" s="67"/>
      <c r="I602" s="67"/>
      <c r="J602" s="67"/>
      <c r="K602" s="67"/>
      <c r="L602" s="67"/>
      <c r="M602" s="67"/>
      <c r="N602" s="67"/>
      <c r="O602" s="67"/>
      <c r="P602" s="67"/>
      <c r="Q602" s="67"/>
    </row>
    <row r="603" spans="1:68">
      <c r="A603" s="67"/>
      <c r="B603" s="67"/>
      <c r="C603" s="67"/>
      <c r="D603" s="67"/>
      <c r="E603" s="67"/>
      <c r="F603" s="67"/>
      <c r="G603" s="67"/>
      <c r="H603" s="67"/>
      <c r="I603" s="67"/>
      <c r="J603" s="67"/>
      <c r="K603" s="67"/>
      <c r="L603" s="67"/>
      <c r="M603" s="67"/>
      <c r="N603" s="67"/>
      <c r="O603" s="67"/>
      <c r="P603" s="67"/>
      <c r="Q603" s="67"/>
    </row>
    <row r="604" spans="1:68">
      <c r="A604" s="67"/>
      <c r="B604" s="67"/>
      <c r="C604" s="67"/>
      <c r="D604" s="67"/>
      <c r="E604" s="67"/>
      <c r="F604" s="67"/>
      <c r="G604" s="67"/>
      <c r="H604" s="67"/>
      <c r="I604" s="67"/>
      <c r="J604" s="67"/>
      <c r="K604" s="67"/>
      <c r="L604" s="67"/>
      <c r="M604" s="67"/>
      <c r="N604" s="67"/>
      <c r="O604" s="67"/>
      <c r="P604" s="67"/>
      <c r="Q604" s="67"/>
    </row>
    <row r="605" spans="1:68" s="67" customFormat="1"/>
    <row r="606" spans="1:68" s="67" customFormat="1"/>
    <row r="607" spans="1:68" s="67" customFormat="1"/>
    <row r="608" spans="1:68" s="67" customFormat="1"/>
    <row r="609" s="67" customFormat="1"/>
    <row r="610" s="67" customFormat="1"/>
    <row r="611" s="67" customFormat="1"/>
    <row r="612" s="67" customFormat="1"/>
  </sheetData>
  <mergeCells count="54">
    <mergeCell ref="D72:E72"/>
    <mergeCell ref="G72:N72"/>
    <mergeCell ref="D3:E3"/>
    <mergeCell ref="G3:H3"/>
    <mergeCell ref="J3:K3"/>
    <mergeCell ref="M3:N3"/>
    <mergeCell ref="D4:E4"/>
    <mergeCell ref="G4:N4"/>
    <mergeCell ref="P5:Q5"/>
    <mergeCell ref="D71:E71"/>
    <mergeCell ref="G71:H71"/>
    <mergeCell ref="J71:K71"/>
    <mergeCell ref="M71:N71"/>
    <mergeCell ref="D221:E221"/>
    <mergeCell ref="G221:N221"/>
    <mergeCell ref="P73:Q73"/>
    <mergeCell ref="D147:E147"/>
    <mergeCell ref="G147:H147"/>
    <mergeCell ref="J147:K147"/>
    <mergeCell ref="M147:N147"/>
    <mergeCell ref="D148:E148"/>
    <mergeCell ref="G148:N148"/>
    <mergeCell ref="P149:Q149"/>
    <mergeCell ref="D220:E220"/>
    <mergeCell ref="G220:H220"/>
    <mergeCell ref="J220:K220"/>
    <mergeCell ref="M220:N220"/>
    <mergeCell ref="D371:E371"/>
    <mergeCell ref="G371:N371"/>
    <mergeCell ref="P222:Q222"/>
    <mergeCell ref="D297:E297"/>
    <mergeCell ref="G297:H297"/>
    <mergeCell ref="J297:K297"/>
    <mergeCell ref="M297:N297"/>
    <mergeCell ref="D298:E298"/>
    <mergeCell ref="G298:N298"/>
    <mergeCell ref="P299:Q299"/>
    <mergeCell ref="D370:E370"/>
    <mergeCell ref="G370:H370"/>
    <mergeCell ref="J370:K370"/>
    <mergeCell ref="M370:N370"/>
    <mergeCell ref="P519:Q519"/>
    <mergeCell ref="P372:Q372"/>
    <mergeCell ref="D446:E446"/>
    <mergeCell ref="G446:H446"/>
    <mergeCell ref="J446:K446"/>
    <mergeCell ref="M446:N446"/>
    <mergeCell ref="D447:E447"/>
    <mergeCell ref="G447:N447"/>
    <mergeCell ref="P448:Q448"/>
    <mergeCell ref="D518:E518"/>
    <mergeCell ref="G518:H518"/>
    <mergeCell ref="J518:K518"/>
    <mergeCell ref="M518:N518"/>
  </mergeCells>
  <printOptions horizontalCentered="1" headings="1"/>
  <pageMargins left="0.45" right="0.45" top="0.75" bottom="0.75" header="0" footer="0.3"/>
  <pageSetup scale="60" orientation="portrait" r:id="rId1"/>
  <headerFooter>
    <oddHeader>&amp;R&amp;"-,Bold"&amp;22&amp;KFF0000L 3&amp;14&amp;KFF0000
Source Document: 
A - IESO Report        &amp;  
A1 - IESO Adjustment Report</oddHeader>
    <oddFooter>&amp;L&amp;Z&amp;F
&amp;A</oddFooter>
  </headerFooter>
  <rowBreaks count="7" manualBreakCount="7">
    <brk id="68" max="16383" man="1"/>
    <brk id="144" max="16383" man="1"/>
    <brk id="217" max="16383" man="1"/>
    <brk id="294" max="16383" man="1"/>
    <brk id="367" max="16383" man="1"/>
    <brk id="443" max="16383" man="1"/>
    <brk id="51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3"/>
  <sheetViews>
    <sheetView workbookViewId="0">
      <selection activeCell="K23" sqref="K23"/>
    </sheetView>
  </sheetViews>
  <sheetFormatPr defaultRowHeight="12.75"/>
  <cols>
    <col min="1" max="1" width="12.140625" customWidth="1"/>
    <col min="2" max="2" width="11.7109375" style="1" customWidth="1"/>
    <col min="3" max="3" width="13.42578125" style="62" customWidth="1"/>
  </cols>
  <sheetData>
    <row r="1" spans="1:3">
      <c r="B1" s="62"/>
    </row>
    <row r="2" spans="1:3" ht="25.5">
      <c r="B2" s="274" t="s">
        <v>1</v>
      </c>
      <c r="C2" s="274" t="s">
        <v>2</v>
      </c>
    </row>
    <row r="3" spans="1:3" ht="15">
      <c r="A3" s="291">
        <v>33239</v>
      </c>
      <c r="B3" s="188">
        <v>1091.9000000000001</v>
      </c>
      <c r="C3" s="188">
        <v>0</v>
      </c>
    </row>
    <row r="4" spans="1:3" ht="15">
      <c r="A4" s="291">
        <v>33270</v>
      </c>
      <c r="B4" s="188">
        <v>781.6</v>
      </c>
      <c r="C4" s="188">
        <v>0</v>
      </c>
    </row>
    <row r="5" spans="1:3" ht="15">
      <c r="A5" s="291">
        <v>33298</v>
      </c>
      <c r="B5" s="188">
        <v>716.7</v>
      </c>
      <c r="C5" s="188">
        <v>0</v>
      </c>
    </row>
    <row r="6" spans="1:3" ht="15">
      <c r="A6" s="291">
        <v>33329</v>
      </c>
      <c r="B6" s="188">
        <v>397.2</v>
      </c>
      <c r="C6" s="188">
        <v>0</v>
      </c>
    </row>
    <row r="7" spans="1:3" ht="15">
      <c r="A7" s="291">
        <v>33359</v>
      </c>
      <c r="B7" s="188">
        <v>220.5</v>
      </c>
      <c r="C7" s="188">
        <v>5</v>
      </c>
    </row>
    <row r="8" spans="1:3" ht="15">
      <c r="A8" s="291">
        <v>33390</v>
      </c>
      <c r="B8" s="188">
        <v>70.099999999999994</v>
      </c>
      <c r="C8" s="188">
        <v>11.6</v>
      </c>
    </row>
    <row r="9" spans="1:3" ht="15">
      <c r="A9" s="291">
        <v>33420</v>
      </c>
      <c r="B9" s="188">
        <v>51</v>
      </c>
      <c r="C9" s="188">
        <v>33.200000000000003</v>
      </c>
    </row>
    <row r="10" spans="1:3" ht="15">
      <c r="A10" s="291">
        <v>33451</v>
      </c>
      <c r="B10" s="188">
        <v>48.1</v>
      </c>
      <c r="C10" s="188">
        <v>57.5</v>
      </c>
    </row>
    <row r="11" spans="1:3" ht="15">
      <c r="A11" s="291">
        <v>33482</v>
      </c>
      <c r="B11" s="188">
        <v>235.8</v>
      </c>
      <c r="C11" s="188">
        <v>1.8</v>
      </c>
    </row>
    <row r="12" spans="1:3" ht="15">
      <c r="A12" s="291">
        <v>33512</v>
      </c>
      <c r="B12" s="188">
        <v>454.1</v>
      </c>
      <c r="C12" s="188">
        <v>0</v>
      </c>
    </row>
    <row r="13" spans="1:3" ht="15">
      <c r="A13" s="291">
        <v>33543</v>
      </c>
      <c r="B13" s="188">
        <v>702</v>
      </c>
      <c r="C13" s="188">
        <v>0</v>
      </c>
    </row>
    <row r="14" spans="1:3" ht="15">
      <c r="A14" s="291">
        <v>33573</v>
      </c>
      <c r="B14" s="188">
        <v>875.9</v>
      </c>
      <c r="C14" s="188">
        <v>0</v>
      </c>
    </row>
    <row r="15" spans="1:3" ht="15">
      <c r="A15" s="291">
        <v>33604</v>
      </c>
      <c r="B15" s="188">
        <v>910.1</v>
      </c>
      <c r="C15" s="188">
        <v>0</v>
      </c>
    </row>
    <row r="16" spans="1:3" ht="15">
      <c r="A16" s="291">
        <v>33635</v>
      </c>
      <c r="B16" s="188">
        <v>795.7</v>
      </c>
      <c r="C16" s="188">
        <v>0</v>
      </c>
    </row>
    <row r="17" spans="1:3" ht="15">
      <c r="A17" s="291">
        <v>33664</v>
      </c>
      <c r="B17" s="188">
        <v>730.7</v>
      </c>
      <c r="C17" s="188">
        <v>0</v>
      </c>
    </row>
    <row r="18" spans="1:3" ht="15">
      <c r="A18" s="291">
        <v>33695</v>
      </c>
      <c r="B18" s="188">
        <v>505.5</v>
      </c>
      <c r="C18" s="188">
        <v>0</v>
      </c>
    </row>
    <row r="19" spans="1:3" ht="15">
      <c r="A19" s="291">
        <v>33725</v>
      </c>
      <c r="B19" s="188">
        <v>247.9</v>
      </c>
      <c r="C19" s="188">
        <v>1.1000000000000001</v>
      </c>
    </row>
    <row r="20" spans="1:3" ht="15">
      <c r="A20" s="291">
        <v>33756</v>
      </c>
      <c r="B20" s="188">
        <v>175.5</v>
      </c>
      <c r="C20" s="188">
        <v>3.5</v>
      </c>
    </row>
    <row r="21" spans="1:3" ht="15">
      <c r="A21" s="291">
        <v>33786</v>
      </c>
      <c r="B21" s="188">
        <v>114.6</v>
      </c>
      <c r="C21" s="188">
        <v>0.2</v>
      </c>
    </row>
    <row r="22" spans="1:3" ht="15">
      <c r="A22" s="291">
        <v>33817</v>
      </c>
      <c r="B22" s="188">
        <v>105.6</v>
      </c>
      <c r="C22" s="188">
        <v>5.8</v>
      </c>
    </row>
    <row r="23" spans="1:3" ht="15">
      <c r="A23" s="291">
        <v>33848</v>
      </c>
      <c r="B23" s="188">
        <v>200.2</v>
      </c>
      <c r="C23" s="188">
        <v>1.4</v>
      </c>
    </row>
    <row r="24" spans="1:3" ht="15">
      <c r="A24" s="291">
        <v>33878</v>
      </c>
      <c r="B24" s="188">
        <v>427.4</v>
      </c>
      <c r="C24" s="188">
        <v>0</v>
      </c>
    </row>
    <row r="25" spans="1:3" ht="15">
      <c r="A25" s="291">
        <v>33909</v>
      </c>
      <c r="B25" s="188">
        <v>635.29999999999995</v>
      </c>
      <c r="C25" s="188">
        <v>0</v>
      </c>
    </row>
    <row r="26" spans="1:3" ht="15">
      <c r="A26" s="291">
        <v>33939</v>
      </c>
      <c r="B26" s="188">
        <v>781.6</v>
      </c>
      <c r="C26" s="188">
        <v>0</v>
      </c>
    </row>
    <row r="27" spans="1:3" ht="15">
      <c r="A27" s="291">
        <v>33970</v>
      </c>
      <c r="B27" s="188">
        <v>718.3</v>
      </c>
      <c r="C27" s="188">
        <v>0</v>
      </c>
    </row>
    <row r="28" spans="1:3" ht="15">
      <c r="A28" s="291">
        <v>34001</v>
      </c>
      <c r="B28" s="188">
        <v>684</v>
      </c>
      <c r="C28" s="188">
        <v>0</v>
      </c>
    </row>
    <row r="29" spans="1:3" ht="15">
      <c r="A29" s="291">
        <v>34029</v>
      </c>
      <c r="B29" s="188">
        <v>552.70000000000005</v>
      </c>
      <c r="C29" s="188">
        <v>0</v>
      </c>
    </row>
    <row r="30" spans="1:3" ht="15">
      <c r="A30" s="291">
        <v>34060</v>
      </c>
      <c r="B30" s="188">
        <v>480.7</v>
      </c>
      <c r="C30" s="188">
        <v>0</v>
      </c>
    </row>
    <row r="31" spans="1:3" ht="15">
      <c r="A31" s="291">
        <v>34090</v>
      </c>
      <c r="B31" s="188">
        <v>278.7</v>
      </c>
      <c r="C31" s="188">
        <v>0</v>
      </c>
    </row>
    <row r="32" spans="1:3" ht="15">
      <c r="A32" s="291">
        <v>34121</v>
      </c>
      <c r="B32" s="188">
        <v>126</v>
      </c>
      <c r="C32" s="188">
        <v>2.1</v>
      </c>
    </row>
    <row r="33" spans="1:3" ht="15">
      <c r="A33" s="291">
        <v>34151</v>
      </c>
      <c r="B33" s="188">
        <v>43.7</v>
      </c>
      <c r="C33" s="188">
        <v>6.8</v>
      </c>
    </row>
    <row r="34" spans="1:3" ht="15">
      <c r="A34" s="291">
        <v>34182</v>
      </c>
      <c r="B34" s="188">
        <v>38.9</v>
      </c>
      <c r="C34" s="188">
        <v>32.4</v>
      </c>
    </row>
    <row r="35" spans="1:3" ht="15">
      <c r="A35" s="291">
        <v>34213</v>
      </c>
      <c r="B35" s="188">
        <v>246.1</v>
      </c>
      <c r="C35" s="188">
        <v>0</v>
      </c>
    </row>
    <row r="36" spans="1:3" ht="15">
      <c r="A36" s="291">
        <v>34243</v>
      </c>
      <c r="B36" s="188">
        <v>416.3</v>
      </c>
      <c r="C36" s="188">
        <v>0</v>
      </c>
    </row>
    <row r="37" spans="1:3" ht="15">
      <c r="A37" s="291">
        <v>34274</v>
      </c>
      <c r="B37" s="188">
        <v>598.9</v>
      </c>
      <c r="C37" s="188">
        <v>0</v>
      </c>
    </row>
    <row r="38" spans="1:3" ht="15">
      <c r="A38" s="291">
        <v>34304</v>
      </c>
      <c r="B38" s="188">
        <v>640.1</v>
      </c>
      <c r="C38" s="188">
        <v>0</v>
      </c>
    </row>
    <row r="39" spans="1:3" ht="15">
      <c r="A39" s="291">
        <v>34335</v>
      </c>
      <c r="B39" s="188">
        <v>1203.5</v>
      </c>
      <c r="C39" s="188">
        <v>0</v>
      </c>
    </row>
    <row r="40" spans="1:3" ht="15">
      <c r="A40" s="291">
        <v>34366</v>
      </c>
      <c r="B40" s="188">
        <v>923.9</v>
      </c>
      <c r="C40" s="188">
        <v>0</v>
      </c>
    </row>
    <row r="41" spans="1:3" ht="15">
      <c r="A41" s="291">
        <v>34394</v>
      </c>
      <c r="B41" s="188">
        <v>638.5</v>
      </c>
      <c r="C41" s="188">
        <v>0</v>
      </c>
    </row>
    <row r="42" spans="1:3" ht="15">
      <c r="A42" s="291">
        <v>34425</v>
      </c>
      <c r="B42" s="188">
        <v>493.3</v>
      </c>
      <c r="C42" s="188">
        <v>0</v>
      </c>
    </row>
    <row r="43" spans="1:3" ht="15">
      <c r="A43" s="291">
        <v>34455</v>
      </c>
      <c r="B43" s="188">
        <v>283.39999999999998</v>
      </c>
      <c r="C43" s="188">
        <v>0</v>
      </c>
    </row>
    <row r="44" spans="1:3" ht="15">
      <c r="A44" s="291">
        <v>34486</v>
      </c>
      <c r="B44" s="188">
        <v>89.8</v>
      </c>
      <c r="C44" s="188">
        <v>11.6</v>
      </c>
    </row>
    <row r="45" spans="1:3" ht="15">
      <c r="A45" s="291">
        <v>34516</v>
      </c>
      <c r="B45" s="188">
        <v>66.599999999999994</v>
      </c>
      <c r="C45" s="188">
        <v>10.9</v>
      </c>
    </row>
    <row r="46" spans="1:3" ht="15">
      <c r="A46" s="291">
        <v>34547</v>
      </c>
      <c r="B46" s="188">
        <v>95.3</v>
      </c>
      <c r="C46" s="188">
        <v>9.1999999999999993</v>
      </c>
    </row>
    <row r="47" spans="1:3" ht="15">
      <c r="A47" s="291">
        <v>34578</v>
      </c>
      <c r="B47" s="188">
        <v>137.80000000000001</v>
      </c>
      <c r="C47" s="188">
        <v>1.2</v>
      </c>
    </row>
    <row r="48" spans="1:3" ht="15">
      <c r="A48" s="291">
        <v>34608</v>
      </c>
      <c r="B48" s="188">
        <v>321.39999999999998</v>
      </c>
      <c r="C48" s="188">
        <v>0</v>
      </c>
    </row>
    <row r="49" spans="1:3" ht="15">
      <c r="A49" s="291">
        <v>34639</v>
      </c>
      <c r="B49" s="188">
        <v>553.4</v>
      </c>
      <c r="C49" s="188">
        <v>0</v>
      </c>
    </row>
    <row r="50" spans="1:3" ht="15">
      <c r="A50" s="291">
        <v>34669</v>
      </c>
      <c r="B50" s="188">
        <v>761.8</v>
      </c>
      <c r="C50" s="188">
        <v>0</v>
      </c>
    </row>
    <row r="51" spans="1:3" ht="15">
      <c r="A51" s="291">
        <v>34700</v>
      </c>
      <c r="B51" s="188">
        <v>913.3</v>
      </c>
      <c r="C51" s="188">
        <v>0</v>
      </c>
    </row>
    <row r="52" spans="1:3" ht="15">
      <c r="A52" s="291">
        <v>34731</v>
      </c>
      <c r="B52" s="188">
        <v>874.6</v>
      </c>
      <c r="C52" s="188">
        <v>0</v>
      </c>
    </row>
    <row r="53" spans="1:3" ht="15">
      <c r="A53" s="291">
        <v>34759</v>
      </c>
      <c r="B53" s="188">
        <v>696.5</v>
      </c>
      <c r="C53" s="188">
        <v>0</v>
      </c>
    </row>
    <row r="54" spans="1:3" ht="15">
      <c r="A54" s="291">
        <v>34790</v>
      </c>
      <c r="B54" s="188">
        <v>524.1</v>
      </c>
      <c r="C54" s="188">
        <v>0</v>
      </c>
    </row>
    <row r="55" spans="1:3" ht="15">
      <c r="A55" s="291">
        <v>34820</v>
      </c>
      <c r="B55" s="188">
        <v>256.89999999999998</v>
      </c>
      <c r="C55" s="188">
        <v>10.7</v>
      </c>
    </row>
    <row r="56" spans="1:3" ht="15">
      <c r="A56" s="291">
        <v>34851</v>
      </c>
      <c r="B56" s="188">
        <v>74.7</v>
      </c>
      <c r="C56" s="188">
        <v>24.5</v>
      </c>
    </row>
    <row r="57" spans="1:3" ht="15">
      <c r="A57" s="291">
        <v>34881</v>
      </c>
      <c r="B57" s="188">
        <v>49.9</v>
      </c>
      <c r="C57" s="188">
        <v>15.9</v>
      </c>
    </row>
    <row r="58" spans="1:3" ht="15">
      <c r="A58" s="291">
        <v>34912</v>
      </c>
      <c r="B58" s="188">
        <v>38.6</v>
      </c>
      <c r="C58" s="188">
        <v>33.6</v>
      </c>
    </row>
    <row r="59" spans="1:3" ht="15">
      <c r="A59" s="291">
        <v>34943</v>
      </c>
      <c r="B59" s="188">
        <v>229.4</v>
      </c>
      <c r="C59" s="188">
        <v>9.8000000000000007</v>
      </c>
    </row>
    <row r="60" spans="1:3" ht="15">
      <c r="A60" s="291">
        <v>34973</v>
      </c>
      <c r="B60" s="188">
        <v>397</v>
      </c>
      <c r="C60" s="188">
        <v>0</v>
      </c>
    </row>
    <row r="61" spans="1:3" ht="15">
      <c r="A61" s="291">
        <v>35004</v>
      </c>
      <c r="B61" s="188">
        <v>804.2</v>
      </c>
      <c r="C61" s="188">
        <v>0</v>
      </c>
    </row>
    <row r="62" spans="1:3" ht="15">
      <c r="A62" s="291">
        <v>35034</v>
      </c>
      <c r="B62" s="188">
        <v>958.9</v>
      </c>
      <c r="C62" s="188">
        <v>0</v>
      </c>
    </row>
    <row r="63" spans="1:3" ht="15">
      <c r="A63" s="291">
        <v>35065</v>
      </c>
      <c r="B63" s="37">
        <v>1139.4000000000001</v>
      </c>
      <c r="C63" s="37">
        <v>0</v>
      </c>
    </row>
    <row r="64" spans="1:3" ht="15">
      <c r="A64" s="291">
        <v>35096</v>
      </c>
      <c r="B64" s="37">
        <v>925.8</v>
      </c>
      <c r="C64" s="37">
        <v>0</v>
      </c>
    </row>
    <row r="65" spans="1:3" ht="15">
      <c r="A65" s="291">
        <v>35125</v>
      </c>
      <c r="B65" s="37">
        <v>855.9</v>
      </c>
      <c r="C65" s="37">
        <v>0</v>
      </c>
    </row>
    <row r="66" spans="1:3" ht="15">
      <c r="A66" s="291">
        <v>35156</v>
      </c>
      <c r="B66" s="37">
        <v>550.4</v>
      </c>
      <c r="C66" s="37">
        <v>0</v>
      </c>
    </row>
    <row r="67" spans="1:3" ht="15">
      <c r="A67" s="291">
        <v>35186</v>
      </c>
      <c r="B67" s="37">
        <v>325.89999999999998</v>
      </c>
      <c r="C67" s="37">
        <v>0</v>
      </c>
    </row>
    <row r="68" spans="1:3" ht="15">
      <c r="A68" s="291">
        <v>35217</v>
      </c>
      <c r="B68" s="37">
        <v>106.8</v>
      </c>
      <c r="C68" s="37">
        <v>12.4</v>
      </c>
    </row>
    <row r="69" spans="1:3" ht="15">
      <c r="A69" s="291">
        <v>35247</v>
      </c>
      <c r="B69" s="37">
        <v>60.4</v>
      </c>
      <c r="C69" s="37">
        <v>13</v>
      </c>
    </row>
    <row r="70" spans="1:3" ht="15">
      <c r="A70" s="291">
        <v>35278</v>
      </c>
      <c r="B70" s="37">
        <v>38.200000000000003</v>
      </c>
      <c r="C70" s="37">
        <v>16.600000000000001</v>
      </c>
    </row>
    <row r="71" spans="1:3" ht="15">
      <c r="A71" s="291">
        <v>35309</v>
      </c>
      <c r="B71" s="37">
        <v>164.2</v>
      </c>
      <c r="C71" s="37">
        <v>8.6999999999999993</v>
      </c>
    </row>
    <row r="72" spans="1:3" ht="15">
      <c r="A72" s="291">
        <v>35339</v>
      </c>
      <c r="B72" s="37">
        <v>384.1</v>
      </c>
      <c r="C72" s="37">
        <v>0</v>
      </c>
    </row>
    <row r="73" spans="1:3" ht="15">
      <c r="A73" s="291">
        <v>35370</v>
      </c>
      <c r="B73" s="37">
        <v>680.8</v>
      </c>
      <c r="C73" s="37">
        <v>0</v>
      </c>
    </row>
    <row r="74" spans="1:3" ht="15">
      <c r="A74" s="291">
        <v>35400</v>
      </c>
      <c r="B74" s="37">
        <v>862.4</v>
      </c>
      <c r="C74" s="37">
        <v>0</v>
      </c>
    </row>
    <row r="75" spans="1:3" ht="15">
      <c r="A75" s="291">
        <v>35431</v>
      </c>
      <c r="B75" s="37">
        <v>992.7</v>
      </c>
      <c r="C75" s="37">
        <v>0</v>
      </c>
    </row>
    <row r="76" spans="1:3" ht="15">
      <c r="A76" s="291">
        <v>35462</v>
      </c>
      <c r="B76" s="37">
        <v>815</v>
      </c>
      <c r="C76" s="37">
        <v>0</v>
      </c>
    </row>
    <row r="77" spans="1:3" ht="15">
      <c r="A77" s="291">
        <v>35490</v>
      </c>
      <c r="B77" s="37">
        <v>514.4</v>
      </c>
      <c r="C77" s="37">
        <v>0</v>
      </c>
    </row>
    <row r="78" spans="1:3" ht="15">
      <c r="A78" s="291">
        <v>35521</v>
      </c>
      <c r="B78" s="37">
        <v>488.5</v>
      </c>
      <c r="C78" s="37">
        <v>0</v>
      </c>
    </row>
    <row r="79" spans="1:3" ht="15">
      <c r="A79" s="291">
        <v>35551</v>
      </c>
      <c r="B79" s="37">
        <v>346.3</v>
      </c>
      <c r="C79" s="37">
        <v>0</v>
      </c>
    </row>
    <row r="80" spans="1:3" ht="15">
      <c r="A80" s="291">
        <v>35582</v>
      </c>
      <c r="B80" s="37">
        <v>75.599999999999994</v>
      </c>
      <c r="C80" s="37">
        <v>15.7</v>
      </c>
    </row>
    <row r="81" spans="1:3" ht="15">
      <c r="A81" s="291">
        <v>35612</v>
      </c>
      <c r="B81" s="37">
        <v>41.4</v>
      </c>
      <c r="C81" s="37">
        <v>28.2</v>
      </c>
    </row>
    <row r="82" spans="1:3" ht="15">
      <c r="A82" s="291">
        <v>35643</v>
      </c>
      <c r="B82" s="37">
        <v>94.4</v>
      </c>
      <c r="C82" s="37">
        <v>18.100000000000001</v>
      </c>
    </row>
    <row r="83" spans="1:3" ht="15">
      <c r="A83" s="291">
        <v>35674</v>
      </c>
      <c r="B83" s="37">
        <v>149.4</v>
      </c>
      <c r="C83" s="37">
        <v>0</v>
      </c>
    </row>
    <row r="84" spans="1:3" ht="15">
      <c r="A84" s="291">
        <v>35704</v>
      </c>
      <c r="B84" s="37">
        <v>406.8</v>
      </c>
      <c r="C84" s="37">
        <v>0</v>
      </c>
    </row>
    <row r="85" spans="1:3" ht="15">
      <c r="A85" s="291">
        <v>35735</v>
      </c>
      <c r="B85" s="37">
        <v>613.6</v>
      </c>
      <c r="C85" s="37">
        <v>0</v>
      </c>
    </row>
    <row r="86" spans="1:3" ht="15">
      <c r="A86" s="291">
        <v>35765</v>
      </c>
      <c r="B86" s="37">
        <v>679.4</v>
      </c>
      <c r="C86" s="37">
        <v>0</v>
      </c>
    </row>
    <row r="87" spans="1:3" ht="15">
      <c r="A87" s="291">
        <v>35796</v>
      </c>
      <c r="B87" s="37">
        <v>808.1</v>
      </c>
      <c r="C87" s="37">
        <v>0</v>
      </c>
    </row>
    <row r="88" spans="1:3" ht="15">
      <c r="A88" s="291">
        <v>35827</v>
      </c>
      <c r="B88" s="37">
        <v>594.5</v>
      </c>
      <c r="C88" s="37">
        <v>0</v>
      </c>
    </row>
    <row r="89" spans="1:3" ht="15">
      <c r="A89" s="291">
        <v>35855</v>
      </c>
      <c r="B89" s="37">
        <v>652.1</v>
      </c>
      <c r="C89" s="37">
        <v>0</v>
      </c>
    </row>
    <row r="90" spans="1:3" ht="15">
      <c r="A90" s="291">
        <v>35886</v>
      </c>
      <c r="B90" s="37">
        <v>322.89999999999998</v>
      </c>
      <c r="C90" s="37">
        <v>0</v>
      </c>
    </row>
    <row r="91" spans="1:3" ht="15">
      <c r="A91" s="291">
        <v>35916</v>
      </c>
      <c r="B91" s="37">
        <v>202.8</v>
      </c>
      <c r="C91" s="37">
        <v>1.3</v>
      </c>
    </row>
    <row r="92" spans="1:3" ht="15">
      <c r="A92" s="291">
        <v>35947</v>
      </c>
      <c r="B92" s="37">
        <v>108.2</v>
      </c>
      <c r="C92" s="37">
        <v>10.8</v>
      </c>
    </row>
    <row r="93" spans="1:3" ht="15">
      <c r="A93" s="291">
        <v>35977</v>
      </c>
      <c r="B93" s="37">
        <v>23.4</v>
      </c>
      <c r="C93" s="37">
        <v>36</v>
      </c>
    </row>
    <row r="94" spans="1:3" ht="15">
      <c r="A94" s="291">
        <v>36008</v>
      </c>
      <c r="B94" s="37">
        <v>34.299999999999997</v>
      </c>
      <c r="C94" s="37">
        <v>36.700000000000003</v>
      </c>
    </row>
    <row r="95" spans="1:3" ht="15">
      <c r="A95" s="291">
        <v>36039</v>
      </c>
      <c r="B95" s="37">
        <v>122.5</v>
      </c>
      <c r="C95" s="37">
        <v>7.3</v>
      </c>
    </row>
    <row r="96" spans="1:3" ht="15">
      <c r="A96" s="291">
        <v>36069</v>
      </c>
      <c r="B96" s="37">
        <v>328.1</v>
      </c>
      <c r="C96" s="37">
        <v>0</v>
      </c>
    </row>
    <row r="97" spans="1:3" ht="15">
      <c r="A97" s="291">
        <v>36100</v>
      </c>
      <c r="B97" s="37">
        <v>574.9</v>
      </c>
      <c r="C97" s="37">
        <v>0</v>
      </c>
    </row>
    <row r="98" spans="1:3" ht="15">
      <c r="A98" s="291">
        <v>36130</v>
      </c>
      <c r="B98" s="37">
        <v>848.1</v>
      </c>
      <c r="C98" s="37">
        <v>0</v>
      </c>
    </row>
    <row r="99" spans="1:3" ht="15">
      <c r="A99" s="291">
        <v>36161</v>
      </c>
      <c r="B99" s="37">
        <v>994.7</v>
      </c>
      <c r="C99" s="37">
        <v>0</v>
      </c>
    </row>
    <row r="100" spans="1:3" ht="15">
      <c r="A100" s="291">
        <v>36192</v>
      </c>
      <c r="B100" s="37">
        <v>718.7</v>
      </c>
      <c r="C100" s="37">
        <v>0</v>
      </c>
    </row>
    <row r="101" spans="1:3" ht="15">
      <c r="A101" s="291">
        <v>36220</v>
      </c>
      <c r="B101" s="37">
        <v>710.1</v>
      </c>
      <c r="C101" s="37">
        <v>0</v>
      </c>
    </row>
    <row r="102" spans="1:3" ht="15">
      <c r="A102" s="291">
        <v>36251</v>
      </c>
      <c r="B102" s="37">
        <v>407.7</v>
      </c>
      <c r="C102" s="37">
        <v>0</v>
      </c>
    </row>
    <row r="103" spans="1:3" ht="15">
      <c r="A103" s="291">
        <v>36281</v>
      </c>
      <c r="B103" s="37">
        <v>224.7</v>
      </c>
      <c r="C103" s="37">
        <v>2.6</v>
      </c>
    </row>
    <row r="104" spans="1:3" ht="15">
      <c r="A104" s="291">
        <v>36312</v>
      </c>
      <c r="B104" s="37">
        <v>91.9</v>
      </c>
      <c r="C104" s="37">
        <v>11.4</v>
      </c>
    </row>
    <row r="105" spans="1:3" ht="15">
      <c r="A105" s="291">
        <v>36342</v>
      </c>
      <c r="B105" s="37">
        <v>24.2</v>
      </c>
      <c r="C105" s="37">
        <v>59.3</v>
      </c>
    </row>
    <row r="106" spans="1:3" ht="15">
      <c r="A106" s="291">
        <v>36373</v>
      </c>
      <c r="B106" s="37">
        <v>74</v>
      </c>
      <c r="C106" s="37">
        <v>12.2</v>
      </c>
    </row>
    <row r="107" spans="1:3" ht="15">
      <c r="A107" s="291">
        <v>36404</v>
      </c>
      <c r="B107" s="37">
        <v>194</v>
      </c>
      <c r="C107" s="37">
        <v>5.7</v>
      </c>
    </row>
    <row r="108" spans="1:3" ht="15">
      <c r="A108" s="291">
        <v>36434</v>
      </c>
      <c r="B108" s="37">
        <v>423.1</v>
      </c>
      <c r="C108" s="37">
        <v>0</v>
      </c>
    </row>
    <row r="109" spans="1:3" ht="15">
      <c r="A109" s="291">
        <v>36465</v>
      </c>
      <c r="B109" s="37">
        <v>500.7</v>
      </c>
      <c r="C109" s="37">
        <v>0</v>
      </c>
    </row>
    <row r="110" spans="1:3" ht="15">
      <c r="A110" s="291">
        <v>36495</v>
      </c>
      <c r="B110" s="37">
        <v>817.1</v>
      </c>
      <c r="C110" s="37">
        <v>0</v>
      </c>
    </row>
    <row r="111" spans="1:3" ht="15">
      <c r="A111" s="291">
        <v>36526</v>
      </c>
      <c r="B111" s="37">
        <v>963.5</v>
      </c>
      <c r="C111" s="37">
        <v>0</v>
      </c>
    </row>
    <row r="112" spans="1:3" ht="15">
      <c r="A112" s="291">
        <v>36557</v>
      </c>
      <c r="B112" s="37">
        <v>711.5</v>
      </c>
      <c r="C112" s="37">
        <v>0</v>
      </c>
    </row>
    <row r="113" spans="1:3" ht="15">
      <c r="A113" s="291">
        <v>36586</v>
      </c>
      <c r="B113" s="37">
        <v>574.6</v>
      </c>
      <c r="C113" s="37">
        <v>0</v>
      </c>
    </row>
    <row r="114" spans="1:3" ht="15">
      <c r="A114" s="291">
        <v>36617</v>
      </c>
      <c r="B114" s="37">
        <v>485.6</v>
      </c>
      <c r="C114" s="37">
        <v>0</v>
      </c>
    </row>
    <row r="115" spans="1:3" ht="15">
      <c r="A115" s="291">
        <v>36647</v>
      </c>
      <c r="B115" s="37">
        <v>260.5</v>
      </c>
      <c r="C115" s="37">
        <v>0</v>
      </c>
    </row>
    <row r="116" spans="1:3" ht="15">
      <c r="A116" s="291">
        <v>36678</v>
      </c>
      <c r="B116" s="37">
        <v>155.69999999999999</v>
      </c>
      <c r="C116" s="37">
        <v>2.2999999999999998</v>
      </c>
    </row>
    <row r="117" spans="1:3" ht="15">
      <c r="A117" s="291">
        <v>36708</v>
      </c>
      <c r="B117" s="37">
        <v>55.7</v>
      </c>
      <c r="C117" s="37">
        <v>20.8</v>
      </c>
    </row>
    <row r="118" spans="1:3" ht="15">
      <c r="A118" s="291">
        <v>36739</v>
      </c>
      <c r="B118" s="37">
        <v>63.4</v>
      </c>
      <c r="C118" s="37">
        <v>9.8000000000000007</v>
      </c>
    </row>
    <row r="119" spans="1:3" ht="15">
      <c r="A119" s="291">
        <v>36770</v>
      </c>
      <c r="B119" s="37">
        <v>223.3</v>
      </c>
      <c r="C119" s="37">
        <v>0</v>
      </c>
    </row>
    <row r="120" spans="1:3" ht="15">
      <c r="A120" s="291">
        <v>36800</v>
      </c>
      <c r="B120" s="37">
        <v>372.2</v>
      </c>
      <c r="C120" s="37">
        <v>0</v>
      </c>
    </row>
    <row r="121" spans="1:3" ht="15">
      <c r="A121" s="291">
        <v>36831</v>
      </c>
      <c r="B121" s="37">
        <v>561.6</v>
      </c>
      <c r="C121" s="37">
        <v>0</v>
      </c>
    </row>
    <row r="122" spans="1:3" ht="15">
      <c r="A122" s="291">
        <v>36861</v>
      </c>
      <c r="B122" s="37">
        <v>1041.3</v>
      </c>
      <c r="C122" s="37">
        <v>0</v>
      </c>
    </row>
    <row r="123" spans="1:3" ht="15">
      <c r="A123" s="291">
        <v>36892</v>
      </c>
      <c r="B123" s="37">
        <v>898.8</v>
      </c>
      <c r="C123" s="37">
        <v>0</v>
      </c>
    </row>
    <row r="124" spans="1:3" ht="15">
      <c r="A124" s="291">
        <v>36925</v>
      </c>
      <c r="B124" s="37">
        <v>918.9</v>
      </c>
      <c r="C124" s="37">
        <v>0</v>
      </c>
    </row>
    <row r="125" spans="1:3" ht="15">
      <c r="A125" s="291">
        <v>36958</v>
      </c>
      <c r="B125" s="37">
        <v>702.7</v>
      </c>
      <c r="C125" s="37">
        <v>0</v>
      </c>
    </row>
    <row r="126" spans="1:3" ht="15">
      <c r="A126" s="291">
        <v>36991</v>
      </c>
      <c r="B126" s="37">
        <v>430.7</v>
      </c>
      <c r="C126" s="37">
        <v>0</v>
      </c>
    </row>
    <row r="127" spans="1:3" ht="15">
      <c r="A127" s="291">
        <v>37024</v>
      </c>
      <c r="B127" s="37">
        <v>239.9</v>
      </c>
      <c r="C127" s="37">
        <v>0</v>
      </c>
    </row>
    <row r="128" spans="1:3" ht="15">
      <c r="A128" s="291">
        <v>37057</v>
      </c>
      <c r="B128" s="37">
        <v>114</v>
      </c>
      <c r="C128" s="37">
        <v>15.2</v>
      </c>
    </row>
    <row r="129" spans="1:3" ht="15">
      <c r="A129" s="291">
        <v>37090</v>
      </c>
      <c r="B129" s="37">
        <v>67.2</v>
      </c>
      <c r="C129" s="37">
        <v>29.7</v>
      </c>
    </row>
    <row r="130" spans="1:3" ht="15">
      <c r="A130" s="291">
        <v>37123</v>
      </c>
      <c r="B130" s="37">
        <v>40.200000000000003</v>
      </c>
      <c r="C130" s="37">
        <v>56.1</v>
      </c>
    </row>
    <row r="131" spans="1:3" ht="15">
      <c r="A131" s="291">
        <v>37156</v>
      </c>
      <c r="B131" s="37">
        <v>187.7</v>
      </c>
      <c r="C131" s="37">
        <v>6.8</v>
      </c>
    </row>
    <row r="132" spans="1:3" ht="15">
      <c r="A132" s="291">
        <v>37189</v>
      </c>
      <c r="B132" s="37">
        <v>408.6</v>
      </c>
      <c r="C132" s="37">
        <v>0</v>
      </c>
    </row>
    <row r="133" spans="1:3" ht="15">
      <c r="A133" s="291">
        <v>37222</v>
      </c>
      <c r="B133" s="37">
        <v>458.8</v>
      </c>
      <c r="C133" s="37">
        <v>0</v>
      </c>
    </row>
    <row r="134" spans="1:3" ht="15">
      <c r="A134" s="291">
        <v>37255</v>
      </c>
      <c r="B134" s="37">
        <v>716.4</v>
      </c>
      <c r="C134" s="37">
        <v>0</v>
      </c>
    </row>
    <row r="135" spans="1:3" ht="15">
      <c r="A135" s="291">
        <v>37275</v>
      </c>
      <c r="B135" s="37">
        <v>873.9</v>
      </c>
      <c r="C135" s="37">
        <v>0</v>
      </c>
    </row>
    <row r="136" spans="1:3" ht="15">
      <c r="A136" s="291">
        <v>37308</v>
      </c>
      <c r="B136" s="37">
        <v>733</v>
      </c>
      <c r="C136" s="37">
        <v>0</v>
      </c>
    </row>
    <row r="137" spans="1:3" ht="15">
      <c r="A137" s="291">
        <v>37341</v>
      </c>
      <c r="B137" s="37">
        <v>804.7</v>
      </c>
      <c r="C137" s="37">
        <v>0</v>
      </c>
    </row>
    <row r="138" spans="1:3" ht="15">
      <c r="A138" s="291">
        <v>37374</v>
      </c>
      <c r="B138" s="37">
        <v>462.3</v>
      </c>
      <c r="C138" s="37">
        <v>0</v>
      </c>
    </row>
    <row r="139" spans="1:3" ht="15">
      <c r="A139" s="291">
        <v>37407</v>
      </c>
      <c r="B139" s="37">
        <v>335</v>
      </c>
      <c r="C139" s="37">
        <v>0.5</v>
      </c>
    </row>
    <row r="140" spans="1:3" ht="15">
      <c r="A140" s="291">
        <v>37408</v>
      </c>
      <c r="B140" s="37">
        <v>114.4</v>
      </c>
      <c r="C140" s="37">
        <v>14.2</v>
      </c>
    </row>
    <row r="141" spans="1:3" ht="15">
      <c r="A141" s="291">
        <v>37440</v>
      </c>
      <c r="B141" s="37">
        <v>17.899999999999999</v>
      </c>
      <c r="C141" s="37">
        <v>79.3</v>
      </c>
    </row>
    <row r="142" spans="1:3" ht="15">
      <c r="A142" s="291">
        <v>37473</v>
      </c>
      <c r="B142" s="37">
        <v>49.7</v>
      </c>
      <c r="C142" s="37">
        <v>15.5</v>
      </c>
    </row>
    <row r="143" spans="1:3" ht="15">
      <c r="A143" s="291">
        <v>37506</v>
      </c>
      <c r="B143" s="37">
        <v>143.5</v>
      </c>
      <c r="C143" s="37">
        <v>20.9</v>
      </c>
    </row>
    <row r="144" spans="1:3" ht="15">
      <c r="A144" s="291">
        <v>37539</v>
      </c>
      <c r="B144" s="37">
        <v>510.1</v>
      </c>
      <c r="C144" s="37">
        <v>0</v>
      </c>
    </row>
    <row r="145" spans="1:3" ht="15">
      <c r="A145" s="291">
        <v>37572</v>
      </c>
      <c r="B145" s="37">
        <v>668</v>
      </c>
      <c r="C145" s="37">
        <v>0</v>
      </c>
    </row>
    <row r="146" spans="1:3" ht="15">
      <c r="A146" s="291">
        <v>37605</v>
      </c>
      <c r="B146" s="37">
        <v>785.6</v>
      </c>
      <c r="C146" s="37">
        <v>0</v>
      </c>
    </row>
    <row r="147" spans="1:3" ht="15">
      <c r="A147" s="291">
        <v>37622</v>
      </c>
      <c r="B147" s="37">
        <v>907.4</v>
      </c>
      <c r="C147" s="37">
        <v>0</v>
      </c>
    </row>
    <row r="148" spans="1:3" ht="15">
      <c r="A148" s="291">
        <v>37653</v>
      </c>
      <c r="B148" s="37">
        <v>969.6</v>
      </c>
      <c r="C148" s="37">
        <v>0</v>
      </c>
    </row>
    <row r="149" spans="1:3" ht="15">
      <c r="A149" s="291">
        <v>37681</v>
      </c>
      <c r="B149" s="37">
        <v>765.1</v>
      </c>
      <c r="C149" s="37">
        <v>0</v>
      </c>
    </row>
    <row r="150" spans="1:3" ht="15">
      <c r="A150" s="291">
        <v>37712</v>
      </c>
      <c r="B150" s="37">
        <v>499.3</v>
      </c>
      <c r="C150" s="37">
        <v>0</v>
      </c>
    </row>
    <row r="151" spans="1:3" ht="15">
      <c r="A151" s="291">
        <v>37742</v>
      </c>
      <c r="B151" s="37">
        <v>276.39999999999998</v>
      </c>
      <c r="C151" s="37">
        <v>0</v>
      </c>
    </row>
    <row r="152" spans="1:3" ht="15">
      <c r="A152" s="291">
        <v>37773</v>
      </c>
      <c r="B152" s="37">
        <v>129.30000000000001</v>
      </c>
      <c r="C152" s="37">
        <v>0</v>
      </c>
    </row>
    <row r="153" spans="1:3" ht="15">
      <c r="A153" s="291">
        <v>37803</v>
      </c>
      <c r="B153" s="37">
        <v>29.9</v>
      </c>
      <c r="C153" s="37">
        <v>18.2</v>
      </c>
    </row>
    <row r="154" spans="1:3" ht="15">
      <c r="A154" s="291">
        <v>37834</v>
      </c>
      <c r="B154" s="37">
        <v>35.6</v>
      </c>
      <c r="C154" s="37">
        <v>50.9</v>
      </c>
    </row>
    <row r="155" spans="1:3" ht="15">
      <c r="A155" s="291">
        <v>37865</v>
      </c>
      <c r="B155" s="37">
        <v>164</v>
      </c>
      <c r="C155" s="37">
        <v>6.7</v>
      </c>
    </row>
    <row r="156" spans="1:3" ht="15">
      <c r="A156" s="291">
        <v>37895</v>
      </c>
      <c r="B156" s="37">
        <v>414.2</v>
      </c>
      <c r="C156" s="37">
        <v>0</v>
      </c>
    </row>
    <row r="157" spans="1:3" ht="15">
      <c r="A157" s="291">
        <v>37926</v>
      </c>
      <c r="B157" s="37">
        <v>632.9</v>
      </c>
      <c r="C157" s="37">
        <v>0</v>
      </c>
    </row>
    <row r="158" spans="1:3" ht="15">
      <c r="A158" s="291">
        <v>37956</v>
      </c>
      <c r="B158" s="37">
        <v>785.9</v>
      </c>
      <c r="C158" s="37">
        <v>0</v>
      </c>
    </row>
    <row r="159" spans="1:3" ht="15">
      <c r="A159" s="291">
        <v>37987</v>
      </c>
      <c r="B159" s="37">
        <v>1140.5999999999999</v>
      </c>
      <c r="C159" s="37">
        <v>0</v>
      </c>
    </row>
    <row r="160" spans="1:3" ht="15">
      <c r="A160" s="291">
        <v>38018</v>
      </c>
      <c r="B160" s="37">
        <v>778.3</v>
      </c>
      <c r="C160" s="37">
        <v>0</v>
      </c>
    </row>
    <row r="161" spans="1:3" ht="15">
      <c r="A161" s="291">
        <v>38047</v>
      </c>
      <c r="B161" s="37">
        <v>684.3</v>
      </c>
      <c r="C161" s="37">
        <v>0</v>
      </c>
    </row>
    <row r="162" spans="1:3" ht="15">
      <c r="A162" s="291">
        <v>38078</v>
      </c>
      <c r="B162" s="37">
        <v>472.4</v>
      </c>
      <c r="C162" s="37">
        <v>0</v>
      </c>
    </row>
    <row r="163" spans="1:3" ht="15">
      <c r="A163" s="291">
        <v>38108</v>
      </c>
      <c r="B163" s="37">
        <v>333.2</v>
      </c>
      <c r="C163" s="37">
        <v>0</v>
      </c>
    </row>
    <row r="164" spans="1:3" ht="15">
      <c r="A164" s="291">
        <v>38139</v>
      </c>
      <c r="B164" s="37">
        <v>145.80000000000001</v>
      </c>
      <c r="C164" s="37">
        <v>3.1</v>
      </c>
    </row>
    <row r="165" spans="1:3" ht="15">
      <c r="A165" s="291">
        <v>38169</v>
      </c>
      <c r="B165" s="37">
        <v>67.400000000000006</v>
      </c>
      <c r="C165" s="37">
        <v>22</v>
      </c>
    </row>
    <row r="166" spans="1:3" ht="15">
      <c r="A166" s="291">
        <v>38200</v>
      </c>
      <c r="B166" s="37">
        <v>123</v>
      </c>
      <c r="C166" s="37">
        <v>1.8</v>
      </c>
    </row>
    <row r="167" spans="1:3" ht="15">
      <c r="A167" s="291">
        <v>38231</v>
      </c>
      <c r="B167" s="37">
        <v>132.9</v>
      </c>
      <c r="C167" s="37">
        <v>4.7</v>
      </c>
    </row>
    <row r="168" spans="1:3" ht="15">
      <c r="A168" s="291">
        <v>38261</v>
      </c>
      <c r="B168" s="37">
        <v>372.7</v>
      </c>
      <c r="C168" s="37">
        <v>0</v>
      </c>
    </row>
    <row r="169" spans="1:3" ht="15">
      <c r="A169" s="291">
        <v>38292</v>
      </c>
      <c r="B169" s="37">
        <v>554.9</v>
      </c>
      <c r="C169" s="37">
        <v>0</v>
      </c>
    </row>
    <row r="170" spans="1:3" ht="15">
      <c r="A170" s="291">
        <v>38322</v>
      </c>
      <c r="B170" s="37">
        <v>926.6</v>
      </c>
      <c r="C170" s="37">
        <v>0</v>
      </c>
    </row>
    <row r="171" spans="1:3" ht="15">
      <c r="A171" s="291">
        <v>38353</v>
      </c>
      <c r="B171" s="37">
        <v>1084.3</v>
      </c>
      <c r="C171" s="37">
        <v>0</v>
      </c>
    </row>
    <row r="172" spans="1:3" ht="15">
      <c r="A172" s="291">
        <v>38384</v>
      </c>
      <c r="B172" s="37">
        <v>755.9</v>
      </c>
      <c r="C172" s="37">
        <v>0</v>
      </c>
    </row>
    <row r="173" spans="1:3" ht="15">
      <c r="A173" s="291">
        <v>38412</v>
      </c>
      <c r="B173" s="37">
        <v>814.1</v>
      </c>
      <c r="C173" s="37">
        <v>0</v>
      </c>
    </row>
    <row r="174" spans="1:3" ht="15">
      <c r="A174" s="291">
        <v>38443</v>
      </c>
      <c r="B174" s="37">
        <v>408.1</v>
      </c>
      <c r="C174" s="37">
        <v>0</v>
      </c>
    </row>
    <row r="175" spans="1:3" ht="15">
      <c r="A175" s="291">
        <v>38473</v>
      </c>
      <c r="B175" s="37">
        <v>306.2</v>
      </c>
      <c r="C175" s="37">
        <v>0</v>
      </c>
    </row>
    <row r="176" spans="1:3" ht="15">
      <c r="A176" s="291">
        <v>38504</v>
      </c>
      <c r="B176" s="37">
        <v>72.599999999999994</v>
      </c>
      <c r="C176" s="37">
        <v>16.8</v>
      </c>
    </row>
    <row r="177" spans="1:3" ht="15">
      <c r="A177" s="291">
        <v>38534</v>
      </c>
      <c r="B177" s="37">
        <v>45.3</v>
      </c>
      <c r="C177" s="37">
        <v>53</v>
      </c>
    </row>
    <row r="178" spans="1:3" ht="15">
      <c r="A178" s="291">
        <v>38565</v>
      </c>
      <c r="B178" s="37">
        <v>46.3</v>
      </c>
      <c r="C178" s="37">
        <v>29.6</v>
      </c>
    </row>
    <row r="179" spans="1:3" ht="15">
      <c r="A179" s="291">
        <v>38596</v>
      </c>
      <c r="B179" s="37">
        <v>148.80000000000001</v>
      </c>
      <c r="C179" s="37">
        <v>15.2</v>
      </c>
    </row>
    <row r="180" spans="1:3" ht="15">
      <c r="A180" s="291">
        <v>38626</v>
      </c>
      <c r="B180" s="37">
        <v>347.3</v>
      </c>
      <c r="C180" s="37">
        <v>0</v>
      </c>
    </row>
    <row r="181" spans="1:3" ht="15">
      <c r="A181" s="291">
        <v>38657</v>
      </c>
      <c r="B181" s="37">
        <v>606.9</v>
      </c>
      <c r="C181" s="37">
        <v>0</v>
      </c>
    </row>
    <row r="182" spans="1:3" ht="15">
      <c r="A182" s="291">
        <v>38687</v>
      </c>
      <c r="B182" s="37">
        <v>833.4</v>
      </c>
      <c r="C182" s="37">
        <v>0</v>
      </c>
    </row>
    <row r="183" spans="1:3" ht="15">
      <c r="A183" s="291">
        <v>38718</v>
      </c>
      <c r="B183" s="37">
        <f>'Weather Analysis - Thunder Bay'!P8</f>
        <v>797</v>
      </c>
      <c r="C183" s="37">
        <f>'Weather Analysis - Thunder Bay'!P28</f>
        <v>0</v>
      </c>
    </row>
    <row r="184" spans="1:3" ht="15">
      <c r="A184" s="291">
        <v>38749</v>
      </c>
      <c r="B184" s="37">
        <f>'Weather Analysis - Thunder Bay'!P9</f>
        <v>873.4</v>
      </c>
      <c r="C184" s="37">
        <f>'Weather Analysis - Thunder Bay'!P29</f>
        <v>0</v>
      </c>
    </row>
    <row r="185" spans="1:3" ht="15">
      <c r="A185" s="291">
        <v>38777</v>
      </c>
      <c r="B185" s="37">
        <f>'Weather Analysis - Thunder Bay'!P10</f>
        <v>659</v>
      </c>
      <c r="C185" s="37">
        <f>'Weather Analysis - Thunder Bay'!P30</f>
        <v>0</v>
      </c>
    </row>
    <row r="186" spans="1:3" ht="15">
      <c r="A186" s="291">
        <v>38808</v>
      </c>
      <c r="B186" s="37">
        <f>'Weather Analysis - Thunder Bay'!P11</f>
        <v>366</v>
      </c>
      <c r="C186" s="37">
        <f>'Weather Analysis - Thunder Bay'!P31</f>
        <v>0</v>
      </c>
    </row>
    <row r="187" spans="1:3" ht="15">
      <c r="A187" s="291">
        <v>38838</v>
      </c>
      <c r="B187" s="37">
        <f>'Weather Analysis - Thunder Bay'!P12</f>
        <v>241.5</v>
      </c>
      <c r="C187" s="37">
        <f>'Weather Analysis - Thunder Bay'!P32</f>
        <v>2.4</v>
      </c>
    </row>
    <row r="188" spans="1:3" ht="15">
      <c r="A188" s="291">
        <v>38869</v>
      </c>
      <c r="B188" s="37">
        <f>'Weather Analysis - Thunder Bay'!P13</f>
        <v>81.5</v>
      </c>
      <c r="C188" s="37">
        <f>'Weather Analysis - Thunder Bay'!P33</f>
        <v>9.3000000000000007</v>
      </c>
    </row>
    <row r="189" spans="1:3" ht="15">
      <c r="A189" s="291">
        <v>38899</v>
      </c>
      <c r="B189" s="37">
        <f>'Weather Analysis - Thunder Bay'!P14</f>
        <v>23.2</v>
      </c>
      <c r="C189" s="37">
        <f>'Weather Analysis - Thunder Bay'!P34</f>
        <v>70.099999999999994</v>
      </c>
    </row>
    <row r="190" spans="1:3" ht="15">
      <c r="A190" s="291">
        <v>38930</v>
      </c>
      <c r="B190" s="37">
        <f>'Weather Analysis - Thunder Bay'!P15</f>
        <v>57.7</v>
      </c>
      <c r="C190" s="37">
        <f>'Weather Analysis - Thunder Bay'!P35</f>
        <v>31.7</v>
      </c>
    </row>
    <row r="191" spans="1:3" ht="15">
      <c r="A191" s="291">
        <v>38961</v>
      </c>
      <c r="B191" s="37">
        <f>'Weather Analysis - Thunder Bay'!P16</f>
        <v>210.5</v>
      </c>
      <c r="C191" s="37">
        <f>'Weather Analysis - Thunder Bay'!P36</f>
        <v>1.2</v>
      </c>
    </row>
    <row r="192" spans="1:3" ht="15">
      <c r="A192" s="291">
        <v>38991</v>
      </c>
      <c r="B192" s="37">
        <f>'Weather Analysis - Thunder Bay'!P17</f>
        <v>440.9</v>
      </c>
      <c r="C192" s="37">
        <f>'Weather Analysis - Thunder Bay'!P37</f>
        <v>0</v>
      </c>
    </row>
    <row r="193" spans="1:3" ht="15">
      <c r="A193" s="291">
        <v>39022</v>
      </c>
      <c r="B193" s="37">
        <f>'Weather Analysis - Thunder Bay'!P18</f>
        <v>540.4</v>
      </c>
      <c r="C193" s="37">
        <f>'Weather Analysis - Thunder Bay'!P38</f>
        <v>0</v>
      </c>
    </row>
    <row r="194" spans="1:3" ht="15">
      <c r="A194" s="291">
        <v>39052</v>
      </c>
      <c r="B194" s="37">
        <f>'Weather Analysis - Thunder Bay'!P19</f>
        <v>747.4</v>
      </c>
      <c r="C194" s="37">
        <f>'Weather Analysis - Thunder Bay'!P39</f>
        <v>0</v>
      </c>
    </row>
    <row r="195" spans="1:3" ht="15">
      <c r="A195" s="291">
        <v>39083</v>
      </c>
      <c r="B195" s="37">
        <f>'Weather Analysis - Thunder Bay'!Q8</f>
        <v>913.4</v>
      </c>
      <c r="C195" s="37">
        <f>'Weather Analysis - Thunder Bay'!Q28</f>
        <v>0</v>
      </c>
    </row>
    <row r="196" spans="1:3" ht="15">
      <c r="A196" s="291">
        <v>39114</v>
      </c>
      <c r="B196" s="37">
        <f>'Weather Analysis - Thunder Bay'!Q9</f>
        <v>924.7</v>
      </c>
      <c r="C196" s="37">
        <f>'Weather Analysis - Thunder Bay'!Q29</f>
        <v>0</v>
      </c>
    </row>
    <row r="197" spans="1:3" ht="15">
      <c r="A197" s="291">
        <v>39142</v>
      </c>
      <c r="B197" s="37">
        <f>'Weather Analysis - Thunder Bay'!Q10</f>
        <v>665</v>
      </c>
      <c r="C197" s="37">
        <f>'Weather Analysis - Thunder Bay'!Q30</f>
        <v>0</v>
      </c>
    </row>
    <row r="198" spans="1:3" ht="15">
      <c r="A198" s="291">
        <v>39173</v>
      </c>
      <c r="B198" s="37">
        <f>'Weather Analysis - Thunder Bay'!Q11</f>
        <v>474.1</v>
      </c>
      <c r="C198" s="37">
        <f>'Weather Analysis - Thunder Bay'!Q31</f>
        <v>0</v>
      </c>
    </row>
    <row r="199" spans="1:3" ht="15">
      <c r="A199" s="291">
        <v>39203</v>
      </c>
      <c r="B199" s="37">
        <f>'Weather Analysis - Thunder Bay'!Q12</f>
        <v>250.9</v>
      </c>
      <c r="C199" s="37">
        <f>'Weather Analysis - Thunder Bay'!Q32</f>
        <v>0.6</v>
      </c>
    </row>
    <row r="200" spans="1:3" ht="15">
      <c r="A200" s="291">
        <v>39234</v>
      </c>
      <c r="B200" s="37">
        <f>'Weather Analysis - Thunder Bay'!Q13</f>
        <v>96.7</v>
      </c>
      <c r="C200" s="37">
        <f>'Weather Analysis - Thunder Bay'!Q33</f>
        <v>6.5</v>
      </c>
    </row>
    <row r="201" spans="1:3" ht="15">
      <c r="A201" s="291">
        <v>39264</v>
      </c>
      <c r="B201" s="37">
        <f>'Weather Analysis - Thunder Bay'!Q14</f>
        <v>40.200000000000003</v>
      </c>
      <c r="C201" s="37">
        <f>'Weather Analysis - Thunder Bay'!Q34</f>
        <v>51.8</v>
      </c>
    </row>
    <row r="202" spans="1:3" ht="15">
      <c r="A202" s="291">
        <v>39295</v>
      </c>
      <c r="B202" s="37">
        <f>'Weather Analysis - Thunder Bay'!Q15</f>
        <v>62.9</v>
      </c>
      <c r="C202" s="37">
        <f>'Weather Analysis - Thunder Bay'!Q35</f>
        <v>22.1</v>
      </c>
    </row>
    <row r="203" spans="1:3" ht="15">
      <c r="A203" s="291">
        <v>39326</v>
      </c>
      <c r="B203" s="37">
        <f>'Weather Analysis - Thunder Bay'!Q16</f>
        <v>164.7</v>
      </c>
      <c r="C203" s="37">
        <f>'Weather Analysis - Thunder Bay'!Q36</f>
        <v>9.6</v>
      </c>
    </row>
    <row r="204" spans="1:3" ht="15">
      <c r="A204" s="291">
        <v>39356</v>
      </c>
      <c r="B204" s="37">
        <f>'Weather Analysis - Thunder Bay'!Q17</f>
        <v>310.60000000000002</v>
      </c>
      <c r="C204" s="37">
        <f>'Weather Analysis - Thunder Bay'!Q37</f>
        <v>0</v>
      </c>
    </row>
    <row r="205" spans="1:3" ht="15">
      <c r="A205" s="291">
        <v>39387</v>
      </c>
      <c r="B205" s="37">
        <f>'Weather Analysis - Thunder Bay'!Q18</f>
        <v>620.29999999999995</v>
      </c>
      <c r="C205" s="37">
        <f>'Weather Analysis - Thunder Bay'!Q38</f>
        <v>0</v>
      </c>
    </row>
    <row r="206" spans="1:3" ht="15">
      <c r="A206" s="291">
        <v>39417</v>
      </c>
      <c r="B206" s="37">
        <f>'Weather Analysis - Thunder Bay'!Q19</f>
        <v>925.8</v>
      </c>
      <c r="C206" s="37">
        <f>'Weather Analysis - Thunder Bay'!Q39</f>
        <v>0</v>
      </c>
    </row>
    <row r="207" spans="1:3" ht="15">
      <c r="A207" s="291">
        <v>39448</v>
      </c>
      <c r="B207" s="314">
        <f>'Weather Analysis - Thunder Bay'!R8</f>
        <v>934.70000000000016</v>
      </c>
      <c r="C207" s="37">
        <f>'Weather Analysis - Thunder Bay'!R28</f>
        <v>0</v>
      </c>
    </row>
    <row r="208" spans="1:3" ht="15">
      <c r="A208" s="291">
        <v>39479</v>
      </c>
      <c r="B208" s="314">
        <f>'Weather Analysis - Thunder Bay'!R9</f>
        <v>921.50000000000011</v>
      </c>
      <c r="C208" s="37">
        <f>'Weather Analysis - Thunder Bay'!R29</f>
        <v>0</v>
      </c>
    </row>
    <row r="209" spans="1:3" ht="15">
      <c r="A209" s="291">
        <v>39508</v>
      </c>
      <c r="B209" s="314">
        <f>'Weather Analysis - Thunder Bay'!R10</f>
        <v>791.9</v>
      </c>
      <c r="C209" s="37">
        <f>'Weather Analysis - Thunder Bay'!R30</f>
        <v>0</v>
      </c>
    </row>
    <row r="210" spans="1:3" ht="15">
      <c r="A210" s="291">
        <v>39539</v>
      </c>
      <c r="B210" s="314">
        <f>'Weather Analysis - Thunder Bay'!R11</f>
        <v>456.89999999999986</v>
      </c>
      <c r="C210" s="37">
        <f>'Weather Analysis - Thunder Bay'!R31</f>
        <v>0</v>
      </c>
    </row>
    <row r="211" spans="1:3" ht="15">
      <c r="A211" s="291">
        <v>39569</v>
      </c>
      <c r="B211" s="314">
        <f>'Weather Analysis - Thunder Bay'!R12</f>
        <v>327.7</v>
      </c>
      <c r="C211" s="37">
        <f>'Weather Analysis - Thunder Bay'!R32</f>
        <v>0</v>
      </c>
    </row>
    <row r="212" spans="1:3" ht="15">
      <c r="A212" s="291">
        <v>39600</v>
      </c>
      <c r="B212" s="314">
        <f>'Weather Analysis - Thunder Bay'!R13</f>
        <v>109.89999999999998</v>
      </c>
      <c r="C212" s="37">
        <f>'Weather Analysis - Thunder Bay'!R33</f>
        <v>4.5999999999999996</v>
      </c>
    </row>
    <row r="213" spans="1:3" ht="15">
      <c r="A213" s="291">
        <v>39630</v>
      </c>
      <c r="B213" s="314">
        <f>'Weather Analysis - Thunder Bay'!R14</f>
        <v>34.700000000000003</v>
      </c>
      <c r="C213" s="37">
        <f>'Weather Analysis - Thunder Bay'!R34</f>
        <v>22.1</v>
      </c>
    </row>
    <row r="214" spans="1:3" ht="15">
      <c r="A214" s="291">
        <v>39661</v>
      </c>
      <c r="B214" s="314">
        <f>'Weather Analysis - Thunder Bay'!R15</f>
        <v>50.400000000000006</v>
      </c>
      <c r="C214" s="37">
        <f>'Weather Analysis - Thunder Bay'!R35</f>
        <v>22.200000000000003</v>
      </c>
    </row>
    <row r="215" spans="1:3" ht="15">
      <c r="A215" s="291">
        <v>39692</v>
      </c>
      <c r="B215" s="314">
        <f>'Weather Analysis - Thunder Bay'!R16</f>
        <v>193.29999999999998</v>
      </c>
      <c r="C215" s="37">
        <f>'Weather Analysis - Thunder Bay'!R36</f>
        <v>7</v>
      </c>
    </row>
    <row r="216" spans="1:3" ht="15">
      <c r="A216" s="291">
        <v>39722</v>
      </c>
      <c r="B216" s="314">
        <f>'Weather Analysis - Thunder Bay'!R17</f>
        <v>373.09999999999997</v>
      </c>
      <c r="C216" s="37">
        <f>'Weather Analysis - Thunder Bay'!R37</f>
        <v>0</v>
      </c>
    </row>
    <row r="217" spans="1:3" ht="15">
      <c r="A217" s="291">
        <v>39753</v>
      </c>
      <c r="B217" s="314">
        <f>'Weather Analysis - Thunder Bay'!R18</f>
        <v>591.00000000000011</v>
      </c>
      <c r="C217" s="37">
        <f>'Weather Analysis - Thunder Bay'!R38</f>
        <v>0</v>
      </c>
    </row>
    <row r="218" spans="1:3" ht="15">
      <c r="A218" s="291">
        <v>39783</v>
      </c>
      <c r="B218" s="314">
        <f>'Weather Analysis - Thunder Bay'!R19</f>
        <v>1033.7999999999997</v>
      </c>
      <c r="C218" s="37">
        <f>'Weather Analysis - Thunder Bay'!R39</f>
        <v>0</v>
      </c>
    </row>
    <row r="219" spans="1:3" ht="15">
      <c r="A219" s="291">
        <v>39814</v>
      </c>
      <c r="B219" s="314">
        <f>'Weather Analysis - Thunder Bay'!S8</f>
        <v>1093.3999999999996</v>
      </c>
      <c r="C219" s="315">
        <f>'Weather Analysis - Thunder Bay'!S28</f>
        <v>0</v>
      </c>
    </row>
    <row r="220" spans="1:3" ht="15">
      <c r="A220" s="291">
        <v>39845</v>
      </c>
      <c r="B220" s="314">
        <f>'Weather Analysis - Thunder Bay'!S9</f>
        <v>838.90000000000009</v>
      </c>
      <c r="C220" s="315">
        <f>'Weather Analysis - Thunder Bay'!S29</f>
        <v>0</v>
      </c>
    </row>
    <row r="221" spans="1:3" ht="15">
      <c r="A221" s="291">
        <v>39873</v>
      </c>
      <c r="B221" s="314">
        <f>'Weather Analysis - Thunder Bay'!S10</f>
        <v>762.3</v>
      </c>
      <c r="C221" s="315">
        <f>'Weather Analysis - Thunder Bay'!S30</f>
        <v>0</v>
      </c>
    </row>
    <row r="222" spans="1:3" ht="15">
      <c r="A222" s="291">
        <v>39904</v>
      </c>
      <c r="B222" s="314">
        <f>'Weather Analysis - Thunder Bay'!S11</f>
        <v>453.2</v>
      </c>
      <c r="C222" s="315">
        <f>'Weather Analysis - Thunder Bay'!S31</f>
        <v>0</v>
      </c>
    </row>
    <row r="223" spans="1:3" ht="15">
      <c r="A223" s="291">
        <v>39934</v>
      </c>
      <c r="B223" s="314">
        <f>'Weather Analysis - Thunder Bay'!S12</f>
        <v>319.8</v>
      </c>
      <c r="C223" s="315">
        <f>'Weather Analysis - Thunder Bay'!S32</f>
        <v>0</v>
      </c>
    </row>
    <row r="224" spans="1:3" ht="15">
      <c r="A224" s="291">
        <v>39965</v>
      </c>
      <c r="B224" s="314">
        <f>'Weather Analysis - Thunder Bay'!S13</f>
        <v>141.80000000000001</v>
      </c>
      <c r="C224" s="315">
        <f>'Weather Analysis - Thunder Bay'!S33</f>
        <v>13.7</v>
      </c>
    </row>
    <row r="225" spans="1:3" ht="15">
      <c r="A225" s="291">
        <v>39995</v>
      </c>
      <c r="B225" s="314">
        <f>'Weather Analysis - Thunder Bay'!S14</f>
        <v>74.5</v>
      </c>
      <c r="C225" s="315">
        <f>'Weather Analysis - Thunder Bay'!S34</f>
        <v>2</v>
      </c>
    </row>
    <row r="226" spans="1:3" ht="15">
      <c r="A226" s="291">
        <v>40026</v>
      </c>
      <c r="B226" s="314">
        <f>'Weather Analysis - Thunder Bay'!S15</f>
        <v>84.2</v>
      </c>
      <c r="C226" s="315">
        <f>'Weather Analysis - Thunder Bay'!S35</f>
        <v>14.2</v>
      </c>
    </row>
    <row r="227" spans="1:3" ht="15">
      <c r="A227" s="291">
        <v>40057</v>
      </c>
      <c r="B227" s="314">
        <f>'Weather Analysis - Thunder Bay'!S16</f>
        <v>102.8</v>
      </c>
      <c r="C227" s="315">
        <f>'Weather Analysis - Thunder Bay'!S36</f>
        <v>3.5</v>
      </c>
    </row>
    <row r="228" spans="1:3" ht="15">
      <c r="A228" s="291">
        <v>40087</v>
      </c>
      <c r="B228" s="314">
        <f>'Weather Analysis - Thunder Bay'!S17</f>
        <v>451.40000000000003</v>
      </c>
      <c r="C228" s="315">
        <f>'Weather Analysis - Thunder Bay'!S37</f>
        <v>0</v>
      </c>
    </row>
    <row r="229" spans="1:3" ht="15">
      <c r="A229" s="291">
        <v>40118</v>
      </c>
      <c r="B229" s="314">
        <f>'Weather Analysis - Thunder Bay'!S18</f>
        <v>473.49999999999994</v>
      </c>
      <c r="C229" s="315">
        <f>'Weather Analysis - Thunder Bay'!S38</f>
        <v>0</v>
      </c>
    </row>
    <row r="230" spans="1:3" ht="15">
      <c r="A230" s="291">
        <v>40148</v>
      </c>
      <c r="B230" s="314">
        <f>'Weather Analysis - Thunder Bay'!S19</f>
        <v>914.89999999999986</v>
      </c>
      <c r="C230" s="315">
        <f>'Weather Analysis - Thunder Bay'!S39</f>
        <v>0</v>
      </c>
    </row>
    <row r="231" spans="1:3" ht="15">
      <c r="A231" s="291">
        <v>40179</v>
      </c>
      <c r="B231" s="314">
        <f>'Weather Analysis - Thunder Bay'!T8</f>
        <v>900.20000000000027</v>
      </c>
      <c r="C231" s="315">
        <f>'Weather Analysis - Thunder Bay'!T28</f>
        <v>0</v>
      </c>
    </row>
    <row r="232" spans="1:3" ht="15">
      <c r="A232" s="291">
        <v>40210</v>
      </c>
      <c r="B232" s="314">
        <f>'Weather Analysis - Thunder Bay'!T9</f>
        <v>778.39999999999975</v>
      </c>
      <c r="C232" s="315">
        <f>'Weather Analysis - Thunder Bay'!T29</f>
        <v>0</v>
      </c>
    </row>
    <row r="233" spans="1:3" ht="15">
      <c r="A233" s="291">
        <v>40238</v>
      </c>
      <c r="B233" s="314">
        <f>'Weather Analysis - Thunder Bay'!T10</f>
        <v>514.4</v>
      </c>
      <c r="C233" s="315">
        <f>'Weather Analysis - Thunder Bay'!T30</f>
        <v>0</v>
      </c>
    </row>
    <row r="234" spans="1:3" ht="15">
      <c r="A234" s="291">
        <v>40269</v>
      </c>
      <c r="B234" s="314">
        <f>'Weather Analysis - Thunder Bay'!T11</f>
        <v>358.00000000000011</v>
      </c>
      <c r="C234" s="315">
        <f>'Weather Analysis - Thunder Bay'!T31</f>
        <v>0</v>
      </c>
    </row>
    <row r="235" spans="1:3" ht="15">
      <c r="A235" s="291">
        <v>40299</v>
      </c>
      <c r="B235" s="314">
        <f>'Weather Analysis - Thunder Bay'!T12</f>
        <v>212.40000000000003</v>
      </c>
      <c r="C235" s="315">
        <f>'Weather Analysis - Thunder Bay'!T32</f>
        <v>0.6</v>
      </c>
    </row>
    <row r="236" spans="1:3" ht="15">
      <c r="A236" s="291">
        <v>40330</v>
      </c>
      <c r="B236" s="314">
        <f>'Weather Analysis - Thunder Bay'!T13</f>
        <v>106.30000000000003</v>
      </c>
      <c r="C236" s="315">
        <f>'Weather Analysis - Thunder Bay'!T33</f>
        <v>3.0000000000000004</v>
      </c>
    </row>
    <row r="237" spans="1:3" ht="15">
      <c r="A237" s="291">
        <v>40360</v>
      </c>
      <c r="B237" s="314">
        <f>'Weather Analysis - Thunder Bay'!T14</f>
        <v>14.5</v>
      </c>
      <c r="C237" s="315">
        <f>'Weather Analysis - Thunder Bay'!T34</f>
        <v>52</v>
      </c>
    </row>
    <row r="238" spans="1:3" ht="15">
      <c r="A238" s="291">
        <v>40391</v>
      </c>
      <c r="B238" s="314">
        <f>'Weather Analysis - Thunder Bay'!T15</f>
        <v>37.9</v>
      </c>
      <c r="C238" s="315">
        <f>'Weather Analysis - Thunder Bay'!T35</f>
        <v>55.8</v>
      </c>
    </row>
    <row r="239" spans="1:3" ht="15">
      <c r="A239" s="291">
        <v>40422</v>
      </c>
      <c r="B239" s="314">
        <f>'Weather Analysis - Thunder Bay'!T16</f>
        <v>231.1</v>
      </c>
      <c r="C239" s="315">
        <f>'Weather Analysis - Thunder Bay'!T36</f>
        <v>0</v>
      </c>
    </row>
    <row r="240" spans="1:3" ht="15">
      <c r="A240" s="291">
        <v>40452</v>
      </c>
      <c r="B240" s="314">
        <f>'Weather Analysis - Thunder Bay'!T17</f>
        <v>355.49999999999989</v>
      </c>
      <c r="C240" s="315">
        <f>'Weather Analysis - Thunder Bay'!T37</f>
        <v>0</v>
      </c>
    </row>
    <row r="241" spans="1:8" ht="15">
      <c r="A241" s="291">
        <v>40483</v>
      </c>
      <c r="B241" s="314">
        <f>'Weather Analysis - Thunder Bay'!T18</f>
        <v>549.40000000000009</v>
      </c>
      <c r="C241" s="315">
        <f>'Weather Analysis - Thunder Bay'!T38</f>
        <v>0</v>
      </c>
    </row>
    <row r="242" spans="1:8" ht="15">
      <c r="A242" s="291">
        <v>40513</v>
      </c>
      <c r="B242" s="314">
        <f>'Weather Analysis - Thunder Bay'!T19</f>
        <v>879.0999999999998</v>
      </c>
      <c r="C242" s="315">
        <f>'Weather Analysis - Thunder Bay'!T39</f>
        <v>0</v>
      </c>
    </row>
    <row r="243" spans="1:8" ht="15">
      <c r="A243" s="291">
        <v>40544</v>
      </c>
      <c r="B243" s="314">
        <f>'Weather Analysis - Thunder Bay'!U8</f>
        <v>1077.9000000000003</v>
      </c>
      <c r="C243" s="315">
        <f>'Weather Analysis - Thunder Bay'!U28</f>
        <v>0</v>
      </c>
    </row>
    <row r="244" spans="1:8" ht="15">
      <c r="A244" s="291">
        <v>40575</v>
      </c>
      <c r="B244" s="314">
        <f>'Weather Analysis - Thunder Bay'!U9</f>
        <v>826.9</v>
      </c>
      <c r="C244" s="315">
        <f>'Weather Analysis - Thunder Bay'!U29</f>
        <v>0</v>
      </c>
    </row>
    <row r="245" spans="1:8" ht="15">
      <c r="A245" s="291">
        <v>40603</v>
      </c>
      <c r="B245" s="314">
        <f>'Weather Analysis - Thunder Bay'!U10</f>
        <v>749.9</v>
      </c>
      <c r="C245" s="315">
        <f>'Weather Analysis - Thunder Bay'!U30</f>
        <v>0</v>
      </c>
    </row>
    <row r="246" spans="1:8" ht="15">
      <c r="A246" s="291">
        <v>40634</v>
      </c>
      <c r="B246" s="314">
        <f>'Weather Analysis - Thunder Bay'!U11</f>
        <v>482.30000000000007</v>
      </c>
      <c r="C246" s="315">
        <f>'Weather Analysis - Thunder Bay'!U31</f>
        <v>0</v>
      </c>
    </row>
    <row r="247" spans="1:8" ht="15">
      <c r="A247" s="291">
        <v>40664</v>
      </c>
      <c r="B247" s="314">
        <f>'Weather Analysis - Thunder Bay'!U12</f>
        <v>266.99999999999994</v>
      </c>
      <c r="C247" s="315">
        <f>'Weather Analysis - Thunder Bay'!U32</f>
        <v>0</v>
      </c>
    </row>
    <row r="248" spans="1:8" ht="15">
      <c r="A248" s="291">
        <v>40695</v>
      </c>
      <c r="B248" s="314">
        <f>'Weather Analysis - Thunder Bay'!U13</f>
        <v>110.1</v>
      </c>
      <c r="C248" s="315">
        <f>'Weather Analysis - Thunder Bay'!U33</f>
        <v>0</v>
      </c>
    </row>
    <row r="249" spans="1:8" ht="15">
      <c r="A249" s="291">
        <v>40725</v>
      </c>
      <c r="B249" s="314">
        <f>'Weather Analysis - Thunder Bay'!U14</f>
        <v>29.8</v>
      </c>
      <c r="C249" s="315">
        <f>'Weather Analysis - Thunder Bay'!U34</f>
        <v>63.7</v>
      </c>
    </row>
    <row r="250" spans="1:8" ht="15">
      <c r="A250" s="291">
        <v>40756</v>
      </c>
      <c r="B250" s="314">
        <f>'Weather Analysis - Thunder Bay'!U15</f>
        <v>22.2</v>
      </c>
      <c r="C250" s="315">
        <f>'Weather Analysis - Thunder Bay'!U35</f>
        <v>35.699999999999996</v>
      </c>
    </row>
    <row r="251" spans="1:8" ht="15">
      <c r="A251" s="291">
        <v>40787</v>
      </c>
      <c r="B251" s="314">
        <f>'Weather Analysis - Thunder Bay'!U16</f>
        <v>172.3</v>
      </c>
      <c r="C251" s="315">
        <f>'Weather Analysis - Thunder Bay'!U36</f>
        <v>9.4</v>
      </c>
    </row>
    <row r="252" spans="1:8" ht="15">
      <c r="A252" s="291">
        <v>40817</v>
      </c>
      <c r="B252" s="314">
        <f>'Weather Analysis - Thunder Bay'!U17</f>
        <v>337.20000000000005</v>
      </c>
      <c r="C252" s="315">
        <f>'Weather Analysis - Thunder Bay'!U37</f>
        <v>5.4</v>
      </c>
    </row>
    <row r="253" spans="1:8" ht="15">
      <c r="A253" s="291">
        <v>40848</v>
      </c>
      <c r="B253" s="314">
        <f>'Weather Analysis - Thunder Bay'!U18</f>
        <v>563.20000000000005</v>
      </c>
      <c r="C253" s="315">
        <f>'Weather Analysis - Thunder Bay'!U38</f>
        <v>0</v>
      </c>
    </row>
    <row r="254" spans="1:8" ht="15">
      <c r="A254" s="291">
        <v>40878</v>
      </c>
      <c r="B254" s="314">
        <f>'Weather Analysis - Thunder Bay'!U19</f>
        <v>769.8</v>
      </c>
      <c r="C254" s="315">
        <f>'Weather Analysis - Thunder Bay'!U39</f>
        <v>0</v>
      </c>
    </row>
    <row r="255" spans="1:8" ht="15">
      <c r="A255" s="291">
        <v>40909</v>
      </c>
      <c r="B255" s="37">
        <f>'Weather Analysis - Thunder Bay'!V8</f>
        <v>865.69999999999993</v>
      </c>
      <c r="C255" s="37">
        <f>'Weather Analysis - Thunder Bay'!V28</f>
        <v>0</v>
      </c>
      <c r="G255" s="1">
        <f>SUM(B15:B254)</f>
        <v>108278.89999999988</v>
      </c>
      <c r="H255" s="1">
        <f>SUM(C15:C254)</f>
        <v>1490</v>
      </c>
    </row>
    <row r="256" spans="1:8" ht="15">
      <c r="A256" s="291">
        <v>40940</v>
      </c>
      <c r="B256" s="37">
        <f>'Weather Analysis - Thunder Bay'!V9</f>
        <v>693.8</v>
      </c>
      <c r="C256" s="37">
        <f>'Weather Analysis - Thunder Bay'!V29</f>
        <v>0</v>
      </c>
    </row>
    <row r="257" spans="1:3" ht="15">
      <c r="A257" s="291">
        <v>40969</v>
      </c>
      <c r="B257" s="37">
        <f>'Weather Analysis - Thunder Bay'!V10</f>
        <v>525.4</v>
      </c>
      <c r="C257" s="37">
        <f>'Weather Analysis - Thunder Bay'!V30</f>
        <v>0</v>
      </c>
    </row>
    <row r="258" spans="1:3" ht="15">
      <c r="A258" s="291">
        <v>41000</v>
      </c>
      <c r="B258" s="37">
        <f>'Weather Analysis - Thunder Bay'!V11</f>
        <v>434.89999999999986</v>
      </c>
      <c r="C258" s="37">
        <f>'Weather Analysis - Thunder Bay'!V31</f>
        <v>0</v>
      </c>
    </row>
    <row r="259" spans="1:3" ht="15">
      <c r="A259" s="291">
        <v>41030</v>
      </c>
      <c r="B259" s="37">
        <f>'Weather Analysis - Thunder Bay'!V12</f>
        <v>227.10000000000002</v>
      </c>
      <c r="C259" s="37">
        <f>'Weather Analysis - Thunder Bay'!V32</f>
        <v>0</v>
      </c>
    </row>
    <row r="260" spans="1:3" ht="15">
      <c r="A260" s="291">
        <v>41061</v>
      </c>
      <c r="B260" s="37">
        <f>'Weather Analysis - Thunder Bay'!V13</f>
        <v>64.900000000000006</v>
      </c>
      <c r="C260" s="37">
        <f>'Weather Analysis - Thunder Bay'!V33</f>
        <v>18.399999999999999</v>
      </c>
    </row>
    <row r="261" spans="1:3" ht="15">
      <c r="A261" s="291">
        <v>41091</v>
      </c>
      <c r="B261" s="37">
        <f>'Weather Analysis - Thunder Bay'!V14</f>
        <v>6.8</v>
      </c>
      <c r="C261" s="37">
        <f>'Weather Analysis - Thunder Bay'!V34</f>
        <v>66.5</v>
      </c>
    </row>
    <row r="262" spans="1:3" ht="15">
      <c r="A262" s="291">
        <v>41122</v>
      </c>
      <c r="B262" s="37">
        <f>'Weather Analysis - Thunder Bay'!V15</f>
        <v>38.499999999999986</v>
      </c>
      <c r="C262" s="37">
        <f>'Weather Analysis - Thunder Bay'!V35</f>
        <v>27.7</v>
      </c>
    </row>
    <row r="263" spans="1:3" ht="15">
      <c r="A263" s="291">
        <v>41153</v>
      </c>
      <c r="B263" s="37">
        <f>'Weather Analysis - Thunder Bay'!V16</f>
        <v>213.49999999999997</v>
      </c>
      <c r="C263" s="37">
        <f>'Weather Analysis - Thunder Bay'!V36</f>
        <v>4</v>
      </c>
    </row>
    <row r="264" spans="1:3" ht="15">
      <c r="A264" s="291">
        <v>41183</v>
      </c>
      <c r="B264" s="37">
        <f>'Weather Analysis - Thunder Bay'!V17</f>
        <v>395.80000000000007</v>
      </c>
      <c r="C264" s="37">
        <f>'Weather Analysis - Thunder Bay'!V37</f>
        <v>0</v>
      </c>
    </row>
    <row r="265" spans="1:3" ht="15">
      <c r="A265" s="291">
        <v>41214</v>
      </c>
      <c r="B265" s="37">
        <f>'Weather Analysis - Thunder Bay'!V18</f>
        <v>600.80000000000007</v>
      </c>
      <c r="C265" s="37">
        <f>'Weather Analysis - Thunder Bay'!V38</f>
        <v>0</v>
      </c>
    </row>
    <row r="266" spans="1:3" ht="15">
      <c r="A266" s="291">
        <v>41244</v>
      </c>
      <c r="B266" s="37">
        <f>'Weather Analysis - Thunder Bay'!V19</f>
        <v>793.69999999999993</v>
      </c>
      <c r="C266" s="37">
        <f>'Weather Analysis - Thunder Bay'!V39</f>
        <v>0</v>
      </c>
    </row>
    <row r="267" spans="1:3" ht="15">
      <c r="A267" s="291">
        <v>41275</v>
      </c>
      <c r="B267" s="37">
        <f>'Weather Analysis - Thunder Bay'!W8</f>
        <v>928.40000000000009</v>
      </c>
      <c r="C267" s="37">
        <f>'Weather Analysis - Thunder Bay'!W28</f>
        <v>0</v>
      </c>
    </row>
    <row r="268" spans="1:3" ht="15">
      <c r="A268" s="291">
        <v>41306</v>
      </c>
      <c r="B268" s="37">
        <f>'Weather Analysis - Thunder Bay'!W9</f>
        <v>866.59999999999991</v>
      </c>
      <c r="C268" s="37">
        <f>'Weather Analysis - Thunder Bay'!W29</f>
        <v>0</v>
      </c>
    </row>
    <row r="269" spans="1:3" ht="15">
      <c r="A269" s="291">
        <v>41334</v>
      </c>
      <c r="B269" s="37">
        <f>'Weather Analysis - Thunder Bay'!W10</f>
        <v>767.3</v>
      </c>
      <c r="C269" s="37">
        <f>'Weather Analysis - Thunder Bay'!W30</f>
        <v>0</v>
      </c>
    </row>
    <row r="270" spans="1:3" ht="15">
      <c r="A270" s="291">
        <v>41365</v>
      </c>
      <c r="B270" s="37">
        <f>'Weather Analysis - Thunder Bay'!W11</f>
        <v>524.79999999999995</v>
      </c>
      <c r="C270" s="37">
        <f>'Weather Analysis - Thunder Bay'!W31</f>
        <v>0</v>
      </c>
    </row>
    <row r="271" spans="1:3" ht="15">
      <c r="A271" s="291">
        <v>41395</v>
      </c>
      <c r="B271" s="37">
        <f>'Weather Analysis - Thunder Bay'!W12</f>
        <v>325.3</v>
      </c>
      <c r="C271" s="37">
        <f>'Weather Analysis - Thunder Bay'!W32</f>
        <v>0</v>
      </c>
    </row>
    <row r="272" spans="1:3" ht="15">
      <c r="A272" s="291">
        <v>41426</v>
      </c>
      <c r="B272" s="37">
        <f>'Weather Analysis - Thunder Bay'!W13</f>
        <v>130.9</v>
      </c>
      <c r="C272" s="37">
        <f>'Weather Analysis - Thunder Bay'!W33</f>
        <v>5.5</v>
      </c>
    </row>
    <row r="273" spans="1:3" ht="15">
      <c r="A273" s="291">
        <v>41456</v>
      </c>
      <c r="B273" s="37">
        <f>'Weather Analysis - Thunder Bay'!W14</f>
        <v>60.7</v>
      </c>
      <c r="C273" s="37">
        <f>'Weather Analysis - Thunder Bay'!W34</f>
        <v>28.000000000000007</v>
      </c>
    </row>
    <row r="274" spans="1:3" ht="15">
      <c r="A274" s="291">
        <v>41487</v>
      </c>
      <c r="B274" s="37">
        <f>'Weather Analysis - Thunder Bay'!W15</f>
        <v>45.8</v>
      </c>
      <c r="C274" s="37">
        <f>'Weather Analysis - Thunder Bay'!W35</f>
        <v>41.8</v>
      </c>
    </row>
    <row r="275" spans="1:3" ht="15">
      <c r="A275" s="291">
        <v>41518</v>
      </c>
      <c r="B275" s="37">
        <f>'Weather Analysis - Thunder Bay'!W16</f>
        <v>178.79999999999995</v>
      </c>
      <c r="C275" s="37">
        <f>'Weather Analysis - Thunder Bay'!W36</f>
        <v>0</v>
      </c>
    </row>
    <row r="276" spans="1:3" ht="15">
      <c r="A276" s="291">
        <v>41548</v>
      </c>
      <c r="B276" s="37">
        <f>'Weather Analysis - Thunder Bay'!W17</f>
        <v>328.50000000000006</v>
      </c>
      <c r="C276" s="37">
        <f>'Weather Analysis - Thunder Bay'!W37</f>
        <v>0</v>
      </c>
    </row>
    <row r="277" spans="1:3" ht="15">
      <c r="A277" s="291">
        <v>41579</v>
      </c>
      <c r="B277" s="37">
        <f>'Weather Analysis - Thunder Bay'!W18</f>
        <v>620.6</v>
      </c>
      <c r="C277" s="37">
        <f>'Weather Analysis - Thunder Bay'!W38</f>
        <v>0</v>
      </c>
    </row>
    <row r="278" spans="1:3" ht="15">
      <c r="A278" s="291">
        <v>41609</v>
      </c>
      <c r="B278" s="37">
        <f>'Weather Analysis - Thunder Bay'!W19</f>
        <v>1112.8999999999999</v>
      </c>
      <c r="C278" s="37">
        <f>'Weather Analysis - Thunder Bay'!W39</f>
        <v>0</v>
      </c>
    </row>
    <row r="279" spans="1:3" ht="15">
      <c r="A279" s="291">
        <v>41640</v>
      </c>
      <c r="B279" s="37">
        <f>'Weather Analysis - Thunder Bay'!X8</f>
        <v>1119.5999999999997</v>
      </c>
      <c r="C279" s="37">
        <f>'Weather Analysis - Thunder Bay'!X28</f>
        <v>0</v>
      </c>
    </row>
    <row r="280" spans="1:3" ht="15">
      <c r="A280" s="291">
        <v>41671</v>
      </c>
      <c r="B280" s="37">
        <f>'Weather Analysis - Thunder Bay'!X9</f>
        <v>978.39999999999986</v>
      </c>
      <c r="C280" s="37">
        <f>'Weather Analysis - Thunder Bay'!X29</f>
        <v>0</v>
      </c>
    </row>
    <row r="281" spans="1:3" ht="15">
      <c r="A281" s="291">
        <v>41699</v>
      </c>
      <c r="B281" s="37">
        <f>'Weather Analysis - Thunder Bay'!X10</f>
        <v>883.5</v>
      </c>
      <c r="C281" s="37">
        <f>'Weather Analysis - Thunder Bay'!X30</f>
        <v>0</v>
      </c>
    </row>
    <row r="282" spans="1:3" ht="15">
      <c r="A282" s="291">
        <v>41730</v>
      </c>
      <c r="B282" s="37">
        <f>'Weather Analysis - Thunder Bay'!X11</f>
        <v>522.9</v>
      </c>
      <c r="C282" s="37">
        <f>'Weather Analysis - Thunder Bay'!X31</f>
        <v>0</v>
      </c>
    </row>
    <row r="283" spans="1:3" ht="15">
      <c r="A283" s="291">
        <v>41760</v>
      </c>
      <c r="B283" s="37">
        <f>'Weather Analysis - Thunder Bay'!X12</f>
        <v>266.90000000000003</v>
      </c>
      <c r="C283" s="37">
        <f>'Weather Analysis - Thunder Bay'!X32</f>
        <v>1.1000000000000001</v>
      </c>
    </row>
    <row r="284" spans="1:3" ht="15">
      <c r="A284" s="291">
        <v>41791</v>
      </c>
      <c r="B284" s="37">
        <f>'Weather Analysis - Thunder Bay'!X13</f>
        <v>135.19999999999999</v>
      </c>
      <c r="C284" s="37">
        <f>'Weather Analysis - Thunder Bay'!X33</f>
        <v>6</v>
      </c>
    </row>
    <row r="285" spans="1:3" ht="15">
      <c r="A285" s="291">
        <v>41821</v>
      </c>
      <c r="B285" s="37">
        <f>'Weather Analysis - Thunder Bay'!X14</f>
        <v>47.199999999999989</v>
      </c>
      <c r="C285" s="37">
        <f>'Weather Analysis - Thunder Bay'!X34</f>
        <v>9.5</v>
      </c>
    </row>
    <row r="286" spans="1:3" ht="15">
      <c r="A286" s="291">
        <v>41852</v>
      </c>
      <c r="B286" s="37">
        <f>'Weather Analysis - Thunder Bay'!X15</f>
        <v>65.200000000000017</v>
      </c>
      <c r="C286" s="37">
        <f>'Weather Analysis - Thunder Bay'!X35</f>
        <v>10.099999999999998</v>
      </c>
    </row>
    <row r="287" spans="1:3" ht="15">
      <c r="A287" s="291">
        <v>41883</v>
      </c>
      <c r="B287" s="37">
        <f>'Weather Analysis - Thunder Bay'!X16</f>
        <v>196.5</v>
      </c>
      <c r="C287" s="37">
        <f>'Weather Analysis - Thunder Bay'!X36</f>
        <v>0</v>
      </c>
    </row>
    <row r="288" spans="1:3" ht="15">
      <c r="A288" s="291">
        <v>41913</v>
      </c>
      <c r="B288" s="37">
        <f>'Weather Analysis - Thunder Bay'!X17</f>
        <v>382.59999999999997</v>
      </c>
      <c r="C288" s="37">
        <f>'Weather Analysis - Thunder Bay'!X37</f>
        <v>0</v>
      </c>
    </row>
    <row r="289" spans="1:3" ht="15">
      <c r="A289" s="291">
        <v>41944</v>
      </c>
      <c r="B289" s="37">
        <f>'Weather Analysis - Thunder Bay'!X18</f>
        <v>647.79999999999995</v>
      </c>
      <c r="C289" s="37">
        <f>'Weather Analysis - Thunder Bay'!X38</f>
        <v>0</v>
      </c>
    </row>
    <row r="290" spans="1:3" ht="15">
      <c r="A290" s="291">
        <v>41974</v>
      </c>
      <c r="B290" s="37">
        <f>'Weather Analysis - Thunder Bay'!X19</f>
        <v>780.59999999999991</v>
      </c>
      <c r="C290" s="37">
        <f>'Weather Analysis - Thunder Bay'!X39</f>
        <v>0</v>
      </c>
    </row>
    <row r="291" spans="1:3" ht="15">
      <c r="A291" s="291">
        <v>42005</v>
      </c>
      <c r="B291" s="37">
        <f>'Weather Analysis - Thunder Bay'!Y8</f>
        <v>979.49999999999989</v>
      </c>
      <c r="C291" s="37">
        <f>'Weather Analysis - Thunder Bay'!Y28</f>
        <v>0</v>
      </c>
    </row>
    <row r="292" spans="1:3" ht="15">
      <c r="A292" s="291">
        <v>42036</v>
      </c>
      <c r="B292" s="37">
        <f>'Weather Analysis - Thunder Bay'!Y9</f>
        <v>1053.3</v>
      </c>
      <c r="C292" s="37">
        <f>'Weather Analysis - Thunder Bay'!Y29</f>
        <v>0</v>
      </c>
    </row>
    <row r="293" spans="1:3" ht="15">
      <c r="A293" s="291">
        <v>42064</v>
      </c>
      <c r="B293" s="37">
        <f>'Weather Analysis - Thunder Bay'!Y10</f>
        <v>710.39999999999986</v>
      </c>
      <c r="C293" s="37">
        <f>'Weather Analysis - Thunder Bay'!Y30</f>
        <v>0</v>
      </c>
    </row>
    <row r="294" spans="1:3" ht="15">
      <c r="A294" s="291">
        <v>42095</v>
      </c>
      <c r="B294" s="37">
        <f>'Weather Analysis - Thunder Bay'!Y11</f>
        <v>432.09999999999997</v>
      </c>
      <c r="C294" s="37">
        <f>'Weather Analysis - Thunder Bay'!Y31</f>
        <v>0</v>
      </c>
    </row>
    <row r="295" spans="1:3" ht="15">
      <c r="A295" s="291">
        <v>42125</v>
      </c>
      <c r="B295" s="37">
        <f>'Weather Analysis - Thunder Bay'!Y12</f>
        <v>276</v>
      </c>
      <c r="C295" s="37">
        <f>'Weather Analysis - Thunder Bay'!Y32</f>
        <v>0</v>
      </c>
    </row>
    <row r="296" spans="1:3" ht="15">
      <c r="A296" s="291">
        <v>42156</v>
      </c>
      <c r="B296" s="37">
        <f>'Weather Analysis - Thunder Bay'!Y13</f>
        <v>118.60000000000004</v>
      </c>
      <c r="C296" s="37">
        <f>'Weather Analysis - Thunder Bay'!Y33</f>
        <v>0</v>
      </c>
    </row>
    <row r="297" spans="1:3" ht="15">
      <c r="A297" s="291">
        <v>42186</v>
      </c>
      <c r="B297" s="37">
        <f>'Weather Analysis - Thunder Bay'!Y14</f>
        <v>31.7</v>
      </c>
      <c r="C297" s="37">
        <f>'Weather Analysis - Thunder Bay'!Y34</f>
        <v>38.000000000000007</v>
      </c>
    </row>
    <row r="298" spans="1:3" ht="15">
      <c r="A298" s="291">
        <v>42217</v>
      </c>
      <c r="B298" s="37">
        <f>'Weather Analysis - Thunder Bay'!Y15</f>
        <v>50.7</v>
      </c>
      <c r="C298" s="37">
        <f>'Weather Analysis - Thunder Bay'!Y35</f>
        <v>35.4</v>
      </c>
    </row>
    <row r="299" spans="1:3" ht="15">
      <c r="A299" s="291">
        <v>42248</v>
      </c>
      <c r="B299" s="37">
        <f>'Weather Analysis - Thunder Bay'!Y16</f>
        <v>106.20000000000002</v>
      </c>
      <c r="C299" s="37">
        <f>'Weather Analysis - Thunder Bay'!Y36</f>
        <v>15.8</v>
      </c>
    </row>
    <row r="300" spans="1:3" ht="15">
      <c r="A300" s="291">
        <v>42278</v>
      </c>
      <c r="B300" s="37">
        <f>'Weather Analysis - Thunder Bay'!Y17</f>
        <v>345.9</v>
      </c>
      <c r="C300" s="37">
        <f>'Weather Analysis - Thunder Bay'!Y37</f>
        <v>0</v>
      </c>
    </row>
    <row r="301" spans="1:3" ht="15">
      <c r="A301" s="291">
        <v>42309</v>
      </c>
      <c r="B301" s="37">
        <f>'Weather Analysis - Thunder Bay'!Y18</f>
        <v>469.10000000000008</v>
      </c>
      <c r="C301" s="37">
        <f>'Weather Analysis - Thunder Bay'!Y38</f>
        <v>0</v>
      </c>
    </row>
    <row r="302" spans="1:3" ht="15">
      <c r="A302" s="291">
        <v>42339</v>
      </c>
      <c r="B302" s="37">
        <f>'Weather Analysis - Thunder Bay'!Y19</f>
        <v>564.90000000000009</v>
      </c>
      <c r="C302" s="37">
        <f>'Weather Analysis - Thunder Bay'!Y39</f>
        <v>0</v>
      </c>
    </row>
    <row r="303" spans="1:3">
      <c r="B303" s="37">
        <f>SUM(B15:B302)</f>
        <v>130195.19999999987</v>
      </c>
      <c r="C303" s="37">
        <f>SUM(C15:C302)</f>
        <v>1797.8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workbookViewId="0">
      <selection activeCell="G1" sqref="G1"/>
    </sheetView>
  </sheetViews>
  <sheetFormatPr defaultRowHeight="12.75"/>
  <cols>
    <col min="6" max="6" width="9.28515625" style="51" customWidth="1"/>
    <col min="7" max="7" width="9.5703125" style="51" customWidth="1"/>
    <col min="26" max="26" width="11.28515625" bestFit="1" customWidth="1"/>
    <col min="27" max="27" width="11" bestFit="1" customWidth="1"/>
  </cols>
  <sheetData>
    <row r="1" spans="1:27">
      <c r="A1" s="270" t="s">
        <v>121</v>
      </c>
      <c r="B1" s="267"/>
      <c r="C1" s="267"/>
      <c r="D1" s="267"/>
      <c r="E1" s="271" t="s">
        <v>122</v>
      </c>
      <c r="F1" s="271"/>
      <c r="G1" s="270" t="s">
        <v>123</v>
      </c>
      <c r="H1" s="270"/>
      <c r="I1" s="270"/>
      <c r="J1" s="270"/>
    </row>
    <row r="2" spans="1:27">
      <c r="A2" s="50"/>
      <c r="B2" s="50"/>
    </row>
    <row r="3" spans="1:27">
      <c r="A3" s="269" t="s">
        <v>124</v>
      </c>
      <c r="B3" s="269"/>
      <c r="C3" s="269"/>
      <c r="D3" s="269"/>
      <c r="E3" s="52"/>
      <c r="F3" s="53"/>
      <c r="G3" s="53"/>
    </row>
    <row r="4" spans="1:27">
      <c r="A4" s="54"/>
      <c r="B4" s="54"/>
      <c r="C4" s="54"/>
      <c r="D4" s="54"/>
      <c r="E4" s="54"/>
      <c r="F4" s="55"/>
      <c r="G4" s="55"/>
    </row>
    <row r="5" spans="1:27">
      <c r="A5" s="268" t="s">
        <v>125</v>
      </c>
      <c r="B5" s="268">
        <v>1992</v>
      </c>
      <c r="C5" s="268">
        <v>1993</v>
      </c>
      <c r="D5" s="268">
        <v>1994</v>
      </c>
      <c r="E5" s="268">
        <v>1995</v>
      </c>
      <c r="F5" s="268">
        <v>1996</v>
      </c>
      <c r="G5" s="268">
        <v>1997</v>
      </c>
      <c r="H5" s="268">
        <v>1998</v>
      </c>
      <c r="I5" s="268">
        <v>1999</v>
      </c>
      <c r="J5" s="268">
        <v>2000</v>
      </c>
      <c r="K5" s="268">
        <f t="shared" ref="K5:Y5" si="0">K25</f>
        <v>2001</v>
      </c>
      <c r="L5" s="268">
        <f t="shared" si="0"/>
        <v>2002</v>
      </c>
      <c r="M5" s="268">
        <f t="shared" si="0"/>
        <v>2003</v>
      </c>
      <c r="N5" s="268">
        <f t="shared" si="0"/>
        <v>2004</v>
      </c>
      <c r="O5" s="268">
        <f t="shared" si="0"/>
        <v>2005</v>
      </c>
      <c r="P5" s="268">
        <f t="shared" si="0"/>
        <v>2006</v>
      </c>
      <c r="Q5" s="268">
        <f t="shared" si="0"/>
        <v>2007</v>
      </c>
      <c r="R5" s="268">
        <f t="shared" si="0"/>
        <v>2008</v>
      </c>
      <c r="S5" s="268">
        <f t="shared" si="0"/>
        <v>2009</v>
      </c>
      <c r="T5" s="268">
        <f t="shared" si="0"/>
        <v>2010</v>
      </c>
      <c r="U5" s="268">
        <f t="shared" si="0"/>
        <v>2011</v>
      </c>
      <c r="V5" s="268">
        <f t="shared" si="0"/>
        <v>2012</v>
      </c>
      <c r="W5" s="268">
        <f t="shared" si="0"/>
        <v>2013</v>
      </c>
      <c r="X5" s="268">
        <f t="shared" si="0"/>
        <v>2014</v>
      </c>
      <c r="Y5" s="268">
        <f t="shared" si="0"/>
        <v>2015</v>
      </c>
      <c r="Z5" s="266" t="s">
        <v>126</v>
      </c>
      <c r="AA5" s="266" t="s">
        <v>127</v>
      </c>
    </row>
    <row r="6" spans="1:27">
      <c r="A6" s="54"/>
      <c r="B6" s="54"/>
      <c r="C6" s="54"/>
      <c r="D6" s="54"/>
      <c r="E6" s="54"/>
      <c r="F6" s="53"/>
      <c r="G6" s="53"/>
    </row>
    <row r="7" spans="1:27">
      <c r="A7" s="56"/>
      <c r="B7" s="56"/>
      <c r="C7" s="56"/>
      <c r="D7" s="56"/>
      <c r="E7" s="56"/>
      <c r="F7" s="53"/>
      <c r="G7" s="53"/>
      <c r="H7" s="53"/>
      <c r="I7" s="53"/>
    </row>
    <row r="8" spans="1:27">
      <c r="A8" s="56" t="s">
        <v>128</v>
      </c>
      <c r="B8" s="57">
        <v>910.1</v>
      </c>
      <c r="C8" s="57">
        <v>718.3</v>
      </c>
      <c r="D8" s="57">
        <v>1203.5</v>
      </c>
      <c r="E8" s="57">
        <v>913.3</v>
      </c>
      <c r="F8" s="57">
        <v>1139.4000000000001</v>
      </c>
      <c r="G8" s="57">
        <v>992.7</v>
      </c>
      <c r="H8" s="57">
        <v>808.1</v>
      </c>
      <c r="I8" s="57">
        <v>994.7</v>
      </c>
      <c r="J8" s="57">
        <v>963.5</v>
      </c>
      <c r="K8" s="57">
        <v>898.8</v>
      </c>
      <c r="L8" s="57">
        <v>873.9</v>
      </c>
      <c r="M8" s="57">
        <v>907.4</v>
      </c>
      <c r="N8" s="57">
        <v>1140.5999999999999</v>
      </c>
      <c r="O8" s="57">
        <v>1084.3</v>
      </c>
      <c r="P8" s="57">
        <v>797</v>
      </c>
      <c r="Q8" s="57">
        <v>913.4</v>
      </c>
      <c r="R8" s="57">
        <v>934.70000000000016</v>
      </c>
      <c r="S8" s="57">
        <v>1093.3999999999996</v>
      </c>
      <c r="T8" s="57">
        <v>900.20000000000027</v>
      </c>
      <c r="U8" s="57">
        <v>1077.9000000000003</v>
      </c>
      <c r="V8" s="57">
        <v>865.69999999999993</v>
      </c>
      <c r="W8" s="57">
        <v>928.40000000000009</v>
      </c>
      <c r="X8" s="57">
        <v>1119.5999999999997</v>
      </c>
      <c r="Y8" s="57">
        <v>979.49999999999989</v>
      </c>
      <c r="Z8" s="264">
        <f>AVERAGE(P8:Y8)</f>
        <v>960.98000000000013</v>
      </c>
      <c r="AA8" s="265">
        <f>TREND(F8:Y8,$F$25:$Y$25,2017)</f>
        <v>981.22443609022571</v>
      </c>
    </row>
    <row r="9" spans="1:27">
      <c r="A9" s="56" t="s">
        <v>129</v>
      </c>
      <c r="B9" s="57">
        <v>795.7</v>
      </c>
      <c r="C9" s="57">
        <v>684</v>
      </c>
      <c r="D9" s="57">
        <v>923.9</v>
      </c>
      <c r="E9" s="57">
        <v>874.6</v>
      </c>
      <c r="F9" s="57">
        <v>925.8</v>
      </c>
      <c r="G9" s="57">
        <v>815</v>
      </c>
      <c r="H9" s="57">
        <v>594.5</v>
      </c>
      <c r="I9" s="57">
        <v>718.7</v>
      </c>
      <c r="J9" s="57">
        <v>711.5</v>
      </c>
      <c r="K9" s="57">
        <v>918.9</v>
      </c>
      <c r="L9" s="57">
        <v>733</v>
      </c>
      <c r="M9" s="57">
        <v>969.6</v>
      </c>
      <c r="N9" s="57">
        <v>778.3</v>
      </c>
      <c r="O9" s="57">
        <v>755.9</v>
      </c>
      <c r="P9" s="57">
        <v>873.4</v>
      </c>
      <c r="Q9" s="57">
        <v>924.7</v>
      </c>
      <c r="R9" s="57">
        <v>921.50000000000011</v>
      </c>
      <c r="S9" s="57">
        <v>838.90000000000009</v>
      </c>
      <c r="T9" s="57">
        <v>778.39999999999975</v>
      </c>
      <c r="U9" s="57">
        <v>826.9</v>
      </c>
      <c r="V9" s="57">
        <v>693.8</v>
      </c>
      <c r="W9" s="57">
        <v>866.59999999999991</v>
      </c>
      <c r="X9" s="57">
        <v>978.39999999999986</v>
      </c>
      <c r="Y9" s="57">
        <v>1053.3</v>
      </c>
      <c r="Z9" s="264">
        <f t="shared" ref="Z9:Z19" si="1">AVERAGE(P9:Y9)</f>
        <v>875.5899999999998</v>
      </c>
      <c r="AA9" s="265">
        <f t="shared" ref="AA9:AA19" si="2">TREND(F9:Y9,$F$25:$Y$25,2017)</f>
        <v>920.49842105263269</v>
      </c>
    </row>
    <row r="10" spans="1:27">
      <c r="A10" s="56" t="s">
        <v>130</v>
      </c>
      <c r="B10" s="57">
        <v>730.7</v>
      </c>
      <c r="C10" s="57">
        <v>552.70000000000005</v>
      </c>
      <c r="D10" s="57">
        <v>638.5</v>
      </c>
      <c r="E10" s="57">
        <v>696.5</v>
      </c>
      <c r="F10" s="57">
        <v>855.9</v>
      </c>
      <c r="G10" s="57">
        <v>514.4</v>
      </c>
      <c r="H10" s="57">
        <v>652.1</v>
      </c>
      <c r="I10" s="57">
        <v>710.1</v>
      </c>
      <c r="J10" s="57">
        <v>574.6</v>
      </c>
      <c r="K10" s="57">
        <v>702.7</v>
      </c>
      <c r="L10" s="57">
        <v>804.7</v>
      </c>
      <c r="M10" s="57">
        <v>765.1</v>
      </c>
      <c r="N10" s="57">
        <v>684.3</v>
      </c>
      <c r="O10" s="57">
        <v>814.1</v>
      </c>
      <c r="P10" s="57">
        <v>659</v>
      </c>
      <c r="Q10" s="57">
        <v>665</v>
      </c>
      <c r="R10" s="57">
        <v>791.9</v>
      </c>
      <c r="S10" s="57">
        <v>762.3</v>
      </c>
      <c r="T10" s="57">
        <v>514.4</v>
      </c>
      <c r="U10" s="57">
        <v>749.9</v>
      </c>
      <c r="V10" s="57">
        <v>525.4</v>
      </c>
      <c r="W10" s="57">
        <v>767.3</v>
      </c>
      <c r="X10" s="57">
        <v>883.5</v>
      </c>
      <c r="Y10" s="57">
        <v>710.39999999999986</v>
      </c>
      <c r="Z10" s="264">
        <f t="shared" si="1"/>
        <v>702.91</v>
      </c>
      <c r="AA10" s="265">
        <f t="shared" si="2"/>
        <v>728.65676691729323</v>
      </c>
    </row>
    <row r="11" spans="1:27">
      <c r="A11" s="56" t="s">
        <v>131</v>
      </c>
      <c r="B11" s="57">
        <v>505.5</v>
      </c>
      <c r="C11" s="57">
        <v>480.7</v>
      </c>
      <c r="D11" s="57">
        <v>493.3</v>
      </c>
      <c r="E11" s="57">
        <v>524.1</v>
      </c>
      <c r="F11" s="57">
        <v>550.4</v>
      </c>
      <c r="G11" s="57">
        <v>488.5</v>
      </c>
      <c r="H11" s="57">
        <v>322.89999999999998</v>
      </c>
      <c r="I11" s="57">
        <v>407.7</v>
      </c>
      <c r="J11" s="57">
        <v>485.6</v>
      </c>
      <c r="K11" s="57">
        <v>430.7</v>
      </c>
      <c r="L11" s="57">
        <v>462.3</v>
      </c>
      <c r="M11" s="57">
        <v>499.3</v>
      </c>
      <c r="N11" s="57">
        <v>472.4</v>
      </c>
      <c r="O11" s="57">
        <v>408.1</v>
      </c>
      <c r="P11" s="57">
        <v>366</v>
      </c>
      <c r="Q11" s="57">
        <v>474.1</v>
      </c>
      <c r="R11" s="57">
        <v>456.89999999999986</v>
      </c>
      <c r="S11" s="57">
        <v>453.2</v>
      </c>
      <c r="T11" s="57">
        <v>358.00000000000011</v>
      </c>
      <c r="U11" s="57">
        <v>482.30000000000007</v>
      </c>
      <c r="V11" s="57">
        <v>434.89999999999986</v>
      </c>
      <c r="W11" s="57">
        <v>524.79999999999995</v>
      </c>
      <c r="X11" s="57">
        <v>522.9</v>
      </c>
      <c r="Y11" s="57">
        <v>432.09999999999997</v>
      </c>
      <c r="Z11" s="264">
        <f t="shared" si="1"/>
        <v>450.5200000000001</v>
      </c>
      <c r="AA11" s="265">
        <f t="shared" si="2"/>
        <v>457.84511278195487</v>
      </c>
    </row>
    <row r="12" spans="1:27">
      <c r="A12" s="56" t="s">
        <v>65</v>
      </c>
      <c r="B12" s="57">
        <v>247.9</v>
      </c>
      <c r="C12" s="57">
        <v>278.7</v>
      </c>
      <c r="D12" s="57">
        <v>283.39999999999998</v>
      </c>
      <c r="E12" s="57">
        <v>256.89999999999998</v>
      </c>
      <c r="F12" s="57">
        <v>325.89999999999998</v>
      </c>
      <c r="G12" s="57">
        <v>346.3</v>
      </c>
      <c r="H12" s="57">
        <v>202.8</v>
      </c>
      <c r="I12" s="57">
        <v>224.7</v>
      </c>
      <c r="J12" s="57">
        <v>260.5</v>
      </c>
      <c r="K12" s="57">
        <v>239.9</v>
      </c>
      <c r="L12" s="57">
        <v>335</v>
      </c>
      <c r="M12" s="57">
        <v>276.39999999999998</v>
      </c>
      <c r="N12" s="57">
        <v>333.2</v>
      </c>
      <c r="O12" s="57">
        <v>306.2</v>
      </c>
      <c r="P12" s="57">
        <v>241.5</v>
      </c>
      <c r="Q12" s="57">
        <v>250.9</v>
      </c>
      <c r="R12" s="57">
        <v>327.7</v>
      </c>
      <c r="S12" s="57">
        <v>319.8</v>
      </c>
      <c r="T12" s="57">
        <v>212.40000000000003</v>
      </c>
      <c r="U12" s="57">
        <v>266.99999999999994</v>
      </c>
      <c r="V12" s="57">
        <v>227.10000000000002</v>
      </c>
      <c r="W12" s="57">
        <v>325.3</v>
      </c>
      <c r="X12" s="57">
        <v>266.90000000000003</v>
      </c>
      <c r="Y12" s="57">
        <v>276</v>
      </c>
      <c r="Z12" s="264">
        <f t="shared" si="1"/>
        <v>271.46000000000004</v>
      </c>
      <c r="AA12" s="265">
        <f t="shared" si="2"/>
        <v>271.64563909774438</v>
      </c>
    </row>
    <row r="13" spans="1:27">
      <c r="A13" s="56" t="s">
        <v>132</v>
      </c>
      <c r="B13" s="57">
        <v>175.5</v>
      </c>
      <c r="C13" s="57">
        <v>126</v>
      </c>
      <c r="D13" s="57">
        <v>89.8</v>
      </c>
      <c r="E13" s="57">
        <v>74.7</v>
      </c>
      <c r="F13" s="57">
        <v>106.8</v>
      </c>
      <c r="G13" s="57">
        <v>75.599999999999994</v>
      </c>
      <c r="H13" s="57">
        <v>108.2</v>
      </c>
      <c r="I13" s="57">
        <v>91.9</v>
      </c>
      <c r="J13" s="57">
        <v>155.69999999999999</v>
      </c>
      <c r="K13" s="57">
        <v>114</v>
      </c>
      <c r="L13" s="57">
        <v>114.4</v>
      </c>
      <c r="M13" s="57">
        <v>129.30000000000001</v>
      </c>
      <c r="N13" s="57">
        <v>145.80000000000001</v>
      </c>
      <c r="O13" s="57">
        <v>72.599999999999994</v>
      </c>
      <c r="P13" s="57">
        <v>81.5</v>
      </c>
      <c r="Q13" s="57">
        <v>96.7</v>
      </c>
      <c r="R13" s="57">
        <v>109.89999999999998</v>
      </c>
      <c r="S13" s="57">
        <v>141.80000000000001</v>
      </c>
      <c r="T13" s="57">
        <v>106.30000000000003</v>
      </c>
      <c r="U13" s="57">
        <v>110.1</v>
      </c>
      <c r="V13" s="57">
        <v>64.900000000000006</v>
      </c>
      <c r="W13" s="57">
        <v>130.9</v>
      </c>
      <c r="X13" s="57">
        <v>135.19999999999999</v>
      </c>
      <c r="Y13" s="57">
        <v>118.60000000000004</v>
      </c>
      <c r="Z13" s="264">
        <f t="shared" si="1"/>
        <v>109.59</v>
      </c>
      <c r="AA13" s="265">
        <f t="shared" si="2"/>
        <v>115.80518796992476</v>
      </c>
    </row>
    <row r="14" spans="1:27">
      <c r="A14" s="56" t="s">
        <v>133</v>
      </c>
      <c r="B14" s="57">
        <v>114.6</v>
      </c>
      <c r="C14" s="57">
        <v>43.7</v>
      </c>
      <c r="D14" s="57">
        <v>66.599999999999994</v>
      </c>
      <c r="E14" s="57">
        <v>49.9</v>
      </c>
      <c r="F14" s="57">
        <v>60.4</v>
      </c>
      <c r="G14" s="57">
        <v>41.4</v>
      </c>
      <c r="H14" s="57">
        <v>23.4</v>
      </c>
      <c r="I14" s="57">
        <v>24.2</v>
      </c>
      <c r="J14" s="57">
        <v>55.7</v>
      </c>
      <c r="K14" s="57">
        <v>67.2</v>
      </c>
      <c r="L14" s="57">
        <v>17.899999999999999</v>
      </c>
      <c r="M14" s="57">
        <v>29.9</v>
      </c>
      <c r="N14" s="57">
        <v>67.400000000000006</v>
      </c>
      <c r="O14" s="57">
        <v>45.3</v>
      </c>
      <c r="P14" s="57">
        <v>23.2</v>
      </c>
      <c r="Q14" s="57">
        <v>40.200000000000003</v>
      </c>
      <c r="R14" s="57">
        <v>34.700000000000003</v>
      </c>
      <c r="S14" s="57">
        <v>74.5</v>
      </c>
      <c r="T14" s="57">
        <v>14.5</v>
      </c>
      <c r="U14" s="57">
        <v>29.8</v>
      </c>
      <c r="V14" s="57">
        <v>6.8</v>
      </c>
      <c r="W14" s="57">
        <v>60.7</v>
      </c>
      <c r="X14" s="57">
        <v>47.199999999999989</v>
      </c>
      <c r="Y14" s="57">
        <v>31.7</v>
      </c>
      <c r="Z14" s="264">
        <f t="shared" si="1"/>
        <v>36.33</v>
      </c>
      <c r="AA14" s="265">
        <f t="shared" si="2"/>
        <v>34.996616541353319</v>
      </c>
    </row>
    <row r="15" spans="1:27">
      <c r="A15" s="56" t="s">
        <v>134</v>
      </c>
      <c r="B15" s="57">
        <v>105.6</v>
      </c>
      <c r="C15" s="57">
        <v>38.9</v>
      </c>
      <c r="D15" s="57">
        <v>95.3</v>
      </c>
      <c r="E15" s="57">
        <v>38.6</v>
      </c>
      <c r="F15" s="57">
        <v>38.200000000000003</v>
      </c>
      <c r="G15" s="57">
        <v>94.4</v>
      </c>
      <c r="H15" s="57">
        <v>34.299999999999997</v>
      </c>
      <c r="I15" s="57">
        <v>74</v>
      </c>
      <c r="J15" s="57">
        <v>63.4</v>
      </c>
      <c r="K15" s="57">
        <v>40.200000000000003</v>
      </c>
      <c r="L15" s="57">
        <v>49.7</v>
      </c>
      <c r="M15" s="57">
        <v>35.6</v>
      </c>
      <c r="N15" s="57">
        <v>123</v>
      </c>
      <c r="O15" s="57">
        <v>46.3</v>
      </c>
      <c r="P15" s="57">
        <v>57.7</v>
      </c>
      <c r="Q15" s="57">
        <v>62.9</v>
      </c>
      <c r="R15" s="57">
        <v>50.400000000000006</v>
      </c>
      <c r="S15" s="57">
        <v>84.2</v>
      </c>
      <c r="T15" s="57">
        <v>37.9</v>
      </c>
      <c r="U15" s="57">
        <v>22.2</v>
      </c>
      <c r="V15" s="57">
        <v>38.499999999999986</v>
      </c>
      <c r="W15" s="57">
        <v>45.8</v>
      </c>
      <c r="X15" s="57">
        <v>65.200000000000017</v>
      </c>
      <c r="Y15" s="57">
        <v>50.7</v>
      </c>
      <c r="Z15" s="264">
        <f t="shared" si="1"/>
        <v>51.55</v>
      </c>
      <c r="AA15" s="265">
        <f t="shared" si="2"/>
        <v>48.162481203007474</v>
      </c>
    </row>
    <row r="16" spans="1:27">
      <c r="A16" s="56" t="s">
        <v>135</v>
      </c>
      <c r="B16" s="57">
        <v>200.2</v>
      </c>
      <c r="C16" s="57">
        <v>246.1</v>
      </c>
      <c r="D16" s="57">
        <v>137.80000000000001</v>
      </c>
      <c r="E16" s="57">
        <v>229.4</v>
      </c>
      <c r="F16" s="57">
        <v>164.2</v>
      </c>
      <c r="G16" s="57">
        <v>149.4</v>
      </c>
      <c r="H16" s="57">
        <v>122.5</v>
      </c>
      <c r="I16" s="57">
        <v>194</v>
      </c>
      <c r="J16" s="57">
        <v>223.3</v>
      </c>
      <c r="K16" s="57">
        <v>187.7</v>
      </c>
      <c r="L16" s="57">
        <v>143.5</v>
      </c>
      <c r="M16" s="57">
        <v>164</v>
      </c>
      <c r="N16" s="57">
        <v>132.9</v>
      </c>
      <c r="O16" s="57">
        <v>148.80000000000001</v>
      </c>
      <c r="P16" s="57">
        <v>210.5</v>
      </c>
      <c r="Q16" s="57">
        <v>164.7</v>
      </c>
      <c r="R16" s="57">
        <v>193.29999999999998</v>
      </c>
      <c r="S16" s="57">
        <v>102.8</v>
      </c>
      <c r="T16" s="57">
        <v>231.1</v>
      </c>
      <c r="U16" s="57">
        <v>172.3</v>
      </c>
      <c r="V16" s="57">
        <v>213.49999999999997</v>
      </c>
      <c r="W16" s="57">
        <v>178.79999999999995</v>
      </c>
      <c r="X16" s="57">
        <v>196.5</v>
      </c>
      <c r="Y16" s="57">
        <v>106.20000000000002</v>
      </c>
      <c r="Z16" s="264">
        <f t="shared" si="1"/>
        <v>176.97</v>
      </c>
      <c r="AA16" s="265">
        <f t="shared" si="2"/>
        <v>175.57706766917295</v>
      </c>
    </row>
    <row r="17" spans="1:27">
      <c r="A17" s="56" t="s">
        <v>136</v>
      </c>
      <c r="B17" s="57">
        <v>427.4</v>
      </c>
      <c r="C17" s="57">
        <v>416.3</v>
      </c>
      <c r="D17" s="57">
        <v>321.39999999999998</v>
      </c>
      <c r="E17" s="57">
        <v>397</v>
      </c>
      <c r="F17" s="57">
        <v>384.1</v>
      </c>
      <c r="G17" s="57">
        <v>406.8</v>
      </c>
      <c r="H17" s="57">
        <v>328.1</v>
      </c>
      <c r="I17" s="57">
        <v>423.1</v>
      </c>
      <c r="J17" s="57">
        <v>372.2</v>
      </c>
      <c r="K17" s="57">
        <v>408.6</v>
      </c>
      <c r="L17" s="57">
        <v>510.1</v>
      </c>
      <c r="M17" s="57">
        <v>414.2</v>
      </c>
      <c r="N17" s="57">
        <v>372.7</v>
      </c>
      <c r="O17" s="57">
        <v>347.3</v>
      </c>
      <c r="P17" s="57">
        <v>440.9</v>
      </c>
      <c r="Q17" s="57">
        <v>310.60000000000002</v>
      </c>
      <c r="R17" s="57">
        <v>373.09999999999997</v>
      </c>
      <c r="S17" s="57">
        <v>451.40000000000003</v>
      </c>
      <c r="T17" s="57">
        <v>355.49999999999989</v>
      </c>
      <c r="U17" s="57">
        <v>337.20000000000005</v>
      </c>
      <c r="V17" s="57">
        <v>395.80000000000007</v>
      </c>
      <c r="W17" s="57">
        <v>328.50000000000006</v>
      </c>
      <c r="X17" s="57">
        <v>382.59999999999997</v>
      </c>
      <c r="Y17" s="57">
        <v>345.9</v>
      </c>
      <c r="Z17" s="264">
        <f t="shared" si="1"/>
        <v>372.15</v>
      </c>
      <c r="AA17" s="265">
        <f t="shared" si="2"/>
        <v>357.9927819548875</v>
      </c>
    </row>
    <row r="18" spans="1:27">
      <c r="A18" s="56" t="s">
        <v>137</v>
      </c>
      <c r="B18" s="57">
        <v>635.29999999999995</v>
      </c>
      <c r="C18" s="57">
        <v>598.9</v>
      </c>
      <c r="D18" s="57">
        <v>553.4</v>
      </c>
      <c r="E18" s="57">
        <v>804.2</v>
      </c>
      <c r="F18" s="57">
        <v>680.8</v>
      </c>
      <c r="G18" s="57">
        <v>613.6</v>
      </c>
      <c r="H18" s="57">
        <v>574.9</v>
      </c>
      <c r="I18" s="57">
        <v>500.7</v>
      </c>
      <c r="J18" s="57">
        <v>561.6</v>
      </c>
      <c r="K18" s="57">
        <v>458.8</v>
      </c>
      <c r="L18" s="57">
        <v>668</v>
      </c>
      <c r="M18" s="57">
        <v>632.9</v>
      </c>
      <c r="N18" s="57">
        <v>554.9</v>
      </c>
      <c r="O18" s="57">
        <v>606.9</v>
      </c>
      <c r="P18" s="57">
        <v>540.4</v>
      </c>
      <c r="Q18" s="57">
        <v>620.29999999999995</v>
      </c>
      <c r="R18" s="57">
        <v>591.00000000000011</v>
      </c>
      <c r="S18" s="57">
        <v>473.49999999999994</v>
      </c>
      <c r="T18" s="57">
        <v>549.40000000000009</v>
      </c>
      <c r="U18" s="57">
        <v>563.20000000000005</v>
      </c>
      <c r="V18" s="57">
        <v>600.80000000000007</v>
      </c>
      <c r="W18" s="57">
        <v>620.6</v>
      </c>
      <c r="X18" s="57">
        <v>647.79999999999995</v>
      </c>
      <c r="Y18" s="57">
        <v>469.10000000000008</v>
      </c>
      <c r="Z18" s="264">
        <f t="shared" si="1"/>
        <v>567.61000000000013</v>
      </c>
      <c r="AA18" s="265">
        <f t="shared" si="2"/>
        <v>558.62721804511284</v>
      </c>
    </row>
    <row r="19" spans="1:27">
      <c r="A19" s="56" t="s">
        <v>138</v>
      </c>
      <c r="B19" s="57">
        <v>781.6</v>
      </c>
      <c r="C19" s="57">
        <v>640.1</v>
      </c>
      <c r="D19" s="57">
        <v>761.8</v>
      </c>
      <c r="E19" s="57">
        <v>958.9</v>
      </c>
      <c r="F19" s="57">
        <v>862.4</v>
      </c>
      <c r="G19" s="57">
        <v>679.4</v>
      </c>
      <c r="H19" s="57">
        <v>848.1</v>
      </c>
      <c r="I19" s="57">
        <v>817.1</v>
      </c>
      <c r="J19" s="57">
        <v>1041.3</v>
      </c>
      <c r="K19" s="57">
        <v>716.4</v>
      </c>
      <c r="L19" s="57">
        <v>785.6</v>
      </c>
      <c r="M19" s="57">
        <v>785.9</v>
      </c>
      <c r="N19" s="57">
        <v>926.6</v>
      </c>
      <c r="O19" s="57">
        <v>833.4</v>
      </c>
      <c r="P19" s="57">
        <v>747.4</v>
      </c>
      <c r="Q19" s="57">
        <v>925.8</v>
      </c>
      <c r="R19" s="57">
        <v>1033.7999999999997</v>
      </c>
      <c r="S19" s="57">
        <v>914.89999999999986</v>
      </c>
      <c r="T19" s="57">
        <v>879.0999999999998</v>
      </c>
      <c r="U19" s="57">
        <v>769.8</v>
      </c>
      <c r="V19" s="57">
        <v>793.69999999999993</v>
      </c>
      <c r="W19" s="57">
        <v>1112.8999999999999</v>
      </c>
      <c r="X19" s="57">
        <v>780.59999999999991</v>
      </c>
      <c r="Y19" s="57">
        <v>564.90000000000009</v>
      </c>
      <c r="Z19" s="264">
        <f t="shared" si="1"/>
        <v>852.28999999999974</v>
      </c>
      <c r="AA19" s="265">
        <f t="shared" si="2"/>
        <v>843.2869924812029</v>
      </c>
    </row>
    <row r="20" spans="1:27">
      <c r="A20" s="56"/>
      <c r="B20" s="56"/>
      <c r="C20" s="56"/>
      <c r="D20" s="56"/>
      <c r="E20" s="56"/>
      <c r="F20" s="56"/>
      <c r="G20" s="56"/>
      <c r="R20" s="56"/>
      <c r="S20" s="56"/>
      <c r="T20" s="56"/>
      <c r="U20" s="56"/>
      <c r="V20" s="56"/>
      <c r="W20" s="56"/>
      <c r="X20" s="56"/>
      <c r="Y20" s="56"/>
    </row>
    <row r="21" spans="1:27">
      <c r="A21" s="272" t="s">
        <v>5</v>
      </c>
      <c r="B21" s="273">
        <f t="shared" ref="B21:V21" si="3">SUM(B8:B19)</f>
        <v>5630.1</v>
      </c>
      <c r="C21" s="273">
        <f t="shared" si="3"/>
        <v>4824.3999999999996</v>
      </c>
      <c r="D21" s="273">
        <f t="shared" si="3"/>
        <v>5568.7000000000007</v>
      </c>
      <c r="E21" s="273">
        <f t="shared" si="3"/>
        <v>5818.0999999999995</v>
      </c>
      <c r="F21" s="273">
        <f t="shared" si="3"/>
        <v>6094.3</v>
      </c>
      <c r="G21" s="273">
        <f t="shared" si="3"/>
        <v>5217.5</v>
      </c>
      <c r="H21" s="273">
        <f t="shared" si="3"/>
        <v>4619.9000000000005</v>
      </c>
      <c r="I21" s="273">
        <f t="shared" si="3"/>
        <v>5180.8999999999996</v>
      </c>
      <c r="J21" s="273">
        <f t="shared" si="3"/>
        <v>5468.9</v>
      </c>
      <c r="K21" s="273">
        <f t="shared" si="3"/>
        <v>5183.8999999999987</v>
      </c>
      <c r="L21" s="273">
        <f t="shared" si="3"/>
        <v>5498.1</v>
      </c>
      <c r="M21" s="273">
        <f t="shared" si="3"/>
        <v>5609.5999999999995</v>
      </c>
      <c r="N21" s="273">
        <f t="shared" si="3"/>
        <v>5732.1</v>
      </c>
      <c r="O21" s="273">
        <f t="shared" si="3"/>
        <v>5469.2</v>
      </c>
      <c r="P21" s="273">
        <f t="shared" si="3"/>
        <v>5038.4999999999991</v>
      </c>
      <c r="Q21" s="273">
        <f t="shared" si="3"/>
        <v>5449.2999999999993</v>
      </c>
      <c r="R21" s="273">
        <f t="shared" si="3"/>
        <v>5818.9</v>
      </c>
      <c r="S21" s="273">
        <f t="shared" si="3"/>
        <v>5710.6999999999989</v>
      </c>
      <c r="T21" s="273">
        <f t="shared" si="3"/>
        <v>4937.2</v>
      </c>
      <c r="U21" s="273">
        <f t="shared" si="3"/>
        <v>5408.6</v>
      </c>
      <c r="V21" s="273">
        <f t="shared" si="3"/>
        <v>4860.9000000000005</v>
      </c>
      <c r="W21" s="273">
        <f t="shared" ref="W21:X21" si="4">SUM(W8:W19)</f>
        <v>5890.6</v>
      </c>
      <c r="X21" s="273">
        <f t="shared" si="4"/>
        <v>6026.4</v>
      </c>
      <c r="Y21" s="273">
        <f t="shared" ref="Y21:Z21" si="5">SUM(Y8:Y19)</f>
        <v>5138.3999999999996</v>
      </c>
      <c r="Z21" s="273">
        <f t="shared" si="5"/>
        <v>5427.95</v>
      </c>
    </row>
    <row r="22" spans="1:27">
      <c r="A22" s="52"/>
      <c r="B22" s="52"/>
      <c r="C22" s="52"/>
      <c r="D22" s="52"/>
      <c r="E22" s="52"/>
      <c r="F22" s="53"/>
      <c r="G22" s="53"/>
      <c r="Z22" s="59"/>
    </row>
    <row r="23" spans="1:27">
      <c r="A23" s="269" t="s">
        <v>139</v>
      </c>
      <c r="B23" s="269"/>
      <c r="C23" s="269"/>
      <c r="D23" s="52"/>
      <c r="E23" s="52"/>
      <c r="F23" s="53"/>
      <c r="G23" s="53"/>
    </row>
    <row r="24" spans="1:27">
      <c r="A24" s="54"/>
      <c r="B24" s="54"/>
      <c r="C24" s="54"/>
      <c r="D24" s="54"/>
      <c r="E24" s="54"/>
      <c r="F24" s="55"/>
      <c r="G24" s="55"/>
    </row>
    <row r="25" spans="1:27">
      <c r="A25" s="268" t="s">
        <v>125</v>
      </c>
      <c r="B25" s="268">
        <v>1992</v>
      </c>
      <c r="C25" s="268">
        <v>1993</v>
      </c>
      <c r="D25" s="268">
        <v>1994</v>
      </c>
      <c r="E25" s="268">
        <v>1995</v>
      </c>
      <c r="F25" s="268">
        <v>1996</v>
      </c>
      <c r="G25" s="268">
        <v>1997</v>
      </c>
      <c r="H25" s="268">
        <v>1998</v>
      </c>
      <c r="I25" s="268">
        <v>1999</v>
      </c>
      <c r="J25" s="268">
        <v>2000</v>
      </c>
      <c r="K25" s="268">
        <v>2001</v>
      </c>
      <c r="L25" s="268">
        <v>2002</v>
      </c>
      <c r="M25" s="268">
        <v>2003</v>
      </c>
      <c r="N25" s="268">
        <v>2004</v>
      </c>
      <c r="O25" s="268">
        <v>2005</v>
      </c>
      <c r="P25" s="268">
        <v>2006</v>
      </c>
      <c r="Q25" s="268">
        <v>2007</v>
      </c>
      <c r="R25" s="268">
        <v>2008</v>
      </c>
      <c r="S25" s="268">
        <v>2009</v>
      </c>
      <c r="T25" s="268">
        <v>2010</v>
      </c>
      <c r="U25" s="268">
        <v>2011</v>
      </c>
      <c r="V25" s="268">
        <v>2012</v>
      </c>
      <c r="W25" s="268">
        <v>2013</v>
      </c>
      <c r="X25" s="268">
        <v>2014</v>
      </c>
      <c r="Y25" s="268">
        <v>2015</v>
      </c>
      <c r="Z25" s="266" t="s">
        <v>126</v>
      </c>
      <c r="AA25" s="266" t="s">
        <v>127</v>
      </c>
    </row>
    <row r="26" spans="1:27">
      <c r="A26" s="54"/>
      <c r="B26" s="54"/>
      <c r="C26" s="54"/>
      <c r="D26" s="54"/>
      <c r="E26" s="54"/>
      <c r="F26" s="53"/>
      <c r="G26" s="53"/>
      <c r="Z26" s="267"/>
      <c r="AA26" s="267"/>
    </row>
    <row r="27" spans="1:27">
      <c r="F27" s="53"/>
      <c r="G27" s="53"/>
      <c r="Z27" s="267"/>
      <c r="AA27" s="267"/>
    </row>
    <row r="28" spans="1:27">
      <c r="A28" s="56" t="s">
        <v>128</v>
      </c>
      <c r="B28" s="57">
        <v>0</v>
      </c>
      <c r="C28" s="57">
        <v>0</v>
      </c>
      <c r="D28" s="57">
        <v>0</v>
      </c>
      <c r="E28" s="57">
        <v>0</v>
      </c>
      <c r="F28" s="57">
        <v>0</v>
      </c>
      <c r="G28" s="57">
        <v>0</v>
      </c>
      <c r="H28" s="57">
        <v>0</v>
      </c>
      <c r="I28" s="57">
        <v>0</v>
      </c>
      <c r="J28" s="57">
        <v>0</v>
      </c>
      <c r="K28" s="57">
        <v>0</v>
      </c>
      <c r="L28" s="57">
        <v>0</v>
      </c>
      <c r="M28" s="57">
        <v>0</v>
      </c>
      <c r="N28" s="57">
        <v>0</v>
      </c>
      <c r="O28" s="57">
        <v>0</v>
      </c>
      <c r="P28" s="57">
        <v>0</v>
      </c>
      <c r="Q28" s="57">
        <v>0</v>
      </c>
      <c r="R28" s="57">
        <v>0</v>
      </c>
      <c r="S28" s="57">
        <v>0</v>
      </c>
      <c r="T28" s="57">
        <v>0</v>
      </c>
      <c r="U28" s="57">
        <v>0</v>
      </c>
      <c r="V28" s="57">
        <v>0</v>
      </c>
      <c r="W28" s="57">
        <v>0</v>
      </c>
      <c r="X28" s="57">
        <v>0</v>
      </c>
      <c r="Y28" s="57">
        <v>0</v>
      </c>
      <c r="Z28" s="264">
        <f>AVERAGE(P28:Y28)</f>
        <v>0</v>
      </c>
      <c r="AA28" s="265">
        <f>TREND(F28:Y28,$F$25:$Y$25,2017)</f>
        <v>0</v>
      </c>
    </row>
    <row r="29" spans="1:27">
      <c r="A29" s="56" t="s">
        <v>129</v>
      </c>
      <c r="B29" s="57">
        <v>0</v>
      </c>
      <c r="C29" s="57">
        <v>0</v>
      </c>
      <c r="D29" s="57">
        <v>0</v>
      </c>
      <c r="E29" s="57">
        <v>0</v>
      </c>
      <c r="F29" s="57">
        <v>0</v>
      </c>
      <c r="G29" s="57">
        <v>0</v>
      </c>
      <c r="H29" s="57">
        <v>0</v>
      </c>
      <c r="I29" s="57">
        <v>0</v>
      </c>
      <c r="J29" s="57">
        <v>0</v>
      </c>
      <c r="K29" s="57">
        <v>0</v>
      </c>
      <c r="L29" s="57">
        <v>0</v>
      </c>
      <c r="M29" s="57">
        <v>0</v>
      </c>
      <c r="N29" s="57">
        <v>0</v>
      </c>
      <c r="O29" s="57">
        <v>0</v>
      </c>
      <c r="P29" s="57">
        <v>0</v>
      </c>
      <c r="Q29" s="57">
        <v>0</v>
      </c>
      <c r="R29" s="57">
        <v>0</v>
      </c>
      <c r="S29" s="57">
        <v>0</v>
      </c>
      <c r="T29" s="57">
        <v>0</v>
      </c>
      <c r="U29" s="57">
        <v>0</v>
      </c>
      <c r="V29" s="57">
        <v>0</v>
      </c>
      <c r="W29" s="57">
        <v>0</v>
      </c>
      <c r="X29" s="57">
        <v>0</v>
      </c>
      <c r="Y29" s="57">
        <v>0</v>
      </c>
      <c r="Z29" s="264">
        <f t="shared" ref="Z29:Z39" si="6">AVERAGE(P29:Y29)</f>
        <v>0</v>
      </c>
      <c r="AA29" s="265">
        <f t="shared" ref="AA29:AA39" si="7">TREND(F29:Y29,$F$25:$Y$25,2017)</f>
        <v>0</v>
      </c>
    </row>
    <row r="30" spans="1:27">
      <c r="A30" s="56" t="s">
        <v>130</v>
      </c>
      <c r="B30" s="57">
        <v>0</v>
      </c>
      <c r="C30" s="57">
        <v>0</v>
      </c>
      <c r="D30" s="57">
        <v>0</v>
      </c>
      <c r="E30" s="57">
        <v>0</v>
      </c>
      <c r="F30" s="57">
        <v>0</v>
      </c>
      <c r="G30" s="57">
        <v>0</v>
      </c>
      <c r="H30" s="57">
        <v>0</v>
      </c>
      <c r="I30" s="57">
        <v>0</v>
      </c>
      <c r="J30" s="57">
        <v>0</v>
      </c>
      <c r="K30" s="57">
        <v>0</v>
      </c>
      <c r="L30" s="57">
        <v>0</v>
      </c>
      <c r="M30" s="57">
        <v>0</v>
      </c>
      <c r="N30" s="57">
        <v>0</v>
      </c>
      <c r="O30" s="57">
        <v>0</v>
      </c>
      <c r="P30" s="57">
        <v>0</v>
      </c>
      <c r="Q30" s="57">
        <v>0</v>
      </c>
      <c r="R30" s="57">
        <v>0</v>
      </c>
      <c r="S30" s="57">
        <v>0</v>
      </c>
      <c r="T30" s="57">
        <v>0</v>
      </c>
      <c r="U30" s="57">
        <v>0</v>
      </c>
      <c r="V30" s="57">
        <v>0</v>
      </c>
      <c r="W30" s="57">
        <v>0</v>
      </c>
      <c r="X30" s="57">
        <v>0</v>
      </c>
      <c r="Y30" s="57">
        <v>0</v>
      </c>
      <c r="Z30" s="264">
        <f t="shared" si="6"/>
        <v>0</v>
      </c>
      <c r="AA30" s="265">
        <f t="shared" si="7"/>
        <v>0</v>
      </c>
    </row>
    <row r="31" spans="1:27">
      <c r="A31" s="56" t="s">
        <v>131</v>
      </c>
      <c r="B31" s="57">
        <v>0</v>
      </c>
      <c r="C31" s="57">
        <v>0</v>
      </c>
      <c r="D31" s="57">
        <v>0</v>
      </c>
      <c r="E31" s="57">
        <v>0</v>
      </c>
      <c r="F31" s="57">
        <v>0</v>
      </c>
      <c r="G31" s="57">
        <v>0</v>
      </c>
      <c r="H31" s="57">
        <v>0</v>
      </c>
      <c r="I31" s="57">
        <v>0</v>
      </c>
      <c r="J31" s="57">
        <v>0</v>
      </c>
      <c r="K31" s="57">
        <v>0</v>
      </c>
      <c r="L31" s="57">
        <v>0</v>
      </c>
      <c r="M31" s="57">
        <v>0</v>
      </c>
      <c r="N31" s="57">
        <v>0</v>
      </c>
      <c r="O31" s="57">
        <v>0</v>
      </c>
      <c r="P31" s="57">
        <v>0</v>
      </c>
      <c r="Q31" s="57">
        <v>0</v>
      </c>
      <c r="R31" s="57">
        <v>0</v>
      </c>
      <c r="S31" s="57">
        <v>0</v>
      </c>
      <c r="T31" s="57">
        <v>0</v>
      </c>
      <c r="U31" s="57">
        <v>0</v>
      </c>
      <c r="V31" s="57">
        <v>0</v>
      </c>
      <c r="W31" s="57">
        <v>0</v>
      </c>
      <c r="X31" s="57">
        <v>0</v>
      </c>
      <c r="Y31" s="57">
        <v>0</v>
      </c>
      <c r="Z31" s="264">
        <f t="shared" si="6"/>
        <v>0</v>
      </c>
      <c r="AA31" s="265">
        <f t="shared" si="7"/>
        <v>0</v>
      </c>
    </row>
    <row r="32" spans="1:27">
      <c r="A32" s="56" t="s">
        <v>65</v>
      </c>
      <c r="B32" s="57">
        <v>1.1000000000000001</v>
      </c>
      <c r="C32" s="57">
        <v>0</v>
      </c>
      <c r="D32" s="57">
        <v>0</v>
      </c>
      <c r="E32" s="57">
        <v>10.7</v>
      </c>
      <c r="F32" s="57">
        <v>0</v>
      </c>
      <c r="G32" s="57">
        <v>0</v>
      </c>
      <c r="H32" s="57">
        <v>1.3</v>
      </c>
      <c r="I32" s="57">
        <v>2.6</v>
      </c>
      <c r="J32" s="57">
        <v>0</v>
      </c>
      <c r="K32" s="57">
        <v>0</v>
      </c>
      <c r="L32" s="57">
        <v>0.5</v>
      </c>
      <c r="M32" s="57">
        <v>0</v>
      </c>
      <c r="N32" s="57">
        <v>0</v>
      </c>
      <c r="O32" s="57">
        <v>0</v>
      </c>
      <c r="P32" s="57">
        <v>2.4</v>
      </c>
      <c r="Q32" s="57">
        <v>0.6</v>
      </c>
      <c r="R32" s="57">
        <v>0</v>
      </c>
      <c r="S32" s="57">
        <v>0</v>
      </c>
      <c r="T32" s="57">
        <v>0.6</v>
      </c>
      <c r="U32" s="57">
        <v>0</v>
      </c>
      <c r="V32" s="57">
        <v>0</v>
      </c>
      <c r="W32" s="57">
        <v>0</v>
      </c>
      <c r="X32" s="57">
        <v>1.1000000000000001</v>
      </c>
      <c r="Y32" s="57">
        <v>0</v>
      </c>
      <c r="Z32" s="264">
        <f t="shared" si="6"/>
        <v>0.47000000000000003</v>
      </c>
      <c r="AA32" s="265">
        <f t="shared" si="7"/>
        <v>0.20857142857142463</v>
      </c>
    </row>
    <row r="33" spans="1:29">
      <c r="A33" s="56" t="s">
        <v>132</v>
      </c>
      <c r="B33" s="57">
        <v>3.5</v>
      </c>
      <c r="C33" s="57">
        <v>2.1</v>
      </c>
      <c r="D33" s="57">
        <v>11.6</v>
      </c>
      <c r="E33" s="57">
        <v>24.5</v>
      </c>
      <c r="F33" s="57">
        <v>12.4</v>
      </c>
      <c r="G33" s="57">
        <v>15.7</v>
      </c>
      <c r="H33" s="57">
        <v>10.8</v>
      </c>
      <c r="I33" s="57">
        <v>11.4</v>
      </c>
      <c r="J33" s="57">
        <v>2.2999999999999998</v>
      </c>
      <c r="K33" s="57">
        <v>15.2</v>
      </c>
      <c r="L33" s="57">
        <v>14.2</v>
      </c>
      <c r="M33" s="57">
        <v>0</v>
      </c>
      <c r="N33" s="57">
        <v>3.1</v>
      </c>
      <c r="O33" s="57">
        <v>16.8</v>
      </c>
      <c r="P33" s="57">
        <v>9.3000000000000007</v>
      </c>
      <c r="Q33" s="57">
        <v>6.5</v>
      </c>
      <c r="R33" s="57">
        <v>4.5999999999999996</v>
      </c>
      <c r="S33" s="57">
        <v>13.7</v>
      </c>
      <c r="T33" s="57">
        <v>3.0000000000000004</v>
      </c>
      <c r="U33" s="57">
        <v>0</v>
      </c>
      <c r="V33" s="57">
        <v>18.399999999999999</v>
      </c>
      <c r="W33" s="57">
        <v>5.5</v>
      </c>
      <c r="X33" s="57">
        <v>6</v>
      </c>
      <c r="Y33" s="57">
        <v>0</v>
      </c>
      <c r="Z33" s="264">
        <f t="shared" si="6"/>
        <v>6.7</v>
      </c>
      <c r="AA33" s="265">
        <f t="shared" si="7"/>
        <v>4.1052631578947967</v>
      </c>
    </row>
    <row r="34" spans="1:29">
      <c r="A34" s="56" t="s">
        <v>133</v>
      </c>
      <c r="B34" s="57">
        <v>0.2</v>
      </c>
      <c r="C34" s="57">
        <v>6.8</v>
      </c>
      <c r="D34" s="57">
        <v>10.9</v>
      </c>
      <c r="E34" s="57">
        <v>15.9</v>
      </c>
      <c r="F34" s="57">
        <v>13</v>
      </c>
      <c r="G34" s="57">
        <v>28.2</v>
      </c>
      <c r="H34" s="57">
        <v>36</v>
      </c>
      <c r="I34" s="57">
        <v>59.3</v>
      </c>
      <c r="J34" s="57">
        <v>20.8</v>
      </c>
      <c r="K34" s="57">
        <v>29.7</v>
      </c>
      <c r="L34" s="57">
        <v>79.3</v>
      </c>
      <c r="M34" s="57">
        <v>18.2</v>
      </c>
      <c r="N34" s="57">
        <v>22</v>
      </c>
      <c r="O34" s="57">
        <v>53</v>
      </c>
      <c r="P34" s="57">
        <v>70.099999999999994</v>
      </c>
      <c r="Q34" s="57">
        <v>51.8</v>
      </c>
      <c r="R34" s="57">
        <v>22.1</v>
      </c>
      <c r="S34" s="57">
        <v>2</v>
      </c>
      <c r="T34" s="57">
        <v>52</v>
      </c>
      <c r="U34" s="57">
        <v>63.7</v>
      </c>
      <c r="V34" s="57">
        <v>66.5</v>
      </c>
      <c r="W34" s="57">
        <v>28.000000000000007</v>
      </c>
      <c r="X34" s="57">
        <v>9.5</v>
      </c>
      <c r="Y34" s="57">
        <v>38.000000000000007</v>
      </c>
      <c r="Z34" s="264">
        <f t="shared" si="6"/>
        <v>40.369999999999997</v>
      </c>
      <c r="AA34" s="265">
        <f t="shared" si="7"/>
        <v>41.516616541353415</v>
      </c>
    </row>
    <row r="35" spans="1:29">
      <c r="A35" s="56" t="s">
        <v>134</v>
      </c>
      <c r="B35" s="57">
        <v>5.8</v>
      </c>
      <c r="C35" s="57">
        <v>32.4</v>
      </c>
      <c r="D35" s="57">
        <v>9.1999999999999993</v>
      </c>
      <c r="E35" s="57">
        <v>33.6</v>
      </c>
      <c r="F35" s="57">
        <v>16.600000000000001</v>
      </c>
      <c r="G35" s="57">
        <v>18.100000000000001</v>
      </c>
      <c r="H35" s="57">
        <v>36.700000000000003</v>
      </c>
      <c r="I35" s="57">
        <v>12.2</v>
      </c>
      <c r="J35" s="57">
        <v>9.8000000000000007</v>
      </c>
      <c r="K35" s="57">
        <v>56.1</v>
      </c>
      <c r="L35" s="57">
        <v>15.5</v>
      </c>
      <c r="M35" s="57">
        <v>50.9</v>
      </c>
      <c r="N35" s="57">
        <v>1.8</v>
      </c>
      <c r="O35" s="57">
        <v>29.6</v>
      </c>
      <c r="P35" s="57">
        <v>31.7</v>
      </c>
      <c r="Q35" s="57">
        <v>22.1</v>
      </c>
      <c r="R35" s="57">
        <v>22.200000000000003</v>
      </c>
      <c r="S35" s="57">
        <v>14.2</v>
      </c>
      <c r="T35" s="57">
        <v>55.8</v>
      </c>
      <c r="U35" s="57">
        <v>35.699999999999996</v>
      </c>
      <c r="V35" s="57">
        <v>27.7</v>
      </c>
      <c r="W35" s="57">
        <v>41.8</v>
      </c>
      <c r="X35" s="57">
        <v>10.099999999999998</v>
      </c>
      <c r="Y35" s="57">
        <v>35.4</v>
      </c>
      <c r="Z35" s="264">
        <f t="shared" si="6"/>
        <v>29.669999999999998</v>
      </c>
      <c r="AA35" s="265">
        <f t="shared" si="7"/>
        <v>33.181729323308446</v>
      </c>
      <c r="AC35" t="s">
        <v>140</v>
      </c>
    </row>
    <row r="36" spans="1:29">
      <c r="A36" s="56" t="s">
        <v>135</v>
      </c>
      <c r="B36" s="57">
        <v>1.4</v>
      </c>
      <c r="C36" s="57">
        <v>0</v>
      </c>
      <c r="D36" s="57">
        <v>1.2</v>
      </c>
      <c r="E36" s="57">
        <v>9.8000000000000007</v>
      </c>
      <c r="F36" s="57">
        <v>8.6999999999999993</v>
      </c>
      <c r="G36" s="57">
        <v>0</v>
      </c>
      <c r="H36" s="57">
        <v>7.3</v>
      </c>
      <c r="I36" s="57">
        <v>5.7</v>
      </c>
      <c r="J36" s="57">
        <v>0</v>
      </c>
      <c r="K36" s="57">
        <v>6.8</v>
      </c>
      <c r="L36" s="57">
        <v>20.9</v>
      </c>
      <c r="M36" s="57">
        <v>6.7</v>
      </c>
      <c r="N36" s="57">
        <v>4.7</v>
      </c>
      <c r="O36" s="57">
        <v>15.2</v>
      </c>
      <c r="P36" s="57">
        <v>1.2</v>
      </c>
      <c r="Q36" s="57">
        <v>9.6</v>
      </c>
      <c r="R36" s="57">
        <v>7</v>
      </c>
      <c r="S36" s="57">
        <v>3.5</v>
      </c>
      <c r="T36" s="57">
        <v>0</v>
      </c>
      <c r="U36" s="57">
        <v>9.4</v>
      </c>
      <c r="V36" s="57">
        <v>4</v>
      </c>
      <c r="W36" s="57">
        <v>0</v>
      </c>
      <c r="X36" s="57">
        <v>0</v>
      </c>
      <c r="Y36" s="57">
        <v>15.8</v>
      </c>
      <c r="Z36" s="264">
        <f t="shared" si="6"/>
        <v>5.05</v>
      </c>
      <c r="AA36" s="265">
        <f t="shared" si="7"/>
        <v>5.6842857142857071</v>
      </c>
    </row>
    <row r="37" spans="1:29">
      <c r="A37" s="56" t="s">
        <v>136</v>
      </c>
      <c r="B37" s="57">
        <v>0</v>
      </c>
      <c r="C37" s="57">
        <v>0</v>
      </c>
      <c r="D37" s="57">
        <v>0</v>
      </c>
      <c r="E37" s="57">
        <v>0</v>
      </c>
      <c r="F37" s="57">
        <v>0</v>
      </c>
      <c r="G37" s="57">
        <v>0</v>
      </c>
      <c r="H37" s="57">
        <v>0</v>
      </c>
      <c r="I37" s="57">
        <v>0</v>
      </c>
      <c r="J37" s="57">
        <v>0</v>
      </c>
      <c r="K37" s="57">
        <v>0</v>
      </c>
      <c r="L37" s="57">
        <v>0</v>
      </c>
      <c r="M37" s="57">
        <v>0</v>
      </c>
      <c r="N37" s="57">
        <v>0</v>
      </c>
      <c r="O37" s="57">
        <v>0</v>
      </c>
      <c r="P37" s="57">
        <v>0</v>
      </c>
      <c r="Q37" s="57">
        <v>0</v>
      </c>
      <c r="R37" s="57">
        <v>0</v>
      </c>
      <c r="S37" s="57">
        <v>0</v>
      </c>
      <c r="T37" s="57">
        <v>0</v>
      </c>
      <c r="U37" s="57">
        <v>5.4</v>
      </c>
      <c r="V37" s="57">
        <v>0</v>
      </c>
      <c r="W37" s="57">
        <v>0</v>
      </c>
      <c r="X37" s="57">
        <v>0</v>
      </c>
      <c r="Y37" s="57">
        <v>0</v>
      </c>
      <c r="Z37" s="264">
        <f t="shared" si="6"/>
        <v>0.54</v>
      </c>
      <c r="AA37" s="265">
        <f t="shared" si="7"/>
        <v>0.78360902255639076</v>
      </c>
    </row>
    <row r="38" spans="1:29">
      <c r="A38" s="56" t="s">
        <v>137</v>
      </c>
      <c r="B38" s="57">
        <v>0</v>
      </c>
      <c r="C38" s="57">
        <v>0</v>
      </c>
      <c r="D38" s="57">
        <v>0</v>
      </c>
      <c r="E38" s="57">
        <v>0</v>
      </c>
      <c r="F38" s="57">
        <v>0</v>
      </c>
      <c r="G38" s="57">
        <v>0</v>
      </c>
      <c r="H38" s="57">
        <v>0</v>
      </c>
      <c r="I38" s="57">
        <v>0</v>
      </c>
      <c r="J38" s="57">
        <v>0</v>
      </c>
      <c r="K38" s="57">
        <v>0</v>
      </c>
      <c r="L38" s="57">
        <v>0</v>
      </c>
      <c r="M38" s="57">
        <v>0</v>
      </c>
      <c r="N38" s="57">
        <v>0</v>
      </c>
      <c r="O38" s="57">
        <v>0</v>
      </c>
      <c r="P38" s="57">
        <v>0</v>
      </c>
      <c r="Q38" s="57">
        <v>0</v>
      </c>
      <c r="R38" s="57">
        <v>0</v>
      </c>
      <c r="S38" s="57">
        <v>0</v>
      </c>
      <c r="T38" s="57">
        <v>0</v>
      </c>
      <c r="U38" s="57">
        <v>0</v>
      </c>
      <c r="V38" s="57">
        <v>0</v>
      </c>
      <c r="W38" s="57">
        <v>0</v>
      </c>
      <c r="X38" s="57">
        <v>0</v>
      </c>
      <c r="Y38" s="57">
        <v>0</v>
      </c>
      <c r="Z38" s="264">
        <f t="shared" si="6"/>
        <v>0</v>
      </c>
      <c r="AA38" s="265">
        <f t="shared" si="7"/>
        <v>0</v>
      </c>
    </row>
    <row r="39" spans="1:29">
      <c r="A39" s="56" t="s">
        <v>138</v>
      </c>
      <c r="B39" s="57">
        <v>0</v>
      </c>
      <c r="C39" s="57">
        <v>0</v>
      </c>
      <c r="D39" s="57">
        <v>0</v>
      </c>
      <c r="E39" s="57">
        <v>0</v>
      </c>
      <c r="F39" s="57">
        <v>0</v>
      </c>
      <c r="G39" s="57">
        <v>0</v>
      </c>
      <c r="H39" s="57">
        <v>0</v>
      </c>
      <c r="I39" s="57">
        <v>0</v>
      </c>
      <c r="J39" s="57">
        <v>0</v>
      </c>
      <c r="K39" s="57">
        <v>0</v>
      </c>
      <c r="L39" s="57">
        <v>0</v>
      </c>
      <c r="M39" s="57">
        <v>0</v>
      </c>
      <c r="N39" s="57">
        <v>0</v>
      </c>
      <c r="O39" s="57">
        <v>0</v>
      </c>
      <c r="P39" s="57">
        <v>0</v>
      </c>
      <c r="Q39" s="57">
        <v>0</v>
      </c>
      <c r="R39" s="57">
        <v>0</v>
      </c>
      <c r="S39" s="57">
        <v>0</v>
      </c>
      <c r="T39" s="57">
        <v>0</v>
      </c>
      <c r="U39" s="57">
        <v>0</v>
      </c>
      <c r="V39" s="57">
        <v>0</v>
      </c>
      <c r="W39" s="57">
        <v>0</v>
      </c>
      <c r="X39" s="57">
        <v>0</v>
      </c>
      <c r="Y39" s="57">
        <v>0</v>
      </c>
      <c r="Z39" s="264">
        <f t="shared" si="6"/>
        <v>0</v>
      </c>
      <c r="AA39" s="265">
        <f t="shared" si="7"/>
        <v>0</v>
      </c>
    </row>
    <row r="40" spans="1:29">
      <c r="A40" s="56"/>
      <c r="B40" s="56"/>
      <c r="C40" s="56"/>
      <c r="D40" s="56"/>
      <c r="E40" s="56"/>
      <c r="F40" s="56"/>
      <c r="G40" s="56"/>
      <c r="H40" s="53"/>
      <c r="I40" s="53"/>
      <c r="R40" s="56"/>
      <c r="S40" s="56"/>
      <c r="T40" s="56"/>
      <c r="U40" s="56"/>
      <c r="V40" s="56"/>
      <c r="W40" s="56"/>
      <c r="X40" s="56"/>
      <c r="Y40" s="56"/>
      <c r="Z40" s="267"/>
      <c r="AA40" s="267"/>
    </row>
    <row r="41" spans="1:29">
      <c r="A41" s="272" t="s">
        <v>5</v>
      </c>
      <c r="B41" s="273">
        <f t="shared" ref="B41:V41" si="8">SUM(B28:B39)</f>
        <v>12</v>
      </c>
      <c r="C41" s="273">
        <f t="shared" si="8"/>
        <v>41.3</v>
      </c>
      <c r="D41" s="273">
        <f t="shared" si="8"/>
        <v>32.9</v>
      </c>
      <c r="E41" s="273">
        <f t="shared" si="8"/>
        <v>94.5</v>
      </c>
      <c r="F41" s="273">
        <f t="shared" si="8"/>
        <v>50.7</v>
      </c>
      <c r="G41" s="273">
        <f t="shared" si="8"/>
        <v>62</v>
      </c>
      <c r="H41" s="273">
        <f t="shared" si="8"/>
        <v>92.100000000000009</v>
      </c>
      <c r="I41" s="273">
        <f t="shared" si="8"/>
        <v>91.2</v>
      </c>
      <c r="J41" s="273">
        <f t="shared" si="8"/>
        <v>32.900000000000006</v>
      </c>
      <c r="K41" s="273">
        <f t="shared" si="8"/>
        <v>107.8</v>
      </c>
      <c r="L41" s="273">
        <f t="shared" si="8"/>
        <v>130.4</v>
      </c>
      <c r="M41" s="273">
        <f t="shared" si="8"/>
        <v>75.8</v>
      </c>
      <c r="N41" s="273">
        <f t="shared" si="8"/>
        <v>31.6</v>
      </c>
      <c r="O41" s="273">
        <f t="shared" si="8"/>
        <v>114.60000000000001</v>
      </c>
      <c r="P41" s="273">
        <f t="shared" si="8"/>
        <v>114.7</v>
      </c>
      <c r="Q41" s="273">
        <f t="shared" si="8"/>
        <v>90.6</v>
      </c>
      <c r="R41" s="273">
        <f t="shared" si="8"/>
        <v>55.900000000000006</v>
      </c>
      <c r="S41" s="273">
        <f t="shared" si="8"/>
        <v>33.4</v>
      </c>
      <c r="T41" s="273">
        <f t="shared" si="8"/>
        <v>111.4</v>
      </c>
      <c r="U41" s="273">
        <f t="shared" si="8"/>
        <v>114.20000000000002</v>
      </c>
      <c r="V41" s="273">
        <f t="shared" si="8"/>
        <v>116.60000000000001</v>
      </c>
      <c r="W41" s="273">
        <f t="shared" ref="W41:X41" si="9">SUM(W28:W39)</f>
        <v>75.300000000000011</v>
      </c>
      <c r="X41" s="273">
        <f t="shared" si="9"/>
        <v>26.7</v>
      </c>
      <c r="Y41" s="273">
        <f t="shared" ref="Y41" si="10">SUM(Y28:Y39)</f>
        <v>89.2</v>
      </c>
      <c r="Z41" s="273"/>
      <c r="AA41" s="58"/>
    </row>
    <row r="42" spans="1:29">
      <c r="A42" s="56"/>
      <c r="B42" s="56"/>
      <c r="C42" s="56"/>
      <c r="D42" s="56"/>
      <c r="E42" s="56"/>
      <c r="F42" s="53"/>
      <c r="G42" s="53"/>
      <c r="H42" s="53"/>
      <c r="I42" s="53"/>
      <c r="J42" s="53"/>
      <c r="K42" s="53"/>
      <c r="L42" s="53"/>
      <c r="M42" s="53"/>
      <c r="N42" s="53"/>
      <c r="O42" s="53"/>
      <c r="P42" s="53"/>
      <c r="Q42" s="53"/>
    </row>
    <row r="43" spans="1:29">
      <c r="A43" s="56"/>
      <c r="B43" s="56"/>
      <c r="C43" s="56"/>
      <c r="D43" s="56"/>
      <c r="E43" s="56"/>
      <c r="F43" s="53"/>
      <c r="G43" s="53"/>
      <c r="H43" s="53"/>
      <c r="I43" s="53"/>
    </row>
    <row r="44" spans="1:29">
      <c r="A44" s="52"/>
      <c r="B44" s="52"/>
      <c r="C44" s="52"/>
      <c r="D44" s="52"/>
      <c r="E44" s="52"/>
      <c r="F44" s="53"/>
      <c r="G44" s="53"/>
    </row>
  </sheetData>
  <mergeCells count="1">
    <mergeCell ref="E1:F1"/>
  </mergeCells>
  <pageMargins left="0.5" right="0.5" top="0.75" bottom="0.75" header="0.5" footer="0.5"/>
  <pageSetup paperSize="5" scale="73" orientation="landscape" r:id="rId1"/>
  <headerFooter alignWithMargins="0">
    <oddFooter>&amp;L&amp;8&amp;D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1"/>
  <sheetViews>
    <sheetView topLeftCell="A90" workbookViewId="0">
      <selection activeCell="B2" sqref="B2:M206"/>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4.42578125" style="23" hidden="1"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5" width="18" customWidth="1"/>
    <col min="16" max="16" width="19.140625" customWidth="1"/>
    <col min="17" max="17" width="18" customWidth="1"/>
    <col min="18" max="18" width="17.140625" customWidth="1"/>
    <col min="19" max="20" width="15.7109375" customWidth="1"/>
    <col min="21" max="21" width="14.140625" bestFit="1" customWidth="1"/>
    <col min="22" max="22" width="25.85546875" bestFit="1" customWidth="1"/>
    <col min="23" max="23" width="25.85546875" customWidth="1"/>
    <col min="24" max="24" width="19.28515625" bestFit="1" customWidth="1"/>
    <col min="25" max="25" width="19.140625" style="5" bestFit="1" customWidth="1"/>
    <col min="26" max="26" width="26.140625" style="5" bestFit="1" customWidth="1"/>
    <col min="27" max="27" width="23" style="5" bestFit="1" customWidth="1"/>
    <col min="28" max="28" width="14.7109375" style="5" bestFit="1" customWidth="1"/>
    <col min="29" max="29" width="20.140625" style="5" bestFit="1" customWidth="1"/>
    <col min="30" max="30" width="12.140625" style="5" bestFit="1" customWidth="1"/>
    <col min="31" max="31" width="21" style="5" bestFit="1" customWidth="1"/>
    <col min="32" max="32" width="13.140625" style="5" bestFit="1" customWidth="1"/>
    <col min="33" max="33" width="9.140625" style="5"/>
  </cols>
  <sheetData>
    <row r="1" spans="1:32">
      <c r="G1"/>
      <c r="H1" s="199" t="s">
        <v>76</v>
      </c>
      <c r="I1" s="199"/>
      <c r="J1" s="199"/>
    </row>
    <row r="2" spans="1:32" ht="42" customHeight="1">
      <c r="B2" s="261" t="s">
        <v>0</v>
      </c>
      <c r="C2" s="262" t="s">
        <v>1</v>
      </c>
      <c r="D2" s="262" t="s">
        <v>2</v>
      </c>
      <c r="E2" s="262" t="s">
        <v>3</v>
      </c>
      <c r="F2" s="262" t="s">
        <v>14</v>
      </c>
      <c r="G2" s="262" t="s">
        <v>56</v>
      </c>
      <c r="H2" s="263" t="s">
        <v>4</v>
      </c>
      <c r="I2" s="262" t="s">
        <v>49</v>
      </c>
      <c r="J2" s="262" t="s">
        <v>58</v>
      </c>
      <c r="K2" s="262" t="s">
        <v>6</v>
      </c>
      <c r="L2" s="262" t="s">
        <v>7</v>
      </c>
      <c r="M2" s="262" t="s">
        <v>8</v>
      </c>
      <c r="Y2"/>
      <c r="Z2"/>
      <c r="AA2"/>
      <c r="AB2"/>
      <c r="AC2"/>
      <c r="AD2"/>
      <c r="AE2"/>
      <c r="AF2"/>
    </row>
    <row r="3" spans="1:32" hidden="1">
      <c r="A3" s="2">
        <v>36161</v>
      </c>
      <c r="B3" s="284">
        <v>112653596.7</v>
      </c>
      <c r="C3" s="194">
        <f>'Weather Data'!B99</f>
        <v>994.7</v>
      </c>
      <c r="D3" s="194">
        <f>'Weather Data'!C99</f>
        <v>0</v>
      </c>
      <c r="E3" s="194">
        <v>31</v>
      </c>
      <c r="F3" s="194">
        <v>0</v>
      </c>
      <c r="G3" s="184">
        <v>0</v>
      </c>
      <c r="H3" s="195">
        <v>105.44819844915847</v>
      </c>
      <c r="I3" s="184">
        <v>41614</v>
      </c>
      <c r="J3" s="194">
        <v>319.92</v>
      </c>
      <c r="K3" s="194"/>
      <c r="L3" s="194"/>
      <c r="M3" s="285"/>
      <c r="Y3"/>
      <c r="Z3"/>
      <c r="AA3"/>
      <c r="AB3"/>
      <c r="AC3"/>
      <c r="AD3"/>
      <c r="AE3"/>
      <c r="AF3"/>
    </row>
    <row r="4" spans="1:32" hidden="1">
      <c r="A4" s="2">
        <v>36192</v>
      </c>
      <c r="B4" s="284">
        <v>91844790.5</v>
      </c>
      <c r="C4" s="194">
        <f>'Weather Data'!B100</f>
        <v>718.7</v>
      </c>
      <c r="D4" s="194">
        <f>'Weather Data'!C100</f>
        <v>0</v>
      </c>
      <c r="E4" s="194">
        <v>28</v>
      </c>
      <c r="F4" s="194">
        <v>0</v>
      </c>
      <c r="G4" s="184">
        <v>0</v>
      </c>
      <c r="H4" s="195">
        <v>106.08666118100913</v>
      </c>
      <c r="I4" s="184">
        <v>48381</v>
      </c>
      <c r="J4" s="194">
        <v>319.87200000000001</v>
      </c>
      <c r="K4" s="194"/>
      <c r="L4" s="194"/>
      <c r="M4" s="285"/>
      <c r="Y4"/>
      <c r="Z4"/>
      <c r="AA4"/>
      <c r="AB4"/>
      <c r="AC4"/>
      <c r="AD4"/>
      <c r="AE4"/>
      <c r="AF4"/>
    </row>
    <row r="5" spans="1:32" hidden="1">
      <c r="A5" s="2">
        <v>36220</v>
      </c>
      <c r="B5" s="284">
        <v>94187868.199999988</v>
      </c>
      <c r="C5" s="194">
        <f>'Weather Data'!B101</f>
        <v>710.1</v>
      </c>
      <c r="D5" s="194">
        <f>'Weather Data'!C101</f>
        <v>0</v>
      </c>
      <c r="E5" s="194">
        <v>31</v>
      </c>
      <c r="F5" s="194">
        <v>1</v>
      </c>
      <c r="G5" s="184">
        <v>0</v>
      </c>
      <c r="H5" s="195">
        <v>106.72898964661303</v>
      </c>
      <c r="I5" s="184">
        <v>48563</v>
      </c>
      <c r="J5" s="194">
        <v>368.28</v>
      </c>
      <c r="K5" s="194"/>
      <c r="L5" s="194"/>
      <c r="M5" s="285"/>
      <c r="Y5"/>
      <c r="Z5"/>
      <c r="AA5"/>
      <c r="AB5"/>
      <c r="AC5"/>
      <c r="AD5"/>
      <c r="AE5"/>
      <c r="AF5"/>
    </row>
    <row r="6" spans="1:32" hidden="1">
      <c r="A6" s="2">
        <v>36251</v>
      </c>
      <c r="B6" s="284">
        <v>83302866.800000012</v>
      </c>
      <c r="C6" s="194">
        <f>'Weather Data'!B102</f>
        <v>407.7</v>
      </c>
      <c r="D6" s="194">
        <f>'Weather Data'!C102</f>
        <v>0</v>
      </c>
      <c r="E6" s="194">
        <v>30</v>
      </c>
      <c r="F6" s="194">
        <v>1</v>
      </c>
      <c r="G6" s="184">
        <v>0</v>
      </c>
      <c r="H6" s="195">
        <v>107.37520725203085</v>
      </c>
      <c r="I6" s="184">
        <v>48520</v>
      </c>
      <c r="J6" s="194">
        <v>336.24</v>
      </c>
      <c r="K6" s="194"/>
      <c r="L6" s="194"/>
      <c r="M6" s="285"/>
      <c r="Y6"/>
      <c r="Z6"/>
      <c r="AA6"/>
      <c r="AB6"/>
      <c r="AC6"/>
      <c r="AD6"/>
      <c r="AE6"/>
      <c r="AF6"/>
    </row>
    <row r="7" spans="1:32" hidden="1">
      <c r="A7" s="2">
        <v>36281</v>
      </c>
      <c r="B7" s="284">
        <v>79992116</v>
      </c>
      <c r="C7" s="194">
        <f>'Weather Data'!B103</f>
        <v>224.7</v>
      </c>
      <c r="D7" s="194">
        <f>'Weather Data'!C103</f>
        <v>2.6</v>
      </c>
      <c r="E7" s="194">
        <v>31</v>
      </c>
      <c r="F7" s="194">
        <v>1</v>
      </c>
      <c r="G7" s="184">
        <v>0</v>
      </c>
      <c r="H7" s="195">
        <v>108.02533754504118</v>
      </c>
      <c r="I7" s="184">
        <v>48474</v>
      </c>
      <c r="J7" s="194">
        <v>319.92</v>
      </c>
      <c r="K7" s="194"/>
      <c r="L7" s="194"/>
      <c r="M7" s="285"/>
      <c r="Y7"/>
      <c r="Z7"/>
      <c r="AA7"/>
      <c r="AB7"/>
      <c r="AC7"/>
      <c r="AD7"/>
      <c r="AE7"/>
      <c r="AF7"/>
    </row>
    <row r="8" spans="1:32" hidden="1">
      <c r="A8" s="2">
        <v>36312</v>
      </c>
      <c r="B8" s="284">
        <v>77505956.700000003</v>
      </c>
      <c r="C8" s="194">
        <f>'Weather Data'!B104</f>
        <v>91.9</v>
      </c>
      <c r="D8" s="194">
        <f>'Weather Data'!C104</f>
        <v>11.4</v>
      </c>
      <c r="E8" s="194">
        <v>30</v>
      </c>
      <c r="F8" s="194">
        <v>0</v>
      </c>
      <c r="G8" s="184">
        <v>0</v>
      </c>
      <c r="H8" s="195">
        <v>108.6794042159986</v>
      </c>
      <c r="I8" s="184">
        <v>48444</v>
      </c>
      <c r="J8" s="194">
        <v>352.08</v>
      </c>
      <c r="K8" s="194"/>
      <c r="L8" s="194"/>
      <c r="M8" s="285"/>
      <c r="Y8"/>
      <c r="Z8"/>
      <c r="AA8"/>
      <c r="AB8"/>
      <c r="AC8"/>
      <c r="AD8"/>
      <c r="AE8"/>
      <c r="AF8"/>
    </row>
    <row r="9" spans="1:32" hidden="1">
      <c r="A9" s="2">
        <v>36342</v>
      </c>
      <c r="B9" s="284">
        <v>82122401</v>
      </c>
      <c r="C9" s="194">
        <f>'Weather Data'!B105</f>
        <v>24.2</v>
      </c>
      <c r="D9" s="194">
        <f>'Weather Data'!C105</f>
        <v>59.3</v>
      </c>
      <c r="E9" s="194">
        <v>31</v>
      </c>
      <c r="F9" s="194">
        <v>0</v>
      </c>
      <c r="G9" s="184">
        <v>0</v>
      </c>
      <c r="H9" s="195">
        <v>109.33743109869688</v>
      </c>
      <c r="I9" s="184">
        <v>48601</v>
      </c>
      <c r="J9" s="194">
        <v>336.28800000000001</v>
      </c>
      <c r="K9" s="194"/>
      <c r="L9" s="194"/>
      <c r="M9" s="285"/>
      <c r="Y9"/>
      <c r="Z9"/>
      <c r="AA9"/>
      <c r="AB9"/>
      <c r="AC9"/>
      <c r="AD9"/>
      <c r="AE9"/>
      <c r="AF9"/>
    </row>
    <row r="10" spans="1:32" hidden="1">
      <c r="A10" s="2">
        <v>36373</v>
      </c>
      <c r="B10" s="284">
        <v>78031999</v>
      </c>
      <c r="C10" s="194">
        <f>'Weather Data'!B106</f>
        <v>74</v>
      </c>
      <c r="D10" s="194">
        <f>'Weather Data'!C106</f>
        <v>12.2</v>
      </c>
      <c r="E10" s="194">
        <v>31</v>
      </c>
      <c r="F10" s="194">
        <v>0</v>
      </c>
      <c r="G10" s="184">
        <v>0</v>
      </c>
      <c r="H10" s="195">
        <v>109.99944217123755</v>
      </c>
      <c r="I10" s="184">
        <v>48623</v>
      </c>
      <c r="J10" s="194">
        <v>336.28800000000001</v>
      </c>
      <c r="K10" s="194"/>
      <c r="L10" s="194"/>
      <c r="M10" s="285"/>
      <c r="Y10"/>
      <c r="Z10"/>
      <c r="AA10"/>
      <c r="AB10"/>
      <c r="AC10"/>
      <c r="AD10"/>
      <c r="AE10"/>
      <c r="AF10"/>
    </row>
    <row r="11" spans="1:32" hidden="1">
      <c r="A11" s="2">
        <v>36404</v>
      </c>
      <c r="B11" s="284">
        <v>69444119.299999997</v>
      </c>
      <c r="C11" s="194">
        <f>'Weather Data'!B107</f>
        <v>194</v>
      </c>
      <c r="D11" s="194">
        <f>'Weather Data'!C107</f>
        <v>5.7</v>
      </c>
      <c r="E11" s="194">
        <v>30</v>
      </c>
      <c r="F11" s="194">
        <v>1</v>
      </c>
      <c r="G11" s="184">
        <v>0</v>
      </c>
      <c r="H11" s="195">
        <v>110.66546155690358</v>
      </c>
      <c r="I11" s="184">
        <v>48713</v>
      </c>
      <c r="J11" s="194">
        <v>336.24</v>
      </c>
      <c r="K11" s="194"/>
      <c r="L11" s="194"/>
      <c r="M11" s="285"/>
      <c r="Y11"/>
      <c r="Z11"/>
      <c r="AA11"/>
      <c r="AB11"/>
      <c r="AC11"/>
      <c r="AD11"/>
      <c r="AE11"/>
      <c r="AF11"/>
    </row>
    <row r="12" spans="1:32" hidden="1">
      <c r="A12" s="2">
        <v>36434</v>
      </c>
      <c r="B12" s="284">
        <v>84165425.299999997</v>
      </c>
      <c r="C12" s="194">
        <f>'Weather Data'!B108</f>
        <v>423.1</v>
      </c>
      <c r="D12" s="194">
        <f>'Weather Data'!C108</f>
        <v>0</v>
      </c>
      <c r="E12" s="194">
        <v>31</v>
      </c>
      <c r="F12" s="194">
        <v>1</v>
      </c>
      <c r="G12" s="184">
        <v>0</v>
      </c>
      <c r="H12" s="195">
        <v>111.33551352503846</v>
      </c>
      <c r="I12" s="184">
        <v>48678</v>
      </c>
      <c r="J12" s="194">
        <v>319.92</v>
      </c>
      <c r="K12" s="194"/>
      <c r="L12" s="194"/>
      <c r="M12" s="285"/>
      <c r="Y12"/>
      <c r="Z12"/>
      <c r="AA12"/>
      <c r="AB12"/>
      <c r="AC12"/>
      <c r="AD12"/>
      <c r="AE12"/>
      <c r="AF12"/>
    </row>
    <row r="13" spans="1:32" hidden="1">
      <c r="A13" s="2">
        <v>36465</v>
      </c>
      <c r="B13" s="284">
        <v>89152255.599999994</v>
      </c>
      <c r="C13" s="194">
        <f>'Weather Data'!B109</f>
        <v>500.7</v>
      </c>
      <c r="D13" s="194">
        <f>'Weather Data'!C109</f>
        <v>0</v>
      </c>
      <c r="E13" s="194">
        <v>30</v>
      </c>
      <c r="F13" s="194">
        <v>1</v>
      </c>
      <c r="G13" s="184">
        <v>0</v>
      </c>
      <c r="H13" s="195">
        <v>112.00962249193054</v>
      </c>
      <c r="I13" s="184">
        <v>48672</v>
      </c>
      <c r="J13" s="194">
        <v>352.08</v>
      </c>
      <c r="K13" s="194"/>
      <c r="L13" s="194"/>
      <c r="M13" s="285"/>
      <c r="Y13"/>
      <c r="Z13"/>
      <c r="AA13"/>
      <c r="AB13"/>
      <c r="AC13"/>
      <c r="AD13"/>
      <c r="AE13"/>
      <c r="AF13"/>
    </row>
    <row r="14" spans="1:32" hidden="1">
      <c r="A14" s="2">
        <v>36495</v>
      </c>
      <c r="B14" s="284">
        <v>104140645</v>
      </c>
      <c r="C14" s="194">
        <f>'Weather Data'!B110</f>
        <v>817.1</v>
      </c>
      <c r="D14" s="194">
        <f>'Weather Data'!C110</f>
        <v>0</v>
      </c>
      <c r="E14" s="194">
        <v>31</v>
      </c>
      <c r="F14" s="194">
        <v>0</v>
      </c>
      <c r="G14" s="184">
        <v>0</v>
      </c>
      <c r="H14" s="195">
        <v>112.68781302170287</v>
      </c>
      <c r="I14" s="184">
        <v>48261</v>
      </c>
      <c r="J14" s="194">
        <v>336.28800000000001</v>
      </c>
      <c r="K14" s="194"/>
      <c r="L14" s="194"/>
      <c r="M14" s="285"/>
      <c r="Y14"/>
      <c r="Z14"/>
      <c r="AA14"/>
      <c r="AB14"/>
      <c r="AC14"/>
      <c r="AD14"/>
      <c r="AE14"/>
      <c r="AF14"/>
    </row>
    <row r="15" spans="1:32" hidden="1">
      <c r="A15" s="2">
        <v>36526</v>
      </c>
      <c r="B15" s="284">
        <v>107111200.5</v>
      </c>
      <c r="C15" s="194">
        <f>'Weather Data'!B111</f>
        <v>963.5</v>
      </c>
      <c r="D15" s="194">
        <f>'Weather Data'!C111</f>
        <v>0</v>
      </c>
      <c r="E15" s="194">
        <v>31</v>
      </c>
      <c r="F15" s="194">
        <v>0</v>
      </c>
      <c r="G15" s="184">
        <v>0</v>
      </c>
      <c r="H15" s="195">
        <v>113.20550742744629</v>
      </c>
      <c r="I15" s="184">
        <v>48558</v>
      </c>
      <c r="J15" s="194">
        <v>319.92</v>
      </c>
      <c r="K15" s="194"/>
      <c r="L15" s="194"/>
      <c r="M15" s="285"/>
      <c r="Y15"/>
      <c r="Z15"/>
      <c r="AA15"/>
      <c r="AB15"/>
      <c r="AC15"/>
      <c r="AD15"/>
      <c r="AE15"/>
      <c r="AF15"/>
    </row>
    <row r="16" spans="1:32" hidden="1">
      <c r="A16" s="2">
        <v>36557</v>
      </c>
      <c r="B16" s="284">
        <v>93736958.200000003</v>
      </c>
      <c r="C16" s="194">
        <f>'Weather Data'!B112</f>
        <v>711.5</v>
      </c>
      <c r="D16" s="194">
        <f>'Weather Data'!C112</f>
        <v>0</v>
      </c>
      <c r="E16" s="194">
        <v>29</v>
      </c>
      <c r="F16" s="194">
        <v>0</v>
      </c>
      <c r="G16" s="184">
        <v>0</v>
      </c>
      <c r="H16" s="195">
        <v>113.72558015157706</v>
      </c>
      <c r="I16" s="184">
        <v>48571</v>
      </c>
      <c r="J16" s="194">
        <v>336.16799999999995</v>
      </c>
      <c r="K16" s="194"/>
      <c r="L16" s="194"/>
      <c r="M16" s="285"/>
      <c r="Y16"/>
      <c r="Z16"/>
      <c r="AA16"/>
      <c r="AB16"/>
      <c r="AC16"/>
      <c r="AD16"/>
      <c r="AE16"/>
      <c r="AF16"/>
    </row>
    <row r="17" spans="1:32" ht="15" hidden="1" customHeight="1">
      <c r="A17" s="2">
        <v>36586</v>
      </c>
      <c r="B17" s="284">
        <v>90806909.799999997</v>
      </c>
      <c r="C17" s="194">
        <f>'Weather Data'!B113</f>
        <v>574.6</v>
      </c>
      <c r="D17" s="194">
        <f>'Weather Data'!C113</f>
        <v>0</v>
      </c>
      <c r="E17" s="194">
        <v>31</v>
      </c>
      <c r="F17" s="194">
        <v>1</v>
      </c>
      <c r="G17" s="184">
        <v>0</v>
      </c>
      <c r="H17" s="195">
        <v>114.24804212022897</v>
      </c>
      <c r="I17" s="184">
        <v>48618</v>
      </c>
      <c r="J17" s="194">
        <v>368.28</v>
      </c>
      <c r="K17" s="194"/>
      <c r="L17" s="194"/>
      <c r="M17" s="285"/>
      <c r="Y17"/>
      <c r="Z17"/>
      <c r="AA17"/>
      <c r="AB17"/>
      <c r="AC17"/>
      <c r="AD17"/>
      <c r="AE17"/>
      <c r="AF17"/>
    </row>
    <row r="18" spans="1:32" hidden="1">
      <c r="A18" s="2">
        <v>36617</v>
      </c>
      <c r="B18" s="284">
        <v>83542339.300000012</v>
      </c>
      <c r="C18" s="194">
        <f>'Weather Data'!B114</f>
        <v>485.6</v>
      </c>
      <c r="D18" s="194">
        <f>'Weather Data'!C114</f>
        <v>0</v>
      </c>
      <c r="E18" s="194">
        <v>30</v>
      </c>
      <c r="F18" s="194">
        <v>1</v>
      </c>
      <c r="G18" s="184">
        <v>0</v>
      </c>
      <c r="H18" s="195">
        <v>114.77290430973115</v>
      </c>
      <c r="I18" s="184">
        <v>48673</v>
      </c>
      <c r="J18" s="194">
        <v>303.83999999999997</v>
      </c>
      <c r="K18" s="194"/>
      <c r="L18" s="194"/>
      <c r="M18" s="285"/>
      <c r="Y18"/>
      <c r="Z18"/>
      <c r="AA18"/>
      <c r="AB18"/>
      <c r="AC18"/>
      <c r="AD18"/>
      <c r="AE18"/>
      <c r="AF18"/>
    </row>
    <row r="19" spans="1:32" hidden="1">
      <c r="A19" s="2">
        <v>36647</v>
      </c>
      <c r="B19" s="284">
        <v>79464457.200000003</v>
      </c>
      <c r="C19" s="194">
        <f>'Weather Data'!B115</f>
        <v>260.5</v>
      </c>
      <c r="D19" s="194">
        <f>'Weather Data'!C115</f>
        <v>0</v>
      </c>
      <c r="E19" s="194">
        <v>31</v>
      </c>
      <c r="F19" s="194">
        <v>1</v>
      </c>
      <c r="G19" s="184">
        <v>0</v>
      </c>
      <c r="H19" s="195">
        <v>115.30017774683859</v>
      </c>
      <c r="I19" s="184">
        <v>48729</v>
      </c>
      <c r="J19" s="194">
        <v>351.91199999999998</v>
      </c>
      <c r="K19" s="194"/>
      <c r="L19" s="194"/>
      <c r="M19" s="285"/>
      <c r="Y19"/>
      <c r="Z19"/>
      <c r="AA19"/>
      <c r="AB19"/>
      <c r="AC19"/>
      <c r="AD19"/>
      <c r="AE19"/>
      <c r="AF19"/>
    </row>
    <row r="20" spans="1:32" hidden="1">
      <c r="A20" s="2">
        <v>36678</v>
      </c>
      <c r="B20" s="284">
        <v>75943872.5</v>
      </c>
      <c r="C20" s="194">
        <f>'Weather Data'!B116</f>
        <v>155.69999999999999</v>
      </c>
      <c r="D20" s="194">
        <f>'Weather Data'!C116</f>
        <v>2.2999999999999998</v>
      </c>
      <c r="E20" s="194">
        <v>30</v>
      </c>
      <c r="F20" s="194">
        <v>0</v>
      </c>
      <c r="G20" s="184">
        <v>0</v>
      </c>
      <c r="H20" s="195">
        <v>115.82987350896386</v>
      </c>
      <c r="I20" s="184">
        <v>48584</v>
      </c>
      <c r="J20" s="194">
        <v>352.08</v>
      </c>
      <c r="K20" s="194"/>
      <c r="L20" s="194"/>
      <c r="M20" s="285"/>
      <c r="Y20"/>
      <c r="Z20"/>
      <c r="AA20"/>
      <c r="AB20"/>
      <c r="AC20"/>
      <c r="AD20"/>
      <c r="AE20"/>
      <c r="AF20"/>
    </row>
    <row r="21" spans="1:32" hidden="1">
      <c r="A21" s="2">
        <v>36708</v>
      </c>
      <c r="B21" s="284">
        <v>78797711</v>
      </c>
      <c r="C21" s="194">
        <f>'Weather Data'!B117</f>
        <v>55.7</v>
      </c>
      <c r="D21" s="194">
        <f>'Weather Data'!C117</f>
        <v>20.8</v>
      </c>
      <c r="E21" s="194">
        <v>31</v>
      </c>
      <c r="F21" s="194">
        <v>0</v>
      </c>
      <c r="G21" s="184">
        <v>0</v>
      </c>
      <c r="H21" s="195">
        <v>116.36200272440982</v>
      </c>
      <c r="I21" s="184">
        <v>48481</v>
      </c>
      <c r="J21" s="194">
        <v>319.92</v>
      </c>
      <c r="K21" s="194"/>
      <c r="L21" s="194"/>
      <c r="M21" s="285"/>
      <c r="Y21"/>
      <c r="Z21"/>
      <c r="AA21"/>
      <c r="AB21"/>
      <c r="AC21"/>
      <c r="AD21"/>
      <c r="AE21"/>
      <c r="AF21"/>
    </row>
    <row r="22" spans="1:32" hidden="1">
      <c r="A22" s="2">
        <v>36739</v>
      </c>
      <c r="B22" s="284">
        <v>75332986.099999994</v>
      </c>
      <c r="C22" s="194">
        <f>'Weather Data'!B118</f>
        <v>63.4</v>
      </c>
      <c r="D22" s="194">
        <f>'Weather Data'!C118</f>
        <v>9.8000000000000007</v>
      </c>
      <c r="E22" s="194">
        <v>31</v>
      </c>
      <c r="F22" s="194">
        <v>0</v>
      </c>
      <c r="G22" s="184">
        <v>0</v>
      </c>
      <c r="H22" s="195">
        <v>116.89657657260338</v>
      </c>
      <c r="I22" s="184">
        <v>48676</v>
      </c>
      <c r="J22" s="194">
        <v>351.91199999999998</v>
      </c>
      <c r="K22" s="194"/>
      <c r="L22" s="194"/>
      <c r="M22" s="285"/>
      <c r="Y22"/>
      <c r="Z22"/>
      <c r="AA22"/>
      <c r="AB22"/>
      <c r="AC22"/>
      <c r="AD22"/>
      <c r="AE22"/>
      <c r="AF22"/>
    </row>
    <row r="23" spans="1:32" hidden="1">
      <c r="A23" s="2">
        <v>36770</v>
      </c>
      <c r="B23" s="284">
        <v>67696548</v>
      </c>
      <c r="C23" s="194">
        <f>'Weather Data'!B119</f>
        <v>223.3</v>
      </c>
      <c r="D23" s="194">
        <f>'Weather Data'!C119</f>
        <v>0</v>
      </c>
      <c r="E23" s="194">
        <v>30</v>
      </c>
      <c r="F23" s="194">
        <v>1</v>
      </c>
      <c r="G23" s="184">
        <v>0</v>
      </c>
      <c r="H23" s="195">
        <v>117.43360628433041</v>
      </c>
      <c r="I23" s="184">
        <v>48938</v>
      </c>
      <c r="J23" s="194">
        <v>319.68</v>
      </c>
      <c r="K23" s="194"/>
      <c r="L23" s="194"/>
      <c r="M23" s="285"/>
      <c r="Y23"/>
      <c r="Z23"/>
      <c r="AA23"/>
      <c r="AB23"/>
      <c r="AC23"/>
      <c r="AD23"/>
      <c r="AE23"/>
      <c r="AF23"/>
    </row>
    <row r="24" spans="1:32" hidden="1">
      <c r="A24" s="2">
        <v>36800</v>
      </c>
      <c r="B24" s="284">
        <v>83136508</v>
      </c>
      <c r="C24" s="194">
        <f>'Weather Data'!B120</f>
        <v>372.2</v>
      </c>
      <c r="D24" s="194">
        <f>'Weather Data'!C120</f>
        <v>0</v>
      </c>
      <c r="E24" s="194">
        <v>31</v>
      </c>
      <c r="F24" s="194">
        <v>1</v>
      </c>
      <c r="G24" s="184">
        <v>0</v>
      </c>
      <c r="H24" s="195">
        <v>117.97310314197166</v>
      </c>
      <c r="I24" s="184">
        <v>48705</v>
      </c>
      <c r="J24" s="194">
        <v>336.28800000000001</v>
      </c>
      <c r="K24" s="194"/>
      <c r="L24" s="194"/>
      <c r="M24" s="285"/>
      <c r="Y24"/>
      <c r="Z24"/>
      <c r="AA24"/>
      <c r="AB24"/>
      <c r="AC24"/>
      <c r="AD24"/>
      <c r="AE24"/>
      <c r="AF24"/>
    </row>
    <row r="25" spans="1:32" hidden="1">
      <c r="A25" s="2">
        <v>36831</v>
      </c>
      <c r="B25" s="284">
        <v>92345974.900000006</v>
      </c>
      <c r="C25" s="194">
        <f>'Weather Data'!B121</f>
        <v>561.6</v>
      </c>
      <c r="D25" s="194">
        <f>'Weather Data'!C121</f>
        <v>0</v>
      </c>
      <c r="E25" s="194">
        <v>30</v>
      </c>
      <c r="F25" s="194">
        <v>1</v>
      </c>
      <c r="G25" s="184">
        <v>0</v>
      </c>
      <c r="H25" s="195">
        <v>118.51507847973981</v>
      </c>
      <c r="I25" s="184">
        <v>48721</v>
      </c>
      <c r="J25" s="194">
        <v>352.08</v>
      </c>
      <c r="K25" s="194"/>
      <c r="L25" s="194"/>
      <c r="M25" s="285"/>
      <c r="Y25"/>
      <c r="Z25"/>
      <c r="AA25"/>
      <c r="AB25"/>
      <c r="AC25"/>
      <c r="AD25"/>
      <c r="AE25"/>
      <c r="AF25"/>
    </row>
    <row r="26" spans="1:32" hidden="1">
      <c r="A26" s="2">
        <v>36861</v>
      </c>
      <c r="B26" s="284">
        <v>115028093.5</v>
      </c>
      <c r="C26" s="194">
        <f>'Weather Data'!B122</f>
        <v>1041.3</v>
      </c>
      <c r="D26" s="194">
        <f>'Weather Data'!C122</f>
        <v>0</v>
      </c>
      <c r="E26" s="194">
        <v>31</v>
      </c>
      <c r="F26" s="194">
        <v>0</v>
      </c>
      <c r="G26" s="184">
        <v>0</v>
      </c>
      <c r="H26" s="195">
        <v>119.05954368391765</v>
      </c>
      <c r="I26" s="184">
        <v>48735</v>
      </c>
      <c r="J26" s="194">
        <v>304.29599999999999</v>
      </c>
      <c r="K26" s="194"/>
      <c r="L26" s="194"/>
      <c r="M26" s="285"/>
      <c r="Y26"/>
      <c r="Z26"/>
      <c r="AA26"/>
      <c r="AB26"/>
      <c r="AC26"/>
      <c r="AD26"/>
      <c r="AE26"/>
      <c r="AF26"/>
    </row>
    <row r="27" spans="1:32" hidden="1">
      <c r="A27" s="2">
        <v>36892</v>
      </c>
      <c r="B27" s="284">
        <v>105962994.40000001</v>
      </c>
      <c r="C27" s="194">
        <f>'Weather Data'!B123</f>
        <v>898.8</v>
      </c>
      <c r="D27" s="194">
        <f>'Weather Data'!C123</f>
        <v>0</v>
      </c>
      <c r="E27" s="194">
        <v>31</v>
      </c>
      <c r="F27" s="194">
        <v>0</v>
      </c>
      <c r="G27" s="184">
        <v>0</v>
      </c>
      <c r="H27" s="195">
        <v>119.23206305749976</v>
      </c>
      <c r="I27" s="184">
        <v>48633</v>
      </c>
      <c r="J27" s="194">
        <v>351.91199999999998</v>
      </c>
      <c r="K27" s="194"/>
      <c r="L27" s="194"/>
      <c r="M27" s="285"/>
      <c r="Y27"/>
      <c r="Z27"/>
      <c r="AA27"/>
      <c r="AB27"/>
      <c r="AC27"/>
      <c r="AD27"/>
      <c r="AE27"/>
      <c r="AF27"/>
    </row>
    <row r="28" spans="1:32" hidden="1">
      <c r="A28" s="2">
        <v>36925</v>
      </c>
      <c r="B28" s="284">
        <v>95758180</v>
      </c>
      <c r="C28" s="194">
        <f>'Weather Data'!B124</f>
        <v>918.9</v>
      </c>
      <c r="D28" s="194">
        <f>'Weather Data'!C124</f>
        <v>0</v>
      </c>
      <c r="E28" s="194">
        <v>28</v>
      </c>
      <c r="F28" s="194">
        <v>0</v>
      </c>
      <c r="G28" s="184">
        <v>0</v>
      </c>
      <c r="H28" s="195">
        <v>119.40483241468957</v>
      </c>
      <c r="I28" s="184">
        <v>48668</v>
      </c>
      <c r="J28" s="194">
        <v>319.87200000000001</v>
      </c>
      <c r="K28" s="194"/>
      <c r="L28" s="194"/>
      <c r="M28" s="285"/>
      <c r="Y28"/>
      <c r="Z28"/>
      <c r="AA28"/>
      <c r="AB28"/>
      <c r="AC28"/>
      <c r="AD28"/>
      <c r="AE28"/>
      <c r="AF28"/>
    </row>
    <row r="29" spans="1:32" hidden="1">
      <c r="A29" s="2">
        <v>36958</v>
      </c>
      <c r="B29" s="284">
        <v>94701570.700000003</v>
      </c>
      <c r="C29" s="194">
        <f>'Weather Data'!B125</f>
        <v>702.7</v>
      </c>
      <c r="D29" s="194">
        <f>'Weather Data'!C125</f>
        <v>0</v>
      </c>
      <c r="E29" s="194">
        <v>31</v>
      </c>
      <c r="F29" s="194">
        <v>1</v>
      </c>
      <c r="G29" s="184">
        <v>0</v>
      </c>
      <c r="H29" s="195">
        <v>119.57785211771773</v>
      </c>
      <c r="I29" s="184">
        <v>48701</v>
      </c>
      <c r="J29" s="194">
        <v>351.91199999999998</v>
      </c>
      <c r="K29" s="194"/>
      <c r="L29" s="194"/>
      <c r="M29" s="285"/>
      <c r="Y29"/>
      <c r="Z29"/>
      <c r="AA29"/>
      <c r="AB29"/>
      <c r="AC29"/>
      <c r="AD29"/>
      <c r="AE29"/>
      <c r="AF29"/>
    </row>
    <row r="30" spans="1:32" hidden="1">
      <c r="A30" s="2">
        <v>36991</v>
      </c>
      <c r="B30" s="284">
        <v>85485176.099999994</v>
      </c>
      <c r="C30" s="194">
        <f>'Weather Data'!B126</f>
        <v>430.7</v>
      </c>
      <c r="D30" s="194">
        <f>'Weather Data'!C126</f>
        <v>0</v>
      </c>
      <c r="E30" s="194">
        <v>30</v>
      </c>
      <c r="F30" s="194">
        <v>1</v>
      </c>
      <c r="G30" s="184">
        <v>0</v>
      </c>
      <c r="H30" s="195">
        <v>119.75112252933975</v>
      </c>
      <c r="I30" s="184">
        <v>48644</v>
      </c>
      <c r="J30" s="194">
        <v>319.68</v>
      </c>
      <c r="K30" s="194"/>
      <c r="L30" s="194"/>
      <c r="M30" s="285"/>
      <c r="Y30"/>
      <c r="Z30"/>
      <c r="AA30"/>
      <c r="AB30"/>
      <c r="AC30"/>
      <c r="AD30"/>
      <c r="AE30"/>
      <c r="AF30"/>
    </row>
    <row r="31" spans="1:32" hidden="1">
      <c r="A31" s="2">
        <v>37024</v>
      </c>
      <c r="B31" s="284">
        <v>80081468.5</v>
      </c>
      <c r="C31" s="194">
        <f>'Weather Data'!B127</f>
        <v>239.9</v>
      </c>
      <c r="D31" s="194">
        <f>'Weather Data'!C127</f>
        <v>0</v>
      </c>
      <c r="E31" s="194">
        <v>31</v>
      </c>
      <c r="F31" s="194">
        <v>1</v>
      </c>
      <c r="G31" s="184">
        <v>0</v>
      </c>
      <c r="H31" s="195">
        <v>119.92464401283681</v>
      </c>
      <c r="I31" s="184">
        <v>48728</v>
      </c>
      <c r="J31" s="194">
        <v>351.91199999999998</v>
      </c>
      <c r="K31" s="194"/>
      <c r="L31" s="194"/>
      <c r="M31" s="285"/>
      <c r="Y31"/>
      <c r="Z31"/>
      <c r="AA31"/>
      <c r="AB31"/>
      <c r="AC31"/>
      <c r="AD31"/>
      <c r="AE31"/>
      <c r="AF31"/>
    </row>
    <row r="32" spans="1:32" hidden="1">
      <c r="A32" s="2">
        <v>37057</v>
      </c>
      <c r="B32" s="284">
        <v>77568366.300000012</v>
      </c>
      <c r="C32" s="194">
        <f>'Weather Data'!B128</f>
        <v>114</v>
      </c>
      <c r="D32" s="194">
        <f>'Weather Data'!C128</f>
        <v>15.2</v>
      </c>
      <c r="E32" s="194">
        <v>30</v>
      </c>
      <c r="F32" s="194">
        <v>0</v>
      </c>
      <c r="G32" s="184">
        <v>0</v>
      </c>
      <c r="H32" s="195">
        <v>120.09841693201646</v>
      </c>
      <c r="I32" s="184">
        <v>48820</v>
      </c>
      <c r="J32" s="194">
        <v>336.24</v>
      </c>
      <c r="K32" s="194"/>
      <c r="L32" s="194"/>
      <c r="M32" s="285"/>
      <c r="Y32"/>
      <c r="Z32"/>
      <c r="AA32"/>
      <c r="AB32"/>
      <c r="AC32"/>
      <c r="AD32"/>
      <c r="AE32"/>
      <c r="AF32"/>
    </row>
    <row r="33" spans="1:32" hidden="1">
      <c r="A33" s="2">
        <v>37090</v>
      </c>
      <c r="B33" s="284">
        <v>79435703</v>
      </c>
      <c r="C33" s="194">
        <f>'Weather Data'!B129</f>
        <v>67.2</v>
      </c>
      <c r="D33" s="194">
        <f>'Weather Data'!C129</f>
        <v>29.7</v>
      </c>
      <c r="E33" s="194">
        <v>31</v>
      </c>
      <c r="F33" s="194">
        <v>0</v>
      </c>
      <c r="G33" s="184">
        <v>0</v>
      </c>
      <c r="H33" s="195">
        <v>120.27244165121344</v>
      </c>
      <c r="I33" s="184">
        <v>48604</v>
      </c>
      <c r="J33" s="194">
        <v>336.28800000000001</v>
      </c>
      <c r="K33" s="194"/>
      <c r="L33" s="194"/>
      <c r="M33" s="285"/>
      <c r="Y33"/>
      <c r="Z33"/>
      <c r="AA33"/>
      <c r="AB33"/>
      <c r="AC33"/>
      <c r="AD33"/>
      <c r="AE33"/>
      <c r="AF33"/>
    </row>
    <row r="34" spans="1:32" hidden="1">
      <c r="A34" s="2">
        <v>37123</v>
      </c>
      <c r="B34" s="284">
        <v>83006555</v>
      </c>
      <c r="C34" s="194">
        <f>'Weather Data'!B130</f>
        <v>40.200000000000003</v>
      </c>
      <c r="D34" s="194">
        <f>'Weather Data'!C130</f>
        <v>56.1</v>
      </c>
      <c r="E34" s="194">
        <v>31</v>
      </c>
      <c r="F34" s="194">
        <v>0</v>
      </c>
      <c r="G34" s="184">
        <v>0</v>
      </c>
      <c r="H34" s="195">
        <v>120.4467185352904</v>
      </c>
      <c r="I34" s="184">
        <v>48723</v>
      </c>
      <c r="J34" s="194">
        <v>351.91199999999998</v>
      </c>
      <c r="K34" s="194"/>
      <c r="L34" s="194"/>
      <c r="M34" s="285"/>
      <c r="Y34"/>
      <c r="Z34"/>
      <c r="AA34"/>
      <c r="AB34"/>
      <c r="AC34"/>
      <c r="AD34"/>
      <c r="AE34"/>
      <c r="AF34"/>
    </row>
    <row r="35" spans="1:32" hidden="1">
      <c r="A35" s="2">
        <v>37156</v>
      </c>
      <c r="B35" s="284">
        <v>76565456</v>
      </c>
      <c r="C35" s="194">
        <f>'Weather Data'!B131</f>
        <v>187.7</v>
      </c>
      <c r="D35" s="194">
        <f>'Weather Data'!C131</f>
        <v>6.8</v>
      </c>
      <c r="E35" s="194">
        <v>30</v>
      </c>
      <c r="F35" s="194">
        <v>1</v>
      </c>
      <c r="G35" s="184">
        <v>0</v>
      </c>
      <c r="H35" s="195">
        <v>120.62124794963869</v>
      </c>
      <c r="I35" s="184">
        <v>48813</v>
      </c>
      <c r="J35" s="194">
        <v>303.83999999999997</v>
      </c>
      <c r="K35" s="194"/>
      <c r="L35" s="194"/>
      <c r="M35" s="285"/>
      <c r="Y35"/>
      <c r="Z35"/>
      <c r="AA35"/>
      <c r="AB35"/>
      <c r="AC35"/>
      <c r="AD35"/>
      <c r="AE35"/>
      <c r="AF35"/>
    </row>
    <row r="36" spans="1:32" hidden="1">
      <c r="A36" s="2">
        <v>37189</v>
      </c>
      <c r="B36" s="284">
        <v>85159042.199999988</v>
      </c>
      <c r="C36" s="194">
        <f>'Weather Data'!B132</f>
        <v>408.6</v>
      </c>
      <c r="D36" s="194">
        <f>'Weather Data'!C132</f>
        <v>0</v>
      </c>
      <c r="E36" s="194">
        <v>31</v>
      </c>
      <c r="F36" s="194">
        <v>1</v>
      </c>
      <c r="G36" s="184">
        <v>0</v>
      </c>
      <c r="H36" s="195">
        <v>120.79603026017911</v>
      </c>
      <c r="I36" s="184">
        <v>48832</v>
      </c>
      <c r="J36" s="194">
        <v>351.91199999999998</v>
      </c>
      <c r="K36" s="194"/>
      <c r="L36" s="194"/>
      <c r="M36" s="285"/>
      <c r="Y36"/>
      <c r="Z36"/>
      <c r="AA36"/>
      <c r="AB36"/>
      <c r="AC36"/>
      <c r="AD36"/>
      <c r="AE36"/>
      <c r="AF36"/>
    </row>
    <row r="37" spans="1:32" hidden="1">
      <c r="A37" s="2">
        <v>37222</v>
      </c>
      <c r="B37" s="284">
        <v>89719754.400000006</v>
      </c>
      <c r="C37" s="194">
        <f>'Weather Data'!B133</f>
        <v>458.8</v>
      </c>
      <c r="D37" s="194">
        <f>'Weather Data'!C133</f>
        <v>0</v>
      </c>
      <c r="E37" s="194">
        <v>30</v>
      </c>
      <c r="F37" s="194">
        <v>1</v>
      </c>
      <c r="G37" s="184">
        <v>0</v>
      </c>
      <c r="H37" s="195">
        <v>120.9710658333627</v>
      </c>
      <c r="I37" s="184">
        <v>48869</v>
      </c>
      <c r="J37" s="194">
        <v>352.08</v>
      </c>
      <c r="K37" s="194"/>
      <c r="L37" s="194"/>
      <c r="M37" s="285"/>
      <c r="Y37"/>
      <c r="Z37"/>
      <c r="AA37"/>
      <c r="AB37"/>
      <c r="AC37"/>
      <c r="AD37"/>
      <c r="AE37"/>
      <c r="AF37"/>
    </row>
    <row r="38" spans="1:32" hidden="1">
      <c r="A38" s="2">
        <v>37255</v>
      </c>
      <c r="B38" s="284">
        <v>101146790.90000001</v>
      </c>
      <c r="C38" s="194">
        <f>'Weather Data'!B134</f>
        <v>716.4</v>
      </c>
      <c r="D38" s="194">
        <f>'Weather Data'!C134</f>
        <v>0</v>
      </c>
      <c r="E38" s="194">
        <v>31</v>
      </c>
      <c r="F38" s="194">
        <v>0</v>
      </c>
      <c r="G38" s="184">
        <v>0</v>
      </c>
      <c r="H38" s="195">
        <v>121.1463550361714</v>
      </c>
      <c r="I38" s="184">
        <v>48759</v>
      </c>
      <c r="J38" s="194">
        <v>304.29599999999999</v>
      </c>
      <c r="K38" s="194"/>
      <c r="L38" s="194"/>
      <c r="M38" s="285"/>
      <c r="Y38"/>
      <c r="Z38"/>
      <c r="AA38"/>
      <c r="AB38"/>
      <c r="AC38"/>
      <c r="AD38"/>
      <c r="AE38"/>
      <c r="AF38"/>
    </row>
    <row r="39" spans="1:32" hidden="1">
      <c r="A39" s="8">
        <v>37275</v>
      </c>
      <c r="B39" s="284">
        <v>100881928.3</v>
      </c>
      <c r="C39" s="194">
        <f>'Weather Data'!B135</f>
        <v>873.9</v>
      </c>
      <c r="D39" s="194">
        <f>'Weather Data'!C135</f>
        <v>0</v>
      </c>
      <c r="E39" s="194">
        <v>31</v>
      </c>
      <c r="F39" s="194">
        <v>0</v>
      </c>
      <c r="G39" s="184">
        <v>0</v>
      </c>
      <c r="H39" s="195">
        <v>121.50450639216388</v>
      </c>
      <c r="I39" s="184">
        <v>48726</v>
      </c>
      <c r="J39" s="194">
        <v>351.91199999999998</v>
      </c>
      <c r="K39" s="194"/>
      <c r="L39" s="194"/>
      <c r="M39" s="285"/>
      <c r="Y39"/>
      <c r="Z39"/>
      <c r="AA39"/>
      <c r="AB39"/>
      <c r="AC39"/>
      <c r="AD39"/>
      <c r="AE39"/>
      <c r="AF39"/>
    </row>
    <row r="40" spans="1:32" hidden="1">
      <c r="A40" s="2">
        <v>37308</v>
      </c>
      <c r="B40" s="284">
        <v>104241221.3</v>
      </c>
      <c r="C40" s="194">
        <f>'Weather Data'!B136</f>
        <v>733</v>
      </c>
      <c r="D40" s="194">
        <f>'Weather Data'!C136</f>
        <v>0</v>
      </c>
      <c r="E40" s="194">
        <v>28</v>
      </c>
      <c r="F40" s="194">
        <v>0</v>
      </c>
      <c r="G40" s="184">
        <v>0</v>
      </c>
      <c r="H40" s="195">
        <v>121.86371656989111</v>
      </c>
      <c r="I40" s="184">
        <v>48703</v>
      </c>
      <c r="J40" s="194">
        <v>319.87200000000001</v>
      </c>
      <c r="K40" s="194"/>
      <c r="L40" s="194"/>
      <c r="M40" s="285"/>
      <c r="Y40"/>
      <c r="Z40"/>
      <c r="AA40"/>
      <c r="AB40"/>
      <c r="AC40"/>
      <c r="AD40"/>
      <c r="AE40"/>
      <c r="AF40"/>
    </row>
    <row r="41" spans="1:32" hidden="1">
      <c r="A41" s="2">
        <v>37341</v>
      </c>
      <c r="B41" s="284">
        <v>90436363.299999997</v>
      </c>
      <c r="C41" s="194">
        <f>'Weather Data'!B137</f>
        <v>804.7</v>
      </c>
      <c r="D41" s="194">
        <f>'Weather Data'!C137</f>
        <v>0</v>
      </c>
      <c r="E41" s="194">
        <v>31</v>
      </c>
      <c r="F41" s="194">
        <v>1</v>
      </c>
      <c r="G41" s="184">
        <v>0</v>
      </c>
      <c r="H41" s="195">
        <v>122.22398869960362</v>
      </c>
      <c r="I41" s="184">
        <v>48793</v>
      </c>
      <c r="J41" s="194">
        <v>319.92</v>
      </c>
      <c r="K41" s="194"/>
      <c r="L41" s="194"/>
      <c r="M41" s="285"/>
      <c r="Y41"/>
      <c r="Z41"/>
      <c r="AA41"/>
      <c r="AB41"/>
      <c r="AC41"/>
      <c r="AD41"/>
      <c r="AE41"/>
      <c r="AF41"/>
    </row>
    <row r="42" spans="1:32" hidden="1">
      <c r="A42" s="2">
        <v>37374</v>
      </c>
      <c r="B42" s="284">
        <v>86799127.299999997</v>
      </c>
      <c r="C42" s="194">
        <f>'Weather Data'!B138</f>
        <v>462.3</v>
      </c>
      <c r="D42" s="194">
        <f>'Weather Data'!C138</f>
        <v>0</v>
      </c>
      <c r="E42" s="194">
        <v>30</v>
      </c>
      <c r="F42" s="194">
        <v>1</v>
      </c>
      <c r="G42" s="184">
        <v>0</v>
      </c>
      <c r="H42" s="195">
        <v>122.58532592080604</v>
      </c>
      <c r="I42" s="184">
        <v>48808</v>
      </c>
      <c r="J42" s="194">
        <v>352.08</v>
      </c>
      <c r="K42" s="194"/>
      <c r="L42" s="194"/>
      <c r="M42" s="285"/>
      <c r="Y42"/>
      <c r="Z42"/>
      <c r="AA42"/>
      <c r="AB42"/>
      <c r="AC42"/>
      <c r="AD42"/>
      <c r="AE42"/>
      <c r="AF42"/>
    </row>
    <row r="43" spans="1:32" hidden="1">
      <c r="A43" s="2">
        <v>37407</v>
      </c>
      <c r="B43" s="284">
        <v>82768005.299999997</v>
      </c>
      <c r="C43" s="194">
        <f>'Weather Data'!B139</f>
        <v>335</v>
      </c>
      <c r="D43" s="194">
        <f>'Weather Data'!C139</f>
        <v>0.5</v>
      </c>
      <c r="E43" s="194">
        <v>31</v>
      </c>
      <c r="F43" s="194">
        <v>1</v>
      </c>
      <c r="G43" s="184">
        <v>0</v>
      </c>
      <c r="H43" s="195">
        <v>122.9477313822845</v>
      </c>
      <c r="I43" s="184">
        <v>48769</v>
      </c>
      <c r="J43" s="194">
        <v>351.91199999999998</v>
      </c>
      <c r="K43" s="194"/>
      <c r="L43" s="194"/>
      <c r="M43" s="285"/>
    </row>
    <row r="44" spans="1:32" hidden="1">
      <c r="A44" s="2">
        <v>37408</v>
      </c>
      <c r="B44" s="284">
        <v>76349685.299999997</v>
      </c>
      <c r="C44" s="194">
        <f>'Weather Data'!B140</f>
        <v>114.4</v>
      </c>
      <c r="D44" s="194">
        <f>'Weather Data'!C140</f>
        <v>14.2</v>
      </c>
      <c r="E44" s="194">
        <v>30</v>
      </c>
      <c r="F44" s="194">
        <v>0</v>
      </c>
      <c r="G44" s="184">
        <v>0</v>
      </c>
      <c r="H44" s="195">
        <v>123.31120824213403</v>
      </c>
      <c r="I44" s="184">
        <v>48799</v>
      </c>
      <c r="J44" s="194">
        <v>319.68</v>
      </c>
      <c r="K44" s="194"/>
      <c r="L44" s="194"/>
      <c r="M44" s="285"/>
    </row>
    <row r="45" spans="1:32" hidden="1">
      <c r="A45" s="2">
        <v>37440</v>
      </c>
      <c r="B45" s="284">
        <v>86502455.299999997</v>
      </c>
      <c r="C45" s="194">
        <f>'Weather Data'!B141</f>
        <v>17.899999999999999</v>
      </c>
      <c r="D45" s="194">
        <f>'Weather Data'!C141</f>
        <v>79.3</v>
      </c>
      <c r="E45" s="194">
        <v>31</v>
      </c>
      <c r="F45" s="194">
        <v>0</v>
      </c>
      <c r="G45" s="184">
        <v>0</v>
      </c>
      <c r="H45" s="195">
        <v>123.67575966778612</v>
      </c>
      <c r="I45" s="184">
        <v>48743</v>
      </c>
      <c r="J45" s="194">
        <v>351.91199999999998</v>
      </c>
      <c r="K45" s="194"/>
      <c r="L45" s="194"/>
      <c r="M45" s="285"/>
    </row>
    <row r="46" spans="1:32" hidden="1">
      <c r="A46" s="2">
        <v>37473</v>
      </c>
      <c r="B46" s="284">
        <v>79170605.299999997</v>
      </c>
      <c r="C46" s="194">
        <f>'Weather Data'!B142</f>
        <v>49.7</v>
      </c>
      <c r="D46" s="194">
        <f>'Weather Data'!C142</f>
        <v>15.5</v>
      </c>
      <c r="E46" s="194">
        <v>31</v>
      </c>
      <c r="F46" s="194">
        <v>0</v>
      </c>
      <c r="G46" s="184">
        <v>0</v>
      </c>
      <c r="H46" s="195">
        <v>124.04138883603632</v>
      </c>
      <c r="I46" s="184">
        <v>49094</v>
      </c>
      <c r="J46" s="194">
        <v>336.28800000000001</v>
      </c>
      <c r="K46" s="194"/>
      <c r="L46" s="194"/>
      <c r="M46" s="285"/>
    </row>
    <row r="47" spans="1:32" hidden="1">
      <c r="A47" s="2">
        <v>37506</v>
      </c>
      <c r="B47" s="284">
        <v>79953415.299999997</v>
      </c>
      <c r="C47" s="194">
        <f>'Weather Data'!B143</f>
        <v>143.5</v>
      </c>
      <c r="D47" s="194">
        <f>'Weather Data'!C143</f>
        <v>20.9</v>
      </c>
      <c r="E47" s="194">
        <v>30</v>
      </c>
      <c r="F47" s="194">
        <v>1</v>
      </c>
      <c r="G47" s="184">
        <v>0</v>
      </c>
      <c r="H47" s="195">
        <v>124.40809893307186</v>
      </c>
      <c r="I47" s="184">
        <v>48939</v>
      </c>
      <c r="J47" s="194">
        <v>319.68</v>
      </c>
      <c r="K47" s="194"/>
      <c r="L47" s="194"/>
      <c r="M47" s="285"/>
    </row>
    <row r="48" spans="1:32" hidden="1">
      <c r="A48" s="2">
        <v>37539</v>
      </c>
      <c r="B48" s="284">
        <v>89695545.299999997</v>
      </c>
      <c r="C48" s="194">
        <f>'Weather Data'!B144</f>
        <v>510.1</v>
      </c>
      <c r="D48" s="194">
        <f>'Weather Data'!C144</f>
        <v>0</v>
      </c>
      <c r="E48" s="194">
        <v>31</v>
      </c>
      <c r="F48" s="194">
        <v>1</v>
      </c>
      <c r="G48" s="184">
        <v>0</v>
      </c>
      <c r="H48" s="195">
        <v>124.7758931544995</v>
      </c>
      <c r="I48" s="184">
        <v>48931</v>
      </c>
      <c r="J48" s="194">
        <v>351.91199999999998</v>
      </c>
      <c r="K48" s="194"/>
      <c r="L48" s="194"/>
      <c r="M48" s="285"/>
    </row>
    <row r="49" spans="1:13" hidden="1">
      <c r="A49" s="2">
        <v>37572</v>
      </c>
      <c r="B49" s="284">
        <v>96385095.299999997</v>
      </c>
      <c r="C49" s="194">
        <f>'Weather Data'!B145</f>
        <v>668</v>
      </c>
      <c r="D49" s="194">
        <f>'Weather Data'!C145</f>
        <v>0</v>
      </c>
      <c r="E49" s="194">
        <v>30</v>
      </c>
      <c r="F49" s="194">
        <v>1</v>
      </c>
      <c r="G49" s="184">
        <v>0</v>
      </c>
      <c r="H49" s="195">
        <v>125.14477470537335</v>
      </c>
      <c r="I49" s="184">
        <v>49064</v>
      </c>
      <c r="J49" s="194">
        <v>336.24</v>
      </c>
      <c r="K49" s="194"/>
      <c r="L49" s="194"/>
      <c r="M49" s="285"/>
    </row>
    <row r="50" spans="1:13" hidden="1">
      <c r="A50" s="20">
        <v>37605</v>
      </c>
      <c r="B50" s="284">
        <v>104953125.3</v>
      </c>
      <c r="C50" s="194">
        <f>'Weather Data'!B146</f>
        <v>785.6</v>
      </c>
      <c r="D50" s="194">
        <f>'Weather Data'!C146</f>
        <v>0</v>
      </c>
      <c r="E50" s="184">
        <v>31</v>
      </c>
      <c r="F50" s="184">
        <v>0</v>
      </c>
      <c r="G50" s="184">
        <v>0</v>
      </c>
      <c r="H50" s="185">
        <v>125.51474680022261</v>
      </c>
      <c r="I50" s="184">
        <v>48869</v>
      </c>
      <c r="J50" s="194">
        <v>319.92</v>
      </c>
      <c r="K50" s="194"/>
      <c r="L50" s="194"/>
      <c r="M50" s="286"/>
    </row>
    <row r="51" spans="1:13" hidden="1">
      <c r="A51" s="2">
        <v>37622</v>
      </c>
      <c r="B51" s="284">
        <v>110117330.5</v>
      </c>
      <c r="C51" s="194">
        <f>'Weather Data'!B147</f>
        <v>907.4</v>
      </c>
      <c r="D51" s="194">
        <f>'Weather Data'!C147</f>
        <v>0</v>
      </c>
      <c r="E51" s="194">
        <v>31</v>
      </c>
      <c r="F51" s="194">
        <v>0</v>
      </c>
      <c r="G51" s="184">
        <v>0</v>
      </c>
      <c r="H51" s="195">
        <v>125.66024937363977</v>
      </c>
      <c r="I51" s="184">
        <v>48823</v>
      </c>
      <c r="J51" s="194">
        <v>351.91199999999998</v>
      </c>
      <c r="K51" s="194"/>
      <c r="L51" s="194"/>
      <c r="M51" s="285"/>
    </row>
    <row r="52" spans="1:13" hidden="1">
      <c r="A52" s="2">
        <v>37653</v>
      </c>
      <c r="B52" s="284">
        <v>99989942.900000006</v>
      </c>
      <c r="C52" s="194">
        <f>'Weather Data'!B148</f>
        <v>969.6</v>
      </c>
      <c r="D52" s="194">
        <f>'Weather Data'!C148</f>
        <v>0</v>
      </c>
      <c r="E52" s="194">
        <v>28</v>
      </c>
      <c r="F52" s="194">
        <v>0</v>
      </c>
      <c r="G52" s="184">
        <v>0</v>
      </c>
      <c r="H52" s="195">
        <v>125.80592062045517</v>
      </c>
      <c r="I52" s="184">
        <v>48686</v>
      </c>
      <c r="J52" s="194">
        <v>319.87200000000001</v>
      </c>
      <c r="K52" s="194"/>
      <c r="L52" s="194"/>
      <c r="M52" s="285"/>
    </row>
    <row r="53" spans="1:13" hidden="1">
      <c r="A53" s="2">
        <v>37681</v>
      </c>
      <c r="B53" s="284">
        <v>100611886.68000001</v>
      </c>
      <c r="C53" s="194">
        <f>'Weather Data'!B149</f>
        <v>765.1</v>
      </c>
      <c r="D53" s="194">
        <f>'Weather Data'!C149</f>
        <v>0</v>
      </c>
      <c r="E53" s="194">
        <v>31</v>
      </c>
      <c r="F53" s="194">
        <v>1</v>
      </c>
      <c r="G53" s="184">
        <v>0</v>
      </c>
      <c r="H53" s="195">
        <v>125.9517607362029</v>
      </c>
      <c r="I53" s="184">
        <v>48752</v>
      </c>
      <c r="J53" s="194">
        <v>336.28800000000001</v>
      </c>
      <c r="K53" s="194"/>
      <c r="L53" s="194"/>
      <c r="M53" s="285"/>
    </row>
    <row r="54" spans="1:13" hidden="1">
      <c r="A54" s="2">
        <v>37712</v>
      </c>
      <c r="B54" s="284">
        <v>87646201.5</v>
      </c>
      <c r="C54" s="194">
        <f>'Weather Data'!B150</f>
        <v>499.3</v>
      </c>
      <c r="D54" s="194">
        <f>'Weather Data'!C150</f>
        <v>0</v>
      </c>
      <c r="E54" s="194">
        <v>30</v>
      </c>
      <c r="F54" s="194">
        <v>1</v>
      </c>
      <c r="G54" s="184">
        <v>0</v>
      </c>
      <c r="H54" s="195">
        <v>126.09776991664374</v>
      </c>
      <c r="I54" s="184">
        <v>48864</v>
      </c>
      <c r="J54" s="194">
        <v>336.24</v>
      </c>
      <c r="K54" s="194"/>
      <c r="L54" s="194"/>
      <c r="M54" s="285"/>
    </row>
    <row r="55" spans="1:13" hidden="1">
      <c r="A55" s="2">
        <v>37742</v>
      </c>
      <c r="B55" s="284">
        <v>80569551.700000003</v>
      </c>
      <c r="C55" s="194">
        <f>'Weather Data'!B151</f>
        <v>276.39999999999998</v>
      </c>
      <c r="D55" s="194">
        <f>'Weather Data'!C151</f>
        <v>0</v>
      </c>
      <c r="E55" s="194">
        <v>31</v>
      </c>
      <c r="F55" s="194">
        <v>1</v>
      </c>
      <c r="G55" s="184">
        <v>0</v>
      </c>
      <c r="H55" s="195">
        <v>126.2439483577654</v>
      </c>
      <c r="I55" s="184">
        <v>49129</v>
      </c>
      <c r="J55" s="194">
        <v>336.28800000000001</v>
      </c>
      <c r="K55" s="194"/>
      <c r="L55" s="194"/>
      <c r="M55" s="285"/>
    </row>
    <row r="56" spans="1:13" hidden="1">
      <c r="A56" s="2">
        <v>37773</v>
      </c>
      <c r="B56" s="284">
        <v>76274568.700000003</v>
      </c>
      <c r="C56" s="194">
        <f>'Weather Data'!B152</f>
        <v>129.30000000000001</v>
      </c>
      <c r="D56" s="194">
        <f>'Weather Data'!C152</f>
        <v>0</v>
      </c>
      <c r="E56" s="194">
        <v>30</v>
      </c>
      <c r="F56" s="194">
        <v>0</v>
      </c>
      <c r="G56" s="184">
        <v>0</v>
      </c>
      <c r="H56" s="195">
        <v>126.3902962557828</v>
      </c>
      <c r="I56" s="184">
        <v>48856</v>
      </c>
      <c r="J56" s="194">
        <v>336.24</v>
      </c>
      <c r="K56" s="194"/>
      <c r="L56" s="194"/>
      <c r="M56" s="285"/>
    </row>
    <row r="57" spans="1:13" hidden="1">
      <c r="A57" s="2">
        <v>37803</v>
      </c>
      <c r="B57" s="284">
        <v>82862067</v>
      </c>
      <c r="C57" s="194">
        <f>'Weather Data'!B153</f>
        <v>29.9</v>
      </c>
      <c r="D57" s="194">
        <f>'Weather Data'!C153</f>
        <v>18.2</v>
      </c>
      <c r="E57" s="194">
        <v>31</v>
      </c>
      <c r="F57" s="194">
        <v>0</v>
      </c>
      <c r="G57" s="184">
        <v>0</v>
      </c>
      <c r="H57" s="195">
        <v>126.5368138071383</v>
      </c>
      <c r="I57" s="184">
        <v>48776</v>
      </c>
      <c r="J57" s="194">
        <v>351.91199999999998</v>
      </c>
      <c r="K57" s="194"/>
      <c r="L57" s="194"/>
      <c r="M57" s="285"/>
    </row>
    <row r="58" spans="1:13" hidden="1">
      <c r="A58" s="2">
        <v>37834</v>
      </c>
      <c r="B58" s="284">
        <v>84559303.400000006</v>
      </c>
      <c r="C58" s="194">
        <f>'Weather Data'!B154</f>
        <v>35.6</v>
      </c>
      <c r="D58" s="194">
        <f>'Weather Data'!C154</f>
        <v>50.9</v>
      </c>
      <c r="E58" s="194">
        <v>31</v>
      </c>
      <c r="F58" s="194">
        <v>0</v>
      </c>
      <c r="G58" s="184">
        <v>0</v>
      </c>
      <c r="H58" s="195">
        <v>126.68350120850199</v>
      </c>
      <c r="I58" s="184">
        <v>49114</v>
      </c>
      <c r="J58" s="194">
        <v>319.92</v>
      </c>
      <c r="K58" s="194"/>
      <c r="L58" s="194"/>
      <c r="M58" s="285"/>
    </row>
    <row r="59" spans="1:13" hidden="1">
      <c r="A59" s="2">
        <v>37865</v>
      </c>
      <c r="B59" s="284">
        <v>81130423.579999998</v>
      </c>
      <c r="C59" s="194">
        <f>'Weather Data'!B155</f>
        <v>164</v>
      </c>
      <c r="D59" s="194">
        <f>'Weather Data'!C155</f>
        <v>6.7</v>
      </c>
      <c r="E59" s="194">
        <v>30</v>
      </c>
      <c r="F59" s="194">
        <v>1</v>
      </c>
      <c r="G59" s="184">
        <v>0</v>
      </c>
      <c r="H59" s="195">
        <v>126.83035865677196</v>
      </c>
      <c r="I59" s="184">
        <v>49137</v>
      </c>
      <c r="J59" s="194">
        <v>336.24</v>
      </c>
      <c r="K59" s="194"/>
      <c r="L59" s="194"/>
      <c r="M59" s="285"/>
    </row>
    <row r="60" spans="1:13" hidden="1">
      <c r="A60" s="2">
        <v>37895</v>
      </c>
      <c r="B60" s="284">
        <v>88166144.840000004</v>
      </c>
      <c r="C60" s="194">
        <f>'Weather Data'!B156</f>
        <v>414.2</v>
      </c>
      <c r="D60" s="194">
        <f>'Weather Data'!C156</f>
        <v>0</v>
      </c>
      <c r="E60" s="194">
        <v>31</v>
      </c>
      <c r="F60" s="194">
        <v>1</v>
      </c>
      <c r="G60" s="184">
        <v>0</v>
      </c>
      <c r="H60" s="195">
        <v>126.97738634907456</v>
      </c>
      <c r="I60" s="184">
        <v>49015</v>
      </c>
      <c r="J60" s="194">
        <v>351.91199999999998</v>
      </c>
      <c r="K60" s="194"/>
      <c r="L60" s="194"/>
      <c r="M60" s="285"/>
    </row>
    <row r="61" spans="1:13" hidden="1">
      <c r="A61" s="2">
        <v>37926</v>
      </c>
      <c r="B61" s="284">
        <v>96589038.900000006</v>
      </c>
      <c r="C61" s="194">
        <f>'Weather Data'!B157</f>
        <v>632.9</v>
      </c>
      <c r="D61" s="194">
        <f>'Weather Data'!C157</f>
        <v>0</v>
      </c>
      <c r="E61" s="194">
        <v>30</v>
      </c>
      <c r="F61" s="194">
        <v>1</v>
      </c>
      <c r="G61" s="184">
        <v>0</v>
      </c>
      <c r="H61" s="195">
        <v>127.12458448276465</v>
      </c>
      <c r="I61" s="184">
        <v>49020</v>
      </c>
      <c r="J61" s="194">
        <v>319.68</v>
      </c>
      <c r="K61" s="194"/>
      <c r="L61" s="194"/>
      <c r="M61" s="285"/>
    </row>
    <row r="62" spans="1:13" hidden="1">
      <c r="A62" s="2">
        <v>37956</v>
      </c>
      <c r="B62" s="284">
        <v>106439293.92</v>
      </c>
      <c r="C62" s="194">
        <f>'Weather Data'!B158</f>
        <v>785.9</v>
      </c>
      <c r="D62" s="194">
        <f>'Weather Data'!C158</f>
        <v>0</v>
      </c>
      <c r="E62" s="194">
        <v>31</v>
      </c>
      <c r="F62" s="194">
        <v>0</v>
      </c>
      <c r="G62" s="184">
        <v>0</v>
      </c>
      <c r="H62" s="195">
        <v>127.27195325542573</v>
      </c>
      <c r="I62" s="184">
        <v>48963</v>
      </c>
      <c r="J62" s="194">
        <v>336.28800000000001</v>
      </c>
      <c r="K62" s="194"/>
      <c r="L62" s="194"/>
      <c r="M62" s="285"/>
    </row>
    <row r="63" spans="1:13" hidden="1">
      <c r="A63" s="2">
        <v>37987</v>
      </c>
      <c r="B63" s="284">
        <v>117228007.68000001</v>
      </c>
      <c r="C63" s="194">
        <f>'Weather Data'!B159</f>
        <v>1140.5999999999999</v>
      </c>
      <c r="D63" s="194">
        <f>'Weather Data'!C159</f>
        <v>0</v>
      </c>
      <c r="E63" s="194">
        <v>31</v>
      </c>
      <c r="F63" s="194">
        <v>0</v>
      </c>
      <c r="G63" s="184">
        <v>0</v>
      </c>
      <c r="H63" s="195">
        <v>127.53411264087498</v>
      </c>
      <c r="I63" s="184">
        <v>49009</v>
      </c>
      <c r="J63" s="194">
        <v>336.28800000000001</v>
      </c>
      <c r="K63" s="194"/>
      <c r="L63" s="194"/>
      <c r="M63" s="285"/>
    </row>
    <row r="64" spans="1:13" hidden="1">
      <c r="A64" s="2">
        <v>38018</v>
      </c>
      <c r="B64" s="284">
        <v>97189182.640000001</v>
      </c>
      <c r="C64" s="194">
        <f>'Weather Data'!B160</f>
        <v>778.3</v>
      </c>
      <c r="D64" s="194">
        <f>'Weather Data'!C160</f>
        <v>0</v>
      </c>
      <c r="E64" s="194">
        <v>29</v>
      </c>
      <c r="F64" s="194">
        <v>0</v>
      </c>
      <c r="G64" s="184">
        <v>0</v>
      </c>
      <c r="H64" s="195">
        <v>127.79681203173486</v>
      </c>
      <c r="I64" s="184">
        <v>48895</v>
      </c>
      <c r="J64" s="194">
        <v>320.16000000000003</v>
      </c>
      <c r="K64" s="194"/>
      <c r="L64" s="194"/>
      <c r="M64" s="285"/>
    </row>
    <row r="65" spans="1:33" hidden="1">
      <c r="A65" s="2">
        <v>38047</v>
      </c>
      <c r="B65" s="284">
        <v>96948633.640000001</v>
      </c>
      <c r="C65" s="194">
        <f>'Weather Data'!B161</f>
        <v>684.3</v>
      </c>
      <c r="D65" s="194">
        <f>'Weather Data'!C161</f>
        <v>0</v>
      </c>
      <c r="E65" s="194">
        <v>31</v>
      </c>
      <c r="F65" s="194">
        <v>1</v>
      </c>
      <c r="G65" s="184">
        <v>0</v>
      </c>
      <c r="H65" s="195">
        <v>128.06005254032812</v>
      </c>
      <c r="I65" s="184">
        <v>48989</v>
      </c>
      <c r="J65" s="194">
        <v>368.28</v>
      </c>
      <c r="K65" s="194"/>
      <c r="L65" s="194"/>
      <c r="M65" s="285"/>
    </row>
    <row r="66" spans="1:33" hidden="1">
      <c r="A66" s="2">
        <v>38078</v>
      </c>
      <c r="B66" s="284">
        <v>85520823.479999989</v>
      </c>
      <c r="C66" s="194">
        <f>'Weather Data'!B162</f>
        <v>472.4</v>
      </c>
      <c r="D66" s="194">
        <f>'Weather Data'!C162</f>
        <v>0</v>
      </c>
      <c r="E66" s="194">
        <v>30</v>
      </c>
      <c r="F66" s="194">
        <v>1</v>
      </c>
      <c r="G66" s="184">
        <v>0</v>
      </c>
      <c r="H66" s="195">
        <v>128.32383528126866</v>
      </c>
      <c r="I66" s="184">
        <v>48893</v>
      </c>
      <c r="J66" s="194">
        <v>336.24</v>
      </c>
      <c r="K66" s="194"/>
      <c r="L66" s="194"/>
      <c r="M66" s="285"/>
    </row>
    <row r="67" spans="1:33" hidden="1">
      <c r="A67" s="2">
        <v>38108</v>
      </c>
      <c r="B67" s="284">
        <v>80898890.099999994</v>
      </c>
      <c r="C67" s="194">
        <f>'Weather Data'!B163</f>
        <v>333.2</v>
      </c>
      <c r="D67" s="194">
        <f>'Weather Data'!C163</f>
        <v>0</v>
      </c>
      <c r="E67" s="194">
        <v>31</v>
      </c>
      <c r="F67" s="194">
        <v>1</v>
      </c>
      <c r="G67" s="184">
        <v>0</v>
      </c>
      <c r="H67" s="195">
        <v>128.58816137146633</v>
      </c>
      <c r="I67" s="184">
        <v>48909</v>
      </c>
      <c r="J67" s="194">
        <v>319.92</v>
      </c>
      <c r="K67" s="194"/>
      <c r="L67" s="194"/>
      <c r="M67" s="285"/>
    </row>
    <row r="68" spans="1:33" hidden="1">
      <c r="A68" s="2">
        <v>38139</v>
      </c>
      <c r="B68" s="284">
        <v>75735633.539999992</v>
      </c>
      <c r="C68" s="194">
        <f>'Weather Data'!B164</f>
        <v>145.80000000000001</v>
      </c>
      <c r="D68" s="194">
        <f>'Weather Data'!C164</f>
        <v>3.1</v>
      </c>
      <c r="E68" s="194">
        <v>30</v>
      </c>
      <c r="F68" s="194">
        <v>0</v>
      </c>
      <c r="G68" s="184">
        <v>0</v>
      </c>
      <c r="H68" s="195">
        <v>128.85303193013166</v>
      </c>
      <c r="I68" s="184">
        <v>49010</v>
      </c>
      <c r="J68" s="194">
        <v>352.08</v>
      </c>
      <c r="K68" s="194"/>
      <c r="L68" s="194"/>
      <c r="M68" s="285"/>
    </row>
    <row r="69" spans="1:33" hidden="1">
      <c r="A69" s="2">
        <v>38169</v>
      </c>
      <c r="B69" s="284">
        <v>80131442.399999991</v>
      </c>
      <c r="C69" s="194">
        <f>'Weather Data'!B165</f>
        <v>67.400000000000006</v>
      </c>
      <c r="D69" s="194">
        <f>'Weather Data'!C165</f>
        <v>22</v>
      </c>
      <c r="E69" s="194">
        <v>31</v>
      </c>
      <c r="F69" s="194">
        <v>0</v>
      </c>
      <c r="G69" s="184">
        <v>0</v>
      </c>
      <c r="H69" s="195">
        <v>129.11844807878055</v>
      </c>
      <c r="I69" s="184">
        <v>49165</v>
      </c>
      <c r="J69" s="194">
        <v>336.28800000000001</v>
      </c>
      <c r="K69" s="194"/>
      <c r="L69" s="194"/>
      <c r="M69" s="285"/>
    </row>
    <row r="70" spans="1:33" hidden="1">
      <c r="A70" s="2">
        <v>38200</v>
      </c>
      <c r="B70" s="284">
        <v>79250403.920000002</v>
      </c>
      <c r="C70" s="194">
        <f>'Weather Data'!B166</f>
        <v>123</v>
      </c>
      <c r="D70" s="194">
        <f>'Weather Data'!C166</f>
        <v>1.8</v>
      </c>
      <c r="E70" s="194">
        <v>31</v>
      </c>
      <c r="F70" s="194">
        <v>0</v>
      </c>
      <c r="G70" s="184">
        <v>0</v>
      </c>
      <c r="H70" s="195">
        <v>129.38441094123903</v>
      </c>
      <c r="I70" s="184">
        <v>49003</v>
      </c>
      <c r="J70" s="194">
        <v>336.28800000000001</v>
      </c>
      <c r="K70" s="194"/>
      <c r="L70" s="194"/>
      <c r="M70" s="285"/>
    </row>
    <row r="71" spans="1:33" hidden="1">
      <c r="A71" s="2">
        <v>38231</v>
      </c>
      <c r="B71" s="284">
        <v>79463540.870000005</v>
      </c>
      <c r="C71" s="194">
        <f>'Weather Data'!B167</f>
        <v>132.9</v>
      </c>
      <c r="D71" s="194">
        <f>'Weather Data'!C167</f>
        <v>4.7</v>
      </c>
      <c r="E71" s="194">
        <v>30</v>
      </c>
      <c r="F71" s="194">
        <v>1</v>
      </c>
      <c r="G71" s="184">
        <v>0</v>
      </c>
      <c r="H71" s="195">
        <v>129.65092164364802</v>
      </c>
      <c r="I71" s="184">
        <v>49172</v>
      </c>
      <c r="J71" s="194">
        <v>336.24</v>
      </c>
      <c r="K71" s="194"/>
      <c r="L71" s="194"/>
      <c r="M71" s="285"/>
    </row>
    <row r="72" spans="1:33" hidden="1">
      <c r="A72" s="2">
        <v>38261</v>
      </c>
      <c r="B72" s="284">
        <v>85902608.560000002</v>
      </c>
      <c r="C72" s="194">
        <f>'Weather Data'!B168</f>
        <v>372.7</v>
      </c>
      <c r="D72" s="194">
        <f>'Weather Data'!C168</f>
        <v>0</v>
      </c>
      <c r="E72" s="194">
        <v>31</v>
      </c>
      <c r="F72" s="194">
        <v>1</v>
      </c>
      <c r="G72" s="184">
        <v>0</v>
      </c>
      <c r="H72" s="195">
        <v>129.91798131446814</v>
      </c>
      <c r="I72" s="184">
        <v>49208</v>
      </c>
      <c r="J72" s="194">
        <v>319.92</v>
      </c>
      <c r="K72" s="194"/>
      <c r="L72" s="194"/>
      <c r="M72" s="285"/>
    </row>
    <row r="73" spans="1:33" hidden="1">
      <c r="A73" s="2">
        <v>38292</v>
      </c>
      <c r="B73" s="284">
        <v>92812844.200000003</v>
      </c>
      <c r="C73" s="194">
        <f>'Weather Data'!B169</f>
        <v>554.9</v>
      </c>
      <c r="D73" s="194">
        <f>'Weather Data'!C169</f>
        <v>0</v>
      </c>
      <c r="E73" s="194">
        <v>30</v>
      </c>
      <c r="F73" s="194">
        <v>1</v>
      </c>
      <c r="G73" s="184">
        <v>0</v>
      </c>
      <c r="H73" s="195">
        <v>130.18559108448443</v>
      </c>
      <c r="I73" s="184">
        <v>49304</v>
      </c>
      <c r="J73" s="194">
        <v>352.08</v>
      </c>
      <c r="K73" s="194"/>
      <c r="L73" s="194"/>
      <c r="M73" s="285"/>
    </row>
    <row r="74" spans="1:33" hidden="1">
      <c r="A74" s="2">
        <v>38322</v>
      </c>
      <c r="B74" s="284">
        <v>111590910.58</v>
      </c>
      <c r="C74" s="194">
        <f>'Weather Data'!B170</f>
        <v>926.6</v>
      </c>
      <c r="D74" s="194">
        <f>'Weather Data'!C170</f>
        <v>0</v>
      </c>
      <c r="E74" s="194">
        <v>31</v>
      </c>
      <c r="F74" s="194">
        <v>0</v>
      </c>
      <c r="G74" s="184">
        <v>0</v>
      </c>
      <c r="H74" s="195">
        <v>130.45375208681136</v>
      </c>
      <c r="I74" s="184">
        <v>49108</v>
      </c>
      <c r="J74" s="194">
        <v>336.28800000000001</v>
      </c>
      <c r="K74" s="194"/>
      <c r="L74" s="194"/>
      <c r="M74" s="285"/>
    </row>
    <row r="75" spans="1:33" s="9" customFormat="1" hidden="1">
      <c r="A75" s="2">
        <v>38353</v>
      </c>
      <c r="B75" s="284">
        <v>114618041.7</v>
      </c>
      <c r="C75" s="194">
        <f>'Weather Data'!B171</f>
        <v>1084.3</v>
      </c>
      <c r="D75" s="194">
        <f>'Weather Data'!C171</f>
        <v>0</v>
      </c>
      <c r="E75" s="194">
        <v>31</v>
      </c>
      <c r="F75" s="194">
        <v>0</v>
      </c>
      <c r="G75" s="184">
        <v>0</v>
      </c>
      <c r="H75" s="195">
        <v>130.74370215685079</v>
      </c>
      <c r="I75" s="184">
        <v>49093</v>
      </c>
      <c r="J75" s="194">
        <v>319.92</v>
      </c>
      <c r="K75" s="194"/>
      <c r="L75" s="194"/>
      <c r="M75" s="285"/>
      <c r="N75"/>
      <c r="O75"/>
      <c r="P75"/>
      <c r="Q75"/>
      <c r="R75"/>
      <c r="S75"/>
      <c r="T75"/>
      <c r="U75"/>
      <c r="V75"/>
      <c r="W75"/>
      <c r="X75"/>
      <c r="Y75" s="7"/>
      <c r="Z75" s="7"/>
      <c r="AA75" s="7"/>
      <c r="AB75" s="7"/>
      <c r="AC75" s="7"/>
      <c r="AD75" s="7"/>
      <c r="AE75" s="7"/>
      <c r="AF75" s="7"/>
      <c r="AG75" s="7"/>
    </row>
    <row r="76" spans="1:33" hidden="1">
      <c r="A76" s="2">
        <v>38384</v>
      </c>
      <c r="B76" s="284">
        <v>92976782.650000006</v>
      </c>
      <c r="C76" s="194">
        <f>'Weather Data'!B172</f>
        <v>755.9</v>
      </c>
      <c r="D76" s="194">
        <f>'Weather Data'!C172</f>
        <v>0</v>
      </c>
      <c r="E76" s="194">
        <v>28</v>
      </c>
      <c r="F76" s="194">
        <v>0</v>
      </c>
      <c r="G76" s="184">
        <v>0</v>
      </c>
      <c r="H76" s="195">
        <v>131.0342966778299</v>
      </c>
      <c r="I76" s="184">
        <v>48961</v>
      </c>
      <c r="J76" s="194">
        <v>319.87200000000001</v>
      </c>
      <c r="K76" s="194"/>
      <c r="L76" s="194"/>
      <c r="M76" s="285"/>
    </row>
    <row r="77" spans="1:33" hidden="1">
      <c r="A77" s="2">
        <v>38412</v>
      </c>
      <c r="B77" s="284">
        <v>99295276.140000001</v>
      </c>
      <c r="C77" s="194">
        <f>'Weather Data'!B173</f>
        <v>814.1</v>
      </c>
      <c r="D77" s="194">
        <f>'Weather Data'!C173</f>
        <v>0</v>
      </c>
      <c r="E77" s="194">
        <v>31</v>
      </c>
      <c r="F77" s="194">
        <v>1</v>
      </c>
      <c r="G77" s="184">
        <v>0</v>
      </c>
      <c r="H77" s="195">
        <v>131.32553708212293</v>
      </c>
      <c r="I77" s="184">
        <v>49025</v>
      </c>
      <c r="J77" s="194">
        <v>351.91199999999998</v>
      </c>
      <c r="K77" s="194"/>
      <c r="L77" s="194"/>
      <c r="M77" s="285"/>
    </row>
    <row r="78" spans="1:33" hidden="1">
      <c r="A78" s="2">
        <v>38443</v>
      </c>
      <c r="B78" s="284">
        <v>83247752.900000006</v>
      </c>
      <c r="C78" s="194">
        <f>'Weather Data'!B174</f>
        <v>408.1</v>
      </c>
      <c r="D78" s="194">
        <f>'Weather Data'!C174</f>
        <v>0</v>
      </c>
      <c r="E78" s="194">
        <v>30</v>
      </c>
      <c r="F78" s="194">
        <v>1</v>
      </c>
      <c r="G78" s="184">
        <v>0</v>
      </c>
      <c r="H78" s="195">
        <v>131.61742480528775</v>
      </c>
      <c r="I78" s="184">
        <v>49277</v>
      </c>
      <c r="J78" s="194">
        <v>336.24</v>
      </c>
      <c r="K78" s="194"/>
      <c r="L78" s="194"/>
      <c r="M78" s="285"/>
    </row>
    <row r="79" spans="1:33" hidden="1">
      <c r="A79" s="2">
        <v>38473</v>
      </c>
      <c r="B79" s="284">
        <v>82551529.650000006</v>
      </c>
      <c r="C79" s="194">
        <f>'Weather Data'!B175</f>
        <v>306.2</v>
      </c>
      <c r="D79" s="194">
        <f>'Weather Data'!C175</f>
        <v>0</v>
      </c>
      <c r="E79" s="194">
        <v>31</v>
      </c>
      <c r="F79" s="194">
        <v>1</v>
      </c>
      <c r="G79" s="184">
        <v>0</v>
      </c>
      <c r="H79" s="195">
        <v>131.90996128607298</v>
      </c>
      <c r="I79" s="184">
        <v>49131</v>
      </c>
      <c r="J79" s="194">
        <v>336.28800000000001</v>
      </c>
      <c r="K79" s="194"/>
      <c r="L79" s="194"/>
      <c r="M79" s="285"/>
    </row>
    <row r="80" spans="1:33" hidden="1">
      <c r="A80" s="2">
        <v>38504</v>
      </c>
      <c r="B80" s="284">
        <v>81801216.799999997</v>
      </c>
      <c r="C80" s="194">
        <f>'Weather Data'!B176</f>
        <v>72.599999999999994</v>
      </c>
      <c r="D80" s="194">
        <f>'Weather Data'!C176</f>
        <v>16.8</v>
      </c>
      <c r="E80" s="194">
        <v>30</v>
      </c>
      <c r="F80" s="194">
        <v>0</v>
      </c>
      <c r="G80" s="184">
        <v>0</v>
      </c>
      <c r="H80" s="195">
        <v>132.20314796642501</v>
      </c>
      <c r="I80" s="184">
        <v>49074</v>
      </c>
      <c r="J80" s="194">
        <v>352.08</v>
      </c>
      <c r="K80" s="194"/>
      <c r="L80" s="194"/>
      <c r="M80" s="285"/>
    </row>
    <row r="81" spans="1:33" hidden="1">
      <c r="A81" s="2">
        <v>38534</v>
      </c>
      <c r="B81" s="284">
        <v>86082380.5</v>
      </c>
      <c r="C81" s="194">
        <f>'Weather Data'!B177</f>
        <v>45.3</v>
      </c>
      <c r="D81" s="194">
        <f>'Weather Data'!C177</f>
        <v>53</v>
      </c>
      <c r="E81" s="194">
        <v>31</v>
      </c>
      <c r="F81" s="194">
        <v>0</v>
      </c>
      <c r="G81" s="184">
        <v>0</v>
      </c>
      <c r="H81" s="195">
        <v>132.49698629149512</v>
      </c>
      <c r="I81" s="184">
        <v>49201</v>
      </c>
      <c r="J81" s="194">
        <v>319.92</v>
      </c>
      <c r="K81" s="194"/>
      <c r="L81" s="194"/>
      <c r="M81" s="285"/>
    </row>
    <row r="82" spans="1:33" hidden="1">
      <c r="A82" s="2">
        <v>38565</v>
      </c>
      <c r="B82" s="284">
        <v>85624066.270000011</v>
      </c>
      <c r="C82" s="194">
        <f>'Weather Data'!B178</f>
        <v>46.3</v>
      </c>
      <c r="D82" s="194">
        <f>'Weather Data'!C178</f>
        <v>29.6</v>
      </c>
      <c r="E82" s="194">
        <v>31</v>
      </c>
      <c r="F82" s="194">
        <v>0</v>
      </c>
      <c r="G82" s="184">
        <v>0</v>
      </c>
      <c r="H82" s="195">
        <v>132.79147770964664</v>
      </c>
      <c r="I82" s="184">
        <v>49176</v>
      </c>
      <c r="J82" s="194">
        <v>351.91199999999998</v>
      </c>
      <c r="K82" s="194"/>
      <c r="L82" s="194"/>
      <c r="M82" s="285"/>
    </row>
    <row r="83" spans="1:33" hidden="1">
      <c r="A83" s="2">
        <v>38596</v>
      </c>
      <c r="B83" s="284">
        <v>81522426.670000002</v>
      </c>
      <c r="C83" s="194">
        <f>'Weather Data'!B179</f>
        <v>148.80000000000001</v>
      </c>
      <c r="D83" s="194">
        <f>'Weather Data'!C179</f>
        <v>15.2</v>
      </c>
      <c r="E83" s="194">
        <v>30</v>
      </c>
      <c r="F83" s="194">
        <v>1</v>
      </c>
      <c r="G83" s="184">
        <v>0</v>
      </c>
      <c r="H83" s="195">
        <v>133.08662367246211</v>
      </c>
      <c r="I83" s="184">
        <v>49322</v>
      </c>
      <c r="J83" s="194">
        <v>336.24</v>
      </c>
      <c r="K83" s="194"/>
      <c r="L83" s="194"/>
      <c r="M83" s="285"/>
    </row>
    <row r="84" spans="1:33" hidden="1">
      <c r="A84" s="2">
        <v>38626</v>
      </c>
      <c r="B84" s="284">
        <v>87834995.239999995</v>
      </c>
      <c r="C84" s="194">
        <f>'Weather Data'!B180</f>
        <v>347.3</v>
      </c>
      <c r="D84" s="194">
        <f>'Weather Data'!C180</f>
        <v>0</v>
      </c>
      <c r="E84" s="194">
        <v>31</v>
      </c>
      <c r="F84" s="194">
        <v>1</v>
      </c>
      <c r="G84" s="184">
        <v>0</v>
      </c>
      <c r="H84" s="195">
        <v>133.38242563475035</v>
      </c>
      <c r="I84" s="184">
        <v>49184</v>
      </c>
      <c r="J84" s="194">
        <v>319.92</v>
      </c>
      <c r="K84" s="194"/>
      <c r="L84" s="194"/>
      <c r="M84" s="285"/>
    </row>
    <row r="85" spans="1:33" hidden="1">
      <c r="A85" s="2">
        <v>38657</v>
      </c>
      <c r="B85" s="284">
        <v>96580697.819999993</v>
      </c>
      <c r="C85" s="194">
        <f>'Weather Data'!B181</f>
        <v>606.9</v>
      </c>
      <c r="D85" s="194">
        <f>'Weather Data'!C181</f>
        <v>0</v>
      </c>
      <c r="E85" s="194">
        <v>30</v>
      </c>
      <c r="F85" s="194">
        <v>1</v>
      </c>
      <c r="G85" s="184">
        <v>0</v>
      </c>
      <c r="H85" s="195">
        <v>133.67888505455369</v>
      </c>
      <c r="I85" s="184">
        <v>49245</v>
      </c>
      <c r="J85" s="194">
        <v>352.08</v>
      </c>
      <c r="K85" s="194"/>
      <c r="L85" s="194"/>
      <c r="M85" s="285"/>
    </row>
    <row r="86" spans="1:33" s="21" customFormat="1" hidden="1">
      <c r="A86" s="2">
        <v>38687</v>
      </c>
      <c r="B86" s="284">
        <v>109162247.52</v>
      </c>
      <c r="C86" s="194">
        <f>'Weather Data'!B182</f>
        <v>833.4</v>
      </c>
      <c r="D86" s="194">
        <f>'Weather Data'!C182</f>
        <v>0</v>
      </c>
      <c r="E86" s="194">
        <v>31</v>
      </c>
      <c r="F86" s="194">
        <v>0</v>
      </c>
      <c r="G86" s="184">
        <v>0</v>
      </c>
      <c r="H86" s="195">
        <v>133.97600339315525</v>
      </c>
      <c r="I86" s="184">
        <v>49216</v>
      </c>
      <c r="J86" s="194">
        <v>319.92</v>
      </c>
      <c r="K86" s="194"/>
      <c r="L86" s="194"/>
      <c r="M86" s="285"/>
      <c r="N86"/>
      <c r="O86"/>
      <c r="P86"/>
      <c r="Q86"/>
      <c r="R86"/>
      <c r="S86"/>
      <c r="T86"/>
      <c r="U86"/>
      <c r="V86"/>
      <c r="W86"/>
      <c r="X86"/>
      <c r="Y86" s="18"/>
      <c r="Z86" s="18"/>
      <c r="AA86" s="18"/>
      <c r="AB86" s="18"/>
      <c r="AC86" s="18"/>
      <c r="AD86" s="18"/>
      <c r="AE86" s="18"/>
      <c r="AF86" s="18"/>
      <c r="AG86" s="18"/>
    </row>
    <row r="87" spans="1:33" ht="15">
      <c r="A87" s="2">
        <v>38718</v>
      </c>
      <c r="B87" s="284">
        <v>102809927.40000001</v>
      </c>
      <c r="C87" s="194">
        <f>'Weather Data'!B183</f>
        <v>797</v>
      </c>
      <c r="D87" s="194">
        <f>'Weather Data'!C183</f>
        <v>0</v>
      </c>
      <c r="E87" s="194">
        <v>31</v>
      </c>
      <c r="F87" s="194">
        <v>0</v>
      </c>
      <c r="G87" s="184">
        <f>'CDM Activity'!C19</f>
        <v>20809.682226219731</v>
      </c>
      <c r="H87" s="195">
        <v>134.25197202423305</v>
      </c>
      <c r="I87" s="184">
        <v>49115</v>
      </c>
      <c r="J87" s="194">
        <v>336.28800000000001</v>
      </c>
      <c r="K87" s="194">
        <f>$O$103+C87*$O$104+D87*$O$105+E87*$O$106+F87*$O$107+G87*$O$108</f>
        <v>99784762.794875622</v>
      </c>
      <c r="L87" s="194"/>
      <c r="M87" s="285"/>
      <c r="N87" s="260" t="s">
        <v>15</v>
      </c>
      <c r="Y87" s="7"/>
      <c r="Z87" s="7"/>
      <c r="AA87" s="7"/>
    </row>
    <row r="88" spans="1:33" ht="13.5" thickBot="1">
      <c r="A88" s="2">
        <v>38749</v>
      </c>
      <c r="B88" s="284">
        <v>95819717.5</v>
      </c>
      <c r="C88" s="194">
        <f>'Weather Data'!B184</f>
        <v>873.4</v>
      </c>
      <c r="D88" s="194">
        <f>'Weather Data'!C184</f>
        <v>0</v>
      </c>
      <c r="E88" s="194">
        <v>28</v>
      </c>
      <c r="F88" s="194">
        <v>0</v>
      </c>
      <c r="G88" s="184">
        <f>'CDM Activity'!C20</f>
        <v>41619.364452439462</v>
      </c>
      <c r="H88" s="195">
        <v>134.52850910550649</v>
      </c>
      <c r="I88" s="184">
        <v>49112</v>
      </c>
      <c r="J88" s="194">
        <v>319.87200000000001</v>
      </c>
      <c r="K88" s="194">
        <f t="shared" ref="K88:K151" si="0">$O$103+C88*$O$104+D88*$O$105+E88*$O$106+F88*$O$107+G88*$O$108</f>
        <v>93835084.5744766</v>
      </c>
      <c r="L88" s="194"/>
      <c r="M88" s="285"/>
    </row>
    <row r="89" spans="1:33">
      <c r="A89" s="2">
        <v>38777</v>
      </c>
      <c r="B89" s="284">
        <v>96369451.900000006</v>
      </c>
      <c r="C89" s="194">
        <f>'Weather Data'!B185</f>
        <v>659</v>
      </c>
      <c r="D89" s="194">
        <f>'Weather Data'!C185</f>
        <v>0</v>
      </c>
      <c r="E89" s="194">
        <v>31</v>
      </c>
      <c r="F89" s="194">
        <v>1</v>
      </c>
      <c r="G89" s="184">
        <f>'CDM Activity'!C21</f>
        <v>62429.046678659193</v>
      </c>
      <c r="H89" s="195">
        <v>134.80561580788986</v>
      </c>
      <c r="I89" s="184">
        <v>49136</v>
      </c>
      <c r="J89" s="194">
        <v>368.28</v>
      </c>
      <c r="K89" s="194">
        <f t="shared" si="0"/>
        <v>92313904.331529826</v>
      </c>
      <c r="L89" s="194"/>
      <c r="M89" s="285"/>
      <c r="N89" s="33" t="s">
        <v>16</v>
      </c>
      <c r="O89" s="33"/>
    </row>
    <row r="90" spans="1:33">
      <c r="A90" s="2">
        <v>38808</v>
      </c>
      <c r="B90" s="284">
        <v>82880486.199999988</v>
      </c>
      <c r="C90" s="194">
        <f>'Weather Data'!B186</f>
        <v>366</v>
      </c>
      <c r="D90" s="194">
        <f>'Weather Data'!C186</f>
        <v>0</v>
      </c>
      <c r="E90" s="194">
        <v>30</v>
      </c>
      <c r="F90" s="194">
        <v>1</v>
      </c>
      <c r="G90" s="184">
        <f>'CDM Activity'!C22</f>
        <v>83238.728904878924</v>
      </c>
      <c r="H90" s="195">
        <v>135.08329330470943</v>
      </c>
      <c r="I90" s="184">
        <v>49210</v>
      </c>
      <c r="J90" s="194">
        <v>303.83999999999997</v>
      </c>
      <c r="K90" s="194">
        <f t="shared" si="0"/>
        <v>80445158.492740408</v>
      </c>
      <c r="L90" s="194"/>
      <c r="M90" s="285"/>
      <c r="N90" s="24" t="s">
        <v>17</v>
      </c>
      <c r="O90" s="36">
        <v>0.96003711214209508</v>
      </c>
    </row>
    <row r="91" spans="1:33">
      <c r="A91" s="2">
        <v>38838</v>
      </c>
      <c r="B91" s="284">
        <v>83638022.400000006</v>
      </c>
      <c r="C91" s="194">
        <f>'Weather Data'!B187</f>
        <v>241.5</v>
      </c>
      <c r="D91" s="194">
        <f>'Weather Data'!C187</f>
        <v>2.4</v>
      </c>
      <c r="E91" s="194">
        <v>31</v>
      </c>
      <c r="F91" s="194">
        <v>1</v>
      </c>
      <c r="G91" s="184">
        <f>'CDM Activity'!C23</f>
        <v>104048.41113109866</v>
      </c>
      <c r="H91" s="195">
        <v>135.36154277170829</v>
      </c>
      <c r="I91" s="184">
        <v>49274</v>
      </c>
      <c r="J91" s="194">
        <v>351.91199999999998</v>
      </c>
      <c r="K91" s="194">
        <f t="shared" si="0"/>
        <v>79675035.512278676</v>
      </c>
      <c r="L91" s="194"/>
      <c r="M91" s="285"/>
      <c r="N91" s="24" t="s">
        <v>18</v>
      </c>
      <c r="O91" s="36">
        <v>0.92167125669013361</v>
      </c>
    </row>
    <row r="92" spans="1:33">
      <c r="A92" s="2">
        <v>38869</v>
      </c>
      <c r="B92" s="284">
        <v>80788730.799999997</v>
      </c>
      <c r="C92" s="194">
        <f>'Weather Data'!B188</f>
        <v>81.5</v>
      </c>
      <c r="D92" s="194">
        <f>'Weather Data'!C188</f>
        <v>9.3000000000000007</v>
      </c>
      <c r="E92" s="194">
        <v>30</v>
      </c>
      <c r="F92" s="194">
        <v>0</v>
      </c>
      <c r="G92" s="184">
        <f>'CDM Activity'!C24</f>
        <v>124858.0933573184</v>
      </c>
      <c r="H92" s="195">
        <v>135.64036538705133</v>
      </c>
      <c r="I92" s="184">
        <v>49064</v>
      </c>
      <c r="J92" s="194">
        <v>352.08</v>
      </c>
      <c r="K92" s="194">
        <f t="shared" si="0"/>
        <v>76093170.843147144</v>
      </c>
      <c r="L92" s="194"/>
      <c r="M92" s="285"/>
      <c r="N92" s="24" t="s">
        <v>19</v>
      </c>
      <c r="O92" s="36">
        <v>0.91823578549233242</v>
      </c>
    </row>
    <row r="93" spans="1:33">
      <c r="A93" s="2">
        <v>38899</v>
      </c>
      <c r="B93" s="284">
        <v>88450841.719999999</v>
      </c>
      <c r="C93" s="194">
        <f>'Weather Data'!B189</f>
        <v>23.2</v>
      </c>
      <c r="D93" s="194">
        <f>'Weather Data'!C189</f>
        <v>70.099999999999994</v>
      </c>
      <c r="E93" s="194">
        <v>31</v>
      </c>
      <c r="F93" s="194">
        <v>0</v>
      </c>
      <c r="G93" s="184">
        <f>'CDM Activity'!C25</f>
        <v>145667.77558353814</v>
      </c>
      <c r="H93" s="195">
        <v>135.9197623313303</v>
      </c>
      <c r="I93" s="184">
        <v>49016</v>
      </c>
      <c r="J93" s="194">
        <v>319.92</v>
      </c>
      <c r="K93" s="194">
        <f t="shared" si="0"/>
        <v>86255237.927179798</v>
      </c>
      <c r="L93" s="194"/>
      <c r="M93" s="285"/>
      <c r="N93" s="24" t="s">
        <v>20</v>
      </c>
      <c r="O93" s="42">
        <v>2898920.6110511734</v>
      </c>
    </row>
    <row r="94" spans="1:33" ht="13.5" thickBot="1">
      <c r="A94" s="2">
        <v>38930</v>
      </c>
      <c r="B94" s="284">
        <v>86080627.399999991</v>
      </c>
      <c r="C94" s="194">
        <f>'Weather Data'!B190</f>
        <v>57.7</v>
      </c>
      <c r="D94" s="194">
        <f>'Weather Data'!C190</f>
        <v>31.7</v>
      </c>
      <c r="E94" s="194">
        <v>31</v>
      </c>
      <c r="F94" s="194">
        <v>0</v>
      </c>
      <c r="G94" s="184">
        <f>'CDM Activity'!C26</f>
        <v>166477.45780975788</v>
      </c>
      <c r="H94" s="195">
        <v>136.19973478756879</v>
      </c>
      <c r="I94" s="184">
        <v>49101</v>
      </c>
      <c r="J94" s="194">
        <v>351.91199999999998</v>
      </c>
      <c r="K94" s="194">
        <f t="shared" si="0"/>
        <v>81443269.946035892</v>
      </c>
      <c r="L94" s="194"/>
      <c r="M94" s="285"/>
      <c r="N94" s="31" t="s">
        <v>21</v>
      </c>
      <c r="O94" s="31">
        <v>120</v>
      </c>
    </row>
    <row r="95" spans="1:33">
      <c r="A95" s="2">
        <v>38961</v>
      </c>
      <c r="B95" s="284">
        <v>79884628.359999999</v>
      </c>
      <c r="C95" s="194">
        <f>'Weather Data'!B191</f>
        <v>210.5</v>
      </c>
      <c r="D95" s="194">
        <f>'Weather Data'!C191</f>
        <v>1.2</v>
      </c>
      <c r="E95" s="194">
        <v>30</v>
      </c>
      <c r="F95" s="194">
        <v>1</v>
      </c>
      <c r="G95" s="184">
        <f>'CDM Activity'!C27</f>
        <v>187287.14003597762</v>
      </c>
      <c r="H95" s="195">
        <v>136.48028394122719</v>
      </c>
      <c r="I95" s="184">
        <v>49313</v>
      </c>
      <c r="J95" s="194">
        <v>319.68</v>
      </c>
      <c r="K95" s="194">
        <f t="shared" si="0"/>
        <v>75616901.832942516</v>
      </c>
      <c r="L95" s="194"/>
      <c r="M95" s="285"/>
    </row>
    <row r="96" spans="1:33" ht="13.5" thickBot="1">
      <c r="A96" s="2">
        <v>38991</v>
      </c>
      <c r="B96" s="284">
        <v>88656786.064999998</v>
      </c>
      <c r="C96" s="194">
        <f>'Weather Data'!B192</f>
        <v>440.9</v>
      </c>
      <c r="D96" s="194">
        <f>'Weather Data'!C192</f>
        <v>0</v>
      </c>
      <c r="E96" s="194">
        <v>31</v>
      </c>
      <c r="F96" s="194">
        <v>1</v>
      </c>
      <c r="G96" s="184">
        <f>'CDM Activity'!C28</f>
        <v>208096.82226219735</v>
      </c>
      <c r="H96" s="195">
        <v>136.76141098020776</v>
      </c>
      <c r="I96" s="184">
        <v>49112</v>
      </c>
      <c r="J96" s="194">
        <v>336.28800000000001</v>
      </c>
      <c r="K96" s="194">
        <f t="shared" si="0"/>
        <v>85286431.001789436</v>
      </c>
      <c r="L96" s="194"/>
      <c r="M96" s="285"/>
      <c r="N96" t="s">
        <v>22</v>
      </c>
    </row>
    <row r="97" spans="1:27">
      <c r="A97" s="2">
        <v>39022</v>
      </c>
      <c r="B97" s="284">
        <v>93307650.700000003</v>
      </c>
      <c r="C97" s="194">
        <f>'Weather Data'!B193</f>
        <v>540.4</v>
      </c>
      <c r="D97" s="194">
        <f>'Weather Data'!C193</f>
        <v>0</v>
      </c>
      <c r="E97" s="194">
        <v>30</v>
      </c>
      <c r="F97" s="194">
        <v>1</v>
      </c>
      <c r="G97" s="184">
        <f>'CDM Activity'!C29</f>
        <v>228906.50448841709</v>
      </c>
      <c r="H97" s="195">
        <v>137.04311709485967</v>
      </c>
      <c r="I97" s="184">
        <v>49060</v>
      </c>
      <c r="J97" s="194">
        <v>352.08</v>
      </c>
      <c r="K97" s="194">
        <f t="shared" si="0"/>
        <v>85568947.256196842</v>
      </c>
      <c r="L97" s="194"/>
      <c r="M97" s="285"/>
      <c r="N97" s="32"/>
      <c r="O97" s="32" t="s">
        <v>26</v>
      </c>
      <c r="P97" s="32" t="s">
        <v>27</v>
      </c>
      <c r="Q97" s="32" t="s">
        <v>28</v>
      </c>
      <c r="R97" s="32" t="s">
        <v>29</v>
      </c>
      <c r="S97" s="32" t="s">
        <v>30</v>
      </c>
    </row>
    <row r="98" spans="1:27">
      <c r="A98" s="2">
        <v>39052</v>
      </c>
      <c r="B98" s="284">
        <v>101715484.205</v>
      </c>
      <c r="C98" s="194">
        <f>'Weather Data'!B194</f>
        <v>747.4</v>
      </c>
      <c r="D98" s="194">
        <f>'Weather Data'!C194</f>
        <v>0</v>
      </c>
      <c r="E98" s="194">
        <v>31</v>
      </c>
      <c r="F98" s="194">
        <v>0</v>
      </c>
      <c r="G98" s="184">
        <f>'CDM Activity'!C30</f>
        <v>249716.18671463683</v>
      </c>
      <c r="H98" s="195">
        <v>137.32540347798411</v>
      </c>
      <c r="I98" s="184">
        <v>49112</v>
      </c>
      <c r="J98" s="194">
        <v>304.29599999999999</v>
      </c>
      <c r="K98" s="194">
        <f t="shared" si="0"/>
        <v>97816449.269079953</v>
      </c>
      <c r="L98" s="194"/>
      <c r="M98" s="285"/>
      <c r="N98" s="24" t="s">
        <v>23</v>
      </c>
      <c r="O98" s="24">
        <v>5</v>
      </c>
      <c r="P98" s="24">
        <v>1.1272815014841228E+16</v>
      </c>
      <c r="Q98" s="24">
        <v>2254563002968245.5</v>
      </c>
      <c r="R98" s="24">
        <v>268.28088597571184</v>
      </c>
      <c r="S98" s="24">
        <v>2.6645384474656509E-61</v>
      </c>
    </row>
    <row r="99" spans="1:27">
      <c r="A99" s="2">
        <v>39083</v>
      </c>
      <c r="B99" s="284">
        <v>106854247.63500001</v>
      </c>
      <c r="C99" s="194">
        <f>'Weather Data'!B195</f>
        <v>913.4</v>
      </c>
      <c r="D99" s="194">
        <f>'Weather Data'!C195</f>
        <v>0</v>
      </c>
      <c r="E99" s="194">
        <v>31</v>
      </c>
      <c r="F99" s="194">
        <v>0</v>
      </c>
      <c r="G99" s="184">
        <f>'CDM Activity'!C31</f>
        <v>270864.72934878524</v>
      </c>
      <c r="H99" s="195">
        <v>137.552207546647</v>
      </c>
      <c r="I99" s="184">
        <v>49103</v>
      </c>
      <c r="J99" s="194">
        <v>351.91199999999998</v>
      </c>
      <c r="K99" s="194">
        <f t="shared" si="0"/>
        <v>102915598.81205487</v>
      </c>
      <c r="L99" s="194"/>
      <c r="M99" s="285"/>
      <c r="N99" s="24" t="s">
        <v>24</v>
      </c>
      <c r="O99" s="24">
        <v>114</v>
      </c>
      <c r="P99" s="24">
        <v>958026440846213.12</v>
      </c>
      <c r="Q99" s="24">
        <v>8403740709177.3086</v>
      </c>
      <c r="R99" s="24"/>
      <c r="S99" s="24"/>
      <c r="Y99" s="7"/>
      <c r="Z99" s="7"/>
      <c r="AA99" s="7"/>
    </row>
    <row r="100" spans="1:27" ht="13.5" thickBot="1">
      <c r="A100" s="2">
        <v>39114</v>
      </c>
      <c r="B100" s="284">
        <v>101765170.88</v>
      </c>
      <c r="C100" s="194">
        <f>'Weather Data'!B196</f>
        <v>924.7</v>
      </c>
      <c r="D100" s="194">
        <f>'Weather Data'!C196</f>
        <v>0</v>
      </c>
      <c r="E100" s="194">
        <v>28</v>
      </c>
      <c r="F100" s="194">
        <v>0</v>
      </c>
      <c r="G100" s="184">
        <f>'CDM Activity'!C32</f>
        <v>292013.27198293363</v>
      </c>
      <c r="H100" s="195">
        <v>137.77938620066888</v>
      </c>
      <c r="I100" s="184">
        <v>49082</v>
      </c>
      <c r="J100" s="194">
        <v>319.87200000000001</v>
      </c>
      <c r="K100" s="194">
        <f t="shared" si="0"/>
        <v>94949873.166926414</v>
      </c>
      <c r="L100" s="194"/>
      <c r="M100" s="285"/>
      <c r="N100" s="31" t="s">
        <v>5</v>
      </c>
      <c r="O100" s="31">
        <v>119</v>
      </c>
      <c r="P100" s="31">
        <v>1.2230841455687442E+16</v>
      </c>
      <c r="Q100" s="31"/>
      <c r="R100" s="31"/>
      <c r="S100" s="31"/>
    </row>
    <row r="101" spans="1:27" ht="13.5" thickBot="1">
      <c r="A101" s="2">
        <v>39142</v>
      </c>
      <c r="B101" s="284">
        <v>97266360.674999997</v>
      </c>
      <c r="C101" s="194">
        <f>'Weather Data'!B197</f>
        <v>665</v>
      </c>
      <c r="D101" s="194">
        <f>'Weather Data'!C197</f>
        <v>0</v>
      </c>
      <c r="E101" s="194">
        <v>31</v>
      </c>
      <c r="F101" s="194">
        <v>1</v>
      </c>
      <c r="G101" s="184">
        <f>'CDM Activity'!C33</f>
        <v>313161.81461708201</v>
      </c>
      <c r="H101" s="195">
        <v>138.00694005870795</v>
      </c>
      <c r="I101" s="184">
        <v>49148</v>
      </c>
      <c r="J101" s="194">
        <v>351.91199999999998</v>
      </c>
      <c r="K101" s="194">
        <f t="shared" si="0"/>
        <v>92025626.364079013</v>
      </c>
      <c r="L101" s="194"/>
      <c r="M101" s="285"/>
    </row>
    <row r="102" spans="1:27">
      <c r="A102" s="2">
        <v>39173</v>
      </c>
      <c r="B102" s="284">
        <v>86347252.030000001</v>
      </c>
      <c r="C102" s="194">
        <f>'Weather Data'!B198</f>
        <v>474.1</v>
      </c>
      <c r="D102" s="194">
        <f>'Weather Data'!C198</f>
        <v>0</v>
      </c>
      <c r="E102" s="194">
        <v>30</v>
      </c>
      <c r="F102" s="194">
        <v>1</v>
      </c>
      <c r="G102" s="184">
        <f>'CDM Activity'!C34</f>
        <v>334310.35725123039</v>
      </c>
      <c r="H102" s="195">
        <v>138.23486974044414</v>
      </c>
      <c r="I102" s="184">
        <v>49132</v>
      </c>
      <c r="J102" s="194">
        <v>319.68</v>
      </c>
      <c r="K102" s="194">
        <f t="shared" si="0"/>
        <v>83317115.959114343</v>
      </c>
      <c r="L102" s="194"/>
      <c r="M102" s="285"/>
      <c r="N102" s="32"/>
      <c r="O102" s="32" t="s">
        <v>31</v>
      </c>
      <c r="P102" s="32" t="s">
        <v>20</v>
      </c>
      <c r="Q102" s="32" t="s">
        <v>32</v>
      </c>
      <c r="R102" s="32" t="s">
        <v>33</v>
      </c>
      <c r="S102" s="32" t="s">
        <v>34</v>
      </c>
      <c r="T102" s="32" t="s">
        <v>35</v>
      </c>
    </row>
    <row r="103" spans="1:27">
      <c r="A103" s="2">
        <v>39203</v>
      </c>
      <c r="B103" s="284">
        <v>81662415.745000005</v>
      </c>
      <c r="C103" s="194">
        <f>'Weather Data'!B199</f>
        <v>250.9</v>
      </c>
      <c r="D103" s="194">
        <f>'Weather Data'!C199</f>
        <v>0.6</v>
      </c>
      <c r="E103" s="194">
        <v>31</v>
      </c>
      <c r="F103" s="194">
        <v>1</v>
      </c>
      <c r="G103" s="184">
        <f>'CDM Activity'!C35</f>
        <v>355458.89988537878</v>
      </c>
      <c r="H103" s="195">
        <v>138.46317586658083</v>
      </c>
      <c r="I103" s="184">
        <v>49220</v>
      </c>
      <c r="J103" s="194">
        <v>351.91199999999998</v>
      </c>
      <c r="K103" s="194">
        <f t="shared" si="0"/>
        <v>79216952.864834353</v>
      </c>
      <c r="L103" s="194"/>
      <c r="M103" s="285"/>
      <c r="N103" s="24" t="s">
        <v>25</v>
      </c>
      <c r="O103" s="42">
        <v>-10364199.681553654</v>
      </c>
      <c r="P103" s="42">
        <v>10209925.786497764</v>
      </c>
      <c r="Q103" s="34">
        <v>-1.0151101877018451</v>
      </c>
      <c r="R103" s="24">
        <v>0.31220290354563973</v>
      </c>
      <c r="S103" s="42">
        <v>-30589984.027510848</v>
      </c>
      <c r="T103" s="42">
        <v>9861584.6644035392</v>
      </c>
    </row>
    <row r="104" spans="1:27">
      <c r="A104" s="2">
        <v>39234</v>
      </c>
      <c r="B104" s="284">
        <v>78216252.605000004</v>
      </c>
      <c r="C104" s="194">
        <f>'Weather Data'!B200</f>
        <v>96.7</v>
      </c>
      <c r="D104" s="194">
        <f>'Weather Data'!C200</f>
        <v>6.5</v>
      </c>
      <c r="E104" s="194">
        <v>30</v>
      </c>
      <c r="F104" s="194">
        <v>0</v>
      </c>
      <c r="G104" s="184">
        <f>'CDM Activity'!C36</f>
        <v>376607.44251952716</v>
      </c>
      <c r="H104" s="195">
        <v>138.69185905884657</v>
      </c>
      <c r="I104" s="184">
        <v>49334</v>
      </c>
      <c r="J104" s="194">
        <v>336.24</v>
      </c>
      <c r="K104" s="194">
        <f t="shared" si="0"/>
        <v>75661906.084770739</v>
      </c>
      <c r="L104" s="194"/>
      <c r="M104" s="285"/>
      <c r="N104" s="24" t="s">
        <v>1</v>
      </c>
      <c r="O104" s="42">
        <v>30958.629536807217</v>
      </c>
      <c r="P104" s="42">
        <v>1049.5151970179138</v>
      </c>
      <c r="Q104" s="34">
        <v>29.498028827760553</v>
      </c>
      <c r="R104" s="24">
        <v>3.4536048188543418E-55</v>
      </c>
      <c r="S104" s="42">
        <v>28879.548014906111</v>
      </c>
      <c r="T104" s="42">
        <v>33037.711058708323</v>
      </c>
    </row>
    <row r="105" spans="1:27">
      <c r="A105" s="2">
        <v>39264</v>
      </c>
      <c r="B105" s="284">
        <v>83572228.700000003</v>
      </c>
      <c r="C105" s="194">
        <f>'Weather Data'!B201</f>
        <v>40.200000000000003</v>
      </c>
      <c r="D105" s="194">
        <f>'Weather Data'!C201</f>
        <v>51.8</v>
      </c>
      <c r="E105" s="194">
        <v>31</v>
      </c>
      <c r="F105" s="194">
        <v>0</v>
      </c>
      <c r="G105" s="184">
        <f>'CDM Activity'!C37</f>
        <v>397755.98515367555</v>
      </c>
      <c r="H105" s="195">
        <v>138.92091993999671</v>
      </c>
      <c r="I105" s="184">
        <v>49137</v>
      </c>
      <c r="J105" s="194">
        <v>336.28800000000001</v>
      </c>
      <c r="K105" s="194">
        <f t="shared" si="0"/>
        <v>83521484.494470879</v>
      </c>
      <c r="L105" s="194"/>
      <c r="M105" s="285"/>
      <c r="N105" s="24" t="s">
        <v>2</v>
      </c>
      <c r="O105" s="42">
        <v>152101.52036229023</v>
      </c>
      <c r="P105" s="42">
        <v>25213.454866742552</v>
      </c>
      <c r="Q105" s="34">
        <v>6.0325536966739763</v>
      </c>
      <c r="R105" s="24">
        <v>2.0484447047301175E-8</v>
      </c>
      <c r="S105" s="42">
        <v>102153.86046591128</v>
      </c>
      <c r="T105" s="42">
        <v>202049.18025866919</v>
      </c>
    </row>
    <row r="106" spans="1:27">
      <c r="A106" s="2">
        <v>39295</v>
      </c>
      <c r="B106" s="284">
        <v>81872692</v>
      </c>
      <c r="C106" s="194">
        <f>'Weather Data'!B202</f>
        <v>62.9</v>
      </c>
      <c r="D106" s="194">
        <f>'Weather Data'!C202</f>
        <v>22.1</v>
      </c>
      <c r="E106" s="194">
        <v>31</v>
      </c>
      <c r="F106" s="194">
        <v>0</v>
      </c>
      <c r="G106" s="184">
        <f>'CDM Activity'!C38</f>
        <v>418904.52778782393</v>
      </c>
      <c r="H106" s="195">
        <v>139.15035913381516</v>
      </c>
      <c r="I106" s="184">
        <v>49202</v>
      </c>
      <c r="J106" s="194">
        <v>351.91199999999998</v>
      </c>
      <c r="K106" s="194">
        <f t="shared" si="0"/>
        <v>79666847.270061299</v>
      </c>
      <c r="L106" s="194"/>
      <c r="M106" s="285"/>
      <c r="N106" s="24" t="s">
        <v>3</v>
      </c>
      <c r="O106" s="42">
        <v>2758525.0662530879</v>
      </c>
      <c r="P106" s="42">
        <v>336955.26227470225</v>
      </c>
      <c r="Q106" s="34">
        <v>8.1866211188718712</v>
      </c>
      <c r="R106" s="24">
        <v>4.3171642455414249E-13</v>
      </c>
      <c r="S106" s="42">
        <v>2091019.286924467</v>
      </c>
      <c r="T106" s="42">
        <v>3426030.8455817089</v>
      </c>
    </row>
    <row r="107" spans="1:27">
      <c r="A107" s="2">
        <v>39326</v>
      </c>
      <c r="B107" s="284">
        <v>77223168.519999996</v>
      </c>
      <c r="C107" s="194">
        <f>'Weather Data'!B203</f>
        <v>164.7</v>
      </c>
      <c r="D107" s="194">
        <f>'Weather Data'!C203</f>
        <v>9.6</v>
      </c>
      <c r="E107" s="194">
        <v>30</v>
      </c>
      <c r="F107" s="194">
        <v>1</v>
      </c>
      <c r="G107" s="184">
        <f>'CDM Activity'!C39</f>
        <v>440053.07042197231</v>
      </c>
      <c r="H107" s="195">
        <v>139.38017726511606</v>
      </c>
      <c r="I107" s="184">
        <v>49181</v>
      </c>
      <c r="J107" s="194">
        <v>303.83999999999997</v>
      </c>
      <c r="K107" s="194">
        <f t="shared" si="0"/>
        <v>74998775.775228709</v>
      </c>
      <c r="L107" s="194"/>
      <c r="M107" s="285"/>
      <c r="N107" s="24" t="s">
        <v>14</v>
      </c>
      <c r="O107" s="42">
        <v>-3119882.950762752</v>
      </c>
      <c r="P107" s="42">
        <v>633467.61504203372</v>
      </c>
      <c r="Q107" s="34">
        <v>-4.9250867395261118</v>
      </c>
      <c r="R107" s="24">
        <v>2.8764119435955263E-6</v>
      </c>
      <c r="S107" s="42">
        <v>-4374777.4171781577</v>
      </c>
      <c r="T107" s="42">
        <v>-1864988.4843473465</v>
      </c>
    </row>
    <row r="108" spans="1:27" ht="13.5" thickBot="1">
      <c r="A108" s="2">
        <v>39356</v>
      </c>
      <c r="B108" s="284">
        <v>84323902.479999989</v>
      </c>
      <c r="C108" s="194">
        <f>'Weather Data'!B204</f>
        <v>310.60000000000002</v>
      </c>
      <c r="D108" s="194">
        <f>'Weather Data'!C204</f>
        <v>0</v>
      </c>
      <c r="E108" s="194">
        <v>31</v>
      </c>
      <c r="F108" s="194">
        <v>1</v>
      </c>
      <c r="G108" s="184">
        <f>'CDM Activity'!C40</f>
        <v>461201.6130561207</v>
      </c>
      <c r="H108" s="195">
        <v>139.61037495974546</v>
      </c>
      <c r="I108" s="184">
        <v>49276</v>
      </c>
      <c r="J108" s="194">
        <v>351.91199999999998</v>
      </c>
      <c r="K108" s="194">
        <f t="shared" si="0"/>
        <v>80774007.335288912</v>
      </c>
      <c r="L108" s="194"/>
      <c r="M108" s="285"/>
      <c r="N108" s="31" t="s">
        <v>56</v>
      </c>
      <c r="O108" s="35">
        <v>-1.8905775602017345</v>
      </c>
      <c r="P108" s="35">
        <v>0.26394832580340299</v>
      </c>
      <c r="Q108" s="35">
        <v>-7.1626806286693254</v>
      </c>
      <c r="R108" s="31">
        <v>8.3189150754076483E-11</v>
      </c>
      <c r="S108" s="35">
        <v>-2.4134571606818986</v>
      </c>
      <c r="T108" s="35">
        <v>-1.3676979597215704</v>
      </c>
    </row>
    <row r="109" spans="1:27">
      <c r="A109" s="2">
        <v>39387</v>
      </c>
      <c r="B109" s="284">
        <v>90887332.480000004</v>
      </c>
      <c r="C109" s="194">
        <f>'Weather Data'!B205</f>
        <v>620.29999999999995</v>
      </c>
      <c r="D109" s="194">
        <f>'Weather Data'!C205</f>
        <v>0</v>
      </c>
      <c r="E109" s="194">
        <v>30</v>
      </c>
      <c r="F109" s="194">
        <v>1</v>
      </c>
      <c r="G109" s="184">
        <f>'CDM Activity'!C41</f>
        <v>482350.15569026908</v>
      </c>
      <c r="H109" s="195">
        <v>139.84095284458306</v>
      </c>
      <c r="I109" s="184">
        <v>49251</v>
      </c>
      <c r="J109" s="194">
        <v>352.08</v>
      </c>
      <c r="K109" s="194">
        <f t="shared" si="0"/>
        <v>87563386.876449913</v>
      </c>
      <c r="L109" s="194"/>
      <c r="M109" s="285"/>
    </row>
    <row r="110" spans="1:27">
      <c r="A110" s="2">
        <v>39417</v>
      </c>
      <c r="B110" s="284">
        <v>104649026.3</v>
      </c>
      <c r="C110" s="194">
        <f>'Weather Data'!B206</f>
        <v>925.8</v>
      </c>
      <c r="D110" s="194">
        <f>'Weather Data'!C206</f>
        <v>0</v>
      </c>
      <c r="E110" s="194">
        <v>31</v>
      </c>
      <c r="F110" s="194">
        <v>0</v>
      </c>
      <c r="G110" s="184">
        <f>'CDM Activity'!C42</f>
        <v>503498.69832441746</v>
      </c>
      <c r="H110" s="195">
        <v>140.07191154754381</v>
      </c>
      <c r="I110" s="184">
        <v>49094</v>
      </c>
      <c r="J110" s="194">
        <v>304.29599999999999</v>
      </c>
      <c r="K110" s="194">
        <f t="shared" si="0"/>
        <v>102859673.25682527</v>
      </c>
      <c r="L110" s="194"/>
      <c r="M110" s="285"/>
    </row>
    <row r="111" spans="1:27">
      <c r="A111" s="2">
        <v>39448</v>
      </c>
      <c r="B111" s="284">
        <v>104935043.73</v>
      </c>
      <c r="C111" s="194">
        <f>'Weather Data'!B207</f>
        <v>934.70000000000016</v>
      </c>
      <c r="D111" s="194">
        <f>'Weather Data'!C207</f>
        <v>0</v>
      </c>
      <c r="E111" s="194">
        <v>31</v>
      </c>
      <c r="F111" s="194">
        <v>0</v>
      </c>
      <c r="G111" s="184">
        <f>'CDM Activity'!C43</f>
        <v>515729.1389423926</v>
      </c>
      <c r="H111" s="187">
        <v>139.96642175819056</v>
      </c>
      <c r="I111" s="184">
        <v>49133</v>
      </c>
      <c r="J111" s="37">
        <v>352</v>
      </c>
      <c r="K111" s="194">
        <f t="shared" si="0"/>
        <v>103112082.46311913</v>
      </c>
      <c r="L111" s="194"/>
      <c r="M111" s="37"/>
      <c r="Y111" s="7"/>
      <c r="Z111" s="7"/>
      <c r="AA111" s="7"/>
    </row>
    <row r="112" spans="1:27">
      <c r="A112" s="2">
        <v>39479</v>
      </c>
      <c r="B112" s="284">
        <v>96969184.5</v>
      </c>
      <c r="C112" s="194">
        <f>'Weather Data'!B208</f>
        <v>921.50000000000011</v>
      </c>
      <c r="D112" s="194">
        <f>'Weather Data'!C208</f>
        <v>0</v>
      </c>
      <c r="E112" s="194">
        <v>29</v>
      </c>
      <c r="F112" s="194">
        <v>0</v>
      </c>
      <c r="G112" s="184">
        <f>'CDM Activity'!C44</f>
        <v>527959.57956036774</v>
      </c>
      <c r="H112" s="187">
        <v>139.86101141442734</v>
      </c>
      <c r="I112" s="184">
        <v>49180</v>
      </c>
      <c r="J112" s="37">
        <v>320</v>
      </c>
      <c r="K112" s="194">
        <f t="shared" si="0"/>
        <v>97163255.82414338</v>
      </c>
      <c r="L112" s="194"/>
      <c r="M112" s="37"/>
    </row>
    <row r="113" spans="1:27">
      <c r="A113" s="2">
        <v>39508</v>
      </c>
      <c r="B113" s="284">
        <v>93519586.990500003</v>
      </c>
      <c r="C113" s="194">
        <f>'Weather Data'!B209</f>
        <v>791.9</v>
      </c>
      <c r="D113" s="194">
        <f>'Weather Data'!C209</f>
        <v>0</v>
      </c>
      <c r="E113" s="194">
        <v>31</v>
      </c>
      <c r="F113" s="194">
        <v>1</v>
      </c>
      <c r="G113" s="184">
        <f>'CDM Activity'!C45</f>
        <v>540190.02017834282</v>
      </c>
      <c r="H113" s="187">
        <v>139.75568045642274</v>
      </c>
      <c r="I113" s="184">
        <v>49098</v>
      </c>
      <c r="J113" s="37">
        <v>304</v>
      </c>
      <c r="K113" s="194">
        <f t="shared" si="0"/>
        <v>95525062.02133286</v>
      </c>
      <c r="L113" s="194"/>
      <c r="M113" s="37"/>
    </row>
    <row r="114" spans="1:27">
      <c r="A114" s="2">
        <v>39539</v>
      </c>
      <c r="B114" s="284">
        <v>82871977.694999993</v>
      </c>
      <c r="C114" s="194">
        <f>'Weather Data'!B210</f>
        <v>456.89999999999986</v>
      </c>
      <c r="D114" s="194">
        <f>'Weather Data'!C210</f>
        <v>0</v>
      </c>
      <c r="E114" s="194">
        <v>30</v>
      </c>
      <c r="F114" s="194">
        <v>1</v>
      </c>
      <c r="G114" s="184">
        <f>'CDM Activity'!C46</f>
        <v>552420.4607963179</v>
      </c>
      <c r="H114" s="187">
        <v>139.65042882439042</v>
      </c>
      <c r="I114" s="184">
        <v>49237</v>
      </c>
      <c r="J114" s="37">
        <v>352</v>
      </c>
      <c r="K114" s="194">
        <f t="shared" si="0"/>
        <v>82372273.463665619</v>
      </c>
      <c r="L114" s="194"/>
      <c r="M114" s="37"/>
    </row>
    <row r="115" spans="1:27">
      <c r="A115" s="2">
        <v>39569</v>
      </c>
      <c r="B115" s="284">
        <v>79155014.5</v>
      </c>
      <c r="C115" s="194">
        <f>'Weather Data'!B211</f>
        <v>327.7</v>
      </c>
      <c r="D115" s="194">
        <f>'Weather Data'!C211</f>
        <v>0</v>
      </c>
      <c r="E115" s="194">
        <v>31</v>
      </c>
      <c r="F115" s="194">
        <v>1</v>
      </c>
      <c r="G115" s="184">
        <f>'CDM Activity'!C47</f>
        <v>564650.90141429298</v>
      </c>
      <c r="H115" s="187">
        <v>139.54525645858905</v>
      </c>
      <c r="I115" s="184">
        <v>49463</v>
      </c>
      <c r="J115" s="37">
        <v>336</v>
      </c>
      <c r="K115" s="194">
        <f t="shared" si="0"/>
        <v>81107820.997179508</v>
      </c>
      <c r="L115" s="194"/>
      <c r="M115" s="37"/>
    </row>
    <row r="116" spans="1:27">
      <c r="A116" s="2">
        <v>39600</v>
      </c>
      <c r="B116" s="284">
        <v>75449480.36999999</v>
      </c>
      <c r="C116" s="194">
        <f>'Weather Data'!B212</f>
        <v>109.89999999999998</v>
      </c>
      <c r="D116" s="194">
        <f>'Weather Data'!C212</f>
        <v>4.5999999999999996</v>
      </c>
      <c r="E116" s="194">
        <v>30</v>
      </c>
      <c r="F116" s="194">
        <v>0</v>
      </c>
      <c r="G116" s="184">
        <f>'CDM Activity'!C48</f>
        <v>576881.34203226806</v>
      </c>
      <c r="H116" s="187">
        <v>139.44016329932234</v>
      </c>
      <c r="I116" s="184">
        <v>49238</v>
      </c>
      <c r="J116" s="37">
        <v>336</v>
      </c>
      <c r="K116" s="194">
        <f t="shared" si="0"/>
        <v>75402933.765655354</v>
      </c>
      <c r="L116" s="194"/>
      <c r="M116" s="37"/>
    </row>
    <row r="117" spans="1:27">
      <c r="A117" s="2">
        <v>39630</v>
      </c>
      <c r="B117" s="284">
        <v>80091639.5</v>
      </c>
      <c r="C117" s="194">
        <f>'Weather Data'!B213</f>
        <v>34.700000000000003</v>
      </c>
      <c r="D117" s="194">
        <f>'Weather Data'!C213</f>
        <v>22.1</v>
      </c>
      <c r="E117" s="194">
        <v>31</v>
      </c>
      <c r="F117" s="194">
        <v>0</v>
      </c>
      <c r="G117" s="184">
        <f>'CDM Activity'!C49</f>
        <v>589111.78265024314</v>
      </c>
      <c r="H117" s="187">
        <v>139.3351492869389</v>
      </c>
      <c r="I117" s="184">
        <v>49192</v>
      </c>
      <c r="J117" s="37">
        <v>352</v>
      </c>
      <c r="K117" s="194">
        <f t="shared" si="0"/>
        <v>78472023.9004969</v>
      </c>
      <c r="L117" s="194"/>
      <c r="M117" s="37"/>
    </row>
    <row r="118" spans="1:27">
      <c r="A118" s="2">
        <v>39661</v>
      </c>
      <c r="B118" s="284">
        <v>79245285.700000003</v>
      </c>
      <c r="C118" s="194">
        <f>'Weather Data'!B214</f>
        <v>50.400000000000006</v>
      </c>
      <c r="D118" s="194">
        <f>'Weather Data'!C214</f>
        <v>22.200000000000003</v>
      </c>
      <c r="E118" s="194">
        <v>31</v>
      </c>
      <c r="F118" s="194">
        <v>0</v>
      </c>
      <c r="G118" s="184">
        <f>'CDM Activity'!C50</f>
        <v>601342.22326821822</v>
      </c>
      <c r="H118" s="187">
        <v>139.23021436183228</v>
      </c>
      <c r="I118" s="184">
        <v>49432</v>
      </c>
      <c r="J118" s="37">
        <v>320</v>
      </c>
      <c r="K118" s="194">
        <f t="shared" si="0"/>
        <v>78950161.939677283</v>
      </c>
      <c r="L118" s="194"/>
      <c r="M118" s="37"/>
    </row>
    <row r="119" spans="1:27">
      <c r="A119" s="2">
        <v>39692</v>
      </c>
      <c r="B119" s="284">
        <v>75427974.635000005</v>
      </c>
      <c r="C119" s="194">
        <f>'Weather Data'!B215</f>
        <v>193.29999999999998</v>
      </c>
      <c r="D119" s="194">
        <f>'Weather Data'!C215</f>
        <v>7</v>
      </c>
      <c r="E119" s="194">
        <v>30</v>
      </c>
      <c r="F119" s="194">
        <v>1</v>
      </c>
      <c r="G119" s="184">
        <f>'CDM Activity'!C51</f>
        <v>613572.6638861933</v>
      </c>
      <c r="H119" s="187">
        <v>139.12535846444095</v>
      </c>
      <c r="I119" s="184">
        <v>49375</v>
      </c>
      <c r="J119" s="37">
        <v>336</v>
      </c>
      <c r="K119" s="194">
        <f t="shared" si="0"/>
        <v>75160676.377380654</v>
      </c>
      <c r="L119" s="194"/>
      <c r="M119" s="37"/>
    </row>
    <row r="120" spans="1:27">
      <c r="A120" s="2">
        <v>39722</v>
      </c>
      <c r="B120" s="284">
        <v>81562556.669999987</v>
      </c>
      <c r="C120" s="194">
        <f>'Weather Data'!B216</f>
        <v>373.09999999999997</v>
      </c>
      <c r="D120" s="194">
        <f>'Weather Data'!C216</f>
        <v>0</v>
      </c>
      <c r="E120" s="194">
        <v>31</v>
      </c>
      <c r="F120" s="194">
        <v>1</v>
      </c>
      <c r="G120" s="184">
        <f>'CDM Activity'!C52</f>
        <v>625803.10450416838</v>
      </c>
      <c r="H120" s="187">
        <v>139.02058153524823</v>
      </c>
      <c r="I120" s="184">
        <v>49399</v>
      </c>
      <c r="J120" s="37">
        <v>352</v>
      </c>
      <c r="K120" s="194">
        <f t="shared" si="0"/>
        <v>82397729.795231938</v>
      </c>
      <c r="L120" s="194"/>
      <c r="M120" s="37"/>
    </row>
    <row r="121" spans="1:27">
      <c r="A121" s="2">
        <v>39753</v>
      </c>
      <c r="B121" s="284">
        <v>89093068.805000007</v>
      </c>
      <c r="C121" s="194">
        <f>'Weather Data'!B217</f>
        <v>591.00000000000011</v>
      </c>
      <c r="D121" s="194">
        <f>'Weather Data'!C217</f>
        <v>0</v>
      </c>
      <c r="E121" s="194">
        <v>30</v>
      </c>
      <c r="F121" s="194">
        <v>1</v>
      </c>
      <c r="G121" s="184">
        <f>'CDM Activity'!C53</f>
        <v>638033.54512214346</v>
      </c>
      <c r="H121" s="187">
        <v>138.91588351478222</v>
      </c>
      <c r="I121" s="184">
        <v>49648</v>
      </c>
      <c r="J121" s="37">
        <v>304</v>
      </c>
      <c r="K121" s="194">
        <f t="shared" si="0"/>
        <v>86361967.508465424</v>
      </c>
      <c r="L121" s="194"/>
      <c r="M121" s="37"/>
    </row>
    <row r="122" spans="1:27">
      <c r="A122" s="2">
        <v>39783</v>
      </c>
      <c r="B122" s="284">
        <v>108035010.80000001</v>
      </c>
      <c r="C122" s="194">
        <f>'Weather Data'!B218</f>
        <v>1033.7999999999997</v>
      </c>
      <c r="D122" s="194">
        <f>'Weather Data'!C218</f>
        <v>0</v>
      </c>
      <c r="E122" s="194">
        <v>31</v>
      </c>
      <c r="F122" s="194">
        <v>0</v>
      </c>
      <c r="G122" s="184">
        <f>'CDM Activity'!C54</f>
        <v>650263.98574011854</v>
      </c>
      <c r="H122" s="187">
        <v>138.8112643436159</v>
      </c>
      <c r="I122" s="184">
        <v>49441</v>
      </c>
      <c r="J122" s="37">
        <v>336</v>
      </c>
      <c r="K122" s="194">
        <f t="shared" si="0"/>
        <v>105925734.08779576</v>
      </c>
      <c r="L122" s="194"/>
      <c r="M122" s="188"/>
    </row>
    <row r="123" spans="1:27">
      <c r="A123" s="2">
        <v>39814</v>
      </c>
      <c r="B123" s="284">
        <v>107537935.205</v>
      </c>
      <c r="C123" s="194">
        <f>'Weather Data'!B219</f>
        <v>1093.3999999999996</v>
      </c>
      <c r="D123" s="194">
        <f>'Weather Data'!C219</f>
        <v>0</v>
      </c>
      <c r="E123" s="194">
        <v>31</v>
      </c>
      <c r="F123" s="194">
        <v>0</v>
      </c>
      <c r="G123" s="184">
        <f>'CDM Activity'!C55</f>
        <v>680823.47460484621</v>
      </c>
      <c r="H123" s="187">
        <v>138.43555825854429</v>
      </c>
      <c r="I123" s="184">
        <v>49371</v>
      </c>
      <c r="J123" s="37">
        <v>336</v>
      </c>
      <c r="K123" s="194">
        <f t="shared" si="0"/>
        <v>107713093.32429057</v>
      </c>
      <c r="L123" s="194"/>
      <c r="M123" s="37"/>
      <c r="Y123" s="7"/>
      <c r="Z123" s="7"/>
      <c r="AA123" s="7"/>
    </row>
    <row r="124" spans="1:27">
      <c r="A124" s="2">
        <v>39845</v>
      </c>
      <c r="B124" s="284">
        <v>88671356.00500001</v>
      </c>
      <c r="C124" s="194">
        <f>'Weather Data'!B220</f>
        <v>838.90000000000009</v>
      </c>
      <c r="D124" s="194">
        <f>'Weather Data'!C220</f>
        <v>0</v>
      </c>
      <c r="E124" s="194">
        <v>28</v>
      </c>
      <c r="F124" s="194">
        <v>0</v>
      </c>
      <c r="G124" s="184">
        <f>'CDM Activity'!C56</f>
        <v>711382.96346957388</v>
      </c>
      <c r="H124" s="187">
        <v>138.06086905825526</v>
      </c>
      <c r="I124" s="184">
        <v>49344</v>
      </c>
      <c r="J124" s="37">
        <v>304</v>
      </c>
      <c r="K124" s="194">
        <f t="shared" si="0"/>
        <v>91500771.824514985</v>
      </c>
      <c r="L124" s="194"/>
      <c r="M124" s="37"/>
    </row>
    <row r="125" spans="1:27">
      <c r="A125" s="2">
        <v>39873</v>
      </c>
      <c r="B125" s="284">
        <v>92595903.344999984</v>
      </c>
      <c r="C125" s="194">
        <f>'Weather Data'!B221</f>
        <v>762.3</v>
      </c>
      <c r="D125" s="194">
        <f>'Weather Data'!C221</f>
        <v>0</v>
      </c>
      <c r="E125" s="194">
        <v>31</v>
      </c>
      <c r="F125" s="194">
        <v>1</v>
      </c>
      <c r="G125" s="184">
        <f>'CDM Activity'!C57</f>
        <v>741942.45233430155</v>
      </c>
      <c r="H125" s="187">
        <v>137.68719399045199</v>
      </c>
      <c r="I125" s="184">
        <v>49266</v>
      </c>
      <c r="J125" s="37">
        <v>352</v>
      </c>
      <c r="K125" s="194">
        <f t="shared" si="0"/>
        <v>94227257.966093197</v>
      </c>
      <c r="L125" s="194"/>
      <c r="M125" s="37"/>
    </row>
    <row r="126" spans="1:27">
      <c r="A126" s="2">
        <v>39904</v>
      </c>
      <c r="B126" s="284">
        <v>80947385.030000001</v>
      </c>
      <c r="C126" s="194">
        <f>'Weather Data'!B222</f>
        <v>453.2</v>
      </c>
      <c r="D126" s="194">
        <f>'Weather Data'!C222</f>
        <v>0</v>
      </c>
      <c r="E126" s="194">
        <v>30</v>
      </c>
      <c r="F126" s="194">
        <v>1</v>
      </c>
      <c r="G126" s="184">
        <f>'CDM Activity'!C58</f>
        <v>772501.94119902921</v>
      </c>
      <c r="H126" s="187">
        <v>137.31453031028698</v>
      </c>
      <c r="I126" s="184">
        <v>49342</v>
      </c>
      <c r="J126" s="37">
        <v>320</v>
      </c>
      <c r="K126" s="194">
        <f t="shared" si="0"/>
        <v>81841645.426114097</v>
      </c>
      <c r="L126" s="194"/>
      <c r="M126" s="287"/>
    </row>
    <row r="127" spans="1:27">
      <c r="A127" s="2">
        <v>39934</v>
      </c>
      <c r="B127" s="284">
        <v>77386804.879999995</v>
      </c>
      <c r="C127" s="194">
        <f>'Weather Data'!B223</f>
        <v>319.8</v>
      </c>
      <c r="D127" s="194">
        <f>'Weather Data'!C223</f>
        <v>0</v>
      </c>
      <c r="E127" s="194">
        <v>31</v>
      </c>
      <c r="F127" s="194">
        <v>1</v>
      </c>
      <c r="G127" s="184">
        <f>'CDM Activity'!C59</f>
        <v>803061.43006375688</v>
      </c>
      <c r="H127" s="187">
        <v>136.94287528034204</v>
      </c>
      <c r="I127" s="184">
        <v>49524</v>
      </c>
      <c r="J127" s="37">
        <v>320</v>
      </c>
      <c r="K127" s="194">
        <f t="shared" si="0"/>
        <v>80412514.228258222</v>
      </c>
      <c r="L127" s="194"/>
      <c r="M127" s="37"/>
    </row>
    <row r="128" spans="1:27">
      <c r="A128" s="2">
        <v>39965</v>
      </c>
      <c r="B128" s="284">
        <v>75548044.13499999</v>
      </c>
      <c r="C128" s="194">
        <f>'Weather Data'!B224</f>
        <v>141.80000000000001</v>
      </c>
      <c r="D128" s="194">
        <f>'Weather Data'!C224</f>
        <v>13.7</v>
      </c>
      <c r="E128" s="194">
        <v>30</v>
      </c>
      <c r="F128" s="194">
        <v>0</v>
      </c>
      <c r="G128" s="184">
        <f>'CDM Activity'!C60</f>
        <v>833620.91892848455</v>
      </c>
      <c r="H128" s="187">
        <v>136.57222617060793</v>
      </c>
      <c r="I128" s="184">
        <v>49367</v>
      </c>
      <c r="J128" s="37">
        <v>352</v>
      </c>
      <c r="K128" s="194">
        <f t="shared" si="0"/>
        <v>77289251.80028069</v>
      </c>
      <c r="L128" s="194"/>
      <c r="M128" s="37"/>
    </row>
    <row r="129" spans="1:27">
      <c r="A129" s="2">
        <v>39995</v>
      </c>
      <c r="B129" s="284">
        <v>75447422.900000006</v>
      </c>
      <c r="C129" s="194">
        <f>'Weather Data'!B225</f>
        <v>74.5</v>
      </c>
      <c r="D129" s="194">
        <f>'Weather Data'!C225</f>
        <v>2</v>
      </c>
      <c r="E129" s="194">
        <v>31</v>
      </c>
      <c r="F129" s="194">
        <v>0</v>
      </c>
      <c r="G129" s="184">
        <f>'CDM Activity'!C61</f>
        <v>864180.40779321222</v>
      </c>
      <c r="H129" s="187">
        <v>136.20258025846454</v>
      </c>
      <c r="I129" s="184">
        <v>49317</v>
      </c>
      <c r="J129" s="37">
        <v>352</v>
      </c>
      <c r="K129" s="194">
        <f t="shared" si="0"/>
        <v>76126898.226568967</v>
      </c>
      <c r="L129" s="194"/>
      <c r="M129" s="37"/>
    </row>
    <row r="130" spans="1:27">
      <c r="A130" s="2">
        <v>40026</v>
      </c>
      <c r="B130" s="284">
        <v>75448475.599999994</v>
      </c>
      <c r="C130" s="194">
        <f>'Weather Data'!B226</f>
        <v>84.2</v>
      </c>
      <c r="D130" s="194">
        <f>'Weather Data'!C226</f>
        <v>14.2</v>
      </c>
      <c r="E130" s="194">
        <v>31</v>
      </c>
      <c r="F130" s="194">
        <v>0</v>
      </c>
      <c r="G130" s="184">
        <f>'CDM Activity'!C62</f>
        <v>894739.89665793988</v>
      </c>
      <c r="H130" s="187">
        <v>135.83393482866074</v>
      </c>
      <c r="I130" s="184">
        <v>49303</v>
      </c>
      <c r="J130" s="37">
        <v>320</v>
      </c>
      <c r="K130" s="194">
        <f t="shared" si="0"/>
        <v>78225060.39759706</v>
      </c>
      <c r="L130" s="194"/>
      <c r="M130" s="37"/>
    </row>
    <row r="131" spans="1:27">
      <c r="A131" s="2">
        <v>40057</v>
      </c>
      <c r="B131" s="284">
        <v>75207277.195000008</v>
      </c>
      <c r="C131" s="194">
        <f>'Weather Data'!B227</f>
        <v>102.8</v>
      </c>
      <c r="D131" s="194">
        <f>'Weather Data'!C227</f>
        <v>3.5</v>
      </c>
      <c r="E131" s="194">
        <v>30</v>
      </c>
      <c r="F131" s="194">
        <v>1</v>
      </c>
      <c r="G131" s="184">
        <f>'CDM Activity'!C63</f>
        <v>925299.38552266755</v>
      </c>
      <c r="H131" s="187">
        <v>135.46628717329455</v>
      </c>
      <c r="I131" s="184">
        <v>49488</v>
      </c>
      <c r="J131" s="37">
        <v>336</v>
      </c>
      <c r="K131" s="194">
        <f t="shared" si="0"/>
        <v>71237221.53819041</v>
      </c>
      <c r="L131" s="194"/>
      <c r="M131" s="37"/>
    </row>
    <row r="132" spans="1:27">
      <c r="A132" s="2">
        <v>40087</v>
      </c>
      <c r="B132" s="284">
        <v>81670054.660000011</v>
      </c>
      <c r="C132" s="194">
        <f>'Weather Data'!B228</f>
        <v>451.40000000000003</v>
      </c>
      <c r="D132" s="194">
        <f>'Weather Data'!C228</f>
        <v>0</v>
      </c>
      <c r="E132" s="194">
        <v>31</v>
      </c>
      <c r="F132" s="194">
        <v>1</v>
      </c>
      <c r="G132" s="184">
        <f>'CDM Activity'!C64</f>
        <v>955858.87438739522</v>
      </c>
      <c r="H132" s="187">
        <v>135.09963459179312</v>
      </c>
      <c r="I132" s="184">
        <v>49576</v>
      </c>
      <c r="J132" s="37">
        <v>336</v>
      </c>
      <c r="K132" s="194">
        <f t="shared" si="0"/>
        <v>84197794.455807611</v>
      </c>
      <c r="L132" s="194"/>
      <c r="M132" s="37"/>
    </row>
    <row r="133" spans="1:27">
      <c r="A133" s="2">
        <v>40118</v>
      </c>
      <c r="B133" s="284">
        <v>81617697.475000009</v>
      </c>
      <c r="C133" s="194">
        <f>'Weather Data'!B229</f>
        <v>473.49999999999994</v>
      </c>
      <c r="D133" s="194">
        <f>'Weather Data'!C229</f>
        <v>0</v>
      </c>
      <c r="E133" s="194">
        <v>30</v>
      </c>
      <c r="F133" s="194">
        <v>1</v>
      </c>
      <c r="G133" s="184">
        <f>'CDM Activity'!C65</f>
        <v>986418.36325212289</v>
      </c>
      <c r="H133" s="187">
        <v>134.733974390893</v>
      </c>
      <c r="I133" s="184">
        <v>49421</v>
      </c>
      <c r="J133" s="37">
        <v>320</v>
      </c>
      <c r="K133" s="194">
        <f t="shared" si="0"/>
        <v>82065680.018419057</v>
      </c>
      <c r="L133" s="194"/>
      <c r="M133" s="37"/>
    </row>
    <row r="134" spans="1:27">
      <c r="A134" s="2">
        <v>40148</v>
      </c>
      <c r="B134" s="284">
        <v>101485380.41500001</v>
      </c>
      <c r="C134" s="194">
        <f>'Weather Data'!B230</f>
        <v>914.89999999999986</v>
      </c>
      <c r="D134" s="194">
        <f>'Weather Data'!C230</f>
        <v>0</v>
      </c>
      <c r="E134" s="194">
        <v>31</v>
      </c>
      <c r="F134" s="194">
        <v>0</v>
      </c>
      <c r="G134" s="184">
        <f>'CDM Activity'!C66</f>
        <v>1016977.8521168506</v>
      </c>
      <c r="H134" s="187">
        <v>134.36930388462019</v>
      </c>
      <c r="I134" s="184">
        <v>49538</v>
      </c>
      <c r="J134" s="37">
        <v>352</v>
      </c>
      <c r="K134" s="194">
        <f t="shared" si="0"/>
        <v>101551452.02908272</v>
      </c>
      <c r="L134" s="194"/>
      <c r="M134" s="37"/>
    </row>
    <row r="135" spans="1:27">
      <c r="A135" s="2">
        <v>40179</v>
      </c>
      <c r="B135" s="284">
        <v>100899510</v>
      </c>
      <c r="C135" s="194">
        <f>'Weather Data'!B231</f>
        <v>900.20000000000027</v>
      </c>
      <c r="D135" s="194">
        <f>'Weather Data'!C231</f>
        <v>0</v>
      </c>
      <c r="E135" s="194">
        <v>31</v>
      </c>
      <c r="F135" s="194">
        <v>0</v>
      </c>
      <c r="G135" s="184">
        <f>'CDM Activity'!C67</f>
        <v>999026.00968987297</v>
      </c>
      <c r="H135" s="187">
        <v>134.73334561620703</v>
      </c>
      <c r="I135" s="184">
        <v>49455</v>
      </c>
      <c r="J135" s="194">
        <v>320</v>
      </c>
      <c r="K135" s="194">
        <f t="shared" si="0"/>
        <v>101130299.5253484</v>
      </c>
      <c r="L135" s="194"/>
      <c r="M135" s="37"/>
      <c r="Y135" s="7"/>
      <c r="Z135" s="7"/>
      <c r="AA135" s="7"/>
    </row>
    <row r="136" spans="1:27">
      <c r="A136" s="2">
        <v>40210</v>
      </c>
      <c r="B136" s="284">
        <v>85849038</v>
      </c>
      <c r="C136" s="194">
        <f>'Weather Data'!B232</f>
        <v>778.39999999999975</v>
      </c>
      <c r="D136" s="194">
        <f>'Weather Data'!C232</f>
        <v>0</v>
      </c>
      <c r="E136" s="194">
        <v>28</v>
      </c>
      <c r="F136" s="194">
        <v>0</v>
      </c>
      <c r="G136" s="184">
        <f>'CDM Activity'!C68</f>
        <v>981074.16726289538</v>
      </c>
      <c r="H136" s="187">
        <v>135.09837363244745</v>
      </c>
      <c r="I136" s="184">
        <v>49476</v>
      </c>
      <c r="J136" s="194">
        <v>304</v>
      </c>
      <c r="K136" s="194">
        <f t="shared" si="0"/>
        <v>89117902.599462703</v>
      </c>
      <c r="L136" s="194"/>
      <c r="M136" s="37"/>
    </row>
    <row r="137" spans="1:27">
      <c r="A137" s="2">
        <v>40238</v>
      </c>
      <c r="B137" s="284">
        <v>82851577</v>
      </c>
      <c r="C137" s="194">
        <f>'Weather Data'!B233</f>
        <v>514.4</v>
      </c>
      <c r="D137" s="194">
        <f>'Weather Data'!C233</f>
        <v>0</v>
      </c>
      <c r="E137" s="194">
        <v>31</v>
      </c>
      <c r="F137" s="194">
        <v>1</v>
      </c>
      <c r="G137" s="184">
        <f>'CDM Activity'!C69</f>
        <v>963122.3248359178</v>
      </c>
      <c r="H137" s="187">
        <v>135.46439060544563</v>
      </c>
      <c r="I137" s="184">
        <v>49489</v>
      </c>
      <c r="J137" s="194">
        <v>368</v>
      </c>
      <c r="K137" s="194">
        <f t="shared" si="0"/>
        <v>86134456.000198841</v>
      </c>
      <c r="L137" s="194"/>
      <c r="M137" s="37"/>
    </row>
    <row r="138" spans="1:27">
      <c r="A138" s="2">
        <v>40269</v>
      </c>
      <c r="B138" s="284">
        <v>74469009</v>
      </c>
      <c r="C138" s="194">
        <f>'Weather Data'!B234</f>
        <v>358.00000000000011</v>
      </c>
      <c r="D138" s="194">
        <f>'Weather Data'!C234</f>
        <v>0</v>
      </c>
      <c r="E138" s="194">
        <v>30</v>
      </c>
      <c r="F138" s="194">
        <v>1</v>
      </c>
      <c r="G138" s="184">
        <f>'CDM Activity'!C70</f>
        <v>945170.48240894021</v>
      </c>
      <c r="H138" s="187">
        <v>135.83139921454512</v>
      </c>
      <c r="I138" s="184">
        <v>49454</v>
      </c>
      <c r="J138" s="194">
        <v>320</v>
      </c>
      <c r="K138" s="194">
        <f t="shared" si="0"/>
        <v>78567940.624845833</v>
      </c>
      <c r="L138" s="194"/>
      <c r="M138" s="37"/>
    </row>
    <row r="139" spans="1:27">
      <c r="A139" s="2">
        <v>40299</v>
      </c>
      <c r="B139" s="284">
        <v>73655416</v>
      </c>
      <c r="C139" s="194">
        <f>'Weather Data'!B235</f>
        <v>212.40000000000003</v>
      </c>
      <c r="D139" s="194">
        <f>'Weather Data'!C235</f>
        <v>0.6</v>
      </c>
      <c r="E139" s="194">
        <v>31</v>
      </c>
      <c r="F139" s="194">
        <v>1</v>
      </c>
      <c r="G139" s="184">
        <f>'CDM Activity'!C71</f>
        <v>927218.63998196262</v>
      </c>
      <c r="H139" s="187">
        <v>136.19940214634852</v>
      </c>
      <c r="I139" s="184">
        <v>49431</v>
      </c>
      <c r="J139" s="194">
        <v>320</v>
      </c>
      <c r="K139" s="194">
        <f t="shared" si="0"/>
        <v>76944089.493213877</v>
      </c>
      <c r="L139" s="194"/>
      <c r="M139" s="37"/>
    </row>
    <row r="140" spans="1:27">
      <c r="A140" s="2">
        <v>40330</v>
      </c>
      <c r="B140" s="284">
        <v>71835603</v>
      </c>
      <c r="C140" s="194">
        <f>'Weather Data'!B236</f>
        <v>106.30000000000003</v>
      </c>
      <c r="D140" s="194">
        <f>'Weather Data'!C236</f>
        <v>3.0000000000000004</v>
      </c>
      <c r="E140" s="194">
        <v>30</v>
      </c>
      <c r="F140" s="194">
        <v>0</v>
      </c>
      <c r="G140" s="184">
        <f>'CDM Activity'!C72</f>
        <v>909266.79755498504</v>
      </c>
      <c r="H140" s="187">
        <v>136.56840209473719</v>
      </c>
      <c r="I140" s="184">
        <v>49585</v>
      </c>
      <c r="J140" s="194">
        <v>352</v>
      </c>
      <c r="K140" s="194">
        <f t="shared" si="0"/>
        <v>74419719.783194512</v>
      </c>
      <c r="L140" s="194"/>
      <c r="M140" s="37"/>
    </row>
    <row r="141" spans="1:27">
      <c r="A141" s="2">
        <v>40360</v>
      </c>
      <c r="B141" s="284">
        <v>80242084</v>
      </c>
      <c r="C141" s="194">
        <f>'Weather Data'!B237</f>
        <v>14.5</v>
      </c>
      <c r="D141" s="194">
        <f>'Weather Data'!C237</f>
        <v>52</v>
      </c>
      <c r="E141" s="194">
        <v>31</v>
      </c>
      <c r="F141" s="194">
        <v>0</v>
      </c>
      <c r="G141" s="184">
        <f>'CDM Activity'!C73</f>
        <v>891314.95512800745</v>
      </c>
      <c r="H141" s="187">
        <v>136.93840176089088</v>
      </c>
      <c r="I141" s="184">
        <v>49584</v>
      </c>
      <c r="J141" s="194">
        <v>336</v>
      </c>
      <c r="K141" s="194">
        <f t="shared" si="0"/>
        <v>81823156.506177649</v>
      </c>
      <c r="L141" s="194"/>
      <c r="M141" s="37"/>
    </row>
    <row r="142" spans="1:27">
      <c r="A142" s="2">
        <v>40391</v>
      </c>
      <c r="B142" s="284">
        <v>79593471</v>
      </c>
      <c r="C142" s="194">
        <f>'Weather Data'!B238</f>
        <v>37.9</v>
      </c>
      <c r="D142" s="194">
        <f>'Weather Data'!C238</f>
        <v>55.8</v>
      </c>
      <c r="E142" s="194">
        <v>31</v>
      </c>
      <c r="F142" s="194">
        <v>0</v>
      </c>
      <c r="G142" s="184">
        <f>'CDM Activity'!C74</f>
        <v>873363.11270102987</v>
      </c>
      <c r="H142" s="187">
        <v>137.30940385330757</v>
      </c>
      <c r="I142" s="184">
        <v>49557</v>
      </c>
      <c r="J142" s="194">
        <v>336</v>
      </c>
      <c r="K142" s="194">
        <f t="shared" si="0"/>
        <v>83159513.565172359</v>
      </c>
      <c r="L142" s="194"/>
      <c r="M142" s="37"/>
    </row>
    <row r="143" spans="1:27">
      <c r="A143" s="2">
        <v>40422</v>
      </c>
      <c r="B143" s="284">
        <v>71489469</v>
      </c>
      <c r="C143" s="194">
        <f>'Weather Data'!B239</f>
        <v>231.1</v>
      </c>
      <c r="D143" s="194">
        <f>'Weather Data'!C239</f>
        <v>0</v>
      </c>
      <c r="E143" s="194">
        <v>30</v>
      </c>
      <c r="F143" s="194">
        <v>1</v>
      </c>
      <c r="G143" s="184">
        <f>'CDM Activity'!C75</f>
        <v>855411.27027405228</v>
      </c>
      <c r="H143" s="187">
        <v>137.68141108782325</v>
      </c>
      <c r="I143" s="184">
        <v>49688</v>
      </c>
      <c r="J143" s="194">
        <v>336</v>
      </c>
      <c r="K143" s="194">
        <f t="shared" si="0"/>
        <v>74808987.288908601</v>
      </c>
      <c r="L143" s="194"/>
      <c r="M143" s="37"/>
    </row>
    <row r="144" spans="1:27">
      <c r="A144" s="2">
        <v>40452</v>
      </c>
      <c r="B144" s="284">
        <v>76458169</v>
      </c>
      <c r="C144" s="194">
        <f>'Weather Data'!B240</f>
        <v>355.49999999999989</v>
      </c>
      <c r="D144" s="194">
        <f>'Weather Data'!C240</f>
        <v>0</v>
      </c>
      <c r="E144" s="194">
        <v>31</v>
      </c>
      <c r="F144" s="194">
        <v>1</v>
      </c>
      <c r="G144" s="184">
        <f>'CDM Activity'!C76</f>
        <v>837459.42784707469</v>
      </c>
      <c r="H144" s="187">
        <v>138.0544261876318</v>
      </c>
      <c r="I144" s="184">
        <v>49720</v>
      </c>
      <c r="J144" s="194">
        <v>320</v>
      </c>
      <c r="K144" s="194">
        <f t="shared" si="0"/>
        <v>81452705.219997242</v>
      </c>
      <c r="L144" s="194"/>
      <c r="M144" s="37"/>
    </row>
    <row r="145" spans="1:13">
      <c r="A145" s="2">
        <v>40483</v>
      </c>
      <c r="B145" s="284">
        <v>84336038</v>
      </c>
      <c r="C145" s="194">
        <f>'Weather Data'!B241</f>
        <v>549.40000000000009</v>
      </c>
      <c r="D145" s="194">
        <f>'Weather Data'!C241</f>
        <v>0</v>
      </c>
      <c r="E145" s="194">
        <v>30</v>
      </c>
      <c r="F145" s="194">
        <v>1</v>
      </c>
      <c r="G145" s="184">
        <f>'CDM Activity'!C77</f>
        <v>819507.58542009711</v>
      </c>
      <c r="H145" s="187">
        <v>138.42845188330503</v>
      </c>
      <c r="I145" s="184">
        <v>49679</v>
      </c>
      <c r="J145" s="194">
        <v>336</v>
      </c>
      <c r="K145" s="194">
        <f t="shared" si="0"/>
        <v>84730997.771387786</v>
      </c>
      <c r="L145" s="194"/>
      <c r="M145" s="37"/>
    </row>
    <row r="146" spans="1:13">
      <c r="A146" s="2">
        <v>40513</v>
      </c>
      <c r="B146" s="284">
        <v>99487974</v>
      </c>
      <c r="C146" s="194">
        <f>'Weather Data'!B242</f>
        <v>879.0999999999998</v>
      </c>
      <c r="D146" s="194">
        <f>'Weather Data'!C242</f>
        <v>0</v>
      </c>
      <c r="E146" s="194">
        <v>31</v>
      </c>
      <c r="F146" s="194">
        <v>0</v>
      </c>
      <c r="G146" s="184">
        <f>'CDM Activity'!C78</f>
        <v>801555.74299311952</v>
      </c>
      <c r="H146" s="187">
        <v>138.80349091281266</v>
      </c>
      <c r="I146" s="184">
        <v>49685</v>
      </c>
      <c r="J146" s="194">
        <v>368</v>
      </c>
      <c r="K146" s="194">
        <f t="shared" si="0"/>
        <v>100850405.29714566</v>
      </c>
      <c r="L146" s="194"/>
      <c r="M146" s="37"/>
    </row>
    <row r="147" spans="1:13">
      <c r="A147" s="2">
        <v>40544</v>
      </c>
      <c r="B147" s="284">
        <v>103083133.92999999</v>
      </c>
      <c r="C147" s="194">
        <f>'Weather Data'!B243</f>
        <v>1077.9000000000003</v>
      </c>
      <c r="D147" s="194">
        <f>'Weather Data'!C243</f>
        <v>0</v>
      </c>
      <c r="E147" s="287">
        <v>31</v>
      </c>
      <c r="F147" s="194">
        <v>0</v>
      </c>
      <c r="G147" s="184">
        <f>'CDM Activity'!C79</f>
        <v>833343.39742210449</v>
      </c>
      <c r="H147" s="187">
        <v>139.10070640604135</v>
      </c>
      <c r="I147" s="184">
        <v>49571</v>
      </c>
      <c r="J147" s="194">
        <v>336</v>
      </c>
      <c r="K147" s="194">
        <f t="shared" si="0"/>
        <v>106944883.82290809</v>
      </c>
      <c r="L147" s="194"/>
      <c r="M147" s="37"/>
    </row>
    <row r="148" spans="1:13">
      <c r="A148" s="2">
        <v>40575</v>
      </c>
      <c r="B148" s="284">
        <v>87626412.440000013</v>
      </c>
      <c r="C148" s="194">
        <f>'Weather Data'!B244</f>
        <v>826.9</v>
      </c>
      <c r="D148" s="194">
        <f>'Weather Data'!C244</f>
        <v>0</v>
      </c>
      <c r="E148" s="287">
        <v>28</v>
      </c>
      <c r="F148" s="194">
        <v>0</v>
      </c>
      <c r="G148" s="184">
        <f>'CDM Activity'!C80</f>
        <v>865131.05185108946</v>
      </c>
      <c r="H148" s="187">
        <v>139.39855831733732</v>
      </c>
      <c r="I148" s="184">
        <v>49616</v>
      </c>
      <c r="J148" s="194">
        <v>304</v>
      </c>
      <c r="K148" s="194">
        <f t="shared" si="0"/>
        <v>90838595.584255293</v>
      </c>
      <c r="L148" s="194"/>
      <c r="M148" s="37"/>
    </row>
    <row r="149" spans="1:13">
      <c r="A149" s="2">
        <v>40603</v>
      </c>
      <c r="B149" s="284">
        <v>89212419.409999996</v>
      </c>
      <c r="C149" s="194">
        <f>'Weather Data'!B245</f>
        <v>749.9</v>
      </c>
      <c r="D149" s="194">
        <f>'Weather Data'!C245</f>
        <v>0</v>
      </c>
      <c r="E149" s="287">
        <v>31</v>
      </c>
      <c r="F149" s="194">
        <v>1</v>
      </c>
      <c r="G149" s="184">
        <f>'CDM Activity'!C81</f>
        <v>896918.70628007443</v>
      </c>
      <c r="H149" s="187">
        <v>139.69704800944226</v>
      </c>
      <c r="I149" s="184">
        <v>49616</v>
      </c>
      <c r="J149" s="194">
        <v>368</v>
      </c>
      <c r="K149" s="194">
        <f t="shared" si="0"/>
        <v>93550376.331762776</v>
      </c>
      <c r="L149" s="194"/>
      <c r="M149" s="37"/>
    </row>
    <row r="150" spans="1:13">
      <c r="A150" s="2">
        <v>40634</v>
      </c>
      <c r="B150" s="284">
        <v>78583792.420000002</v>
      </c>
      <c r="C150" s="194">
        <f>'Weather Data'!B246</f>
        <v>482.30000000000007</v>
      </c>
      <c r="D150" s="194">
        <f>'Weather Data'!C246</f>
        <v>0</v>
      </c>
      <c r="E150" s="287">
        <v>30</v>
      </c>
      <c r="F150" s="194">
        <v>1</v>
      </c>
      <c r="G150" s="184">
        <f>'CDM Activity'!C82</f>
        <v>928706.3607090594</v>
      </c>
      <c r="H150" s="187">
        <v>139.99617684801592</v>
      </c>
      <c r="I150" s="184">
        <v>49768</v>
      </c>
      <c r="J150" s="194">
        <v>320</v>
      </c>
      <c r="K150" s="194">
        <f t="shared" si="0"/>
        <v>82447224.9753052</v>
      </c>
      <c r="L150" s="194"/>
      <c r="M150" s="37"/>
    </row>
    <row r="151" spans="1:13">
      <c r="A151" s="2">
        <v>40664</v>
      </c>
      <c r="B151" s="284">
        <v>74627645.180000007</v>
      </c>
      <c r="C151" s="194">
        <f>'Weather Data'!B247</f>
        <v>266.99999999999994</v>
      </c>
      <c r="D151" s="194">
        <f>'Weather Data'!C247</f>
        <v>0</v>
      </c>
      <c r="E151" s="287">
        <v>31</v>
      </c>
      <c r="F151" s="194">
        <v>1</v>
      </c>
      <c r="G151" s="184">
        <f>'CDM Activity'!C83</f>
        <v>960494.01513804437</v>
      </c>
      <c r="H151" s="187">
        <v>140.29594620164227</v>
      </c>
      <c r="I151" s="184">
        <v>49772</v>
      </c>
      <c r="J151" s="194">
        <v>336</v>
      </c>
      <c r="K151" s="194">
        <f t="shared" si="0"/>
        <v>78480260.076128811</v>
      </c>
      <c r="L151" s="194"/>
      <c r="M151" s="37"/>
    </row>
    <row r="152" spans="1:13">
      <c r="A152" s="2">
        <v>40695</v>
      </c>
      <c r="B152" s="284">
        <v>70475526.809999987</v>
      </c>
      <c r="C152" s="194">
        <f>'Weather Data'!B248</f>
        <v>110.1</v>
      </c>
      <c r="D152" s="194">
        <f>'Weather Data'!C248</f>
        <v>0</v>
      </c>
      <c r="E152" s="287">
        <v>30</v>
      </c>
      <c r="F152" s="194">
        <v>0</v>
      </c>
      <c r="G152" s="184">
        <f>'CDM Activity'!C84</f>
        <v>992281.66956702934</v>
      </c>
      <c r="H152" s="187">
        <v>140.59635744183578</v>
      </c>
      <c r="I152" s="184">
        <v>49767</v>
      </c>
      <c r="J152" s="194">
        <v>352</v>
      </c>
      <c r="K152" s="194">
        <f t="shared" ref="K152:K215" si="1">$O$103+C152*$O$104+D152*$O$105+E152*$O$106+F152*$O$107+G152*$O$108</f>
        <v>73924111.960158512</v>
      </c>
      <c r="L152" s="194"/>
      <c r="M152" s="37"/>
    </row>
    <row r="153" spans="1:13">
      <c r="A153" s="2">
        <v>40725</v>
      </c>
      <c r="B153" s="284">
        <v>79443992.780000001</v>
      </c>
      <c r="C153" s="194">
        <f>'Weather Data'!B249</f>
        <v>29.8</v>
      </c>
      <c r="D153" s="194">
        <f>'Weather Data'!C249</f>
        <v>63.7</v>
      </c>
      <c r="E153" s="287">
        <v>31</v>
      </c>
      <c r="F153" s="194">
        <v>0</v>
      </c>
      <c r="G153" s="184">
        <f>'CDM Activity'!C85</f>
        <v>1024069.3239960143</v>
      </c>
      <c r="H153" s="187">
        <v>140.89741194304773</v>
      </c>
      <c r="I153" s="184">
        <v>49815</v>
      </c>
      <c r="J153" s="194">
        <v>320</v>
      </c>
      <c r="K153" s="194">
        <f t="shared" si="1"/>
        <v>83825428.895528987</v>
      </c>
      <c r="L153" s="194"/>
      <c r="M153" s="37"/>
    </row>
    <row r="154" spans="1:13">
      <c r="A154" s="2">
        <v>40756</v>
      </c>
      <c r="B154" s="284">
        <v>80570453.359999999</v>
      </c>
      <c r="C154" s="194">
        <f>'Weather Data'!B250</f>
        <v>22.2</v>
      </c>
      <c r="D154" s="194">
        <f>'Weather Data'!C250</f>
        <v>35.699999999999996</v>
      </c>
      <c r="E154" s="287">
        <v>31</v>
      </c>
      <c r="F154" s="194">
        <v>0</v>
      </c>
      <c r="G154" s="184">
        <f>'CDM Activity'!C86</f>
        <v>1055856.9784249992</v>
      </c>
      <c r="H154" s="187">
        <v>141.19911108267243</v>
      </c>
      <c r="I154" s="184">
        <v>49814</v>
      </c>
      <c r="J154" s="194">
        <v>352</v>
      </c>
      <c r="K154" s="194">
        <f t="shared" si="1"/>
        <v>79271203.714750245</v>
      </c>
      <c r="L154" s="194"/>
      <c r="M154" s="37"/>
    </row>
    <row r="155" spans="1:13">
      <c r="A155" s="2">
        <v>40787</v>
      </c>
      <c r="B155" s="284">
        <v>73932449.070000008</v>
      </c>
      <c r="C155" s="194">
        <f>'Weather Data'!B251</f>
        <v>172.3</v>
      </c>
      <c r="D155" s="194">
        <f>'Weather Data'!C251</f>
        <v>9.4</v>
      </c>
      <c r="E155" s="287">
        <v>30</v>
      </c>
      <c r="F155" s="194">
        <v>1</v>
      </c>
      <c r="G155" s="184">
        <f>'CDM Activity'!C87</f>
        <v>1087644.6328539841</v>
      </c>
      <c r="H155" s="187">
        <v>141.50145624105357</v>
      </c>
      <c r="I155" s="184">
        <v>49865</v>
      </c>
      <c r="J155" s="194">
        <v>336</v>
      </c>
      <c r="K155" s="194">
        <f t="shared" si="1"/>
        <v>73979318.979526043</v>
      </c>
      <c r="L155" s="194"/>
      <c r="M155" s="37"/>
    </row>
    <row r="156" spans="1:13">
      <c r="A156" s="2">
        <v>40817</v>
      </c>
      <c r="B156" s="284">
        <v>78071233.13000001</v>
      </c>
      <c r="C156" s="194">
        <f>'Weather Data'!B252</f>
        <v>337.20000000000005</v>
      </c>
      <c r="D156" s="194">
        <f>'Weather Data'!C252</f>
        <v>5.4</v>
      </c>
      <c r="E156" s="287">
        <v>31</v>
      </c>
      <c r="F156" s="194">
        <v>1</v>
      </c>
      <c r="G156" s="184">
        <f>'CDM Activity'!C88</f>
        <v>1119432.2872829691</v>
      </c>
      <c r="H156" s="187">
        <v>141.80444880149057</v>
      </c>
      <c r="I156" s="184">
        <v>49824</v>
      </c>
      <c r="J156" s="194">
        <v>320</v>
      </c>
      <c r="K156" s="194">
        <f t="shared" si="1"/>
        <v>81174418.948794603</v>
      </c>
      <c r="L156" s="194"/>
      <c r="M156" s="37"/>
    </row>
    <row r="157" spans="1:13">
      <c r="A157" s="2">
        <v>40848</v>
      </c>
      <c r="B157" s="284">
        <v>84974720.149999991</v>
      </c>
      <c r="C157" s="194">
        <f>'Weather Data'!B253</f>
        <v>563.20000000000005</v>
      </c>
      <c r="D157" s="194">
        <f>'Weather Data'!C253</f>
        <v>0</v>
      </c>
      <c r="E157" s="287">
        <v>30</v>
      </c>
      <c r="F157" s="194">
        <v>1</v>
      </c>
      <c r="G157" s="184">
        <f>'CDM Activity'!C89</f>
        <v>1151219.9417119541</v>
      </c>
      <c r="H157" s="187">
        <v>142.10809015024478</v>
      </c>
      <c r="I157" s="184">
        <v>49891</v>
      </c>
      <c r="J157" s="194">
        <v>352</v>
      </c>
      <c r="K157" s="194">
        <f t="shared" si="1"/>
        <v>84531098.921748698</v>
      </c>
      <c r="L157" s="194"/>
      <c r="M157" s="37"/>
    </row>
    <row r="158" spans="1:13">
      <c r="A158" s="2">
        <v>40878</v>
      </c>
      <c r="B158" s="284">
        <v>95477955.489999995</v>
      </c>
      <c r="C158" s="194">
        <f>'Weather Data'!B254</f>
        <v>769.8</v>
      </c>
      <c r="D158" s="194">
        <f>'Weather Data'!C254</f>
        <v>0</v>
      </c>
      <c r="E158" s="287">
        <v>31</v>
      </c>
      <c r="F158" s="194">
        <v>0</v>
      </c>
      <c r="G158" s="184">
        <f>'CDM Activity'!C90</f>
        <v>1183007.596140939</v>
      </c>
      <c r="H158" s="187">
        <v>142.41238167654581</v>
      </c>
      <c r="I158" s="184">
        <v>49849</v>
      </c>
      <c r="J158" s="194">
        <v>336</v>
      </c>
      <c r="K158" s="194">
        <f t="shared" si="1"/>
        <v>96745462.774914026</v>
      </c>
      <c r="L158" s="194"/>
      <c r="M158" s="37"/>
    </row>
    <row r="159" spans="1:13">
      <c r="A159" s="2">
        <v>40909</v>
      </c>
      <c r="B159" s="284">
        <v>96362932.530000001</v>
      </c>
      <c r="C159" s="194">
        <f>'Weather Data'!B255</f>
        <v>865.69999999999993</v>
      </c>
      <c r="D159" s="194">
        <f>'Weather Data'!C255</f>
        <v>0</v>
      </c>
      <c r="E159" s="194">
        <v>31</v>
      </c>
      <c r="F159" s="194">
        <v>0</v>
      </c>
      <c r="G159" s="184">
        <f>'CDM Activity'!C91</f>
        <v>1185333.2839352135</v>
      </c>
      <c r="H159" s="187">
        <v>142.61257743956915</v>
      </c>
      <c r="I159" s="184">
        <v>49701</v>
      </c>
      <c r="J159" s="194">
        <v>336</v>
      </c>
      <c r="K159" s="194">
        <f t="shared" si="1"/>
        <v>99709998.45433794</v>
      </c>
      <c r="L159" s="194"/>
      <c r="M159" s="37"/>
    </row>
    <row r="160" spans="1:13">
      <c r="A160" s="2">
        <v>40940</v>
      </c>
      <c r="B160" s="284">
        <v>84314434.840000004</v>
      </c>
      <c r="C160" s="194">
        <f>'Weather Data'!B256</f>
        <v>693.8</v>
      </c>
      <c r="D160" s="194">
        <f>'Weather Data'!C256</f>
        <v>0</v>
      </c>
      <c r="E160" s="194">
        <v>29</v>
      </c>
      <c r="F160" s="194">
        <v>0</v>
      </c>
      <c r="G160" s="184">
        <f>'CDM Activity'!C92</f>
        <v>1187658.9717294879</v>
      </c>
      <c r="H160" s="187">
        <v>142.81305462716429</v>
      </c>
      <c r="I160" s="184">
        <v>49720</v>
      </c>
      <c r="J160" s="194">
        <v>320</v>
      </c>
      <c r="K160" s="194">
        <f t="shared" si="1"/>
        <v>88866763.011298716</v>
      </c>
      <c r="L160" s="194"/>
      <c r="M160" s="37"/>
    </row>
    <row r="161" spans="1:13">
      <c r="A161" s="2">
        <v>40969</v>
      </c>
      <c r="B161" s="284">
        <v>82417982.75</v>
      </c>
      <c r="C161" s="194">
        <f>'Weather Data'!B257</f>
        <v>525.4</v>
      </c>
      <c r="D161" s="194">
        <f>'Weather Data'!C257</f>
        <v>0</v>
      </c>
      <c r="E161" s="194">
        <v>31</v>
      </c>
      <c r="F161" s="194">
        <v>1</v>
      </c>
      <c r="G161" s="184">
        <f>'CDM Activity'!C93</f>
        <v>1189984.6595237623</v>
      </c>
      <c r="H161" s="187">
        <v>143.01381363494295</v>
      </c>
      <c r="I161" s="184">
        <v>49730</v>
      </c>
      <c r="J161" s="194">
        <v>352</v>
      </c>
      <c r="K161" s="194">
        <f t="shared" si="1"/>
        <v>86046100.085887909</v>
      </c>
      <c r="L161" s="194"/>
      <c r="M161" s="37"/>
    </row>
    <row r="162" spans="1:13">
      <c r="A162" s="2">
        <v>41000</v>
      </c>
      <c r="B162" s="284">
        <v>75267619.129999995</v>
      </c>
      <c r="C162" s="194">
        <f>'Weather Data'!B258</f>
        <v>434.89999999999986</v>
      </c>
      <c r="D162" s="194">
        <f>'Weather Data'!C258</f>
        <v>0</v>
      </c>
      <c r="E162" s="194">
        <v>30</v>
      </c>
      <c r="F162" s="194">
        <v>1</v>
      </c>
      <c r="G162" s="184">
        <f>'CDM Activity'!C94</f>
        <v>1192310.3473180367</v>
      </c>
      <c r="H162" s="187">
        <v>143.21485485907297</v>
      </c>
      <c r="I162" s="184">
        <v>49696</v>
      </c>
      <c r="J162" s="194">
        <v>320</v>
      </c>
      <c r="K162" s="194">
        <f t="shared" si="1"/>
        <v>80481422.153397873</v>
      </c>
      <c r="L162" s="194"/>
      <c r="M162" s="37"/>
    </row>
    <row r="163" spans="1:13">
      <c r="A163" s="2">
        <v>41030</v>
      </c>
      <c r="B163" s="284">
        <v>75427837.799999997</v>
      </c>
      <c r="C163" s="194">
        <f>'Weather Data'!B259</f>
        <v>227.10000000000002</v>
      </c>
      <c r="D163" s="194">
        <f>'Weather Data'!C259</f>
        <v>0</v>
      </c>
      <c r="E163" s="194">
        <v>31</v>
      </c>
      <c r="F163" s="194">
        <v>1</v>
      </c>
      <c r="G163" s="184">
        <f>'CDM Activity'!C95</f>
        <v>1194636.0351123111</v>
      </c>
      <c r="H163" s="187">
        <v>143.41617869627913</v>
      </c>
      <c r="I163" s="184">
        <v>49607</v>
      </c>
      <c r="J163" s="194">
        <v>352</v>
      </c>
      <c r="K163" s="194">
        <f t="shared" si="1"/>
        <v>76802347.108746544</v>
      </c>
      <c r="L163" s="194"/>
      <c r="M163" s="37"/>
    </row>
    <row r="164" spans="1:13">
      <c r="A164" s="2">
        <v>41061</v>
      </c>
      <c r="B164" s="284">
        <v>74326086.770000011</v>
      </c>
      <c r="C164" s="194">
        <f>'Weather Data'!B260</f>
        <v>64.900000000000006</v>
      </c>
      <c r="D164" s="194">
        <f>'Weather Data'!C260</f>
        <v>18.399999999999999</v>
      </c>
      <c r="E164" s="194">
        <v>30</v>
      </c>
      <c r="F164" s="194">
        <v>0</v>
      </c>
      <c r="G164" s="184">
        <f>'CDM Activity'!C96</f>
        <v>1196961.7229065855</v>
      </c>
      <c r="H164" s="187">
        <v>143.61778554384387</v>
      </c>
      <c r="I164" s="184">
        <v>49720</v>
      </c>
      <c r="J164" s="194">
        <v>336</v>
      </c>
      <c r="K164" s="194">
        <f t="shared" si="1"/>
        <v>74936486.36389631</v>
      </c>
      <c r="L164" s="194"/>
      <c r="M164" s="37"/>
    </row>
    <row r="165" spans="1:13">
      <c r="A165" s="2">
        <v>41091</v>
      </c>
      <c r="B165" s="284">
        <v>84621544.800000012</v>
      </c>
      <c r="C165" s="194">
        <f>'Weather Data'!B261</f>
        <v>6.8</v>
      </c>
      <c r="D165" s="194">
        <f>'Weather Data'!C261</f>
        <v>66.5</v>
      </c>
      <c r="E165" s="194">
        <v>31</v>
      </c>
      <c r="F165" s="194">
        <v>0</v>
      </c>
      <c r="G165" s="184">
        <f>'CDM Activity'!C97</f>
        <v>1199287.41070086</v>
      </c>
      <c r="H165" s="187">
        <v>143.81967579960809</v>
      </c>
      <c r="I165" s="184">
        <v>49729</v>
      </c>
      <c r="J165" s="194">
        <v>336</v>
      </c>
      <c r="K165" s="194">
        <f t="shared" si="1"/>
        <v>83208001.290331185</v>
      </c>
      <c r="L165" s="194"/>
      <c r="M165" s="37"/>
    </row>
    <row r="166" spans="1:13">
      <c r="A166" s="2">
        <v>41122</v>
      </c>
      <c r="B166" s="284">
        <v>79262056.269999996</v>
      </c>
      <c r="C166" s="194">
        <f>'Weather Data'!B262</f>
        <v>38.499999999999986</v>
      </c>
      <c r="D166" s="194">
        <f>'Weather Data'!C262</f>
        <v>27.7</v>
      </c>
      <c r="E166" s="194">
        <v>31</v>
      </c>
      <c r="F166" s="194">
        <v>0</v>
      </c>
      <c r="G166" s="184">
        <f>'CDM Activity'!C98</f>
        <v>1201613.0984951344</v>
      </c>
      <c r="H166" s="187">
        <v>144.02184986197204</v>
      </c>
      <c r="I166" s="184">
        <v>49763</v>
      </c>
      <c r="J166" s="194">
        <v>352</v>
      </c>
      <c r="K166" s="194">
        <f t="shared" si="1"/>
        <v>78283453.963435218</v>
      </c>
      <c r="L166" s="194"/>
      <c r="M166" s="37"/>
    </row>
    <row r="167" spans="1:13">
      <c r="A167" s="2">
        <v>41153</v>
      </c>
      <c r="B167" s="284">
        <v>73268241.019999996</v>
      </c>
      <c r="C167" s="194">
        <f>'Weather Data'!B263</f>
        <v>213.49999999999997</v>
      </c>
      <c r="D167" s="194">
        <f>'Weather Data'!C263</f>
        <v>4</v>
      </c>
      <c r="E167" s="194">
        <v>30</v>
      </c>
      <c r="F167" s="194">
        <v>1</v>
      </c>
      <c r="G167" s="184">
        <f>'CDM Activity'!C99</f>
        <v>1203938.7862894088</v>
      </c>
      <c r="H167" s="187">
        <v>144.22430812989595</v>
      </c>
      <c r="I167" s="184">
        <v>49801</v>
      </c>
      <c r="J167" s="194">
        <v>304</v>
      </c>
      <c r="K167" s="194">
        <f t="shared" si="1"/>
        <v>74213603.189618468</v>
      </c>
      <c r="L167" s="194"/>
      <c r="M167" s="37"/>
    </row>
    <row r="168" spans="1:13">
      <c r="A168" s="2">
        <v>41183</v>
      </c>
      <c r="B168" s="284">
        <v>80136959.590000004</v>
      </c>
      <c r="C168" s="194">
        <f>'Weather Data'!B264</f>
        <v>395.80000000000007</v>
      </c>
      <c r="D168" s="194">
        <f>'Weather Data'!C264</f>
        <v>0</v>
      </c>
      <c r="E168" s="194">
        <v>31</v>
      </c>
      <c r="F168" s="194">
        <v>1</v>
      </c>
      <c r="G168" s="184">
        <f>'CDM Activity'!C100</f>
        <v>1206264.4740836832</v>
      </c>
      <c r="H168" s="187">
        <v>144.42705100290087</v>
      </c>
      <c r="I168" s="184">
        <v>49827</v>
      </c>
      <c r="J168" s="194">
        <v>352</v>
      </c>
      <c r="K168" s="194">
        <f t="shared" si="1"/>
        <v>82003083.445826471</v>
      </c>
      <c r="L168" s="194"/>
      <c r="M168" s="37"/>
    </row>
    <row r="169" spans="1:13">
      <c r="A169" s="2">
        <v>41214</v>
      </c>
      <c r="B169" s="284">
        <v>86049137.459999993</v>
      </c>
      <c r="C169" s="194">
        <f>'Weather Data'!B265</f>
        <v>600.80000000000007</v>
      </c>
      <c r="D169" s="194">
        <f>'Weather Data'!C265</f>
        <v>0</v>
      </c>
      <c r="E169" s="194">
        <v>30</v>
      </c>
      <c r="F169" s="194">
        <v>1</v>
      </c>
      <c r="G169" s="184">
        <f>'CDM Activity'!C101</f>
        <v>1208590.1618779576</v>
      </c>
      <c r="H169" s="187">
        <v>144.63007888106955</v>
      </c>
      <c r="I169" s="184">
        <v>49926</v>
      </c>
      <c r="J169" s="194">
        <v>352</v>
      </c>
      <c r="K169" s="194">
        <f t="shared" si="1"/>
        <v>85586680.541462958</v>
      </c>
      <c r="L169" s="194"/>
      <c r="M169" s="37"/>
    </row>
    <row r="170" spans="1:13">
      <c r="A170" s="2">
        <v>41244</v>
      </c>
      <c r="B170" s="284">
        <v>96001001.330000013</v>
      </c>
      <c r="C170" s="194">
        <f>'Weather Data'!B266</f>
        <v>793.69999999999993</v>
      </c>
      <c r="D170" s="194">
        <f>'Weather Data'!C266</f>
        <v>0</v>
      </c>
      <c r="E170" s="194">
        <v>31</v>
      </c>
      <c r="F170" s="194">
        <v>0</v>
      </c>
      <c r="G170" s="184">
        <f>'CDM Activity'!C102</f>
        <v>1210915.8496722321</v>
      </c>
      <c r="H170" s="187">
        <v>144.83339216504706</v>
      </c>
      <c r="I170" s="184">
        <v>49967</v>
      </c>
      <c r="J170" s="194">
        <v>304</v>
      </c>
      <c r="K170" s="194">
        <f t="shared" si="1"/>
        <v>97432611.302973032</v>
      </c>
      <c r="L170" s="194"/>
      <c r="M170" s="37"/>
    </row>
    <row r="171" spans="1:13">
      <c r="A171" s="2">
        <v>41275</v>
      </c>
      <c r="B171" s="284">
        <v>100742561.55</v>
      </c>
      <c r="C171" s="194">
        <f>'Weather Data'!B267</f>
        <v>928.40000000000009</v>
      </c>
      <c r="D171" s="194">
        <f>'Weather Data'!C267</f>
        <v>0</v>
      </c>
      <c r="E171" s="194">
        <v>31</v>
      </c>
      <c r="F171" s="194">
        <v>0</v>
      </c>
      <c r="G171" s="184">
        <f>'CDM Activity'!C103</f>
        <v>1283014.6808201559</v>
      </c>
      <c r="H171" s="187">
        <v>144.98936781896037</v>
      </c>
      <c r="I171" s="184">
        <v>49978</v>
      </c>
      <c r="J171" s="194">
        <v>352</v>
      </c>
      <c r="K171" s="194">
        <f t="shared" si="1"/>
        <v>101466430.26929593</v>
      </c>
      <c r="L171" s="194"/>
      <c r="M171" s="37"/>
    </row>
    <row r="172" spans="1:13">
      <c r="A172" s="2">
        <v>41306</v>
      </c>
      <c r="B172" s="284">
        <v>87803370.550000012</v>
      </c>
      <c r="C172" s="194">
        <f>'Weather Data'!B268</f>
        <v>866.59999999999991</v>
      </c>
      <c r="D172" s="194">
        <f>'Weather Data'!C268</f>
        <v>0</v>
      </c>
      <c r="E172" s="194">
        <v>28</v>
      </c>
      <c r="F172" s="194">
        <v>0</v>
      </c>
      <c r="G172" s="184">
        <f>'CDM Activity'!C104</f>
        <v>1355113.5119680797</v>
      </c>
      <c r="H172" s="187">
        <v>145.14551144798114</v>
      </c>
      <c r="I172" s="184">
        <v>49970</v>
      </c>
      <c r="J172" s="194">
        <v>304</v>
      </c>
      <c r="K172" s="194">
        <f t="shared" si="1"/>
        <v>91141303.332876921</v>
      </c>
      <c r="L172" s="194"/>
      <c r="M172" s="37"/>
    </row>
    <row r="173" spans="1:13">
      <c r="A173" s="2">
        <v>41334</v>
      </c>
      <c r="B173" s="284">
        <v>88977564.200000003</v>
      </c>
      <c r="C173" s="194">
        <f>'Weather Data'!B269</f>
        <v>767.3</v>
      </c>
      <c r="D173" s="194">
        <f>'Weather Data'!C269</f>
        <v>0</v>
      </c>
      <c r="E173" s="194">
        <v>31</v>
      </c>
      <c r="F173" s="194">
        <v>1</v>
      </c>
      <c r="G173" s="184">
        <f>'CDM Activity'!C105</f>
        <v>1427212.3431160036</v>
      </c>
      <c r="H173" s="187">
        <v>145.30182323300707</v>
      </c>
      <c r="I173" s="184">
        <v>49971</v>
      </c>
      <c r="J173" s="194">
        <v>320</v>
      </c>
      <c r="K173" s="194">
        <f t="shared" si="1"/>
        <v>93086495.235583454</v>
      </c>
      <c r="L173" s="194"/>
      <c r="M173" s="37"/>
    </row>
    <row r="174" spans="1:13">
      <c r="A174" s="2">
        <v>41365</v>
      </c>
      <c r="B174" s="284">
        <v>81321825.219999999</v>
      </c>
      <c r="C174" s="194">
        <f>'Weather Data'!B270</f>
        <v>524.79999999999995</v>
      </c>
      <c r="D174" s="194">
        <f>'Weather Data'!C270</f>
        <v>0</v>
      </c>
      <c r="E174" s="194">
        <v>30</v>
      </c>
      <c r="F174" s="194">
        <v>1</v>
      </c>
      <c r="G174" s="184">
        <f>'CDM Activity'!C106</f>
        <v>1499311.1742639274</v>
      </c>
      <c r="H174" s="187">
        <v>145.45830335513068</v>
      </c>
      <c r="I174" s="184">
        <v>49931</v>
      </c>
      <c r="J174" s="194">
        <v>352</v>
      </c>
      <c r="K174" s="194">
        <f t="shared" si="1"/>
        <v>82684194.074369565</v>
      </c>
      <c r="L174" s="194"/>
      <c r="M174" s="37"/>
    </row>
    <row r="175" spans="1:13">
      <c r="A175" s="2">
        <v>41395</v>
      </c>
      <c r="B175" s="284">
        <v>75975788.390000001</v>
      </c>
      <c r="C175" s="194">
        <f>'Weather Data'!B271</f>
        <v>325.3</v>
      </c>
      <c r="D175" s="194">
        <f>'Weather Data'!C271</f>
        <v>0</v>
      </c>
      <c r="E175" s="194">
        <v>31</v>
      </c>
      <c r="F175" s="194">
        <v>1</v>
      </c>
      <c r="G175" s="184">
        <f>'CDM Activity'!C107</f>
        <v>1571410.0054118512</v>
      </c>
      <c r="H175" s="187">
        <v>145.6149519956395</v>
      </c>
      <c r="I175" s="184">
        <v>49930</v>
      </c>
      <c r="J175" s="194">
        <v>352</v>
      </c>
      <c r="K175" s="194">
        <f t="shared" si="1"/>
        <v>79130164.115744591</v>
      </c>
      <c r="L175" s="194"/>
      <c r="M175" s="37"/>
    </row>
    <row r="176" spans="1:13">
      <c r="A176" s="2">
        <v>41426</v>
      </c>
      <c r="B176" s="284">
        <v>70340752.849999994</v>
      </c>
      <c r="C176" s="194">
        <f>'Weather Data'!B272</f>
        <v>130.9</v>
      </c>
      <c r="D176" s="194">
        <f>'Weather Data'!C272</f>
        <v>5.5</v>
      </c>
      <c r="E176" s="194">
        <v>30</v>
      </c>
      <c r="F176" s="194">
        <v>0</v>
      </c>
      <c r="G176" s="184">
        <f>'CDM Activity'!C108</f>
        <v>1643508.8365597751</v>
      </c>
      <c r="H176" s="187">
        <v>145.77176933601632</v>
      </c>
      <c r="I176" s="184">
        <v>49936</v>
      </c>
      <c r="J176" s="194">
        <v>320</v>
      </c>
      <c r="K176" s="194">
        <f t="shared" si="1"/>
        <v>74173414.348006472</v>
      </c>
      <c r="L176" s="194"/>
      <c r="M176" s="37"/>
    </row>
    <row r="177" spans="1:13">
      <c r="A177" s="2">
        <v>41456</v>
      </c>
      <c r="B177" s="284">
        <v>75472199.179999992</v>
      </c>
      <c r="C177" s="194">
        <f>'Weather Data'!B273</f>
        <v>60.7</v>
      </c>
      <c r="D177" s="194">
        <f>'Weather Data'!C273</f>
        <v>28.000000000000007</v>
      </c>
      <c r="E177" s="194">
        <v>31</v>
      </c>
      <c r="F177" s="194">
        <v>0</v>
      </c>
      <c r="G177" s="184">
        <f>'CDM Activity'!C109</f>
        <v>1715607.6677076989</v>
      </c>
      <c r="H177" s="187">
        <v>145.92875555793933</v>
      </c>
      <c r="I177" s="184">
        <v>49957</v>
      </c>
      <c r="J177" s="194">
        <v>352</v>
      </c>
      <c r="K177" s="194">
        <f t="shared" si="1"/>
        <v>78044619.396642193</v>
      </c>
      <c r="L177" s="194"/>
      <c r="M177" s="37"/>
    </row>
    <row r="178" spans="1:13">
      <c r="A178" s="2">
        <v>41487</v>
      </c>
      <c r="B178" s="284">
        <v>77813866.24000001</v>
      </c>
      <c r="C178" s="194">
        <f>'Weather Data'!B274</f>
        <v>45.8</v>
      </c>
      <c r="D178" s="194">
        <f>'Weather Data'!C274</f>
        <v>41.8</v>
      </c>
      <c r="E178" s="194">
        <v>31</v>
      </c>
      <c r="F178" s="194">
        <v>0</v>
      </c>
      <c r="G178" s="184">
        <f>'CDM Activity'!C110</f>
        <v>1787706.4988556227</v>
      </c>
      <c r="H178" s="187">
        <v>146.08591084328242</v>
      </c>
      <c r="I178" s="184">
        <v>49994</v>
      </c>
      <c r="J178" s="194">
        <v>336</v>
      </c>
      <c r="K178" s="194">
        <f t="shared" si="1"/>
        <v>79546028.365258336</v>
      </c>
      <c r="L178" s="194"/>
      <c r="M178" s="37"/>
    </row>
    <row r="179" spans="1:13">
      <c r="A179" s="2">
        <v>41518</v>
      </c>
      <c r="B179" s="284">
        <v>72027468.810000002</v>
      </c>
      <c r="C179" s="194">
        <f>'Weather Data'!B275</f>
        <v>178.79999999999995</v>
      </c>
      <c r="D179" s="194">
        <f>'Weather Data'!C275</f>
        <v>0</v>
      </c>
      <c r="E179" s="194">
        <v>30</v>
      </c>
      <c r="F179" s="194">
        <v>1</v>
      </c>
      <c r="G179" s="184">
        <f>'CDM Activity'!C111</f>
        <v>1859805.3300035466</v>
      </c>
      <c r="H179" s="187">
        <v>146.2432353741153</v>
      </c>
      <c r="I179" s="184">
        <v>50018</v>
      </c>
      <c r="J179" s="194">
        <v>320</v>
      </c>
      <c r="K179" s="194">
        <f t="shared" si="1"/>
        <v>71290966.093209073</v>
      </c>
      <c r="L179" s="194"/>
      <c r="M179" s="37"/>
    </row>
    <row r="180" spans="1:13">
      <c r="A180" s="2">
        <v>41548</v>
      </c>
      <c r="B180" s="284">
        <v>78971713.049999997</v>
      </c>
      <c r="C180" s="194">
        <f>'Weather Data'!B276</f>
        <v>328.50000000000006</v>
      </c>
      <c r="D180" s="194">
        <f>'Weather Data'!C276</f>
        <v>0</v>
      </c>
      <c r="E180" s="194">
        <v>31</v>
      </c>
      <c r="F180" s="194">
        <v>1</v>
      </c>
      <c r="G180" s="184">
        <f>'CDM Activity'!C112</f>
        <v>1931904.1611514704</v>
      </c>
      <c r="H180" s="187">
        <v>146.4007293327038</v>
      </c>
      <c r="I180" s="184">
        <v>50052</v>
      </c>
      <c r="J180" s="194">
        <v>352</v>
      </c>
      <c r="K180" s="194">
        <f t="shared" si="1"/>
        <v>78547689.568837181</v>
      </c>
      <c r="L180" s="194"/>
      <c r="M180" s="37"/>
    </row>
    <row r="181" spans="1:13">
      <c r="A181" s="2">
        <v>41579</v>
      </c>
      <c r="B181" s="284">
        <v>86289297.910000011</v>
      </c>
      <c r="C181" s="194">
        <f>'Weather Data'!B277</f>
        <v>620.6</v>
      </c>
      <c r="D181" s="194">
        <f>'Weather Data'!C277</f>
        <v>0</v>
      </c>
      <c r="E181" s="194">
        <v>30</v>
      </c>
      <c r="F181" s="194">
        <v>1</v>
      </c>
      <c r="G181" s="184">
        <f>'CDM Activity'!C113</f>
        <v>2004002.9922993942</v>
      </c>
      <c r="H181" s="187">
        <v>146.55839290151005</v>
      </c>
      <c r="I181" s="184">
        <v>50136</v>
      </c>
      <c r="J181" s="194">
        <v>336</v>
      </c>
      <c r="K181" s="194">
        <f t="shared" si="1"/>
        <v>84695871.758000419</v>
      </c>
      <c r="L181" s="194"/>
      <c r="M181" s="37"/>
    </row>
    <row r="182" spans="1:13">
      <c r="A182" s="2">
        <v>41609</v>
      </c>
      <c r="B182" s="284">
        <v>106198270.91</v>
      </c>
      <c r="C182" s="194">
        <f>'Weather Data'!B278</f>
        <v>1112.8999999999999</v>
      </c>
      <c r="D182" s="194">
        <f>'Weather Data'!C278</f>
        <v>0</v>
      </c>
      <c r="E182" s="194">
        <v>31</v>
      </c>
      <c r="F182" s="194">
        <v>0</v>
      </c>
      <c r="G182" s="184">
        <f>'CDM Activity'!C114</f>
        <v>2076101.823447318</v>
      </c>
      <c r="H182" s="187">
        <v>146.71622626319265</v>
      </c>
      <c r="I182" s="184">
        <v>50149</v>
      </c>
      <c r="J182" s="194">
        <v>320</v>
      </c>
      <c r="K182" s="194">
        <f t="shared" si="1"/>
        <v>105678904.66370142</v>
      </c>
      <c r="L182" s="194"/>
      <c r="M182" s="37"/>
    </row>
    <row r="183" spans="1:13">
      <c r="A183" s="2">
        <v>41640</v>
      </c>
      <c r="B183" s="284">
        <v>107146866.07999998</v>
      </c>
      <c r="C183" s="194">
        <f>'Weather Data'!B279</f>
        <v>1119.5999999999997</v>
      </c>
      <c r="D183" s="194">
        <f>'Weather Data'!C279</f>
        <v>0</v>
      </c>
      <c r="E183" s="184">
        <v>31</v>
      </c>
      <c r="F183" s="194">
        <v>0</v>
      </c>
      <c r="G183" s="184">
        <f>'CDM Activity'!C115</f>
        <v>2133588.6636887887</v>
      </c>
      <c r="H183" s="187">
        <v>147.04232175221028</v>
      </c>
      <c r="I183" s="184">
        <v>50155.5</v>
      </c>
      <c r="J183" s="197">
        <v>352</v>
      </c>
      <c r="K183" s="194">
        <f t="shared" si="1"/>
        <v>105777644.15143061</v>
      </c>
      <c r="L183" s="194"/>
      <c r="M183" s="37"/>
    </row>
    <row r="184" spans="1:13">
      <c r="A184" s="2">
        <v>41671</v>
      </c>
      <c r="B184" s="284">
        <v>92061740.489999995</v>
      </c>
      <c r="C184" s="194">
        <f>'Weather Data'!B280</f>
        <v>978.39999999999986</v>
      </c>
      <c r="D184" s="194">
        <f>'Weather Data'!C280</f>
        <v>0</v>
      </c>
      <c r="E184" s="184">
        <v>28</v>
      </c>
      <c r="F184" s="194">
        <v>0</v>
      </c>
      <c r="G184" s="184">
        <f>'CDM Activity'!C116</f>
        <v>2191075.5039302595</v>
      </c>
      <c r="H184" s="187">
        <v>147.36914202996238</v>
      </c>
      <c r="I184" s="184">
        <v>50176.25</v>
      </c>
      <c r="J184" s="197">
        <v>304</v>
      </c>
      <c r="K184" s="194">
        <f t="shared" si="1"/>
        <v>93022027.131906733</v>
      </c>
      <c r="L184" s="194"/>
      <c r="M184" s="37"/>
    </row>
    <row r="185" spans="1:13">
      <c r="A185" s="2">
        <v>41699</v>
      </c>
      <c r="B185" s="284">
        <v>92598932.820000008</v>
      </c>
      <c r="C185" s="194">
        <f>'Weather Data'!B281</f>
        <v>883.5</v>
      </c>
      <c r="D185" s="194">
        <f>'Weather Data'!C281</f>
        <v>0</v>
      </c>
      <c r="E185" s="184">
        <v>31</v>
      </c>
      <c r="F185" s="194">
        <v>1</v>
      </c>
      <c r="G185" s="184">
        <f>'CDM Activity'!C117</f>
        <v>2248562.3441717303</v>
      </c>
      <c r="H185" s="187">
        <v>147.69668870738414</v>
      </c>
      <c r="I185" s="184">
        <v>50188.125</v>
      </c>
      <c r="J185" s="197">
        <v>336</v>
      </c>
      <c r="K185" s="194">
        <f t="shared" si="1"/>
        <v>95131062.106692836</v>
      </c>
      <c r="L185" s="194"/>
      <c r="M185" s="37"/>
    </row>
    <row r="186" spans="1:13">
      <c r="A186" s="2">
        <v>41730</v>
      </c>
      <c r="B186" s="284">
        <v>79652300.269999996</v>
      </c>
      <c r="C186" s="194">
        <f>'Weather Data'!B282</f>
        <v>522.9</v>
      </c>
      <c r="D186" s="194">
        <f>'Weather Data'!C282</f>
        <v>0</v>
      </c>
      <c r="E186" s="184">
        <v>30</v>
      </c>
      <c r="F186" s="194">
        <v>1</v>
      </c>
      <c r="G186" s="184">
        <f>'CDM Activity'!C118</f>
        <v>2306049.1844132012</v>
      </c>
      <c r="H186" s="187">
        <v>148.02496339899133</v>
      </c>
      <c r="I186" s="184">
        <v>50172.5625</v>
      </c>
      <c r="J186" s="197">
        <v>320</v>
      </c>
      <c r="K186" s="194">
        <f t="shared" si="1"/>
        <v>81100171.899299622</v>
      </c>
      <c r="L186" s="194"/>
      <c r="M186" s="37"/>
    </row>
    <row r="187" spans="1:13">
      <c r="A187" s="2">
        <v>41760</v>
      </c>
      <c r="B187" s="284">
        <v>75973559.25</v>
      </c>
      <c r="C187" s="194">
        <f>'Weather Data'!B283</f>
        <v>266.90000000000003</v>
      </c>
      <c r="D187" s="194">
        <f>'Weather Data'!C283</f>
        <v>1.1000000000000001</v>
      </c>
      <c r="E187" s="184">
        <v>31</v>
      </c>
      <c r="F187" s="194">
        <v>1</v>
      </c>
      <c r="G187" s="184">
        <f>'CDM Activity'!C119</f>
        <v>2363536.024654672</v>
      </c>
      <c r="H187" s="187">
        <v>148.35396772288814</v>
      </c>
      <c r="I187" s="184">
        <v>50162.28125</v>
      </c>
      <c r="J187" s="197">
        <v>336</v>
      </c>
      <c r="K187" s="194">
        <f t="shared" si="1"/>
        <v>75991916.146361157</v>
      </c>
      <c r="L187" s="194"/>
      <c r="M187" s="37"/>
    </row>
    <row r="188" spans="1:13">
      <c r="A188" s="2">
        <v>41791</v>
      </c>
      <c r="B188" s="284">
        <v>71106323.5</v>
      </c>
      <c r="C188" s="194">
        <f>'Weather Data'!B284</f>
        <v>135.19999999999999</v>
      </c>
      <c r="D188" s="194">
        <f>'Weather Data'!C284</f>
        <v>6</v>
      </c>
      <c r="E188" s="184">
        <v>30</v>
      </c>
      <c r="F188" s="194">
        <v>0</v>
      </c>
      <c r="G188" s="184">
        <f>'CDM Activity'!C120</f>
        <v>2421022.8648961429</v>
      </c>
      <c r="H188" s="187">
        <v>148.68370330077519</v>
      </c>
      <c r="I188" s="184">
        <v>50165.140625</v>
      </c>
      <c r="J188" s="197">
        <v>336</v>
      </c>
      <c r="K188" s="194">
        <f t="shared" si="1"/>
        <v>72912636.640481099</v>
      </c>
      <c r="L188" s="194"/>
      <c r="M188" s="37"/>
    </row>
    <row r="189" spans="1:13">
      <c r="A189" s="2">
        <v>41821</v>
      </c>
      <c r="B189" s="284">
        <v>74522468.280000001</v>
      </c>
      <c r="C189" s="194">
        <f>'Weather Data'!B285</f>
        <v>47.199999999999989</v>
      </c>
      <c r="D189" s="194">
        <f>'Weather Data'!C285</f>
        <v>9.5</v>
      </c>
      <c r="E189" s="184">
        <v>31</v>
      </c>
      <c r="F189" s="194">
        <v>0</v>
      </c>
      <c r="G189" s="184">
        <f>'CDM Activity'!C121</f>
        <v>2478509.7051376137</v>
      </c>
      <c r="H189" s="187">
        <v>149.0141717579576</v>
      </c>
      <c r="I189" s="184">
        <v>50150.5703125</v>
      </c>
      <c r="J189" s="197">
        <v>352</v>
      </c>
      <c r="K189" s="194">
        <f t="shared" si="1"/>
        <v>73370474.298595741</v>
      </c>
      <c r="L189" s="194"/>
      <c r="M189" s="37"/>
    </row>
    <row r="190" spans="1:13">
      <c r="A190" s="2">
        <v>41852</v>
      </c>
      <c r="B190" s="284">
        <v>74414540.200000003</v>
      </c>
      <c r="C190" s="194">
        <f>'Weather Data'!B286</f>
        <v>65.200000000000017</v>
      </c>
      <c r="D190" s="194">
        <f>'Weather Data'!C286</f>
        <v>10.099999999999998</v>
      </c>
      <c r="E190" s="184">
        <v>31</v>
      </c>
      <c r="F190" s="194">
        <v>0</v>
      </c>
      <c r="G190" s="184">
        <f>'CDM Activity'!C122</f>
        <v>2535996.5453790845</v>
      </c>
      <c r="H190" s="187">
        <v>149.34537472335285</v>
      </c>
      <c r="I190" s="184">
        <v>50160.78515625</v>
      </c>
      <c r="J190" s="197">
        <v>320</v>
      </c>
      <c r="K190" s="194">
        <f t="shared" si="1"/>
        <v>73910307.212308228</v>
      </c>
      <c r="L190" s="194"/>
      <c r="M190" s="37"/>
    </row>
    <row r="191" spans="1:13">
      <c r="A191" s="2">
        <v>41883</v>
      </c>
      <c r="B191" s="284">
        <v>72064603.819999993</v>
      </c>
      <c r="C191" s="194">
        <f>'Weather Data'!B287</f>
        <v>196.5</v>
      </c>
      <c r="D191" s="194">
        <f>'Weather Data'!C287</f>
        <v>0</v>
      </c>
      <c r="E191" s="184">
        <v>30</v>
      </c>
      <c r="F191" s="194">
        <v>1</v>
      </c>
      <c r="G191" s="184">
        <f>'CDM Activity'!C123</f>
        <v>2593483.3856205554</v>
      </c>
      <c r="H191" s="187">
        <v>149.67731382949896</v>
      </c>
      <c r="I191" s="184">
        <v>50190.892578125</v>
      </c>
      <c r="J191" s="197">
        <v>336</v>
      </c>
      <c r="K191" s="194">
        <f t="shared" si="1"/>
        <v>70451858.567648605</v>
      </c>
      <c r="L191" s="194"/>
      <c r="M191" s="37"/>
    </row>
    <row r="192" spans="1:13">
      <c r="A192" s="2">
        <v>41913</v>
      </c>
      <c r="B192" s="284">
        <v>77862698.569999993</v>
      </c>
      <c r="C192" s="194">
        <f>'Weather Data'!B288</f>
        <v>382.59999999999997</v>
      </c>
      <c r="D192" s="194">
        <f>'Weather Data'!C288</f>
        <v>0</v>
      </c>
      <c r="E192" s="184">
        <v>31</v>
      </c>
      <c r="F192" s="194">
        <v>1</v>
      </c>
      <c r="G192" s="184">
        <f>'CDM Activity'!C124</f>
        <v>2650970.2258620262</v>
      </c>
      <c r="H192" s="187">
        <v>150.00999071256246</v>
      </c>
      <c r="I192" s="184">
        <v>50233.9462890625</v>
      </c>
      <c r="J192" s="197">
        <v>352</v>
      </c>
      <c r="K192" s="194">
        <f t="shared" si="1"/>
        <v>78863101.260534093</v>
      </c>
      <c r="L192" s="194"/>
      <c r="M192" s="37"/>
    </row>
    <row r="193" spans="1:13">
      <c r="A193" s="2">
        <v>41944</v>
      </c>
      <c r="B193" s="284">
        <v>89145933.010000005</v>
      </c>
      <c r="C193" s="194">
        <f>'Weather Data'!B289</f>
        <v>647.79999999999995</v>
      </c>
      <c r="D193" s="194">
        <f>'Weather Data'!C289</f>
        <v>0</v>
      </c>
      <c r="E193" s="184">
        <v>30</v>
      </c>
      <c r="F193" s="194">
        <v>1</v>
      </c>
      <c r="G193" s="184">
        <f>'CDM Activity'!C125</f>
        <v>2708457.0661034971</v>
      </c>
      <c r="H193" s="187">
        <v>150.34340701234646</v>
      </c>
      <c r="I193" s="184">
        <v>50293.47314453125</v>
      </c>
      <c r="J193" s="197">
        <v>304</v>
      </c>
      <c r="K193" s="194">
        <f t="shared" si="1"/>
        <v>84206121.417274848</v>
      </c>
      <c r="L193" s="194"/>
      <c r="M193" s="37"/>
    </row>
    <row r="194" spans="1:13">
      <c r="A194" s="2">
        <v>41974</v>
      </c>
      <c r="B194" s="284">
        <v>95713970.549999997</v>
      </c>
      <c r="C194" s="194">
        <f>'Weather Data'!B290</f>
        <v>780.59999999999991</v>
      </c>
      <c r="D194" s="194">
        <f>'Weather Data'!C290</f>
        <v>0</v>
      </c>
      <c r="E194" s="184">
        <v>31</v>
      </c>
      <c r="F194" s="194">
        <v>0</v>
      </c>
      <c r="G194" s="184">
        <f>'CDM Activity'!C126</f>
        <v>2765943.9063449679</v>
      </c>
      <c r="H194" s="187">
        <v>150.67756437229883</v>
      </c>
      <c r="I194" s="184">
        <v>50341.236572265625</v>
      </c>
      <c r="J194" s="197">
        <v>336</v>
      </c>
      <c r="K194" s="194">
        <f t="shared" si="1"/>
        <v>94087152.106611267</v>
      </c>
      <c r="L194" s="194"/>
      <c r="M194" s="37"/>
    </row>
    <row r="195" spans="1:13">
      <c r="A195" s="2">
        <v>42005</v>
      </c>
      <c r="B195" s="284">
        <v>101629309.98</v>
      </c>
      <c r="C195" s="194">
        <f>'Weather Data'!B291</f>
        <v>979.49999999999989</v>
      </c>
      <c r="D195" s="194">
        <f>'Weather Data'!C291</f>
        <v>0</v>
      </c>
      <c r="E195" s="184">
        <v>31</v>
      </c>
      <c r="F195" s="194">
        <v>0</v>
      </c>
      <c r="G195" s="184">
        <f>'CDM Activity'!C127</f>
        <v>2890109.6105154715</v>
      </c>
      <c r="H195" s="187">
        <v>150.98793548444445</v>
      </c>
      <c r="I195" s="184">
        <v>50364.118408203125</v>
      </c>
      <c r="J195" s="197">
        <v>336</v>
      </c>
      <c r="K195" s="194">
        <f t="shared" si="1"/>
        <v>100010078.62743081</v>
      </c>
      <c r="L195" s="194"/>
      <c r="M195" s="37"/>
    </row>
    <row r="196" spans="1:13">
      <c r="A196" s="2">
        <v>42036</v>
      </c>
      <c r="B196" s="284">
        <v>93864611.309999987</v>
      </c>
      <c r="C196" s="194">
        <f>'Weather Data'!B292</f>
        <v>1053.3</v>
      </c>
      <c r="D196" s="194">
        <f>'Weather Data'!C292</f>
        <v>0</v>
      </c>
      <c r="E196" s="184">
        <v>28</v>
      </c>
      <c r="F196" s="194">
        <v>0</v>
      </c>
      <c r="G196" s="184">
        <f>'CDM Activity'!C128</f>
        <v>3014275.3146859752</v>
      </c>
      <c r="H196" s="187">
        <v>151.298945910264</v>
      </c>
      <c r="I196" s="184">
        <v>50376.559204101563</v>
      </c>
      <c r="J196" s="197">
        <v>304</v>
      </c>
      <c r="K196" s="194">
        <f t="shared" si="1"/>
        <v>93784505.394436508</v>
      </c>
      <c r="L196" s="194"/>
      <c r="M196" s="37"/>
    </row>
    <row r="197" spans="1:13">
      <c r="A197" s="2">
        <v>42064</v>
      </c>
      <c r="B197" s="284">
        <v>87162071.520000011</v>
      </c>
      <c r="C197" s="194">
        <f>'Weather Data'!B293</f>
        <v>710.39999999999986</v>
      </c>
      <c r="D197" s="194">
        <f>'Weather Data'!C293</f>
        <v>0</v>
      </c>
      <c r="E197" s="184">
        <v>31</v>
      </c>
      <c r="F197" s="194">
        <v>1</v>
      </c>
      <c r="G197" s="184">
        <f>'CDM Activity'!C129</f>
        <v>3138441.0188564789</v>
      </c>
      <c r="H197" s="187">
        <v>151.61059696663892</v>
      </c>
      <c r="I197" s="184">
        <v>50371.779602050781</v>
      </c>
      <c r="J197" s="197">
        <v>352</v>
      </c>
      <c r="K197" s="194">
        <f t="shared" si="1"/>
        <v>88089738.680210441</v>
      </c>
      <c r="L197" s="194"/>
      <c r="M197" s="37"/>
    </row>
    <row r="198" spans="1:13">
      <c r="A198" s="2">
        <v>42095</v>
      </c>
      <c r="B198" s="284">
        <v>76969576.420000002</v>
      </c>
      <c r="C198" s="194">
        <f>'Weather Data'!B294</f>
        <v>432.09999999999997</v>
      </c>
      <c r="D198" s="194">
        <f>'Weather Data'!C294</f>
        <v>0</v>
      </c>
      <c r="E198" s="184">
        <v>30</v>
      </c>
      <c r="F198" s="194">
        <v>1</v>
      </c>
      <c r="G198" s="184">
        <f>'CDM Activity'!C130</f>
        <v>3262606.7230269825</v>
      </c>
      <c r="H198" s="187">
        <v>151.92288997316331</v>
      </c>
      <c r="I198" s="184">
        <v>50348.889801025391</v>
      </c>
      <c r="J198" s="197">
        <v>336</v>
      </c>
      <c r="K198" s="194">
        <f t="shared" si="1"/>
        <v>76480682.119812503</v>
      </c>
      <c r="L198" s="194"/>
      <c r="M198" s="37"/>
    </row>
    <row r="199" spans="1:13">
      <c r="A199" s="2">
        <v>42125</v>
      </c>
      <c r="B199" s="284">
        <v>73637825.109999999</v>
      </c>
      <c r="C199" s="194">
        <f>'Weather Data'!B295</f>
        <v>276</v>
      </c>
      <c r="D199" s="194">
        <f>'Weather Data'!C295</f>
        <v>0</v>
      </c>
      <c r="E199" s="184">
        <v>31</v>
      </c>
      <c r="F199" s="194">
        <v>1</v>
      </c>
      <c r="G199" s="184">
        <f>'CDM Activity'!C131</f>
        <v>3386772.4271974862</v>
      </c>
      <c r="H199" s="187">
        <v>152.23582625214937</v>
      </c>
      <c r="I199" s="184">
        <v>50336.444900512695</v>
      </c>
      <c r="J199" s="197">
        <v>320</v>
      </c>
      <c r="K199" s="194">
        <f t="shared" si="1"/>
        <v>74171820.221318603</v>
      </c>
      <c r="L199" s="194"/>
      <c r="M199" s="37"/>
    </row>
    <row r="200" spans="1:13">
      <c r="A200" s="2">
        <v>42156</v>
      </c>
      <c r="B200" s="284">
        <v>70200164.75</v>
      </c>
      <c r="C200" s="194">
        <f>'Weather Data'!B296</f>
        <v>118.60000000000004</v>
      </c>
      <c r="D200" s="194">
        <f>'Weather Data'!C296</f>
        <v>0</v>
      </c>
      <c r="E200" s="184">
        <v>30</v>
      </c>
      <c r="F200" s="194">
        <v>0</v>
      </c>
      <c r="G200" s="184">
        <f>'CDM Activity'!C132</f>
        <v>3510938.1313679898</v>
      </c>
      <c r="H200" s="187">
        <v>152.54940712863302</v>
      </c>
      <c r="I200" s="184">
        <v>50329.222450256348</v>
      </c>
      <c r="J200" s="197">
        <v>352</v>
      </c>
      <c r="K200" s="194">
        <f t="shared" si="1"/>
        <v>69425544.922683388</v>
      </c>
      <c r="L200" s="194"/>
      <c r="M200" s="37"/>
    </row>
    <row r="201" spans="1:13">
      <c r="A201" s="2">
        <v>42186</v>
      </c>
      <c r="B201" s="284">
        <v>76455085.069999993</v>
      </c>
      <c r="C201" s="194">
        <f>'Weather Data'!B297</f>
        <v>31.7</v>
      </c>
      <c r="D201" s="194">
        <f>'Weather Data'!C297</f>
        <v>38.000000000000007</v>
      </c>
      <c r="E201" s="184">
        <v>31</v>
      </c>
      <c r="F201" s="194">
        <v>0</v>
      </c>
      <c r="G201" s="184">
        <f>'CDM Activity'!C133</f>
        <v>3635103.8355384935</v>
      </c>
      <c r="H201" s="187">
        <v>152.86363393037959</v>
      </c>
      <c r="I201" s="184">
        <v>50324.111225128174</v>
      </c>
      <c r="J201" s="197">
        <v>352</v>
      </c>
      <c r="K201" s="194">
        <f t="shared" si="1"/>
        <v>75038877.961903572</v>
      </c>
      <c r="L201" s="194"/>
      <c r="M201" s="37"/>
    </row>
    <row r="202" spans="1:13">
      <c r="A202" s="2">
        <v>42217</v>
      </c>
      <c r="B202" s="284">
        <v>75144956.239999995</v>
      </c>
      <c r="C202" s="194">
        <f>'Weather Data'!B298</f>
        <v>50.7</v>
      </c>
      <c r="D202" s="194">
        <f>'Weather Data'!C298</f>
        <v>35.4</v>
      </c>
      <c r="E202" s="184">
        <v>31</v>
      </c>
      <c r="F202" s="194">
        <v>0</v>
      </c>
      <c r="G202" s="184">
        <f>'CDM Activity'!C134</f>
        <v>3759269.5397089971</v>
      </c>
      <c r="H202" s="187">
        <v>153.17850798788936</v>
      </c>
      <c r="I202" s="184">
        <v>50327.055612564087</v>
      </c>
      <c r="J202" s="197">
        <v>320</v>
      </c>
      <c r="K202" s="194">
        <f t="shared" si="1"/>
        <v>74996883.076109543</v>
      </c>
      <c r="L202" s="194"/>
      <c r="M202" s="37"/>
    </row>
    <row r="203" spans="1:13">
      <c r="A203" s="2">
        <v>42248</v>
      </c>
      <c r="B203" s="284">
        <v>73463443.399999991</v>
      </c>
      <c r="C203" s="194">
        <f>'Weather Data'!B299</f>
        <v>106.20000000000002</v>
      </c>
      <c r="D203" s="194">
        <f>'Weather Data'!C299</f>
        <v>15.8</v>
      </c>
      <c r="E203" s="184">
        <v>30</v>
      </c>
      <c r="F203" s="194">
        <v>1</v>
      </c>
      <c r="G203" s="184">
        <f>'CDM Activity'!C135</f>
        <v>3883435.2438795008</v>
      </c>
      <c r="H203" s="187">
        <v>153.4940306344032</v>
      </c>
      <c r="I203" s="184">
        <v>50358.527806282043</v>
      </c>
      <c r="J203" s="197">
        <v>336</v>
      </c>
      <c r="K203" s="194">
        <f t="shared" si="1"/>
        <v>67620744.305234209</v>
      </c>
      <c r="L203" s="194"/>
      <c r="M203" s="37"/>
    </row>
    <row r="204" spans="1:13">
      <c r="A204" s="2">
        <v>42278</v>
      </c>
      <c r="B204" s="284">
        <v>76464862.580000013</v>
      </c>
      <c r="C204" s="194">
        <f>'Weather Data'!B300</f>
        <v>345.9</v>
      </c>
      <c r="D204" s="194">
        <f>'Weather Data'!C300</f>
        <v>0</v>
      </c>
      <c r="E204" s="184">
        <v>31</v>
      </c>
      <c r="F204" s="194">
        <v>1</v>
      </c>
      <c r="G204" s="184">
        <f>'CDM Activity'!C136</f>
        <v>4007600.9480500044</v>
      </c>
      <c r="H204" s="187">
        <v>153.81020320590829</v>
      </c>
      <c r="I204" s="184">
        <v>50401.763903141022</v>
      </c>
      <c r="J204" s="197">
        <v>336</v>
      </c>
      <c r="K204" s="194">
        <f t="shared" si="1"/>
        <v>75162103.955684409</v>
      </c>
      <c r="L204" s="194"/>
      <c r="M204" s="37"/>
    </row>
    <row r="205" spans="1:13">
      <c r="A205" s="2">
        <v>42309</v>
      </c>
      <c r="B205" s="284">
        <v>81040698.340000004</v>
      </c>
      <c r="C205" s="194">
        <f>'Weather Data'!B301</f>
        <v>469.10000000000008</v>
      </c>
      <c r="D205" s="194">
        <f>'Weather Data'!C301</f>
        <v>0</v>
      </c>
      <c r="E205" s="184">
        <v>30</v>
      </c>
      <c r="F205" s="194">
        <v>1</v>
      </c>
      <c r="G205" s="184">
        <f>'CDM Activity'!C137</f>
        <v>4131766.6522205081</v>
      </c>
      <c r="H205" s="187">
        <v>154.12702704114372</v>
      </c>
      <c r="I205" s="184">
        <v>50440.381951570511</v>
      </c>
      <c r="J205" s="197">
        <v>320</v>
      </c>
      <c r="K205" s="194">
        <f t="shared" si="1"/>
        <v>75982937.154314563</v>
      </c>
      <c r="L205" s="194"/>
      <c r="M205" s="37"/>
    </row>
    <row r="206" spans="1:13">
      <c r="A206" s="2">
        <v>42339</v>
      </c>
      <c r="B206" s="284">
        <v>90139870.239999995</v>
      </c>
      <c r="C206" s="194">
        <f>'Weather Data'!B302</f>
        <v>564.90000000000009</v>
      </c>
      <c r="D206" s="194">
        <f>'Weather Data'!C302</f>
        <v>0</v>
      </c>
      <c r="E206" s="184">
        <v>31</v>
      </c>
      <c r="F206" s="194">
        <v>0</v>
      </c>
      <c r="G206" s="184">
        <f>'CDM Activity'!C138</f>
        <v>4255932.3563910117</v>
      </c>
      <c r="H206" s="187">
        <v>154.44450348160629</v>
      </c>
      <c r="I206" s="184">
        <v>50480.690975785255</v>
      </c>
      <c r="J206" s="197">
        <v>352</v>
      </c>
      <c r="K206" s="194">
        <f t="shared" si="1"/>
        <v>84592436.986905128</v>
      </c>
      <c r="L206" s="194"/>
      <c r="M206" s="37"/>
    </row>
    <row r="207" spans="1:13">
      <c r="A207" s="2">
        <v>42370</v>
      </c>
      <c r="C207" s="6">
        <f>'Weather Analysis - Thunder Bay'!Z8</f>
        <v>960.98000000000013</v>
      </c>
      <c r="D207" s="41">
        <f>'Weather Analysis - Thunder Bay'!Z28</f>
        <v>0</v>
      </c>
      <c r="E207" s="12">
        <v>31</v>
      </c>
      <c r="F207" s="6">
        <v>0</v>
      </c>
      <c r="G207" s="12">
        <f>'CDM Activity'!C139</f>
        <v>4262066.4754042169</v>
      </c>
      <c r="H207" s="22">
        <v>154.72483615659849</v>
      </c>
      <c r="I207" s="12"/>
      <c r="J207" s="176">
        <v>320</v>
      </c>
      <c r="K207" s="6">
        <f t="shared" si="1"/>
        <v>96842933.946085781</v>
      </c>
      <c r="L207" s="6"/>
      <c r="M207" s="63"/>
    </row>
    <row r="208" spans="1:13">
      <c r="A208" s="2">
        <v>42401</v>
      </c>
      <c r="C208" s="6">
        <f>'Weather Analysis - Thunder Bay'!Z9</f>
        <v>875.5899999999998</v>
      </c>
      <c r="D208" s="41">
        <f>'Weather Analysis - Thunder Bay'!Z29</f>
        <v>0</v>
      </c>
      <c r="E208" s="12">
        <v>29</v>
      </c>
      <c r="F208" s="6">
        <v>0</v>
      </c>
      <c r="G208" s="12">
        <f>'CDM Activity'!C140</f>
        <v>4268200.5944174221</v>
      </c>
      <c r="H208" s="22">
        <v>155.00567766425806</v>
      </c>
      <c r="I208" s="12"/>
      <c r="J208" s="176">
        <v>320</v>
      </c>
      <c r="K208" s="6">
        <f t="shared" si="1"/>
        <v>88670729.409673631</v>
      </c>
      <c r="L208" s="6"/>
      <c r="M208" s="63"/>
    </row>
    <row r="209" spans="1:13">
      <c r="A209" s="2">
        <v>42430</v>
      </c>
      <c r="C209" s="6">
        <f>'Weather Analysis - Thunder Bay'!Z10</f>
        <v>702.91</v>
      </c>
      <c r="D209" s="41">
        <f>'Weather Analysis - Thunder Bay'!Z30</f>
        <v>0</v>
      </c>
      <c r="E209" s="12">
        <v>31</v>
      </c>
      <c r="F209" s="6">
        <v>1</v>
      </c>
      <c r="G209" s="12">
        <f>'CDM Activity'!C141</f>
        <v>4274334.7134306272</v>
      </c>
      <c r="H209" s="22">
        <v>155.2870289281687</v>
      </c>
      <c r="I209" s="12"/>
      <c r="J209" s="176">
        <v>352</v>
      </c>
      <c r="K209" s="6">
        <f t="shared" si="1"/>
        <v>85710363.415243238</v>
      </c>
      <c r="L209" s="6"/>
      <c r="M209" s="63"/>
    </row>
    <row r="210" spans="1:13">
      <c r="A210" s="2">
        <v>42461</v>
      </c>
      <c r="C210" s="6">
        <f>'Weather Analysis - Thunder Bay'!Z11</f>
        <v>450.5200000000001</v>
      </c>
      <c r="D210" s="41">
        <f>'Weather Analysis - Thunder Bay'!Z31</f>
        <v>0</v>
      </c>
      <c r="E210" s="12">
        <v>30</v>
      </c>
      <c r="F210" s="6">
        <v>1</v>
      </c>
      <c r="G210" s="12">
        <f>'CDM Activity'!C142</f>
        <v>4280468.8324438324</v>
      </c>
      <c r="H210" s="22">
        <v>155.56889087359048</v>
      </c>
      <c r="I210" s="12"/>
      <c r="J210" s="176">
        <v>336</v>
      </c>
      <c r="K210" s="6">
        <f t="shared" si="1"/>
        <v>75126592.812437385</v>
      </c>
      <c r="L210" s="6"/>
      <c r="M210" s="63"/>
    </row>
    <row r="211" spans="1:13">
      <c r="A211" s="2">
        <v>42491</v>
      </c>
      <c r="C211" s="6">
        <f>'Weather Analysis - Thunder Bay'!Z12</f>
        <v>271.46000000000004</v>
      </c>
      <c r="D211" s="41">
        <f>'Weather Analysis - Thunder Bay'!Z32</f>
        <v>0.47000000000000003</v>
      </c>
      <c r="E211" s="12">
        <v>31</v>
      </c>
      <c r="F211" s="6">
        <v>1</v>
      </c>
      <c r="G211" s="12">
        <f>'CDM Activity'!C143</f>
        <v>4286602.9514570376</v>
      </c>
      <c r="H211" s="22">
        <v>155.85126442746289</v>
      </c>
      <c r="I211" s="12"/>
      <c r="J211" s="176">
        <v>336</v>
      </c>
      <c r="K211" s="6">
        <f t="shared" si="1"/>
        <v>72401556.360642105</v>
      </c>
      <c r="L211" s="6"/>
      <c r="M211" s="63"/>
    </row>
    <row r="212" spans="1:13">
      <c r="A212" s="2">
        <v>42522</v>
      </c>
      <c r="C212" s="6">
        <f>'Weather Analysis - Thunder Bay'!Z13</f>
        <v>109.59</v>
      </c>
      <c r="D212" s="41">
        <f>'Weather Analysis - Thunder Bay'!Z33</f>
        <v>6.7</v>
      </c>
      <c r="E212" s="12">
        <v>30</v>
      </c>
      <c r="F212" s="6">
        <v>0</v>
      </c>
      <c r="G212" s="12">
        <f>'CDM Activity'!C144</f>
        <v>4292737.0704702428</v>
      </c>
      <c r="H212" s="22">
        <v>156.13415051840798</v>
      </c>
      <c r="I212" s="12"/>
      <c r="J212" s="176">
        <v>352</v>
      </c>
      <c r="K212" s="6">
        <f t="shared" si="1"/>
        <v>68687636.326127857</v>
      </c>
      <c r="L212" s="6"/>
      <c r="M212" s="63"/>
    </row>
    <row r="213" spans="1:13">
      <c r="A213" s="2">
        <v>42552</v>
      </c>
      <c r="C213" s="6">
        <f>'Weather Analysis - Thunder Bay'!Z14</f>
        <v>36.33</v>
      </c>
      <c r="D213" s="41">
        <f>'Weather Analysis - Thunder Bay'!Z34</f>
        <v>40.369999999999997</v>
      </c>
      <c r="E213" s="12">
        <v>31</v>
      </c>
      <c r="F213" s="6">
        <v>0</v>
      </c>
      <c r="G213" s="12">
        <f>'CDM Activity'!C145</f>
        <v>4298871.1894834479</v>
      </c>
      <c r="H213" s="22">
        <v>156.41755007673331</v>
      </c>
      <c r="I213" s="12"/>
      <c r="J213" s="176">
        <v>320</v>
      </c>
      <c r="K213" s="6">
        <f t="shared" si="1"/>
        <v>74287793.355354786</v>
      </c>
      <c r="L213" s="6"/>
      <c r="M213" s="63"/>
    </row>
    <row r="214" spans="1:13">
      <c r="A214" s="2">
        <v>42583</v>
      </c>
      <c r="C214" s="6">
        <f>'Weather Analysis - Thunder Bay'!Z15</f>
        <v>51.55</v>
      </c>
      <c r="D214" s="41">
        <f>'Weather Analysis - Thunder Bay'!Z35</f>
        <v>29.669999999999998</v>
      </c>
      <c r="E214" s="12">
        <v>31</v>
      </c>
      <c r="F214" s="6">
        <v>0</v>
      </c>
      <c r="G214" s="12">
        <f>'CDM Activity'!C146</f>
        <v>4305005.3084966531</v>
      </c>
      <c r="H214" s="23">
        <v>156.70146403443502</v>
      </c>
      <c r="J214" s="176">
        <v>352</v>
      </c>
      <c r="K214" s="6">
        <f t="shared" si="1"/>
        <v>73119900.401270539</v>
      </c>
    </row>
    <row r="215" spans="1:13">
      <c r="A215" s="2">
        <v>42614</v>
      </c>
      <c r="C215" s="6">
        <f>'Weather Analysis - Thunder Bay'!Z16</f>
        <v>176.97</v>
      </c>
      <c r="D215" s="41">
        <f>'Weather Analysis - Thunder Bay'!Z36</f>
        <v>5.05</v>
      </c>
      <c r="E215" s="12">
        <v>30</v>
      </c>
      <c r="F215" s="6">
        <v>1</v>
      </c>
      <c r="G215" s="12">
        <f>'CDM Activity'!C147</f>
        <v>4311139.4275098583</v>
      </c>
      <c r="H215" s="23">
        <v>156.98589332520095</v>
      </c>
      <c r="I215" s="63"/>
      <c r="J215" s="176">
        <v>336</v>
      </c>
      <c r="K215" s="6">
        <f t="shared" si="1"/>
        <v>67367987.241683483</v>
      </c>
      <c r="L215" s="63"/>
      <c r="M215" s="63"/>
    </row>
    <row r="216" spans="1:13">
      <c r="A216" s="2">
        <v>42644</v>
      </c>
      <c r="C216" s="6">
        <f>'Weather Analysis - Thunder Bay'!Z17</f>
        <v>372.15</v>
      </c>
      <c r="D216" s="41">
        <f>'Weather Analysis - Thunder Bay'!Z37</f>
        <v>0.54</v>
      </c>
      <c r="E216" s="12">
        <v>31</v>
      </c>
      <c r="F216" s="6">
        <v>1</v>
      </c>
      <c r="G216" s="12">
        <f>'CDM Activity'!C148</f>
        <v>4317273.5465230634</v>
      </c>
      <c r="H216" s="23">
        <v>157.27083888441365</v>
      </c>
      <c r="I216" s="63"/>
      <c r="J216" s="176">
        <v>320</v>
      </c>
      <c r="K216" s="6">
        <f t="shared" ref="K216:K230" si="2">$O$103+C216*$O$104+D216*$O$105+E216*$O$106+F216*$O$107+G216*$O$108</f>
        <v>75471442.736338705</v>
      </c>
      <c r="L216" s="63"/>
      <c r="M216" s="63"/>
    </row>
    <row r="217" spans="1:13">
      <c r="A217" s="2">
        <v>42675</v>
      </c>
      <c r="C217" s="6">
        <f>'Weather Analysis - Thunder Bay'!Z18</f>
        <v>567.61000000000013</v>
      </c>
      <c r="D217" s="41">
        <f>'Weather Analysis - Thunder Bay'!Z38</f>
        <v>0</v>
      </c>
      <c r="E217" s="12">
        <v>30</v>
      </c>
      <c r="F217" s="6">
        <v>1</v>
      </c>
      <c r="G217" s="12">
        <f>'CDM Activity'!C149</f>
        <v>4323407.6655362686</v>
      </c>
      <c r="H217" s="23">
        <v>157.55630164915351</v>
      </c>
      <c r="I217" s="63"/>
      <c r="J217" s="176">
        <v>336</v>
      </c>
      <c r="K217" s="6">
        <f t="shared" si="2"/>
        <v>78670359.550596356</v>
      </c>
      <c r="L217" s="63"/>
      <c r="M217" s="63"/>
    </row>
    <row r="218" spans="1:13">
      <c r="A218" s="2">
        <v>42705</v>
      </c>
      <c r="C218" s="6">
        <f>'Weather Analysis - Thunder Bay'!Z19</f>
        <v>852.28999999999974</v>
      </c>
      <c r="D218" s="41">
        <f>'Weather Analysis - Thunder Bay'!Z39</f>
        <v>0</v>
      </c>
      <c r="E218" s="12">
        <v>31</v>
      </c>
      <c r="F218" s="6">
        <v>0</v>
      </c>
      <c r="G218" s="12">
        <f>'CDM Activity'!C150</f>
        <v>4329541.7845494738</v>
      </c>
      <c r="H218" s="23">
        <v>157.84228255820162</v>
      </c>
      <c r="I218" s="63"/>
      <c r="J218" s="176">
        <v>336</v>
      </c>
      <c r="K218" s="6">
        <f t="shared" si="2"/>
        <v>93350473.196392477</v>
      </c>
      <c r="L218" s="63"/>
      <c r="M218" s="63"/>
    </row>
    <row r="219" spans="1:13">
      <c r="A219" s="2">
        <v>42736</v>
      </c>
      <c r="C219" s="29">
        <f>C207</f>
        <v>960.98000000000013</v>
      </c>
      <c r="D219" s="41">
        <f>D207</f>
        <v>0</v>
      </c>
      <c r="E219" s="12">
        <v>31</v>
      </c>
      <c r="F219" s="6">
        <v>0</v>
      </c>
      <c r="G219" s="12">
        <f>'CDM Activity'!C151</f>
        <v>4306060.0913775424</v>
      </c>
      <c r="H219" s="23">
        <v>158.15454692394951</v>
      </c>
      <c r="I219" s="63"/>
      <c r="J219" s="63"/>
      <c r="K219" s="6">
        <f t="shared" si="2"/>
        <v>96759760.60293448</v>
      </c>
      <c r="L219" s="63"/>
      <c r="M219" s="63"/>
    </row>
    <row r="220" spans="1:13">
      <c r="A220" s="2">
        <v>42767</v>
      </c>
      <c r="C220" s="29">
        <f t="shared" ref="C220:D230" si="3">C208</f>
        <v>875.5899999999998</v>
      </c>
      <c r="D220" s="41">
        <f t="shared" si="3"/>
        <v>0</v>
      </c>
      <c r="E220" s="12">
        <v>28</v>
      </c>
      <c r="F220" s="6">
        <v>0</v>
      </c>
      <c r="G220" s="12">
        <f>'CDM Activity'!C152</f>
        <v>4282578.3982056109</v>
      </c>
      <c r="H220" s="23">
        <v>158.46742905214063</v>
      </c>
      <c r="I220" s="63"/>
      <c r="J220" s="63"/>
      <c r="K220" s="6">
        <f t="shared" si="2"/>
        <v>85885021.990213603</v>
      </c>
      <c r="L220" s="63"/>
      <c r="M220" s="63"/>
    </row>
    <row r="221" spans="1:13">
      <c r="A221" s="2">
        <v>42795</v>
      </c>
      <c r="C221" s="29">
        <f t="shared" si="3"/>
        <v>702.91</v>
      </c>
      <c r="D221" s="41">
        <f t="shared" si="3"/>
        <v>0</v>
      </c>
      <c r="E221" s="12">
        <v>31</v>
      </c>
      <c r="F221" s="6">
        <v>1</v>
      </c>
      <c r="G221" s="12">
        <f>'CDM Activity'!C153</f>
        <v>4259096.7050336795</v>
      </c>
      <c r="H221" s="23">
        <v>158.78093016491388</v>
      </c>
      <c r="I221" s="63"/>
      <c r="J221" s="63"/>
      <c r="K221" s="6">
        <f t="shared" si="2"/>
        <v>85739172.051980659</v>
      </c>
      <c r="L221" s="63"/>
      <c r="M221" s="63"/>
    </row>
    <row r="222" spans="1:13">
      <c r="A222" s="2">
        <v>42826</v>
      </c>
      <c r="C222" s="29">
        <f t="shared" si="3"/>
        <v>450.5200000000001</v>
      </c>
      <c r="D222" s="41">
        <f t="shared" si="3"/>
        <v>0</v>
      </c>
      <c r="E222" s="12">
        <v>30</v>
      </c>
      <c r="F222" s="6">
        <v>1</v>
      </c>
      <c r="G222" s="12">
        <f>'CDM Activity'!C154</f>
        <v>4235615.0118617481</v>
      </c>
      <c r="H222" s="23">
        <v>159.09505148682601</v>
      </c>
      <c r="I222" s="63"/>
      <c r="J222" s="63"/>
      <c r="K222" s="6">
        <f t="shared" si="2"/>
        <v>75211392.43911919</v>
      </c>
      <c r="L222" s="63"/>
      <c r="M222" s="63"/>
    </row>
    <row r="223" spans="1:13">
      <c r="A223" s="2">
        <v>42856</v>
      </c>
      <c r="C223" s="29">
        <f t="shared" si="3"/>
        <v>271.46000000000004</v>
      </c>
      <c r="D223" s="41">
        <f t="shared" si="3"/>
        <v>0.47000000000000003</v>
      </c>
      <c r="E223" s="12">
        <v>31</v>
      </c>
      <c r="F223" s="6">
        <v>1</v>
      </c>
      <c r="G223" s="12">
        <f>'CDM Activity'!C155</f>
        <v>4212133.3186898166</v>
      </c>
      <c r="H223" s="23">
        <v>159.4097942448563</v>
      </c>
      <c r="I223" s="63"/>
      <c r="J223" s="63"/>
      <c r="K223" s="6">
        <f t="shared" si="2"/>
        <v>72542346.977268264</v>
      </c>
      <c r="L223" s="63"/>
      <c r="M223" s="63"/>
    </row>
    <row r="224" spans="1:13">
      <c r="A224" s="2">
        <v>42887</v>
      </c>
      <c r="C224" s="29">
        <f t="shared" si="3"/>
        <v>109.59</v>
      </c>
      <c r="D224" s="41">
        <f t="shared" si="3"/>
        <v>6.7</v>
      </c>
      <c r="E224" s="12">
        <v>30</v>
      </c>
      <c r="F224" s="6">
        <v>0</v>
      </c>
      <c r="G224" s="12">
        <f>'CDM Activity'!C156</f>
        <v>4188651.6255178857</v>
      </c>
      <c r="H224" s="23">
        <v>159.72515966841141</v>
      </c>
      <c r="I224" s="63"/>
      <c r="J224" s="63"/>
      <c r="K224" s="6">
        <f t="shared" si="2"/>
        <v>68884417.932698399</v>
      </c>
      <c r="L224" s="63"/>
      <c r="M224" s="63"/>
    </row>
    <row r="225" spans="1:13">
      <c r="A225" s="2">
        <v>42917</v>
      </c>
      <c r="C225" s="29">
        <f t="shared" si="3"/>
        <v>36.33</v>
      </c>
      <c r="D225" s="41">
        <f t="shared" si="3"/>
        <v>40.369999999999997</v>
      </c>
      <c r="E225" s="12">
        <v>31</v>
      </c>
      <c r="F225" s="6">
        <v>0</v>
      </c>
      <c r="G225" s="12">
        <f>'CDM Activity'!C157</f>
        <v>4165169.9323459547</v>
      </c>
      <c r="H225" s="23">
        <v>160.0411489893302</v>
      </c>
      <c r="I225" s="63"/>
      <c r="J225" s="63"/>
      <c r="K225" s="6">
        <f t="shared" si="2"/>
        <v>74540565.951869696</v>
      </c>
      <c r="L225" s="63"/>
      <c r="M225" s="63"/>
    </row>
    <row r="226" spans="1:13">
      <c r="A226" s="2">
        <v>42948</v>
      </c>
      <c r="C226" s="29">
        <f t="shared" si="3"/>
        <v>51.55</v>
      </c>
      <c r="D226" s="41">
        <f t="shared" si="3"/>
        <v>29.669999999999998</v>
      </c>
      <c r="E226" s="12">
        <v>31</v>
      </c>
      <c r="F226" s="6">
        <v>0</v>
      </c>
      <c r="G226" s="12">
        <f>'CDM Activity'!C158</f>
        <v>4141688.2391740237</v>
      </c>
      <c r="H226" s="23">
        <v>160.35776344188849</v>
      </c>
      <c r="I226" s="63"/>
      <c r="J226" s="63"/>
      <c r="K226" s="6">
        <f t="shared" si="2"/>
        <v>73428663.987729803</v>
      </c>
      <c r="L226" s="63"/>
      <c r="M226" s="63"/>
    </row>
    <row r="227" spans="1:13">
      <c r="A227" s="2">
        <v>42979</v>
      </c>
      <c r="C227" s="29">
        <f t="shared" si="3"/>
        <v>176.97</v>
      </c>
      <c r="D227" s="41">
        <f t="shared" si="3"/>
        <v>5.05</v>
      </c>
      <c r="E227" s="12">
        <v>30</v>
      </c>
      <c r="F227" s="6">
        <v>1</v>
      </c>
      <c r="G227" s="12">
        <f>'CDM Activity'!C159</f>
        <v>4118206.5460020928</v>
      </c>
      <c r="H227" s="23">
        <v>160.67500426280395</v>
      </c>
      <c r="I227" s="63"/>
      <c r="J227" s="63"/>
      <c r="K227" s="6">
        <f t="shared" si="2"/>
        <v>67732741.818087116</v>
      </c>
      <c r="L227" s="63"/>
      <c r="M227" s="63"/>
    </row>
    <row r="228" spans="1:13">
      <c r="A228" s="2">
        <v>43009</v>
      </c>
      <c r="C228" s="29">
        <f t="shared" si="3"/>
        <v>372.15</v>
      </c>
      <c r="D228" s="41">
        <f t="shared" si="3"/>
        <v>0.54</v>
      </c>
      <c r="E228" s="12">
        <v>31</v>
      </c>
      <c r="F228" s="6">
        <v>1</v>
      </c>
      <c r="G228" s="12">
        <f>'CDM Activity'!C160</f>
        <v>4094724.8528301618</v>
      </c>
      <c r="H228" s="23">
        <v>160.99287269124085</v>
      </c>
      <c r="I228" s="63"/>
      <c r="J228" s="63"/>
      <c r="K228" s="6">
        <f t="shared" si="2"/>
        <v>75892188.302686721</v>
      </c>
      <c r="L228" s="63"/>
      <c r="M228" s="63"/>
    </row>
    <row r="229" spans="1:13">
      <c r="A229" s="2">
        <v>43040</v>
      </c>
      <c r="C229" s="29">
        <f t="shared" si="3"/>
        <v>567.61000000000013</v>
      </c>
      <c r="D229" s="41">
        <f t="shared" si="3"/>
        <v>0</v>
      </c>
      <c r="E229" s="12">
        <v>30</v>
      </c>
      <c r="F229" s="6">
        <v>1</v>
      </c>
      <c r="G229" s="12">
        <f>'CDM Activity'!C161</f>
        <v>4071243.1596582308</v>
      </c>
      <c r="H229" s="23">
        <v>161.31136996881492</v>
      </c>
      <c r="I229" s="63"/>
      <c r="J229" s="63"/>
      <c r="K229" s="6">
        <f t="shared" si="2"/>
        <v>79147096.106888726</v>
      </c>
      <c r="L229" s="63"/>
      <c r="M229" s="63"/>
    </row>
    <row r="230" spans="1:13">
      <c r="A230" s="2">
        <v>43070</v>
      </c>
      <c r="C230" s="29">
        <f t="shared" si="3"/>
        <v>852.28999999999974</v>
      </c>
      <c r="D230" s="41">
        <f t="shared" si="3"/>
        <v>0</v>
      </c>
      <c r="E230" s="12">
        <v>31</v>
      </c>
      <c r="F230" s="6">
        <v>0</v>
      </c>
      <c r="G230" s="12">
        <f>'CDM Activity'!C162</f>
        <v>4047761.4664862999</v>
      </c>
      <c r="H230" s="23">
        <v>161.63049733959846</v>
      </c>
      <c r="I230" s="63"/>
      <c r="J230" s="63"/>
      <c r="K230" s="6">
        <f t="shared" si="2"/>
        <v>93883200.74262923</v>
      </c>
      <c r="L230" s="63"/>
      <c r="M230" s="63"/>
    </row>
    <row r="231" spans="1:13">
      <c r="A231" s="2"/>
      <c r="C231"/>
      <c r="D231"/>
      <c r="G231" s="29"/>
      <c r="K231" s="29">
        <f>SUM(K3:K182)</f>
        <v>8205855156.2153082</v>
      </c>
    </row>
    <row r="232" spans="1:13">
      <c r="A232" s="2"/>
      <c r="C232"/>
      <c r="D232"/>
      <c r="E232" s="63"/>
      <c r="F232" s="63"/>
      <c r="G232" s="29"/>
      <c r="I232" s="63"/>
      <c r="J232" s="63"/>
      <c r="K232" s="29"/>
      <c r="L232" s="63"/>
      <c r="M232" s="63"/>
    </row>
    <row r="233" spans="1:13">
      <c r="A233" s="2"/>
    </row>
    <row r="234" spans="1:13">
      <c r="A234">
        <v>2006</v>
      </c>
      <c r="B234" s="5">
        <f>SUM(B87:B98)</f>
        <v>1080402354.6499999</v>
      </c>
      <c r="K234" s="5">
        <f>SUM(K87:K98)</f>
        <v>1034134353.7822727</v>
      </c>
      <c r="L234" s="25">
        <f t="shared" ref="L234:L243" si="4">K234-B234</f>
        <v>-46268000.86772716</v>
      </c>
      <c r="M234" s="4">
        <f t="shared" ref="M234:M243" si="5">L234/B234</f>
        <v>-4.2824787143967161E-2</v>
      </c>
    </row>
    <row r="235" spans="1:13">
      <c r="A235" s="11">
        <v>2007</v>
      </c>
      <c r="B235" s="5">
        <f>SUM(B99:B110)</f>
        <v>1074640050.0500002</v>
      </c>
      <c r="K235" s="5">
        <f>SUM(K99:K110)</f>
        <v>1037471248.2601047</v>
      </c>
      <c r="L235" s="25">
        <f t="shared" si="4"/>
        <v>-37168801.789895535</v>
      </c>
      <c r="M235" s="4">
        <f t="shared" si="5"/>
        <v>-3.4587210655480566E-2</v>
      </c>
    </row>
    <row r="236" spans="1:13">
      <c r="A236">
        <v>2008</v>
      </c>
      <c r="B236" s="5">
        <f>SUM(B111:B122)</f>
        <v>1046355823.8954999</v>
      </c>
      <c r="K236" s="5">
        <f>SUM(K111:K122)</f>
        <v>1041951722.1441436</v>
      </c>
      <c r="L236" s="25">
        <f t="shared" si="4"/>
        <v>-4404101.7513563633</v>
      </c>
      <c r="M236" s="4">
        <f t="shared" si="5"/>
        <v>-4.2089905276775173E-3</v>
      </c>
    </row>
    <row r="237" spans="1:13">
      <c r="A237" s="11">
        <v>2009</v>
      </c>
      <c r="B237" s="5">
        <f>SUM(B123:B134)</f>
        <v>1013563736.845</v>
      </c>
      <c r="K237" s="5">
        <f>SUM(K123:K134)</f>
        <v>1026388641.2352173</v>
      </c>
      <c r="L237" s="25">
        <f t="shared" si="4"/>
        <v>12824904.390217304</v>
      </c>
      <c r="M237" s="4">
        <f t="shared" si="5"/>
        <v>1.2653278648403897E-2</v>
      </c>
    </row>
    <row r="238" spans="1:13">
      <c r="A238">
        <v>2010</v>
      </c>
      <c r="B238" s="5">
        <f>SUM(B135:B146)</f>
        <v>981167358</v>
      </c>
      <c r="K238" s="5">
        <f>SUM(K135:K146)</f>
        <v>1013140173.6750536</v>
      </c>
      <c r="L238" s="25">
        <f t="shared" si="4"/>
        <v>31972815.675053596</v>
      </c>
      <c r="M238" s="4">
        <f t="shared" si="5"/>
        <v>3.2586505670374737E-2</v>
      </c>
    </row>
    <row r="239" spans="1:13">
      <c r="A239">
        <v>2011</v>
      </c>
      <c r="B239" s="5">
        <f>SUM(B147:B158)</f>
        <v>996079734.17000008</v>
      </c>
      <c r="K239" s="5">
        <f>SUM(K147:K158)</f>
        <v>1025712384.9857814</v>
      </c>
      <c r="L239" s="25">
        <f t="shared" si="4"/>
        <v>29632650.815781355</v>
      </c>
      <c r="M239" s="4">
        <f t="shared" si="5"/>
        <v>2.9749275885502531E-2</v>
      </c>
    </row>
    <row r="240" spans="1:13">
      <c r="A240">
        <v>2012</v>
      </c>
      <c r="B240" s="5">
        <f>SUM(B159:B170)</f>
        <v>987455834.2900002</v>
      </c>
      <c r="K240" s="5">
        <f>SUM(K159:K170)</f>
        <v>1007570550.9112124</v>
      </c>
      <c r="L240" s="25">
        <f t="shared" si="4"/>
        <v>20114716.621212244</v>
      </c>
      <c r="M240" s="4">
        <f t="shared" si="5"/>
        <v>2.0370244341788829E-2</v>
      </c>
    </row>
    <row r="241" spans="1:13">
      <c r="A241">
        <v>2013</v>
      </c>
      <c r="B241" s="5">
        <f>SUM(B171:B182)</f>
        <v>1001934678.8599999</v>
      </c>
      <c r="K241" s="5">
        <f>SUM(K171:K182)</f>
        <v>1019486081.2215254</v>
      </c>
      <c r="L241" s="25">
        <f t="shared" si="4"/>
        <v>17551402.361525536</v>
      </c>
      <c r="M241" s="4">
        <f t="shared" si="5"/>
        <v>1.7517511602149056E-2</v>
      </c>
    </row>
    <row r="242" spans="1:13">
      <c r="A242">
        <v>2014</v>
      </c>
      <c r="B242" s="5">
        <f>SUM(B183:B194)</f>
        <v>1002263936.8399999</v>
      </c>
      <c r="C242" s="63"/>
      <c r="D242" s="63"/>
      <c r="E242" s="63"/>
      <c r="F242" s="63"/>
      <c r="G242" s="63"/>
      <c r="I242" s="63"/>
      <c r="J242" s="63"/>
      <c r="K242" s="5">
        <f>SUM(K183:K194)</f>
        <v>998824472.93914497</v>
      </c>
      <c r="L242" s="25">
        <f t="shared" si="4"/>
        <v>-3439463.9008549452</v>
      </c>
      <c r="M242" s="4">
        <f t="shared" si="5"/>
        <v>-3.4316947606626465E-3</v>
      </c>
    </row>
    <row r="243" spans="1:13">
      <c r="A243" s="11">
        <v>2015</v>
      </c>
      <c r="B243" s="5">
        <f>SUM(B195:B206)</f>
        <v>976172474.96000016</v>
      </c>
      <c r="C243" s="63"/>
      <c r="D243" s="63"/>
      <c r="E243" s="63"/>
      <c r="F243" s="63"/>
      <c r="G243" s="63"/>
      <c r="I243" s="63"/>
      <c r="J243" s="63"/>
      <c r="K243" s="5">
        <f>SUM(K195:K206)</f>
        <v>955356353.40604353</v>
      </c>
      <c r="L243" s="25">
        <f t="shared" si="4"/>
        <v>-20816121.553956628</v>
      </c>
      <c r="M243" s="4">
        <f t="shared" si="5"/>
        <v>-2.1324225060545366E-2</v>
      </c>
    </row>
    <row r="244" spans="1:13">
      <c r="A244">
        <v>2016</v>
      </c>
      <c r="C244" s="63"/>
      <c r="D244" s="63"/>
      <c r="E244" s="63"/>
      <c r="F244" s="63"/>
      <c r="G244" s="63"/>
      <c r="I244" s="63"/>
      <c r="J244" s="63"/>
      <c r="K244" s="5">
        <f>SUM(K207:K218)</f>
        <v>949707768.75184631</v>
      </c>
      <c r="L244" s="63"/>
      <c r="M244" s="63"/>
    </row>
    <row r="245" spans="1:13">
      <c r="A245" s="11">
        <v>2017</v>
      </c>
      <c r="C245" s="63"/>
      <c r="D245" s="63"/>
      <c r="E245" s="63"/>
      <c r="F245" s="63"/>
      <c r="G245" s="63"/>
      <c r="I245" s="63"/>
      <c r="J245" s="63"/>
      <c r="K245" s="5">
        <f>SUM(K219:K230)</f>
        <v>949646568.9041059</v>
      </c>
      <c r="L245" s="63"/>
      <c r="M245" s="63"/>
    </row>
    <row r="246" spans="1:13">
      <c r="C246" s="63"/>
      <c r="D246" s="63"/>
      <c r="E246" s="63"/>
      <c r="F246" s="63"/>
      <c r="G246" s="63"/>
      <c r="I246" s="63"/>
      <c r="J246" s="63"/>
      <c r="K246" s="5"/>
      <c r="L246" s="63"/>
      <c r="M246" s="63"/>
    </row>
    <row r="247" spans="1:13" ht="13.5" thickBot="1">
      <c r="K247" s="5"/>
    </row>
    <row r="248" spans="1:13" ht="16.5" thickTop="1" thickBot="1">
      <c r="A248" s="48" t="s">
        <v>261</v>
      </c>
      <c r="B248" s="5">
        <f>SUM(B234:B243)</f>
        <v>10160035982.560501</v>
      </c>
      <c r="K248" s="5">
        <f>SUM(K234:K243)</f>
        <v>10160035982.560499</v>
      </c>
      <c r="L248" s="256">
        <f>K248-B248</f>
        <v>0</v>
      </c>
    </row>
    <row r="249" spans="1:13" ht="14.25" thickTop="1" thickBot="1"/>
    <row r="250" spans="1:13" ht="16.5" thickTop="1" thickBot="1">
      <c r="K250" s="5">
        <f>SUM(K234:K241)</f>
        <v>8205855156.2153111</v>
      </c>
      <c r="L250" s="257">
        <f>K231-K250</f>
        <v>0</v>
      </c>
    </row>
    <row r="251" spans="1:13" ht="13.5" thickTop="1">
      <c r="K251" s="258"/>
      <c r="L251" s="258" t="s">
        <v>47</v>
      </c>
      <c r="M251" s="258"/>
    </row>
    <row r="260" spans="3:11">
      <c r="C260" s="5"/>
      <c r="D260" s="5"/>
      <c r="E260" s="5"/>
      <c r="F260" s="5"/>
      <c r="G260" s="5"/>
      <c r="I260" s="5"/>
      <c r="J260" s="5"/>
      <c r="K260" s="5"/>
    </row>
    <row r="261" spans="3:11">
      <c r="K261" s="5"/>
    </row>
  </sheetData>
  <mergeCells count="1">
    <mergeCell ref="H1:J1"/>
  </mergeCells>
  <phoneticPr fontId="0" type="noConversion"/>
  <pageMargins left="0.38" right="0.75" top="0.73" bottom="0.74" header="0.5" footer="0.5"/>
  <pageSetup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66"/>
  <sheetViews>
    <sheetView workbookViewId="0">
      <selection activeCell="B2" sqref="B2:M206"/>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2.42578125" style="1" hidden="1" customWidth="1"/>
    <col min="9" max="9" width="14.42578125" style="23" hidden="1" customWidth="1"/>
    <col min="10"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200" t="s">
        <v>76</v>
      </c>
      <c r="I1" s="200"/>
      <c r="J1" s="200"/>
    </row>
    <row r="2" spans="1:13" ht="42" customHeight="1">
      <c r="A2" s="182"/>
      <c r="B2" s="261" t="s">
        <v>77</v>
      </c>
      <c r="C2" s="262" t="s">
        <v>1</v>
      </c>
      <c r="D2" s="262" t="s">
        <v>2</v>
      </c>
      <c r="E2" s="262" t="s">
        <v>3</v>
      </c>
      <c r="F2" s="262" t="s">
        <v>14</v>
      </c>
      <c r="G2" s="262" t="s">
        <v>56</v>
      </c>
      <c r="H2" s="263" t="s">
        <v>49</v>
      </c>
      <c r="I2" s="262" t="s">
        <v>4</v>
      </c>
      <c r="J2" s="262" t="s">
        <v>58</v>
      </c>
      <c r="K2" s="262" t="s">
        <v>78</v>
      </c>
      <c r="L2" s="262" t="s">
        <v>7</v>
      </c>
      <c r="M2" s="262" t="s">
        <v>311</v>
      </c>
    </row>
    <row r="3" spans="1:13" hidden="1">
      <c r="A3" s="183">
        <v>36161</v>
      </c>
      <c r="B3" s="284">
        <v>22843354.319999941</v>
      </c>
      <c r="C3" s="194">
        <f>'Weather Data'!B99</f>
        <v>994.7</v>
      </c>
      <c r="D3" s="194">
        <f>'Weather Data'!C99</f>
        <v>0</v>
      </c>
      <c r="E3" s="194">
        <v>31</v>
      </c>
      <c r="F3" s="194">
        <v>0</v>
      </c>
      <c r="G3" s="184">
        <v>0</v>
      </c>
      <c r="H3" s="195">
        <v>36735</v>
      </c>
      <c r="I3" s="184">
        <v>106.08666118100913</v>
      </c>
      <c r="J3" s="194">
        <v>319.87200000000001</v>
      </c>
      <c r="K3" s="194"/>
      <c r="L3" s="194"/>
      <c r="M3" s="285"/>
    </row>
    <row r="4" spans="1:13" hidden="1">
      <c r="A4" s="183">
        <v>36192</v>
      </c>
      <c r="B4" s="284">
        <v>30944887.000000566</v>
      </c>
      <c r="C4" s="194">
        <f>'Weather Data'!B100</f>
        <v>718.7</v>
      </c>
      <c r="D4" s="194">
        <f>'Weather Data'!C100</f>
        <v>0</v>
      </c>
      <c r="E4" s="194">
        <v>28</v>
      </c>
      <c r="F4" s="194">
        <v>0</v>
      </c>
      <c r="G4" s="184">
        <v>0</v>
      </c>
      <c r="H4" s="195">
        <v>43389</v>
      </c>
      <c r="I4" s="184">
        <v>106.08666118100913</v>
      </c>
      <c r="J4" s="194">
        <v>319.87200000000001</v>
      </c>
      <c r="K4" s="194"/>
      <c r="L4" s="194"/>
      <c r="M4" s="285"/>
    </row>
    <row r="5" spans="1:13" hidden="1">
      <c r="A5" s="183">
        <v>36220</v>
      </c>
      <c r="B5" s="284">
        <v>31192272.98</v>
      </c>
      <c r="C5" s="194">
        <f>'Weather Data'!B101</f>
        <v>710.1</v>
      </c>
      <c r="D5" s="194">
        <f>'Weather Data'!C101</f>
        <v>0</v>
      </c>
      <c r="E5" s="194">
        <v>31</v>
      </c>
      <c r="F5" s="194">
        <v>1</v>
      </c>
      <c r="G5" s="184">
        <v>0</v>
      </c>
      <c r="H5" s="195">
        <v>43566</v>
      </c>
      <c r="I5" s="184">
        <v>106.72898964661303</v>
      </c>
      <c r="J5" s="194">
        <v>368.28</v>
      </c>
      <c r="K5" s="194"/>
      <c r="L5" s="194"/>
      <c r="M5" s="285"/>
    </row>
    <row r="6" spans="1:13" hidden="1">
      <c r="A6" s="183">
        <v>36251</v>
      </c>
      <c r="B6" s="284">
        <v>27103570.060000088</v>
      </c>
      <c r="C6" s="194">
        <f>'Weather Data'!B102</f>
        <v>407.7</v>
      </c>
      <c r="D6" s="194">
        <f>'Weather Data'!C102</f>
        <v>0</v>
      </c>
      <c r="E6" s="194">
        <v>30</v>
      </c>
      <c r="F6" s="194">
        <v>1</v>
      </c>
      <c r="G6" s="184">
        <v>0</v>
      </c>
      <c r="H6" s="195">
        <v>43534</v>
      </c>
      <c r="I6" s="184">
        <v>107.37520725203085</v>
      </c>
      <c r="J6" s="194">
        <v>336.24</v>
      </c>
      <c r="K6" s="194"/>
      <c r="L6" s="194"/>
      <c r="M6" s="285"/>
    </row>
    <row r="7" spans="1:13" hidden="1">
      <c r="A7" s="183">
        <v>36281</v>
      </c>
      <c r="B7" s="284">
        <v>25155490.760000035</v>
      </c>
      <c r="C7" s="194">
        <f>'Weather Data'!B103</f>
        <v>224.7</v>
      </c>
      <c r="D7" s="194">
        <f>'Weather Data'!C103</f>
        <v>2.6</v>
      </c>
      <c r="E7" s="194">
        <v>31</v>
      </c>
      <c r="F7" s="194">
        <v>1</v>
      </c>
      <c r="G7" s="184">
        <v>0</v>
      </c>
      <c r="H7" s="195">
        <v>43500</v>
      </c>
      <c r="I7" s="184">
        <v>108.02533754504118</v>
      </c>
      <c r="J7" s="194">
        <v>319.92</v>
      </c>
      <c r="K7" s="194"/>
      <c r="L7" s="194"/>
      <c r="M7" s="285"/>
    </row>
    <row r="8" spans="1:13" hidden="1">
      <c r="A8" s="183">
        <v>36312</v>
      </c>
      <c r="B8" s="284">
        <v>23427104.32999998</v>
      </c>
      <c r="C8" s="194">
        <f>'Weather Data'!B104</f>
        <v>91.9</v>
      </c>
      <c r="D8" s="194">
        <f>'Weather Data'!C104</f>
        <v>11.4</v>
      </c>
      <c r="E8" s="194">
        <v>30</v>
      </c>
      <c r="F8" s="194">
        <v>0</v>
      </c>
      <c r="G8" s="184">
        <v>0</v>
      </c>
      <c r="H8" s="195">
        <v>43465</v>
      </c>
      <c r="I8" s="184">
        <v>108.6794042159986</v>
      </c>
      <c r="J8" s="194">
        <v>352.08</v>
      </c>
      <c r="K8" s="194"/>
      <c r="L8" s="194"/>
      <c r="M8" s="285"/>
    </row>
    <row r="9" spans="1:13" hidden="1">
      <c r="A9" s="183">
        <v>36342</v>
      </c>
      <c r="B9" s="284">
        <v>24261259.010000143</v>
      </c>
      <c r="C9" s="194">
        <f>'Weather Data'!B105</f>
        <v>24.2</v>
      </c>
      <c r="D9" s="194">
        <f>'Weather Data'!C105</f>
        <v>59.3</v>
      </c>
      <c r="E9" s="194">
        <v>31</v>
      </c>
      <c r="F9" s="194">
        <v>0</v>
      </c>
      <c r="G9" s="184">
        <v>0</v>
      </c>
      <c r="H9" s="195">
        <v>43633</v>
      </c>
      <c r="I9" s="184">
        <v>109.33743109869688</v>
      </c>
      <c r="J9" s="194">
        <v>336.28800000000001</v>
      </c>
      <c r="K9" s="194"/>
      <c r="L9" s="194"/>
      <c r="M9" s="285"/>
    </row>
    <row r="10" spans="1:13" hidden="1">
      <c r="A10" s="183">
        <v>36373</v>
      </c>
      <c r="B10" s="284">
        <v>24804295.33000008</v>
      </c>
      <c r="C10" s="194">
        <f>'Weather Data'!B106</f>
        <v>74</v>
      </c>
      <c r="D10" s="194">
        <f>'Weather Data'!C106</f>
        <v>12.2</v>
      </c>
      <c r="E10" s="194">
        <v>31</v>
      </c>
      <c r="F10" s="194">
        <v>0</v>
      </c>
      <c r="G10" s="184">
        <v>0</v>
      </c>
      <c r="H10" s="195">
        <v>43625</v>
      </c>
      <c r="I10" s="184">
        <v>109.99944217123755</v>
      </c>
      <c r="J10" s="194">
        <v>336.28800000000001</v>
      </c>
      <c r="K10" s="194"/>
      <c r="L10" s="194"/>
      <c r="M10" s="285"/>
    </row>
    <row r="11" spans="1:13" hidden="1">
      <c r="A11" s="183">
        <v>36404</v>
      </c>
      <c r="B11" s="284">
        <v>24983512.450000003</v>
      </c>
      <c r="C11" s="194">
        <f>'Weather Data'!B107</f>
        <v>194</v>
      </c>
      <c r="D11" s="194">
        <f>'Weather Data'!C107</f>
        <v>5.7</v>
      </c>
      <c r="E11" s="194">
        <v>30</v>
      </c>
      <c r="F11" s="194">
        <v>1</v>
      </c>
      <c r="G11" s="184">
        <v>0</v>
      </c>
      <c r="H11" s="195">
        <v>43713</v>
      </c>
      <c r="I11" s="184">
        <v>110.66546155690358</v>
      </c>
      <c r="J11" s="194">
        <v>336.24</v>
      </c>
      <c r="K11" s="194"/>
      <c r="L11" s="194"/>
      <c r="M11" s="285"/>
    </row>
    <row r="12" spans="1:13" hidden="1">
      <c r="A12" s="183">
        <v>36434</v>
      </c>
      <c r="B12" s="284">
        <v>27927641.870000076</v>
      </c>
      <c r="C12" s="194">
        <f>'Weather Data'!B108</f>
        <v>423.1</v>
      </c>
      <c r="D12" s="194">
        <f>'Weather Data'!C108</f>
        <v>0</v>
      </c>
      <c r="E12" s="194">
        <v>31</v>
      </c>
      <c r="F12" s="194">
        <v>1</v>
      </c>
      <c r="G12" s="184">
        <v>0</v>
      </c>
      <c r="H12" s="195">
        <v>43713</v>
      </c>
      <c r="I12" s="184">
        <v>111.33551352503846</v>
      </c>
      <c r="J12" s="194">
        <v>319.92</v>
      </c>
      <c r="K12" s="194"/>
      <c r="L12" s="194"/>
      <c r="M12" s="285"/>
    </row>
    <row r="13" spans="1:13" hidden="1">
      <c r="A13" s="183">
        <v>36465</v>
      </c>
      <c r="B13" s="284">
        <v>30807187.569999743</v>
      </c>
      <c r="C13" s="194">
        <f>'Weather Data'!B109</f>
        <v>500.7</v>
      </c>
      <c r="D13" s="194">
        <f>'Weather Data'!C109</f>
        <v>0</v>
      </c>
      <c r="E13" s="194">
        <v>30</v>
      </c>
      <c r="F13" s="194">
        <v>1</v>
      </c>
      <c r="G13" s="184">
        <v>0</v>
      </c>
      <c r="H13" s="195">
        <v>43708</v>
      </c>
      <c r="I13" s="184">
        <v>112.00962249193054</v>
      </c>
      <c r="J13" s="194">
        <v>352.08</v>
      </c>
      <c r="K13" s="194"/>
      <c r="L13" s="194"/>
      <c r="M13" s="285"/>
    </row>
    <row r="14" spans="1:13" hidden="1">
      <c r="A14" s="183">
        <v>36495</v>
      </c>
      <c r="B14" s="284">
        <v>36673911.080000579</v>
      </c>
      <c r="C14" s="194">
        <f>'Weather Data'!B110</f>
        <v>817.1</v>
      </c>
      <c r="D14" s="194">
        <f>'Weather Data'!C110</f>
        <v>0</v>
      </c>
      <c r="E14" s="194">
        <v>31</v>
      </c>
      <c r="F14" s="194">
        <v>0</v>
      </c>
      <c r="G14" s="184">
        <v>0</v>
      </c>
      <c r="H14" s="195">
        <v>43631</v>
      </c>
      <c r="I14" s="184">
        <v>112.68781302170287</v>
      </c>
      <c r="J14" s="194">
        <v>336.28800000000001</v>
      </c>
      <c r="K14" s="194"/>
      <c r="L14" s="194"/>
      <c r="M14" s="285"/>
    </row>
    <row r="15" spans="1:13" hidden="1">
      <c r="A15" s="183">
        <v>36526</v>
      </c>
      <c r="B15" s="284">
        <v>38014660.490000144</v>
      </c>
      <c r="C15" s="194">
        <f>'Weather Data'!B111</f>
        <v>963.5</v>
      </c>
      <c r="D15" s="194">
        <f>'Weather Data'!C111</f>
        <v>0</v>
      </c>
      <c r="E15" s="194">
        <v>31</v>
      </c>
      <c r="F15" s="194">
        <v>0</v>
      </c>
      <c r="G15" s="184">
        <v>0</v>
      </c>
      <c r="H15" s="195">
        <v>43530</v>
      </c>
      <c r="I15" s="184">
        <v>113.20550742744629</v>
      </c>
      <c r="J15" s="194">
        <v>319.92</v>
      </c>
      <c r="K15" s="194"/>
      <c r="L15" s="194"/>
      <c r="M15" s="285"/>
    </row>
    <row r="16" spans="1:13" hidden="1">
      <c r="A16" s="183">
        <v>36557</v>
      </c>
      <c r="B16" s="284">
        <v>32921590.989999924</v>
      </c>
      <c r="C16" s="194">
        <f>'Weather Data'!B112</f>
        <v>711.5</v>
      </c>
      <c r="D16" s="194">
        <f>'Weather Data'!C112</f>
        <v>0</v>
      </c>
      <c r="E16" s="194">
        <v>29</v>
      </c>
      <c r="F16" s="194">
        <v>0</v>
      </c>
      <c r="G16" s="184">
        <v>0</v>
      </c>
      <c r="H16" s="195">
        <v>43558</v>
      </c>
      <c r="I16" s="184">
        <v>113.72558015157706</v>
      </c>
      <c r="J16" s="194">
        <v>336.16799999999995</v>
      </c>
      <c r="K16" s="194"/>
      <c r="L16" s="194"/>
      <c r="M16" s="285"/>
    </row>
    <row r="17" spans="1:13" hidden="1">
      <c r="A17" s="183">
        <v>36586</v>
      </c>
      <c r="B17" s="284">
        <v>31183992.070000343</v>
      </c>
      <c r="C17" s="194">
        <f>'Weather Data'!B113</f>
        <v>574.6</v>
      </c>
      <c r="D17" s="194">
        <f>'Weather Data'!C113</f>
        <v>0</v>
      </c>
      <c r="E17" s="194">
        <v>31</v>
      </c>
      <c r="F17" s="194">
        <v>1</v>
      </c>
      <c r="G17" s="184">
        <v>0</v>
      </c>
      <c r="H17" s="195">
        <v>43618</v>
      </c>
      <c r="I17" s="184">
        <v>114.24804212022897</v>
      </c>
      <c r="J17" s="194">
        <v>368.28</v>
      </c>
      <c r="K17" s="194"/>
      <c r="L17" s="194"/>
      <c r="M17" s="285"/>
    </row>
    <row r="18" spans="1:13" ht="15" hidden="1" customHeight="1">
      <c r="A18" s="183">
        <v>36617</v>
      </c>
      <c r="B18" s="284">
        <v>27040375.419999946</v>
      </c>
      <c r="C18" s="194">
        <f>'Weather Data'!B114</f>
        <v>485.6</v>
      </c>
      <c r="D18" s="194">
        <f>'Weather Data'!C114</f>
        <v>0</v>
      </c>
      <c r="E18" s="194">
        <v>30</v>
      </c>
      <c r="F18" s="194">
        <v>1</v>
      </c>
      <c r="G18" s="184">
        <v>0</v>
      </c>
      <c r="H18" s="195">
        <v>43673</v>
      </c>
      <c r="I18" s="184">
        <v>114.77290430973115</v>
      </c>
      <c r="J18" s="194">
        <v>303.83999999999997</v>
      </c>
      <c r="K18" s="194"/>
      <c r="L18" s="194"/>
      <c r="M18" s="285"/>
    </row>
    <row r="19" spans="1:13" hidden="1">
      <c r="A19" s="183">
        <v>36647</v>
      </c>
      <c r="B19" s="284">
        <v>25265965.369999997</v>
      </c>
      <c r="C19" s="194">
        <f>'Weather Data'!B115</f>
        <v>260.5</v>
      </c>
      <c r="D19" s="194">
        <f>'Weather Data'!C115</f>
        <v>0</v>
      </c>
      <c r="E19" s="194">
        <v>31</v>
      </c>
      <c r="F19" s="194">
        <v>1</v>
      </c>
      <c r="G19" s="184">
        <v>0</v>
      </c>
      <c r="H19" s="195">
        <v>43755</v>
      </c>
      <c r="I19" s="184">
        <v>115.30017774683859</v>
      </c>
      <c r="J19" s="194">
        <v>351.91199999999998</v>
      </c>
      <c r="K19" s="194"/>
      <c r="L19" s="194"/>
      <c r="M19" s="285"/>
    </row>
    <row r="20" spans="1:13" hidden="1">
      <c r="A20" s="183">
        <v>36678</v>
      </c>
      <c r="B20" s="284">
        <v>23296606.519999966</v>
      </c>
      <c r="C20" s="194">
        <f>'Weather Data'!B116</f>
        <v>155.69999999999999</v>
      </c>
      <c r="D20" s="194">
        <f>'Weather Data'!C116</f>
        <v>2.2999999999999998</v>
      </c>
      <c r="E20" s="194">
        <v>30</v>
      </c>
      <c r="F20" s="194">
        <v>0</v>
      </c>
      <c r="G20" s="184">
        <v>0</v>
      </c>
      <c r="H20" s="195">
        <v>43676</v>
      </c>
      <c r="I20" s="184">
        <v>115.82987350896386</v>
      </c>
      <c r="J20" s="194">
        <v>352.08</v>
      </c>
      <c r="K20" s="194"/>
      <c r="L20" s="194"/>
      <c r="M20" s="285"/>
    </row>
    <row r="21" spans="1:13" hidden="1">
      <c r="A21" s="183">
        <v>36708</v>
      </c>
      <c r="B21" s="284">
        <v>23900944.639999881</v>
      </c>
      <c r="C21" s="194">
        <f>'Weather Data'!B117</f>
        <v>55.7</v>
      </c>
      <c r="D21" s="194">
        <f>'Weather Data'!C117</f>
        <v>20.8</v>
      </c>
      <c r="E21" s="194">
        <v>31</v>
      </c>
      <c r="F21" s="194">
        <v>0</v>
      </c>
      <c r="G21" s="184">
        <v>0</v>
      </c>
      <c r="H21" s="195">
        <v>43539</v>
      </c>
      <c r="I21" s="184">
        <v>116.36200272440982</v>
      </c>
      <c r="J21" s="194">
        <v>319.92</v>
      </c>
      <c r="K21" s="194"/>
      <c r="L21" s="194"/>
      <c r="M21" s="285"/>
    </row>
    <row r="22" spans="1:13" hidden="1">
      <c r="A22" s="183">
        <v>36739</v>
      </c>
      <c r="B22" s="284">
        <v>24355354.600000039</v>
      </c>
      <c r="C22" s="194">
        <f>'Weather Data'!B118</f>
        <v>63.4</v>
      </c>
      <c r="D22" s="194">
        <f>'Weather Data'!C118</f>
        <v>9.8000000000000007</v>
      </c>
      <c r="E22" s="194">
        <v>31</v>
      </c>
      <c r="F22" s="194">
        <v>0</v>
      </c>
      <c r="G22" s="184">
        <v>0</v>
      </c>
      <c r="H22" s="195">
        <v>43738</v>
      </c>
      <c r="I22" s="184">
        <v>116.89657657260338</v>
      </c>
      <c r="J22" s="194">
        <v>351.91199999999998</v>
      </c>
      <c r="K22" s="194"/>
      <c r="L22" s="194"/>
      <c r="M22" s="285"/>
    </row>
    <row r="23" spans="1:13" hidden="1">
      <c r="A23" s="183">
        <v>36770</v>
      </c>
      <c r="B23" s="284">
        <v>24440428.159999877</v>
      </c>
      <c r="C23" s="194">
        <f>'Weather Data'!B119</f>
        <v>223.3</v>
      </c>
      <c r="D23" s="194">
        <f>'Weather Data'!C119</f>
        <v>0</v>
      </c>
      <c r="E23" s="194">
        <v>30</v>
      </c>
      <c r="F23" s="194">
        <v>1</v>
      </c>
      <c r="G23" s="184">
        <v>0</v>
      </c>
      <c r="H23" s="195">
        <v>44000</v>
      </c>
      <c r="I23" s="184">
        <v>117.43360628433041</v>
      </c>
      <c r="J23" s="194">
        <v>319.68</v>
      </c>
      <c r="K23" s="194"/>
      <c r="L23" s="194"/>
      <c r="M23" s="285"/>
    </row>
    <row r="24" spans="1:13" hidden="1">
      <c r="A24" s="183">
        <v>36800</v>
      </c>
      <c r="B24" s="284">
        <v>27797989.669999942</v>
      </c>
      <c r="C24" s="194">
        <f>'Weather Data'!B120</f>
        <v>372.2</v>
      </c>
      <c r="D24" s="194">
        <f>'Weather Data'!C120</f>
        <v>0</v>
      </c>
      <c r="E24" s="194">
        <v>31</v>
      </c>
      <c r="F24" s="194">
        <v>1</v>
      </c>
      <c r="G24" s="184">
        <v>0</v>
      </c>
      <c r="H24" s="195">
        <v>43746</v>
      </c>
      <c r="I24" s="184">
        <v>117.97310314197166</v>
      </c>
      <c r="J24" s="194">
        <v>336.28800000000001</v>
      </c>
      <c r="K24" s="194"/>
      <c r="L24" s="194"/>
      <c r="M24" s="285"/>
    </row>
    <row r="25" spans="1:13" hidden="1">
      <c r="A25" s="183">
        <v>36831</v>
      </c>
      <c r="B25" s="284">
        <v>31881933.449999981</v>
      </c>
      <c r="C25" s="194">
        <f>'Weather Data'!B121</f>
        <v>561.6</v>
      </c>
      <c r="D25" s="194">
        <f>'Weather Data'!C121</f>
        <v>0</v>
      </c>
      <c r="E25" s="194">
        <v>30</v>
      </c>
      <c r="F25" s="194">
        <v>1</v>
      </c>
      <c r="G25" s="184">
        <v>0</v>
      </c>
      <c r="H25" s="195">
        <v>43748</v>
      </c>
      <c r="I25" s="184">
        <v>118.51507847973981</v>
      </c>
      <c r="J25" s="194">
        <v>352.08</v>
      </c>
      <c r="K25" s="194"/>
      <c r="L25" s="194"/>
      <c r="M25" s="285"/>
    </row>
    <row r="26" spans="1:13" hidden="1">
      <c r="A26" s="183">
        <v>36861</v>
      </c>
      <c r="B26" s="284">
        <v>37787462.930000082</v>
      </c>
      <c r="C26" s="194">
        <f>'Weather Data'!B122</f>
        <v>1041.3</v>
      </c>
      <c r="D26" s="194">
        <f>'Weather Data'!C122</f>
        <v>0</v>
      </c>
      <c r="E26" s="194">
        <v>31</v>
      </c>
      <c r="F26" s="194">
        <v>0</v>
      </c>
      <c r="G26" s="184">
        <v>0</v>
      </c>
      <c r="H26" s="195">
        <v>43752</v>
      </c>
      <c r="I26" s="184">
        <v>119.05954368391765</v>
      </c>
      <c r="J26" s="194">
        <v>304.29599999999999</v>
      </c>
      <c r="K26" s="194"/>
      <c r="L26" s="194"/>
      <c r="M26" s="285"/>
    </row>
    <row r="27" spans="1:13" hidden="1">
      <c r="A27" s="183">
        <v>36892</v>
      </c>
      <c r="B27" s="284">
        <v>38555412.55000025</v>
      </c>
      <c r="C27" s="194">
        <f>'Weather Data'!B123</f>
        <v>898.8</v>
      </c>
      <c r="D27" s="194">
        <f>'Weather Data'!C123</f>
        <v>0</v>
      </c>
      <c r="E27" s="194">
        <v>31</v>
      </c>
      <c r="F27" s="194">
        <v>0</v>
      </c>
      <c r="G27" s="184">
        <v>0</v>
      </c>
      <c r="H27" s="195">
        <v>43644</v>
      </c>
      <c r="I27" s="184">
        <v>119.23206305749976</v>
      </c>
      <c r="J27" s="194">
        <v>351.91199999999998</v>
      </c>
      <c r="K27" s="194"/>
      <c r="L27" s="194"/>
      <c r="M27" s="285"/>
    </row>
    <row r="28" spans="1:13" hidden="1">
      <c r="A28" s="183">
        <v>36925</v>
      </c>
      <c r="B28" s="284">
        <v>32616109.059999909</v>
      </c>
      <c r="C28" s="194">
        <f>'Weather Data'!B124</f>
        <v>918.9</v>
      </c>
      <c r="D28" s="194">
        <f>'Weather Data'!C124</f>
        <v>0</v>
      </c>
      <c r="E28" s="194">
        <v>28</v>
      </c>
      <c r="F28" s="194">
        <v>0</v>
      </c>
      <c r="G28" s="184">
        <v>0</v>
      </c>
      <c r="H28" s="195">
        <v>43682</v>
      </c>
      <c r="I28" s="184">
        <v>119.40483241468957</v>
      </c>
      <c r="J28" s="194">
        <v>319.87200000000001</v>
      </c>
      <c r="K28" s="194"/>
      <c r="L28" s="194"/>
      <c r="M28" s="285"/>
    </row>
    <row r="29" spans="1:13" hidden="1">
      <c r="A29" s="183">
        <v>36958</v>
      </c>
      <c r="B29" s="284">
        <v>32556214.300000075</v>
      </c>
      <c r="C29" s="194">
        <f>'Weather Data'!B125</f>
        <v>702.7</v>
      </c>
      <c r="D29" s="194">
        <f>'Weather Data'!C125</f>
        <v>0</v>
      </c>
      <c r="E29" s="194">
        <v>31</v>
      </c>
      <c r="F29" s="194">
        <v>1</v>
      </c>
      <c r="G29" s="184">
        <v>0</v>
      </c>
      <c r="H29" s="195">
        <v>43727</v>
      </c>
      <c r="I29" s="184">
        <v>119.57785211771773</v>
      </c>
      <c r="J29" s="194">
        <v>351.91199999999998</v>
      </c>
      <c r="K29" s="194"/>
      <c r="L29" s="194"/>
      <c r="M29" s="285"/>
    </row>
    <row r="30" spans="1:13" hidden="1">
      <c r="A30" s="183">
        <v>36991</v>
      </c>
      <c r="B30" s="284">
        <v>28157361.650000103</v>
      </c>
      <c r="C30" s="194">
        <f>'Weather Data'!B126</f>
        <v>430.7</v>
      </c>
      <c r="D30" s="194">
        <f>'Weather Data'!C126</f>
        <v>0</v>
      </c>
      <c r="E30" s="194">
        <v>30</v>
      </c>
      <c r="F30" s="194">
        <v>1</v>
      </c>
      <c r="G30" s="184">
        <v>0</v>
      </c>
      <c r="H30" s="195">
        <v>43680</v>
      </c>
      <c r="I30" s="184">
        <v>119.75112252933975</v>
      </c>
      <c r="J30" s="194">
        <v>319.68</v>
      </c>
      <c r="K30" s="194"/>
      <c r="L30" s="194"/>
      <c r="M30" s="285"/>
    </row>
    <row r="31" spans="1:13" hidden="1">
      <c r="A31" s="183">
        <v>37024</v>
      </c>
      <c r="B31" s="284">
        <v>25958482.530000001</v>
      </c>
      <c r="C31" s="194">
        <f>'Weather Data'!B127</f>
        <v>239.9</v>
      </c>
      <c r="D31" s="194">
        <f>'Weather Data'!C127</f>
        <v>0</v>
      </c>
      <c r="E31" s="194">
        <v>31</v>
      </c>
      <c r="F31" s="194">
        <v>1</v>
      </c>
      <c r="G31" s="184">
        <v>0</v>
      </c>
      <c r="H31" s="195">
        <v>43789</v>
      </c>
      <c r="I31" s="184">
        <v>119.92464401283681</v>
      </c>
      <c r="J31" s="194">
        <v>351.91199999999998</v>
      </c>
      <c r="K31" s="194"/>
      <c r="L31" s="194"/>
      <c r="M31" s="285"/>
    </row>
    <row r="32" spans="1:13" hidden="1">
      <c r="A32" s="183">
        <v>37057</v>
      </c>
      <c r="B32" s="284">
        <v>23827610.500000045</v>
      </c>
      <c r="C32" s="194">
        <f>'Weather Data'!B128</f>
        <v>114</v>
      </c>
      <c r="D32" s="194">
        <f>'Weather Data'!C128</f>
        <v>15.2</v>
      </c>
      <c r="E32" s="194">
        <v>30</v>
      </c>
      <c r="F32" s="194">
        <v>0</v>
      </c>
      <c r="G32" s="184">
        <v>0</v>
      </c>
      <c r="H32" s="195">
        <v>43875</v>
      </c>
      <c r="I32" s="184">
        <v>120.09841693201646</v>
      </c>
      <c r="J32" s="194">
        <v>336.24</v>
      </c>
      <c r="K32" s="194"/>
      <c r="L32" s="194"/>
      <c r="M32" s="285"/>
    </row>
    <row r="33" spans="1:13" hidden="1">
      <c r="A33" s="183">
        <v>37090</v>
      </c>
      <c r="B33" s="284">
        <v>24764452.77000007</v>
      </c>
      <c r="C33" s="194">
        <f>'Weather Data'!B129</f>
        <v>67.2</v>
      </c>
      <c r="D33" s="194">
        <f>'Weather Data'!C129</f>
        <v>29.7</v>
      </c>
      <c r="E33" s="194">
        <v>31</v>
      </c>
      <c r="F33" s="194">
        <v>0</v>
      </c>
      <c r="G33" s="184">
        <v>0</v>
      </c>
      <c r="H33" s="195">
        <v>43688</v>
      </c>
      <c r="I33" s="184">
        <v>120.27244165121344</v>
      </c>
      <c r="J33" s="194">
        <v>336.28800000000001</v>
      </c>
      <c r="K33" s="194"/>
      <c r="L33" s="194"/>
      <c r="M33" s="285"/>
    </row>
    <row r="34" spans="1:13" hidden="1">
      <c r="A34" s="183">
        <v>37123</v>
      </c>
      <c r="B34" s="284">
        <v>25255805.320000075</v>
      </c>
      <c r="C34" s="194">
        <f>'Weather Data'!B130</f>
        <v>40.200000000000003</v>
      </c>
      <c r="D34" s="194">
        <f>'Weather Data'!C130</f>
        <v>56.1</v>
      </c>
      <c r="E34" s="194">
        <v>31</v>
      </c>
      <c r="F34" s="194">
        <v>0</v>
      </c>
      <c r="G34" s="184">
        <v>0</v>
      </c>
      <c r="H34" s="195">
        <v>43795</v>
      </c>
      <c r="I34" s="184">
        <v>120.4467185352904</v>
      </c>
      <c r="J34" s="194">
        <v>351.91199999999998</v>
      </c>
      <c r="K34" s="194"/>
      <c r="L34" s="194"/>
      <c r="M34" s="285"/>
    </row>
    <row r="35" spans="1:13" hidden="1">
      <c r="A35" s="183">
        <v>37156</v>
      </c>
      <c r="B35" s="284">
        <v>24913988.220000021</v>
      </c>
      <c r="C35" s="194">
        <f>'Weather Data'!B131</f>
        <v>187.7</v>
      </c>
      <c r="D35" s="194">
        <f>'Weather Data'!C131</f>
        <v>6.8</v>
      </c>
      <c r="E35" s="194">
        <v>30</v>
      </c>
      <c r="F35" s="194">
        <v>1</v>
      </c>
      <c r="G35" s="184">
        <v>0</v>
      </c>
      <c r="H35" s="195">
        <v>43882</v>
      </c>
      <c r="I35" s="184">
        <v>120.62124794963869</v>
      </c>
      <c r="J35" s="194">
        <v>303.83999999999997</v>
      </c>
      <c r="K35" s="194"/>
      <c r="L35" s="194"/>
      <c r="M35" s="285"/>
    </row>
    <row r="36" spans="1:13" hidden="1">
      <c r="A36" s="183">
        <v>37189</v>
      </c>
      <c r="B36" s="284">
        <v>27835723.390000269</v>
      </c>
      <c r="C36" s="194">
        <f>'Weather Data'!B132</f>
        <v>408.6</v>
      </c>
      <c r="D36" s="194">
        <f>'Weather Data'!C132</f>
        <v>0</v>
      </c>
      <c r="E36" s="194">
        <v>31</v>
      </c>
      <c r="F36" s="194">
        <v>1</v>
      </c>
      <c r="G36" s="184">
        <v>0</v>
      </c>
      <c r="H36" s="195">
        <v>43898</v>
      </c>
      <c r="I36" s="184">
        <v>120.79603026017911</v>
      </c>
      <c r="J36" s="194">
        <v>351.91199999999998</v>
      </c>
      <c r="K36" s="194"/>
      <c r="L36" s="194"/>
      <c r="M36" s="285"/>
    </row>
    <row r="37" spans="1:13" hidden="1">
      <c r="A37" s="183">
        <v>37222</v>
      </c>
      <c r="B37" s="284">
        <v>30318950.679999791</v>
      </c>
      <c r="C37" s="194">
        <f>'Weather Data'!B133</f>
        <v>458.8</v>
      </c>
      <c r="D37" s="194">
        <f>'Weather Data'!C133</f>
        <v>0</v>
      </c>
      <c r="E37" s="194">
        <v>30</v>
      </c>
      <c r="F37" s="194">
        <v>1</v>
      </c>
      <c r="G37" s="184">
        <v>0</v>
      </c>
      <c r="H37" s="195">
        <v>43908</v>
      </c>
      <c r="I37" s="184">
        <v>120.9710658333627</v>
      </c>
      <c r="J37" s="194">
        <v>352.08</v>
      </c>
      <c r="K37" s="194"/>
      <c r="L37" s="194"/>
      <c r="M37" s="285"/>
    </row>
    <row r="38" spans="1:13" hidden="1">
      <c r="A38" s="183">
        <v>37255</v>
      </c>
      <c r="B38" s="284">
        <v>35374340.480000086</v>
      </c>
      <c r="C38" s="194">
        <f>'Weather Data'!B134</f>
        <v>716.4</v>
      </c>
      <c r="D38" s="194">
        <f>'Weather Data'!C134</f>
        <v>0</v>
      </c>
      <c r="E38" s="194">
        <v>31</v>
      </c>
      <c r="F38" s="194">
        <v>0</v>
      </c>
      <c r="G38" s="184">
        <v>0</v>
      </c>
      <c r="H38" s="195">
        <v>43793</v>
      </c>
      <c r="I38" s="184">
        <v>121.1463550361714</v>
      </c>
      <c r="J38" s="194">
        <v>304.29599999999999</v>
      </c>
      <c r="K38" s="194"/>
      <c r="L38" s="194"/>
      <c r="M38" s="285"/>
    </row>
    <row r="39" spans="1:13" hidden="1">
      <c r="A39" s="186">
        <v>37275</v>
      </c>
      <c r="B39" s="284">
        <v>36712335.590000197</v>
      </c>
      <c r="C39" s="194">
        <f>'Weather Data'!B135</f>
        <v>873.9</v>
      </c>
      <c r="D39" s="194">
        <f>'Weather Data'!C135</f>
        <v>0</v>
      </c>
      <c r="E39" s="194">
        <v>31</v>
      </c>
      <c r="F39" s="194">
        <v>0</v>
      </c>
      <c r="G39" s="184">
        <v>0</v>
      </c>
      <c r="H39" s="195">
        <v>43791</v>
      </c>
      <c r="I39" s="184">
        <v>121.50450639216388</v>
      </c>
      <c r="J39" s="194">
        <v>351.91199999999998</v>
      </c>
      <c r="K39" s="194"/>
      <c r="L39" s="194"/>
      <c r="M39" s="285"/>
    </row>
    <row r="40" spans="1:13" hidden="1">
      <c r="A40" s="183">
        <v>37308</v>
      </c>
      <c r="B40" s="284">
        <v>32266195.500000108</v>
      </c>
      <c r="C40" s="194">
        <f>'Weather Data'!B136</f>
        <v>733</v>
      </c>
      <c r="D40" s="194">
        <f>'Weather Data'!C136</f>
        <v>0</v>
      </c>
      <c r="E40" s="194">
        <v>28</v>
      </c>
      <c r="F40" s="194">
        <v>0</v>
      </c>
      <c r="G40" s="184">
        <v>0</v>
      </c>
      <c r="H40" s="195">
        <v>43785</v>
      </c>
      <c r="I40" s="184">
        <v>121.86371656989111</v>
      </c>
      <c r="J40" s="194">
        <v>319.87200000000001</v>
      </c>
      <c r="K40" s="194"/>
      <c r="L40" s="194"/>
      <c r="M40" s="285"/>
    </row>
    <row r="41" spans="1:13" hidden="1">
      <c r="A41" s="183">
        <v>37341</v>
      </c>
      <c r="B41" s="284">
        <v>33150979.240000058</v>
      </c>
      <c r="C41" s="194">
        <f>'Weather Data'!B137</f>
        <v>804.7</v>
      </c>
      <c r="D41" s="194">
        <f>'Weather Data'!C137</f>
        <v>0</v>
      </c>
      <c r="E41" s="194">
        <v>31</v>
      </c>
      <c r="F41" s="194">
        <v>1</v>
      </c>
      <c r="G41" s="184">
        <v>0</v>
      </c>
      <c r="H41" s="195">
        <v>43856</v>
      </c>
      <c r="I41" s="184">
        <v>122.22398869960362</v>
      </c>
      <c r="J41" s="194">
        <v>319.92</v>
      </c>
      <c r="K41" s="194"/>
      <c r="L41" s="194"/>
      <c r="M41" s="285"/>
    </row>
    <row r="42" spans="1:13" hidden="1">
      <c r="A42" s="183">
        <v>37374</v>
      </c>
      <c r="B42" s="284">
        <v>28627065.020000082</v>
      </c>
      <c r="C42" s="194">
        <f>'Weather Data'!B138</f>
        <v>462.3</v>
      </c>
      <c r="D42" s="194">
        <f>'Weather Data'!C138</f>
        <v>0</v>
      </c>
      <c r="E42" s="194">
        <v>30</v>
      </c>
      <c r="F42" s="194">
        <v>1</v>
      </c>
      <c r="G42" s="184">
        <v>0</v>
      </c>
      <c r="H42" s="195">
        <v>43869</v>
      </c>
      <c r="I42" s="184">
        <v>122.58532592080604</v>
      </c>
      <c r="J42" s="194">
        <v>352.08</v>
      </c>
      <c r="K42" s="194"/>
      <c r="L42" s="194"/>
      <c r="M42" s="285"/>
    </row>
    <row r="43" spans="1:13" hidden="1">
      <c r="A43" s="183">
        <v>37407</v>
      </c>
      <c r="B43" s="284">
        <v>26571396.520000149</v>
      </c>
      <c r="C43" s="194">
        <f>'Weather Data'!B139</f>
        <v>335</v>
      </c>
      <c r="D43" s="194">
        <f>'Weather Data'!C139</f>
        <v>0.5</v>
      </c>
      <c r="E43" s="194">
        <v>31</v>
      </c>
      <c r="F43" s="194">
        <v>1</v>
      </c>
      <c r="G43" s="184">
        <v>0</v>
      </c>
      <c r="H43" s="195">
        <v>43842</v>
      </c>
      <c r="I43" s="184">
        <v>122.9477313822845</v>
      </c>
      <c r="J43" s="194">
        <v>351.91199999999998</v>
      </c>
      <c r="K43" s="194"/>
      <c r="L43" s="194"/>
      <c r="M43" s="285"/>
    </row>
    <row r="44" spans="1:13" hidden="1">
      <c r="A44" s="183">
        <v>37408</v>
      </c>
      <c r="B44" s="284">
        <v>24748365.239999816</v>
      </c>
      <c r="C44" s="194">
        <f>'Weather Data'!B140</f>
        <v>114.4</v>
      </c>
      <c r="D44" s="194">
        <f>'Weather Data'!C140</f>
        <v>14.2</v>
      </c>
      <c r="E44" s="194">
        <v>30</v>
      </c>
      <c r="F44" s="194">
        <v>0</v>
      </c>
      <c r="G44" s="184">
        <v>0</v>
      </c>
      <c r="H44" s="195">
        <v>43856</v>
      </c>
      <c r="I44" s="184">
        <v>123.31120824213403</v>
      </c>
      <c r="J44" s="194">
        <v>319.68</v>
      </c>
      <c r="K44" s="194"/>
      <c r="L44" s="194"/>
      <c r="M44" s="285"/>
    </row>
    <row r="45" spans="1:13" hidden="1">
      <c r="A45" s="183">
        <v>37440</v>
      </c>
      <c r="B45" s="284">
        <v>25888517.460000087</v>
      </c>
      <c r="C45" s="194">
        <f>'Weather Data'!B141</f>
        <v>17.899999999999999</v>
      </c>
      <c r="D45" s="194">
        <f>'Weather Data'!C141</f>
        <v>79.3</v>
      </c>
      <c r="E45" s="194">
        <v>31</v>
      </c>
      <c r="F45" s="194">
        <v>0</v>
      </c>
      <c r="G45" s="184">
        <v>0</v>
      </c>
      <c r="H45" s="195">
        <v>43816</v>
      </c>
      <c r="I45" s="184">
        <v>123.67575966778612</v>
      </c>
      <c r="J45" s="194">
        <v>351.91199999999998</v>
      </c>
      <c r="K45" s="194"/>
      <c r="L45" s="194"/>
      <c r="M45" s="285"/>
    </row>
    <row r="46" spans="1:13" hidden="1">
      <c r="A46" s="183">
        <v>37473</v>
      </c>
      <c r="B46" s="284">
        <v>26199143.039999906</v>
      </c>
      <c r="C46" s="194">
        <f>'Weather Data'!B142</f>
        <v>49.7</v>
      </c>
      <c r="D46" s="194">
        <f>'Weather Data'!C142</f>
        <v>15.5</v>
      </c>
      <c r="E46" s="194">
        <v>31</v>
      </c>
      <c r="F46" s="194">
        <v>0</v>
      </c>
      <c r="G46" s="184">
        <v>0</v>
      </c>
      <c r="H46" s="195">
        <v>44159</v>
      </c>
      <c r="I46" s="184">
        <v>124.04138883603632</v>
      </c>
      <c r="J46" s="194">
        <v>336.28800000000001</v>
      </c>
      <c r="K46" s="194"/>
      <c r="L46" s="194"/>
      <c r="M46" s="285"/>
    </row>
    <row r="47" spans="1:13" hidden="1">
      <c r="A47" s="183">
        <v>37506</v>
      </c>
      <c r="B47" s="284">
        <v>25956181.139999911</v>
      </c>
      <c r="C47" s="194">
        <f>'Weather Data'!B143</f>
        <v>143.5</v>
      </c>
      <c r="D47" s="194">
        <f>'Weather Data'!C143</f>
        <v>20.9</v>
      </c>
      <c r="E47" s="194">
        <v>30</v>
      </c>
      <c r="F47" s="194">
        <v>1</v>
      </c>
      <c r="G47" s="184">
        <v>0</v>
      </c>
      <c r="H47" s="195">
        <v>44035</v>
      </c>
      <c r="I47" s="184">
        <v>124.40809893307186</v>
      </c>
      <c r="J47" s="194">
        <v>319.68</v>
      </c>
      <c r="K47" s="194"/>
      <c r="L47" s="194"/>
      <c r="M47" s="285"/>
    </row>
    <row r="48" spans="1:13" hidden="1">
      <c r="A48" s="183">
        <v>37539</v>
      </c>
      <c r="B48" s="284">
        <v>29475965.61000016</v>
      </c>
      <c r="C48" s="194">
        <f>'Weather Data'!B144</f>
        <v>510.1</v>
      </c>
      <c r="D48" s="194">
        <f>'Weather Data'!C144</f>
        <v>0</v>
      </c>
      <c r="E48" s="194">
        <v>31</v>
      </c>
      <c r="F48" s="194">
        <v>1</v>
      </c>
      <c r="G48" s="184">
        <v>0</v>
      </c>
      <c r="H48" s="195">
        <v>43993</v>
      </c>
      <c r="I48" s="184">
        <v>124.7758931544995</v>
      </c>
      <c r="J48" s="194">
        <v>351.91199999999998</v>
      </c>
      <c r="K48" s="194"/>
      <c r="L48" s="194"/>
      <c r="M48" s="285"/>
    </row>
    <row r="49" spans="1:13" hidden="1">
      <c r="A49" s="183">
        <v>37572</v>
      </c>
      <c r="B49" s="284">
        <v>31967182.769999605</v>
      </c>
      <c r="C49" s="194">
        <f>'Weather Data'!B145</f>
        <v>668</v>
      </c>
      <c r="D49" s="194">
        <f>'Weather Data'!C145</f>
        <v>0</v>
      </c>
      <c r="E49" s="194">
        <v>30</v>
      </c>
      <c r="F49" s="194">
        <v>1</v>
      </c>
      <c r="G49" s="184">
        <v>0</v>
      </c>
      <c r="H49" s="195">
        <v>44123</v>
      </c>
      <c r="I49" s="184">
        <v>125.14477470537335</v>
      </c>
      <c r="J49" s="194">
        <v>336.24</v>
      </c>
      <c r="K49" s="194"/>
      <c r="L49" s="194"/>
      <c r="M49" s="285"/>
    </row>
    <row r="50" spans="1:13" hidden="1">
      <c r="A50" s="183">
        <v>37605</v>
      </c>
      <c r="B50" s="284">
        <v>36868027.479999997</v>
      </c>
      <c r="C50" s="194">
        <f>'Weather Data'!B146</f>
        <v>785.6</v>
      </c>
      <c r="D50" s="194">
        <f>'Weather Data'!C146</f>
        <v>0</v>
      </c>
      <c r="E50" s="184">
        <v>31</v>
      </c>
      <c r="F50" s="184">
        <v>0</v>
      </c>
      <c r="G50" s="184">
        <v>0</v>
      </c>
      <c r="H50" s="185">
        <v>43950</v>
      </c>
      <c r="I50" s="184">
        <v>125.51474680022261</v>
      </c>
      <c r="J50" s="194">
        <v>319.92</v>
      </c>
      <c r="K50" s="194"/>
      <c r="L50" s="194"/>
      <c r="M50" s="286"/>
    </row>
    <row r="51" spans="1:13" hidden="1">
      <c r="A51" s="183">
        <v>37622</v>
      </c>
      <c r="B51" s="284">
        <v>38700757.240000278</v>
      </c>
      <c r="C51" s="194">
        <f>'Weather Data'!B147</f>
        <v>907.4</v>
      </c>
      <c r="D51" s="194">
        <f>'Weather Data'!C147</f>
        <v>0</v>
      </c>
      <c r="E51" s="194">
        <v>31</v>
      </c>
      <c r="F51" s="194">
        <v>0</v>
      </c>
      <c r="G51" s="184">
        <v>0</v>
      </c>
      <c r="H51" s="195">
        <v>43905</v>
      </c>
      <c r="I51" s="184">
        <v>125.66024937363977</v>
      </c>
      <c r="J51" s="194">
        <v>351.91199999999998</v>
      </c>
      <c r="K51" s="194"/>
      <c r="L51" s="194"/>
      <c r="M51" s="285"/>
    </row>
    <row r="52" spans="1:13" hidden="1">
      <c r="A52" s="183">
        <v>37653</v>
      </c>
      <c r="B52" s="284">
        <v>34507023.20000001</v>
      </c>
      <c r="C52" s="194">
        <f>'Weather Data'!B148</f>
        <v>969.6</v>
      </c>
      <c r="D52" s="194">
        <f>'Weather Data'!C148</f>
        <v>0</v>
      </c>
      <c r="E52" s="194">
        <v>28</v>
      </c>
      <c r="F52" s="194">
        <v>0</v>
      </c>
      <c r="G52" s="184">
        <v>0</v>
      </c>
      <c r="H52" s="195">
        <v>43803</v>
      </c>
      <c r="I52" s="184">
        <v>125.80592062045517</v>
      </c>
      <c r="J52" s="194">
        <v>319.87200000000001</v>
      </c>
      <c r="K52" s="194"/>
      <c r="L52" s="194"/>
      <c r="M52" s="285"/>
    </row>
    <row r="53" spans="1:13" hidden="1">
      <c r="A53" s="183">
        <v>37681</v>
      </c>
      <c r="B53" s="284">
        <v>34325569.499999963</v>
      </c>
      <c r="C53" s="194">
        <f>'Weather Data'!B149</f>
        <v>765.1</v>
      </c>
      <c r="D53" s="194">
        <f>'Weather Data'!C149</f>
        <v>0</v>
      </c>
      <c r="E53" s="194">
        <v>31</v>
      </c>
      <c r="F53" s="194">
        <v>1</v>
      </c>
      <c r="G53" s="184">
        <v>0</v>
      </c>
      <c r="H53" s="195">
        <v>43839</v>
      </c>
      <c r="I53" s="184">
        <v>125.9517607362029</v>
      </c>
      <c r="J53" s="194">
        <v>336.28800000000001</v>
      </c>
      <c r="K53" s="194"/>
      <c r="L53" s="194"/>
      <c r="M53" s="285"/>
    </row>
    <row r="54" spans="1:13" hidden="1">
      <c r="A54" s="183">
        <v>37712</v>
      </c>
      <c r="B54" s="284">
        <v>28484611.509999972</v>
      </c>
      <c r="C54" s="194">
        <f>'Weather Data'!B150</f>
        <v>499.3</v>
      </c>
      <c r="D54" s="194">
        <f>'Weather Data'!C150</f>
        <v>0</v>
      </c>
      <c r="E54" s="194">
        <v>30</v>
      </c>
      <c r="F54" s="194">
        <v>1</v>
      </c>
      <c r="G54" s="184">
        <v>0</v>
      </c>
      <c r="H54" s="195">
        <v>43964</v>
      </c>
      <c r="I54" s="184">
        <v>126.09776991664374</v>
      </c>
      <c r="J54" s="194">
        <v>336.24</v>
      </c>
      <c r="K54" s="194"/>
      <c r="L54" s="194"/>
      <c r="M54" s="285"/>
    </row>
    <row r="55" spans="1:13" hidden="1">
      <c r="A55" s="183">
        <v>37742</v>
      </c>
      <c r="B55" s="284">
        <v>26044982.910000205</v>
      </c>
      <c r="C55" s="194">
        <f>'Weather Data'!B151</f>
        <v>276.39999999999998</v>
      </c>
      <c r="D55" s="194">
        <f>'Weather Data'!C151</f>
        <v>0</v>
      </c>
      <c r="E55" s="194">
        <v>31</v>
      </c>
      <c r="F55" s="194">
        <v>1</v>
      </c>
      <c r="G55" s="184">
        <v>0</v>
      </c>
      <c r="H55" s="195">
        <v>44218</v>
      </c>
      <c r="I55" s="184">
        <v>126.2439483577654</v>
      </c>
      <c r="J55" s="194">
        <v>336.28800000000001</v>
      </c>
      <c r="K55" s="194"/>
      <c r="L55" s="194"/>
      <c r="M55" s="285"/>
    </row>
    <row r="56" spans="1:13" hidden="1">
      <c r="A56" s="183">
        <v>37773</v>
      </c>
      <c r="B56" s="284">
        <v>24018303.7999999</v>
      </c>
      <c r="C56" s="194">
        <f>'Weather Data'!B152</f>
        <v>129.30000000000001</v>
      </c>
      <c r="D56" s="194">
        <f>'Weather Data'!C152</f>
        <v>0</v>
      </c>
      <c r="E56" s="194">
        <v>30</v>
      </c>
      <c r="F56" s="194">
        <v>0</v>
      </c>
      <c r="G56" s="184">
        <v>0</v>
      </c>
      <c r="H56" s="195">
        <v>43978</v>
      </c>
      <c r="I56" s="184">
        <v>126.3902962557828</v>
      </c>
      <c r="J56" s="194">
        <v>336.24</v>
      </c>
      <c r="K56" s="194"/>
      <c r="L56" s="194"/>
      <c r="M56" s="285"/>
    </row>
    <row r="57" spans="1:13" hidden="1">
      <c r="A57" s="183">
        <v>37803</v>
      </c>
      <c r="B57" s="284">
        <v>25420951.430000067</v>
      </c>
      <c r="C57" s="194">
        <f>'Weather Data'!B153</f>
        <v>29.9</v>
      </c>
      <c r="D57" s="194">
        <f>'Weather Data'!C153</f>
        <v>18.2</v>
      </c>
      <c r="E57" s="194">
        <v>31</v>
      </c>
      <c r="F57" s="194">
        <v>0</v>
      </c>
      <c r="G57" s="184">
        <v>0</v>
      </c>
      <c r="H57" s="195">
        <v>43908</v>
      </c>
      <c r="I57" s="184">
        <v>126.5368138071383</v>
      </c>
      <c r="J57" s="194">
        <v>351.91199999999998</v>
      </c>
      <c r="K57" s="194"/>
      <c r="L57" s="194"/>
      <c r="M57" s="285"/>
    </row>
    <row r="58" spans="1:13" hidden="1">
      <c r="A58" s="183">
        <v>37834</v>
      </c>
      <c r="B58" s="284">
        <v>26294357.740000248</v>
      </c>
      <c r="C58" s="194">
        <f>'Weather Data'!B154</f>
        <v>35.6</v>
      </c>
      <c r="D58" s="194">
        <f>'Weather Data'!C154</f>
        <v>50.9</v>
      </c>
      <c r="E58" s="194">
        <v>31</v>
      </c>
      <c r="F58" s="194">
        <v>0</v>
      </c>
      <c r="G58" s="184">
        <v>0</v>
      </c>
      <c r="H58" s="195">
        <v>44235</v>
      </c>
      <c r="I58" s="184">
        <v>126.68350120850199</v>
      </c>
      <c r="J58" s="194">
        <v>319.92</v>
      </c>
      <c r="K58" s="194"/>
      <c r="L58" s="194"/>
      <c r="M58" s="285"/>
    </row>
    <row r="59" spans="1:13" hidden="1">
      <c r="A59" s="183">
        <v>37865</v>
      </c>
      <c r="B59" s="284">
        <v>26006212.489999998</v>
      </c>
      <c r="C59" s="194">
        <f>'Weather Data'!B155</f>
        <v>164</v>
      </c>
      <c r="D59" s="194">
        <f>'Weather Data'!C155</f>
        <v>6.7</v>
      </c>
      <c r="E59" s="194">
        <v>30</v>
      </c>
      <c r="F59" s="194">
        <v>1</v>
      </c>
      <c r="G59" s="184">
        <v>0</v>
      </c>
      <c r="H59" s="195">
        <v>44236</v>
      </c>
      <c r="I59" s="184">
        <v>126.83035865677196</v>
      </c>
      <c r="J59" s="194">
        <v>336.24</v>
      </c>
      <c r="K59" s="194"/>
      <c r="L59" s="194"/>
      <c r="M59" s="285"/>
    </row>
    <row r="60" spans="1:13" hidden="1">
      <c r="A60" s="183">
        <v>37895</v>
      </c>
      <c r="B60" s="284">
        <v>29293413.960000347</v>
      </c>
      <c r="C60" s="194">
        <f>'Weather Data'!B156</f>
        <v>414.2</v>
      </c>
      <c r="D60" s="194">
        <f>'Weather Data'!C156</f>
        <v>0</v>
      </c>
      <c r="E60" s="194">
        <v>31</v>
      </c>
      <c r="F60" s="194">
        <v>1</v>
      </c>
      <c r="G60" s="184">
        <v>0</v>
      </c>
      <c r="H60" s="195">
        <v>44111</v>
      </c>
      <c r="I60" s="184">
        <v>126.97738634907456</v>
      </c>
      <c r="J60" s="194">
        <v>351.91199999999998</v>
      </c>
      <c r="K60" s="194"/>
      <c r="L60" s="194"/>
      <c r="M60" s="285"/>
    </row>
    <row r="61" spans="1:13" hidden="1">
      <c r="A61" s="183">
        <v>37926</v>
      </c>
      <c r="B61" s="284">
        <v>32018999.120000001</v>
      </c>
      <c r="C61" s="194">
        <f>'Weather Data'!B157</f>
        <v>632.9</v>
      </c>
      <c r="D61" s="194">
        <f>'Weather Data'!C157</f>
        <v>0</v>
      </c>
      <c r="E61" s="194">
        <v>30</v>
      </c>
      <c r="F61" s="194">
        <v>1</v>
      </c>
      <c r="G61" s="184">
        <v>0</v>
      </c>
      <c r="H61" s="195">
        <v>44114</v>
      </c>
      <c r="I61" s="184">
        <v>127.12458448276465</v>
      </c>
      <c r="J61" s="194">
        <v>319.68</v>
      </c>
      <c r="K61" s="194"/>
      <c r="L61" s="194"/>
      <c r="M61" s="285"/>
    </row>
    <row r="62" spans="1:13" hidden="1">
      <c r="A62" s="183">
        <v>37956</v>
      </c>
      <c r="B62" s="284">
        <v>36958308.960000031</v>
      </c>
      <c r="C62" s="194">
        <f>'Weather Data'!B158</f>
        <v>785.9</v>
      </c>
      <c r="D62" s="194">
        <f>'Weather Data'!C158</f>
        <v>0</v>
      </c>
      <c r="E62" s="194">
        <v>31</v>
      </c>
      <c r="F62" s="194">
        <v>0</v>
      </c>
      <c r="G62" s="184">
        <v>0</v>
      </c>
      <c r="H62" s="195">
        <v>44063</v>
      </c>
      <c r="I62" s="184">
        <v>127.27195325542573</v>
      </c>
      <c r="J62" s="194">
        <v>336.28800000000001</v>
      </c>
      <c r="K62" s="194"/>
      <c r="L62" s="194"/>
      <c r="M62" s="285"/>
    </row>
    <row r="63" spans="1:13" hidden="1">
      <c r="A63" s="183">
        <v>37987</v>
      </c>
      <c r="B63" s="284">
        <v>38668458.560000561</v>
      </c>
      <c r="C63" s="194">
        <f>'Weather Data'!B159</f>
        <v>1140.5999999999999</v>
      </c>
      <c r="D63" s="194">
        <f>'Weather Data'!C159</f>
        <v>0</v>
      </c>
      <c r="E63" s="194">
        <v>31</v>
      </c>
      <c r="F63" s="194">
        <v>0</v>
      </c>
      <c r="G63" s="184">
        <v>0</v>
      </c>
      <c r="H63" s="195">
        <v>44081</v>
      </c>
      <c r="I63" s="184">
        <v>127.53411264087498</v>
      </c>
      <c r="J63" s="194">
        <v>336.28800000000001</v>
      </c>
      <c r="K63" s="194"/>
      <c r="L63" s="194"/>
      <c r="M63" s="285"/>
    </row>
    <row r="64" spans="1:13" hidden="1">
      <c r="A64" s="183">
        <v>38018</v>
      </c>
      <c r="B64" s="284">
        <v>34331411.410000011</v>
      </c>
      <c r="C64" s="194">
        <f>'Weather Data'!B160</f>
        <v>778.3</v>
      </c>
      <c r="D64" s="194">
        <f>'Weather Data'!C160</f>
        <v>0</v>
      </c>
      <c r="E64" s="194">
        <v>29</v>
      </c>
      <c r="F64" s="194">
        <v>0</v>
      </c>
      <c r="G64" s="184">
        <v>0</v>
      </c>
      <c r="H64" s="195">
        <v>43971</v>
      </c>
      <c r="I64" s="184">
        <v>127.79681203173486</v>
      </c>
      <c r="J64" s="194">
        <v>320.16000000000003</v>
      </c>
      <c r="K64" s="194"/>
      <c r="L64" s="194"/>
      <c r="M64" s="285"/>
    </row>
    <row r="65" spans="1:47" hidden="1">
      <c r="A65" s="183">
        <v>38047</v>
      </c>
      <c r="B65" s="284">
        <v>32611182.190000217</v>
      </c>
      <c r="C65" s="194">
        <f>'Weather Data'!B161</f>
        <v>684.3</v>
      </c>
      <c r="D65" s="194">
        <f>'Weather Data'!C161</f>
        <v>0</v>
      </c>
      <c r="E65" s="194">
        <v>31</v>
      </c>
      <c r="F65" s="194">
        <v>1</v>
      </c>
      <c r="G65" s="184">
        <v>0</v>
      </c>
      <c r="H65" s="195">
        <v>44103</v>
      </c>
      <c r="I65" s="184">
        <v>128.06005254032812</v>
      </c>
      <c r="J65" s="194">
        <v>368.28</v>
      </c>
      <c r="K65" s="194"/>
      <c r="L65" s="194"/>
      <c r="M65" s="285"/>
    </row>
    <row r="66" spans="1:47" hidden="1">
      <c r="A66" s="183">
        <v>38078</v>
      </c>
      <c r="B66" s="284">
        <v>28276428.909999788</v>
      </c>
      <c r="C66" s="194">
        <f>'Weather Data'!B162</f>
        <v>472.4</v>
      </c>
      <c r="D66" s="194">
        <f>'Weather Data'!C162</f>
        <v>0</v>
      </c>
      <c r="E66" s="194">
        <v>30</v>
      </c>
      <c r="F66" s="194">
        <v>1</v>
      </c>
      <c r="G66" s="184">
        <v>0</v>
      </c>
      <c r="H66" s="195">
        <v>44019</v>
      </c>
      <c r="I66" s="184">
        <v>128.32383528126866</v>
      </c>
      <c r="J66" s="194">
        <v>336.24</v>
      </c>
      <c r="K66" s="194"/>
      <c r="L66" s="194"/>
      <c r="M66" s="285"/>
    </row>
    <row r="67" spans="1:47" hidden="1">
      <c r="A67" s="183">
        <v>38108</v>
      </c>
      <c r="B67" s="284">
        <v>26338968.129999977</v>
      </c>
      <c r="C67" s="194">
        <f>'Weather Data'!B163</f>
        <v>333.2</v>
      </c>
      <c r="D67" s="194">
        <f>'Weather Data'!C163</f>
        <v>0</v>
      </c>
      <c r="E67" s="194">
        <v>31</v>
      </c>
      <c r="F67" s="194">
        <v>1</v>
      </c>
      <c r="G67" s="184">
        <v>0</v>
      </c>
      <c r="H67" s="195">
        <v>44025</v>
      </c>
      <c r="I67" s="184">
        <v>128.58816137146633</v>
      </c>
      <c r="J67" s="194">
        <v>319.92</v>
      </c>
      <c r="K67" s="194"/>
      <c r="L67" s="194"/>
      <c r="M67" s="285"/>
    </row>
    <row r="68" spans="1:47" hidden="1">
      <c r="A68" s="183">
        <v>38139</v>
      </c>
      <c r="B68" s="284">
        <v>23894672.880000148</v>
      </c>
      <c r="C68" s="194">
        <f>'Weather Data'!B164</f>
        <v>145.80000000000001</v>
      </c>
      <c r="D68" s="194">
        <f>'Weather Data'!C164</f>
        <v>3.1</v>
      </c>
      <c r="E68" s="194">
        <v>30</v>
      </c>
      <c r="F68" s="194">
        <v>0</v>
      </c>
      <c r="G68" s="184">
        <v>0</v>
      </c>
      <c r="H68" s="195">
        <v>44110</v>
      </c>
      <c r="I68" s="184">
        <v>128.85303193013166</v>
      </c>
      <c r="J68" s="194">
        <v>352.08</v>
      </c>
      <c r="K68" s="194"/>
      <c r="L68" s="194"/>
      <c r="M68" s="285"/>
    </row>
    <row r="69" spans="1:47" hidden="1">
      <c r="A69" s="183">
        <v>38169</v>
      </c>
      <c r="B69" s="284">
        <v>24543277.730000049</v>
      </c>
      <c r="C69" s="194">
        <f>'Weather Data'!B165</f>
        <v>67.400000000000006</v>
      </c>
      <c r="D69" s="194">
        <f>'Weather Data'!C165</f>
        <v>22</v>
      </c>
      <c r="E69" s="194">
        <v>31</v>
      </c>
      <c r="F69" s="194">
        <v>0</v>
      </c>
      <c r="G69" s="184">
        <v>0</v>
      </c>
      <c r="H69" s="195">
        <v>44256</v>
      </c>
      <c r="I69" s="184">
        <v>129.11844807878055</v>
      </c>
      <c r="J69" s="194">
        <v>336.28800000000001</v>
      </c>
      <c r="K69" s="194"/>
      <c r="L69" s="194"/>
      <c r="M69" s="285"/>
    </row>
    <row r="70" spans="1:47" hidden="1">
      <c r="A70" s="183">
        <v>38200</v>
      </c>
      <c r="B70" s="284">
        <v>25024173.030000053</v>
      </c>
      <c r="C70" s="194">
        <f>'Weather Data'!B166</f>
        <v>123</v>
      </c>
      <c r="D70" s="194">
        <f>'Weather Data'!C166</f>
        <v>1.8</v>
      </c>
      <c r="E70" s="194">
        <v>31</v>
      </c>
      <c r="F70" s="194">
        <v>0</v>
      </c>
      <c r="G70" s="184">
        <v>0</v>
      </c>
      <c r="H70" s="195">
        <v>44126</v>
      </c>
      <c r="I70" s="184">
        <v>129.38441094123903</v>
      </c>
      <c r="J70" s="194">
        <v>336.28800000000001</v>
      </c>
      <c r="K70" s="194"/>
      <c r="L70" s="194"/>
      <c r="M70" s="285"/>
    </row>
    <row r="71" spans="1:47" hidden="1">
      <c r="A71" s="183">
        <v>38231</v>
      </c>
      <c r="B71" s="284">
        <v>25064194.599999979</v>
      </c>
      <c r="C71" s="194">
        <f>'Weather Data'!B167</f>
        <v>132.9</v>
      </c>
      <c r="D71" s="194">
        <f>'Weather Data'!C167</f>
        <v>4.7</v>
      </c>
      <c r="E71" s="194">
        <v>30</v>
      </c>
      <c r="F71" s="194">
        <v>1</v>
      </c>
      <c r="G71" s="184">
        <v>0</v>
      </c>
      <c r="H71" s="195">
        <v>44294</v>
      </c>
      <c r="I71" s="184">
        <v>129.65092164364802</v>
      </c>
      <c r="J71" s="194">
        <v>336.24</v>
      </c>
      <c r="K71" s="194"/>
      <c r="L71" s="194"/>
      <c r="M71" s="285"/>
    </row>
    <row r="72" spans="1:47" hidden="1">
      <c r="A72" s="183">
        <v>38261</v>
      </c>
      <c r="B72" s="284">
        <v>28414629.599999845</v>
      </c>
      <c r="C72" s="194">
        <f>'Weather Data'!B168</f>
        <v>372.7</v>
      </c>
      <c r="D72" s="194">
        <f>'Weather Data'!C168</f>
        <v>0</v>
      </c>
      <c r="E72" s="194">
        <v>31</v>
      </c>
      <c r="F72" s="194">
        <v>1</v>
      </c>
      <c r="G72" s="184">
        <v>0</v>
      </c>
      <c r="H72" s="195">
        <v>44311</v>
      </c>
      <c r="I72" s="184">
        <v>129.91798131446814</v>
      </c>
      <c r="J72" s="194">
        <v>319.92</v>
      </c>
      <c r="K72" s="194"/>
      <c r="L72" s="194"/>
      <c r="M72" s="285"/>
    </row>
    <row r="73" spans="1:47" hidden="1">
      <c r="A73" s="183">
        <v>38292</v>
      </c>
      <c r="B73" s="284">
        <v>31681875.579999883</v>
      </c>
      <c r="C73" s="194">
        <f>'Weather Data'!B169</f>
        <v>554.9</v>
      </c>
      <c r="D73" s="194">
        <f>'Weather Data'!C169</f>
        <v>0</v>
      </c>
      <c r="E73" s="194">
        <v>30</v>
      </c>
      <c r="F73" s="194">
        <v>1</v>
      </c>
      <c r="G73" s="184">
        <v>0</v>
      </c>
      <c r="H73" s="195">
        <v>44365</v>
      </c>
      <c r="I73" s="184">
        <v>130.18559108448443</v>
      </c>
      <c r="J73" s="194">
        <v>352.08</v>
      </c>
      <c r="K73" s="194"/>
      <c r="L73" s="194"/>
      <c r="M73" s="285"/>
    </row>
    <row r="74" spans="1:47" hidden="1">
      <c r="A74" s="183">
        <v>38322</v>
      </c>
      <c r="B74" s="284">
        <v>37366129.619999848</v>
      </c>
      <c r="C74" s="194">
        <f>'Weather Data'!B170</f>
        <v>926.6</v>
      </c>
      <c r="D74" s="194">
        <f>'Weather Data'!C170</f>
        <v>0</v>
      </c>
      <c r="E74" s="194">
        <v>31</v>
      </c>
      <c r="F74" s="194">
        <v>0</v>
      </c>
      <c r="G74" s="184">
        <v>0</v>
      </c>
      <c r="H74" s="195">
        <v>44185</v>
      </c>
      <c r="I74" s="184">
        <v>130.45375208681136</v>
      </c>
      <c r="J74" s="194">
        <v>336.28800000000001</v>
      </c>
      <c r="K74" s="194"/>
      <c r="L74" s="194"/>
      <c r="M74" s="285"/>
    </row>
    <row r="75" spans="1:47" hidden="1">
      <c r="A75" s="183">
        <v>38353</v>
      </c>
      <c r="B75" s="284">
        <v>38920097.020000175</v>
      </c>
      <c r="C75" s="194">
        <f>'Weather Data'!B171</f>
        <v>1084.3</v>
      </c>
      <c r="D75" s="194">
        <f>'Weather Data'!C171</f>
        <v>0</v>
      </c>
      <c r="E75" s="194">
        <v>31</v>
      </c>
      <c r="F75" s="194">
        <v>0</v>
      </c>
      <c r="G75" s="184">
        <v>0</v>
      </c>
      <c r="H75" s="195">
        <v>44157</v>
      </c>
      <c r="I75" s="184">
        <v>130.74370215685079</v>
      </c>
      <c r="J75" s="194">
        <v>319.92</v>
      </c>
      <c r="K75" s="194"/>
      <c r="L75" s="194"/>
      <c r="M75" s="285"/>
    </row>
    <row r="76" spans="1:47" s="9" customFormat="1" hidden="1">
      <c r="A76" s="183">
        <v>38384</v>
      </c>
      <c r="B76" s="284">
        <v>33256365.220000371</v>
      </c>
      <c r="C76" s="194">
        <f>'Weather Data'!B172</f>
        <v>755.9</v>
      </c>
      <c r="D76" s="194">
        <f>'Weather Data'!C172</f>
        <v>0</v>
      </c>
      <c r="E76" s="194">
        <v>28</v>
      </c>
      <c r="F76" s="194">
        <v>0</v>
      </c>
      <c r="G76" s="184">
        <v>0</v>
      </c>
      <c r="H76" s="195">
        <v>44040</v>
      </c>
      <c r="I76" s="184">
        <v>131.0342966778299</v>
      </c>
      <c r="J76" s="194">
        <v>319.87200000000001</v>
      </c>
      <c r="K76" s="194"/>
      <c r="L76" s="194"/>
      <c r="M76" s="285"/>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183">
        <v>38412</v>
      </c>
      <c r="B77" s="284">
        <v>32485847.760000072</v>
      </c>
      <c r="C77" s="194">
        <f>'Weather Data'!B173</f>
        <v>814.1</v>
      </c>
      <c r="D77" s="194">
        <f>'Weather Data'!C173</f>
        <v>0</v>
      </c>
      <c r="E77" s="194">
        <v>31</v>
      </c>
      <c r="F77" s="194">
        <v>1</v>
      </c>
      <c r="G77" s="184">
        <v>0</v>
      </c>
      <c r="H77" s="195">
        <v>44100</v>
      </c>
      <c r="I77" s="184">
        <v>131.32553708212293</v>
      </c>
      <c r="J77" s="194">
        <v>351.91199999999998</v>
      </c>
      <c r="K77" s="194"/>
      <c r="L77" s="194"/>
      <c r="M77" s="285"/>
    </row>
    <row r="78" spans="1:47" hidden="1">
      <c r="A78" s="183">
        <v>38443</v>
      </c>
      <c r="B78" s="284">
        <v>27843394.499999896</v>
      </c>
      <c r="C78" s="194">
        <f>'Weather Data'!B174</f>
        <v>408.1</v>
      </c>
      <c r="D78" s="194">
        <f>'Weather Data'!C174</f>
        <v>0</v>
      </c>
      <c r="E78" s="194">
        <v>30</v>
      </c>
      <c r="F78" s="194">
        <v>1</v>
      </c>
      <c r="G78" s="184">
        <v>0</v>
      </c>
      <c r="H78" s="195">
        <v>44350</v>
      </c>
      <c r="I78" s="184">
        <v>131.61742480528775</v>
      </c>
      <c r="J78" s="194">
        <v>336.24</v>
      </c>
      <c r="K78" s="194"/>
      <c r="L78" s="194"/>
      <c r="M78" s="285"/>
    </row>
    <row r="79" spans="1:47" hidden="1">
      <c r="A79" s="183">
        <v>38473</v>
      </c>
      <c r="B79" s="284">
        <v>26410477.640000038</v>
      </c>
      <c r="C79" s="194">
        <f>'Weather Data'!B175</f>
        <v>306.2</v>
      </c>
      <c r="D79" s="194">
        <f>'Weather Data'!C175</f>
        <v>0</v>
      </c>
      <c r="E79" s="194">
        <v>31</v>
      </c>
      <c r="F79" s="194">
        <v>1</v>
      </c>
      <c r="G79" s="184">
        <v>0</v>
      </c>
      <c r="H79" s="195">
        <v>44250</v>
      </c>
      <c r="I79" s="184">
        <v>131.90996128607298</v>
      </c>
      <c r="J79" s="194">
        <v>336.28800000000001</v>
      </c>
      <c r="K79" s="194"/>
      <c r="L79" s="194"/>
      <c r="M79" s="285"/>
    </row>
    <row r="80" spans="1:47" hidden="1">
      <c r="A80" s="183">
        <v>38504</v>
      </c>
      <c r="B80" s="284">
        <v>24942453.350000061</v>
      </c>
      <c r="C80" s="194">
        <f>'Weather Data'!B176</f>
        <v>72.599999999999994</v>
      </c>
      <c r="D80" s="194">
        <f>'Weather Data'!C176</f>
        <v>16.8</v>
      </c>
      <c r="E80" s="194">
        <v>30</v>
      </c>
      <c r="F80" s="194">
        <v>0</v>
      </c>
      <c r="G80" s="184">
        <v>0</v>
      </c>
      <c r="H80" s="195">
        <v>44190</v>
      </c>
      <c r="I80" s="184">
        <v>132.20314796642501</v>
      </c>
      <c r="J80" s="194">
        <v>352.08</v>
      </c>
      <c r="K80" s="194"/>
      <c r="L80" s="194"/>
      <c r="M80" s="285"/>
    </row>
    <row r="81" spans="1:47" hidden="1">
      <c r="A81" s="183">
        <v>38534</v>
      </c>
      <c r="B81" s="284">
        <v>26102158.649999917</v>
      </c>
      <c r="C81" s="194">
        <f>'Weather Data'!B177</f>
        <v>45.3</v>
      </c>
      <c r="D81" s="194">
        <f>'Weather Data'!C177</f>
        <v>53</v>
      </c>
      <c r="E81" s="194">
        <v>31</v>
      </c>
      <c r="F81" s="194">
        <v>0</v>
      </c>
      <c r="G81" s="184">
        <v>0</v>
      </c>
      <c r="H81" s="195">
        <v>44315</v>
      </c>
      <c r="I81" s="184">
        <v>132.49698629149512</v>
      </c>
      <c r="J81" s="194">
        <v>319.92</v>
      </c>
      <c r="K81" s="194"/>
      <c r="L81" s="194"/>
      <c r="M81" s="285"/>
    </row>
    <row r="82" spans="1:47" hidden="1">
      <c r="A82" s="183">
        <v>38565</v>
      </c>
      <c r="B82" s="284">
        <v>26089422.109999936</v>
      </c>
      <c r="C82" s="194">
        <f>'Weather Data'!B178</f>
        <v>46.3</v>
      </c>
      <c r="D82" s="194">
        <f>'Weather Data'!C178</f>
        <v>29.6</v>
      </c>
      <c r="E82" s="194">
        <v>31</v>
      </c>
      <c r="F82" s="194">
        <v>0</v>
      </c>
      <c r="G82" s="184">
        <v>0</v>
      </c>
      <c r="H82" s="195">
        <v>44305</v>
      </c>
      <c r="I82" s="184">
        <v>132.79147770964664</v>
      </c>
      <c r="J82" s="194">
        <v>351.91199999999998</v>
      </c>
      <c r="K82" s="194"/>
      <c r="L82" s="194"/>
      <c r="M82" s="285"/>
    </row>
    <row r="83" spans="1:47" hidden="1">
      <c r="A83" s="183">
        <v>38596</v>
      </c>
      <c r="B83" s="284">
        <v>25222662.819999851</v>
      </c>
      <c r="C83" s="194">
        <f>'Weather Data'!B179</f>
        <v>148.80000000000001</v>
      </c>
      <c r="D83" s="194">
        <f>'Weather Data'!C179</f>
        <v>15.2</v>
      </c>
      <c r="E83" s="194">
        <v>30</v>
      </c>
      <c r="F83" s="194">
        <v>1</v>
      </c>
      <c r="G83" s="184">
        <v>0</v>
      </c>
      <c r="H83" s="195">
        <v>44424</v>
      </c>
      <c r="I83" s="184">
        <v>133.08662367246211</v>
      </c>
      <c r="J83" s="194">
        <v>336.24</v>
      </c>
      <c r="K83" s="194"/>
      <c r="L83" s="194"/>
      <c r="M83" s="285"/>
    </row>
    <row r="84" spans="1:47" hidden="1">
      <c r="A84" s="183">
        <v>38626</v>
      </c>
      <c r="B84" s="284">
        <v>28188329.079999827</v>
      </c>
      <c r="C84" s="194">
        <f>'Weather Data'!B180</f>
        <v>347.3</v>
      </c>
      <c r="D84" s="194">
        <f>'Weather Data'!C180</f>
        <v>0</v>
      </c>
      <c r="E84" s="194">
        <v>31</v>
      </c>
      <c r="F84" s="194">
        <v>1</v>
      </c>
      <c r="G84" s="184">
        <v>0</v>
      </c>
      <c r="H84" s="195">
        <v>44257</v>
      </c>
      <c r="I84" s="184">
        <v>133.38242563475035</v>
      </c>
      <c r="J84" s="194">
        <v>319.92</v>
      </c>
      <c r="K84" s="194"/>
      <c r="L84" s="194"/>
      <c r="M84" s="285"/>
    </row>
    <row r="85" spans="1:47" hidden="1">
      <c r="A85" s="183">
        <v>38657</v>
      </c>
      <c r="B85" s="284">
        <v>31328731.729999922</v>
      </c>
      <c r="C85" s="194">
        <f>'Weather Data'!B181</f>
        <v>606.9</v>
      </c>
      <c r="D85" s="194">
        <f>'Weather Data'!C181</f>
        <v>0</v>
      </c>
      <c r="E85" s="194">
        <v>30</v>
      </c>
      <c r="F85" s="194">
        <v>1</v>
      </c>
      <c r="G85" s="184">
        <v>0</v>
      </c>
      <c r="H85" s="195">
        <v>44315</v>
      </c>
      <c r="I85" s="184">
        <v>133.67888505455369</v>
      </c>
      <c r="J85" s="194">
        <v>352.08</v>
      </c>
      <c r="K85" s="194"/>
      <c r="L85" s="194"/>
      <c r="M85" s="285"/>
    </row>
    <row r="86" spans="1:47" hidden="1">
      <c r="A86" s="183">
        <v>38687</v>
      </c>
      <c r="B86" s="284">
        <v>35177920.479999423</v>
      </c>
      <c r="C86" s="194">
        <f>'Weather Data'!B182</f>
        <v>833.4</v>
      </c>
      <c r="D86" s="194">
        <f>'Weather Data'!C182</f>
        <v>0</v>
      </c>
      <c r="E86" s="194">
        <v>31</v>
      </c>
      <c r="F86" s="194">
        <v>0</v>
      </c>
      <c r="G86" s="184">
        <v>0</v>
      </c>
      <c r="H86" s="195">
        <v>44282</v>
      </c>
      <c r="I86" s="184">
        <v>133.97600339315525</v>
      </c>
      <c r="J86" s="194">
        <v>319.92</v>
      </c>
      <c r="K86" s="194"/>
      <c r="L86" s="194"/>
      <c r="M86" s="285"/>
    </row>
    <row r="87" spans="1:47" s="21" customFormat="1" ht="15">
      <c r="A87" s="183">
        <v>38718</v>
      </c>
      <c r="B87" s="284">
        <v>35639480.850000851</v>
      </c>
      <c r="C87" s="194">
        <f>'Weather Data'!B183</f>
        <v>797</v>
      </c>
      <c r="D87" s="194">
        <f>'Weather Data'!C183</f>
        <v>0</v>
      </c>
      <c r="E87" s="194">
        <v>31</v>
      </c>
      <c r="F87" s="194">
        <v>0</v>
      </c>
      <c r="G87" s="184">
        <f>'CDM Activity'!I19</f>
        <v>20809.682226219731</v>
      </c>
      <c r="H87" s="195">
        <v>44181</v>
      </c>
      <c r="I87" s="184">
        <v>134.25197202423305</v>
      </c>
      <c r="J87" s="194">
        <v>336.28800000000001</v>
      </c>
      <c r="K87" s="194">
        <f>$O$103+C87*$O$104+D87*$O$105+E87*$O$106+F87*$O$107+G87*$O$108</f>
        <v>34633627.645641491</v>
      </c>
      <c r="L87" s="194">
        <f>K87-B87</f>
        <v>-1005853.20435936</v>
      </c>
      <c r="M87" s="285">
        <f>ABS(L87/B87)</f>
        <v>2.8223003825246125E-2</v>
      </c>
      <c r="N87" s="260"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183">
        <v>38749</v>
      </c>
      <c r="B88" s="284">
        <v>31006600.609999921</v>
      </c>
      <c r="C88" s="194">
        <f>'Weather Data'!B184</f>
        <v>873.4</v>
      </c>
      <c r="D88" s="194">
        <f>'Weather Data'!C184</f>
        <v>0</v>
      </c>
      <c r="E88" s="194">
        <v>28</v>
      </c>
      <c r="F88" s="194">
        <v>0</v>
      </c>
      <c r="G88" s="184">
        <f>'CDM Activity'!I20</f>
        <v>41619.364452439462</v>
      </c>
      <c r="H88" s="195">
        <v>44198</v>
      </c>
      <c r="I88" s="184">
        <v>134.52850910550649</v>
      </c>
      <c r="J88" s="194">
        <v>319.87200000000001</v>
      </c>
      <c r="K88" s="194">
        <f t="shared" ref="K88:K151" si="0">$O$103+C88*$O$104+D88*$O$105+E88*$O$106+F88*$O$107+G88*$O$108</f>
        <v>32674458.657047641</v>
      </c>
      <c r="L88" s="194">
        <f t="shared" ref="L88:L92" si="1">K88-B88</f>
        <v>1667858.0470477194</v>
      </c>
      <c r="M88" s="285">
        <f t="shared" ref="M88:M92" si="2">ABS(L88/B88)</f>
        <v>5.379041927317306E-2</v>
      </c>
    </row>
    <row r="89" spans="1:47">
      <c r="A89" s="183">
        <v>38777</v>
      </c>
      <c r="B89" s="284">
        <v>31468779.68000007</v>
      </c>
      <c r="C89" s="194">
        <f>'Weather Data'!B185</f>
        <v>659</v>
      </c>
      <c r="D89" s="194">
        <f>'Weather Data'!C185</f>
        <v>0</v>
      </c>
      <c r="E89" s="194">
        <v>31</v>
      </c>
      <c r="F89" s="194">
        <v>1</v>
      </c>
      <c r="G89" s="184">
        <f>'CDM Activity'!I21</f>
        <v>62429.046678659193</v>
      </c>
      <c r="H89" s="195">
        <v>44236</v>
      </c>
      <c r="I89" s="184">
        <v>134.80561580788986</v>
      </c>
      <c r="J89" s="194">
        <v>368.28</v>
      </c>
      <c r="K89" s="194">
        <f t="shared" si="0"/>
        <v>31777471.384112049</v>
      </c>
      <c r="L89" s="194">
        <f t="shared" si="1"/>
        <v>308691.70411197841</v>
      </c>
      <c r="M89" s="285">
        <f t="shared" si="2"/>
        <v>9.8094590019379389E-3</v>
      </c>
      <c r="N89" s="33" t="s">
        <v>16</v>
      </c>
      <c r="O89" s="33"/>
    </row>
    <row r="90" spans="1:47">
      <c r="A90" s="183">
        <v>38808</v>
      </c>
      <c r="B90" s="284">
        <v>26780261.130000174</v>
      </c>
      <c r="C90" s="194">
        <f>'Weather Data'!B186</f>
        <v>366</v>
      </c>
      <c r="D90" s="194">
        <f>'Weather Data'!C186</f>
        <v>0</v>
      </c>
      <c r="E90" s="194">
        <v>30</v>
      </c>
      <c r="F90" s="194">
        <v>1</v>
      </c>
      <c r="G90" s="184">
        <f>'CDM Activity'!I22</f>
        <v>83238.728904878924</v>
      </c>
      <c r="H90" s="195">
        <v>44282</v>
      </c>
      <c r="I90" s="184">
        <v>135.08329330470943</v>
      </c>
      <c r="J90" s="194">
        <v>303.83999999999997</v>
      </c>
      <c r="K90" s="194">
        <f t="shared" si="0"/>
        <v>26830724.757815342</v>
      </c>
      <c r="L90" s="194">
        <f t="shared" si="1"/>
        <v>50463.627815168351</v>
      </c>
      <c r="M90" s="285">
        <f t="shared" si="2"/>
        <v>1.8843590646932583E-3</v>
      </c>
      <c r="N90" s="24" t="s">
        <v>17</v>
      </c>
      <c r="O90" s="36">
        <v>0.97587745524861003</v>
      </c>
    </row>
    <row r="91" spans="1:47">
      <c r="A91" s="183">
        <v>38838</v>
      </c>
      <c r="B91" s="284">
        <v>25597983.169999883</v>
      </c>
      <c r="C91" s="194">
        <f>'Weather Data'!B187</f>
        <v>241.5</v>
      </c>
      <c r="D91" s="194">
        <f>'Weather Data'!C187</f>
        <v>2.4</v>
      </c>
      <c r="E91" s="194">
        <v>31</v>
      </c>
      <c r="F91" s="194">
        <v>1</v>
      </c>
      <c r="G91" s="184">
        <f>'CDM Activity'!I23</f>
        <v>104048.41113109866</v>
      </c>
      <c r="H91" s="195">
        <v>44417</v>
      </c>
      <c r="I91" s="184">
        <v>135.36154277170829</v>
      </c>
      <c r="J91" s="194">
        <v>351.91199999999998</v>
      </c>
      <c r="K91" s="194">
        <f t="shared" si="0"/>
        <v>26211291.134277046</v>
      </c>
      <c r="L91" s="194">
        <f t="shared" si="1"/>
        <v>613307.96427716315</v>
      </c>
      <c r="M91" s="285">
        <f t="shared" si="2"/>
        <v>2.3959229920736212E-2</v>
      </c>
      <c r="N91" s="24" t="s">
        <v>18</v>
      </c>
      <c r="O91" s="36">
        <v>0.95233680766250295</v>
      </c>
    </row>
    <row r="92" spans="1:47">
      <c r="A92" s="183">
        <v>38869</v>
      </c>
      <c r="B92" s="284">
        <v>24345684.17000021</v>
      </c>
      <c r="C92" s="194">
        <f>'Weather Data'!B188</f>
        <v>81.5</v>
      </c>
      <c r="D92" s="194">
        <f>'Weather Data'!C188</f>
        <v>9.3000000000000007</v>
      </c>
      <c r="E92" s="194">
        <v>30</v>
      </c>
      <c r="F92" s="194">
        <v>0</v>
      </c>
      <c r="G92" s="184">
        <f>'CDM Activity'!I24</f>
        <v>124858.0933573184</v>
      </c>
      <c r="H92" s="195">
        <v>44241</v>
      </c>
      <c r="I92" s="184">
        <v>135.64036538705133</v>
      </c>
      <c r="J92" s="194">
        <v>352.08</v>
      </c>
      <c r="K92" s="194">
        <f t="shared" si="0"/>
        <v>24280493.187634483</v>
      </c>
      <c r="L92" s="194">
        <f t="shared" si="1"/>
        <v>-65190.982365727425</v>
      </c>
      <c r="M92" s="285">
        <f t="shared" si="2"/>
        <v>2.6777223392250578E-3</v>
      </c>
      <c r="N92" s="24" t="s">
        <v>19</v>
      </c>
      <c r="O92" s="36">
        <v>0.95024631677050742</v>
      </c>
    </row>
    <row r="93" spans="1:47">
      <c r="A93" s="183">
        <v>38899</v>
      </c>
      <c r="B93" s="284">
        <v>26114962.539999943</v>
      </c>
      <c r="C93" s="194">
        <f>'Weather Data'!B189</f>
        <v>23.2</v>
      </c>
      <c r="D93" s="194">
        <f>'Weather Data'!C189</f>
        <v>70.099999999999994</v>
      </c>
      <c r="E93" s="194">
        <v>31</v>
      </c>
      <c r="F93" s="194">
        <v>0</v>
      </c>
      <c r="G93" s="184">
        <f>'CDM Activity'!I25</f>
        <v>145667.77558353814</v>
      </c>
      <c r="H93" s="195">
        <v>44219</v>
      </c>
      <c r="I93" s="184">
        <v>135.9197623313303</v>
      </c>
      <c r="J93" s="194">
        <v>319.92</v>
      </c>
      <c r="K93" s="194">
        <f t="shared" si="0"/>
        <v>27104272.750894889</v>
      </c>
      <c r="L93" s="194">
        <f t="shared" ref="L93:L156" si="3">K93-B93</f>
        <v>989310.21089494601</v>
      </c>
      <c r="M93" s="285">
        <f t="shared" ref="M93:M156" si="4">ABS(L93/B93)</f>
        <v>3.788288837786509E-2</v>
      </c>
      <c r="N93" s="24" t="s">
        <v>20</v>
      </c>
      <c r="O93" s="42">
        <v>947549.16646627837</v>
      </c>
    </row>
    <row r="94" spans="1:47" ht="13.5" thickBot="1">
      <c r="A94" s="183">
        <v>38930</v>
      </c>
      <c r="B94" s="284">
        <v>26097674.579999994</v>
      </c>
      <c r="C94" s="194">
        <f>'Weather Data'!B190</f>
        <v>57.7</v>
      </c>
      <c r="D94" s="194">
        <f>'Weather Data'!C190</f>
        <v>31.7</v>
      </c>
      <c r="E94" s="194">
        <v>31</v>
      </c>
      <c r="F94" s="194">
        <v>0</v>
      </c>
      <c r="G94" s="184">
        <f>'CDM Activity'!I26</f>
        <v>166477.45780975788</v>
      </c>
      <c r="H94" s="195">
        <v>44380</v>
      </c>
      <c r="I94" s="184">
        <v>136.19973478756879</v>
      </c>
      <c r="J94" s="194">
        <v>351.91199999999998</v>
      </c>
      <c r="K94" s="194">
        <f t="shared" si="0"/>
        <v>25848532.450249121</v>
      </c>
      <c r="L94" s="194">
        <f t="shared" si="3"/>
        <v>-249142.12975087389</v>
      </c>
      <c r="M94" s="285">
        <f t="shared" si="4"/>
        <v>9.5465260319325326E-3</v>
      </c>
      <c r="N94" s="31" t="s">
        <v>21</v>
      </c>
      <c r="O94" s="31">
        <v>120</v>
      </c>
    </row>
    <row r="95" spans="1:47">
      <c r="A95" s="183">
        <v>38961</v>
      </c>
      <c r="B95" s="284">
        <v>25191336.769999918</v>
      </c>
      <c r="C95" s="194">
        <f>'Weather Data'!B191</f>
        <v>210.5</v>
      </c>
      <c r="D95" s="194">
        <f>'Weather Data'!C191</f>
        <v>1.2</v>
      </c>
      <c r="E95" s="194">
        <v>30</v>
      </c>
      <c r="F95" s="194">
        <v>1</v>
      </c>
      <c r="G95" s="184">
        <f>'CDM Activity'!I27</f>
        <v>187287.14003597762</v>
      </c>
      <c r="H95" s="195">
        <v>44567</v>
      </c>
      <c r="I95" s="184">
        <v>136.48028394122719</v>
      </c>
      <c r="J95" s="194">
        <v>319.68</v>
      </c>
      <c r="K95" s="194">
        <f t="shared" si="0"/>
        <v>24611044.17618474</v>
      </c>
      <c r="L95" s="194">
        <f t="shared" si="3"/>
        <v>-580292.59381517768</v>
      </c>
      <c r="M95" s="285">
        <f t="shared" si="4"/>
        <v>2.3035402968620611E-2</v>
      </c>
    </row>
    <row r="96" spans="1:47" ht="13.5" thickBot="1">
      <c r="A96" s="183">
        <v>38991</v>
      </c>
      <c r="B96" s="284">
        <v>28029266.82999998</v>
      </c>
      <c r="C96" s="194">
        <f>'Weather Data'!B192</f>
        <v>440.9</v>
      </c>
      <c r="D96" s="194">
        <f>'Weather Data'!C192</f>
        <v>0</v>
      </c>
      <c r="E96" s="194">
        <v>31</v>
      </c>
      <c r="F96" s="194">
        <v>1</v>
      </c>
      <c r="G96" s="184">
        <f>'CDM Activity'!I28</f>
        <v>208096.82226219735</v>
      </c>
      <c r="H96" s="195">
        <v>44364</v>
      </c>
      <c r="I96" s="184">
        <v>136.76141098020776</v>
      </c>
      <c r="J96" s="194">
        <v>336.28800000000001</v>
      </c>
      <c r="K96" s="194">
        <f t="shared" si="0"/>
        <v>28591031.54850705</v>
      </c>
      <c r="L96" s="194">
        <f t="shared" si="3"/>
        <v>561764.71850707009</v>
      </c>
      <c r="M96" s="285">
        <f t="shared" si="4"/>
        <v>2.0042076801873684E-2</v>
      </c>
      <c r="N96" t="s">
        <v>22</v>
      </c>
    </row>
    <row r="97" spans="1:20">
      <c r="A97" s="183">
        <v>39022</v>
      </c>
      <c r="B97" s="284">
        <v>30314179.629999813</v>
      </c>
      <c r="C97" s="194">
        <f>'Weather Data'!B193</f>
        <v>540.4</v>
      </c>
      <c r="D97" s="194">
        <f>'Weather Data'!C193</f>
        <v>0</v>
      </c>
      <c r="E97" s="194">
        <v>30</v>
      </c>
      <c r="F97" s="194">
        <v>1</v>
      </c>
      <c r="G97" s="184">
        <f>'CDM Activity'!I29</f>
        <v>228906.50448841709</v>
      </c>
      <c r="H97" s="195">
        <v>44313</v>
      </c>
      <c r="I97" s="184">
        <v>137.04311709485967</v>
      </c>
      <c r="J97" s="194">
        <v>352.08</v>
      </c>
      <c r="K97" s="194">
        <f t="shared" si="0"/>
        <v>28905240.03772302</v>
      </c>
      <c r="L97" s="194">
        <f t="shared" si="3"/>
        <v>-1408939.592276793</v>
      </c>
      <c r="M97" s="285">
        <f t="shared" si="4"/>
        <v>4.6477906031884314E-2</v>
      </c>
      <c r="N97" s="32"/>
      <c r="O97" s="32" t="s">
        <v>26</v>
      </c>
      <c r="P97" s="32" t="s">
        <v>27</v>
      </c>
      <c r="Q97" s="32" t="s">
        <v>28</v>
      </c>
      <c r="R97" s="32" t="s">
        <v>29</v>
      </c>
      <c r="S97" s="32" t="s">
        <v>30</v>
      </c>
    </row>
    <row r="98" spans="1:20">
      <c r="A98" s="183">
        <v>39052</v>
      </c>
      <c r="B98" s="284">
        <v>34399460.200000234</v>
      </c>
      <c r="C98" s="194">
        <f>'Weather Data'!B194</f>
        <v>747.4</v>
      </c>
      <c r="D98" s="194">
        <f>'Weather Data'!C194</f>
        <v>0</v>
      </c>
      <c r="E98" s="194">
        <v>31</v>
      </c>
      <c r="F98" s="194">
        <v>0</v>
      </c>
      <c r="G98" s="184">
        <f>'CDM Activity'!I30</f>
        <v>249716.18671463683</v>
      </c>
      <c r="H98" s="195">
        <v>44347</v>
      </c>
      <c r="I98" s="184">
        <v>137.32540347798411</v>
      </c>
      <c r="J98" s="194">
        <v>304.29599999999999</v>
      </c>
      <c r="K98" s="194">
        <f t="shared" si="0"/>
        <v>33555374.619725525</v>
      </c>
      <c r="L98" s="194">
        <f t="shared" si="3"/>
        <v>-844085.58027470857</v>
      </c>
      <c r="M98" s="285">
        <f t="shared" si="4"/>
        <v>2.4537756562665564E-2</v>
      </c>
      <c r="N98" s="24" t="s">
        <v>23</v>
      </c>
      <c r="O98" s="24">
        <v>5</v>
      </c>
      <c r="P98" s="24">
        <v>2045105904102588.2</v>
      </c>
      <c r="Q98" s="24">
        <v>409021180820517.62</v>
      </c>
      <c r="R98" s="24">
        <v>455.55654478525213</v>
      </c>
      <c r="S98" s="24">
        <v>1.4108595510257177E-73</v>
      </c>
    </row>
    <row r="99" spans="1:20">
      <c r="A99" s="183">
        <v>39083</v>
      </c>
      <c r="B99" s="284">
        <v>36651750.410000287</v>
      </c>
      <c r="C99" s="194">
        <f>'Weather Data'!B195</f>
        <v>913.4</v>
      </c>
      <c r="D99" s="194">
        <f>'Weather Data'!C195</f>
        <v>0</v>
      </c>
      <c r="E99" s="194">
        <v>31</v>
      </c>
      <c r="F99" s="194">
        <v>0</v>
      </c>
      <c r="G99" s="184">
        <f>'CDM Activity'!I31</f>
        <v>270864.72934878524</v>
      </c>
      <c r="H99" s="195">
        <v>44296</v>
      </c>
      <c r="I99" s="184">
        <v>137.552207546647</v>
      </c>
      <c r="J99" s="194">
        <v>351.91199999999998</v>
      </c>
      <c r="K99" s="194">
        <f t="shared" si="0"/>
        <v>35742193.546598092</v>
      </c>
      <c r="L99" s="194">
        <f t="shared" si="3"/>
        <v>-909556.86340219527</v>
      </c>
      <c r="M99" s="285">
        <f t="shared" si="4"/>
        <v>2.48161916750919E-2</v>
      </c>
      <c r="N99" s="24" t="s">
        <v>24</v>
      </c>
      <c r="O99" s="24">
        <v>114</v>
      </c>
      <c r="P99" s="24">
        <v>102354834207287.03</v>
      </c>
      <c r="Q99" s="24">
        <v>897849422870.93884</v>
      </c>
      <c r="R99" s="24"/>
      <c r="S99" s="24"/>
    </row>
    <row r="100" spans="1:20" ht="13.5" thickBot="1">
      <c r="A100" s="183">
        <v>39114</v>
      </c>
      <c r="B100" s="284">
        <v>32943660.569999944</v>
      </c>
      <c r="C100" s="194">
        <f>'Weather Data'!B196</f>
        <v>924.7</v>
      </c>
      <c r="D100" s="194">
        <f>'Weather Data'!C196</f>
        <v>0</v>
      </c>
      <c r="E100" s="194">
        <v>28</v>
      </c>
      <c r="F100" s="194">
        <v>0</v>
      </c>
      <c r="G100" s="184">
        <f>'CDM Activity'!I32</f>
        <v>292013.27198293363</v>
      </c>
      <c r="H100" s="195">
        <v>44278</v>
      </c>
      <c r="I100" s="184">
        <v>137.77938620066888</v>
      </c>
      <c r="J100" s="194">
        <v>319.87200000000001</v>
      </c>
      <c r="K100" s="194">
        <f t="shared" si="0"/>
        <v>32909831.195310593</v>
      </c>
      <c r="L100" s="194">
        <f t="shared" si="3"/>
        <v>-33829.374689351767</v>
      </c>
      <c r="M100" s="285">
        <f t="shared" si="4"/>
        <v>1.0268857225950901E-3</v>
      </c>
      <c r="N100" s="31" t="s">
        <v>5</v>
      </c>
      <c r="O100" s="31">
        <v>119</v>
      </c>
      <c r="P100" s="31">
        <v>2147460738309875.2</v>
      </c>
      <c r="Q100" s="31"/>
      <c r="R100" s="31"/>
      <c r="S100" s="31"/>
    </row>
    <row r="101" spans="1:20" ht="13.5" thickBot="1">
      <c r="A101" s="183">
        <v>39142</v>
      </c>
      <c r="B101" s="284">
        <v>32857535.92000011</v>
      </c>
      <c r="C101" s="194">
        <f>'Weather Data'!B197</f>
        <v>665</v>
      </c>
      <c r="D101" s="194">
        <f>'Weather Data'!C197</f>
        <v>0</v>
      </c>
      <c r="E101" s="194">
        <v>31</v>
      </c>
      <c r="F101" s="194">
        <v>1</v>
      </c>
      <c r="G101" s="184">
        <f>'CDM Activity'!I33</f>
        <v>313161.81461708201</v>
      </c>
      <c r="H101" s="195">
        <v>44348</v>
      </c>
      <c r="I101" s="184">
        <v>138.00694005870795</v>
      </c>
      <c r="J101" s="194">
        <v>351.91199999999998</v>
      </c>
      <c r="K101" s="194">
        <f t="shared" si="0"/>
        <v>31405043.964234598</v>
      </c>
      <c r="L101" s="194">
        <f t="shared" si="3"/>
        <v>-1452491.9557655118</v>
      </c>
      <c r="M101" s="285">
        <f t="shared" si="4"/>
        <v>4.4205748090847923E-2</v>
      </c>
    </row>
    <row r="102" spans="1:20">
      <c r="A102" s="183">
        <v>39173</v>
      </c>
      <c r="B102" s="284">
        <v>27092407.240000095</v>
      </c>
      <c r="C102" s="194">
        <f>'Weather Data'!B198</f>
        <v>474.1</v>
      </c>
      <c r="D102" s="194">
        <f>'Weather Data'!C198</f>
        <v>0</v>
      </c>
      <c r="E102" s="194">
        <v>30</v>
      </c>
      <c r="F102" s="194">
        <v>1</v>
      </c>
      <c r="G102" s="184">
        <f>'CDM Activity'!I34</f>
        <v>334310.35725123039</v>
      </c>
      <c r="H102" s="195">
        <v>44296</v>
      </c>
      <c r="I102" s="184">
        <v>138.23486974044414</v>
      </c>
      <c r="J102" s="194">
        <v>319.68</v>
      </c>
      <c r="K102" s="194">
        <f t="shared" si="0"/>
        <v>27826203.835916124</v>
      </c>
      <c r="L102" s="194">
        <f t="shared" si="3"/>
        <v>733796.59591602907</v>
      </c>
      <c r="M102" s="285">
        <f t="shared" si="4"/>
        <v>2.7084953707348248E-2</v>
      </c>
      <c r="N102" s="32"/>
      <c r="O102" s="32" t="s">
        <v>31</v>
      </c>
      <c r="P102" s="32" t="s">
        <v>20</v>
      </c>
      <c r="Q102" s="32" t="s">
        <v>32</v>
      </c>
      <c r="R102" s="32" t="s">
        <v>33</v>
      </c>
      <c r="S102" s="32" t="s">
        <v>34</v>
      </c>
      <c r="T102" s="32" t="s">
        <v>35</v>
      </c>
    </row>
    <row r="103" spans="1:20">
      <c r="A103" s="183">
        <v>39203</v>
      </c>
      <c r="B103" s="284">
        <v>25115209.089999869</v>
      </c>
      <c r="C103" s="194">
        <f>'Weather Data'!B199</f>
        <v>250.9</v>
      </c>
      <c r="D103" s="194">
        <f>'Weather Data'!C199</f>
        <v>0.6</v>
      </c>
      <c r="E103" s="194">
        <v>31</v>
      </c>
      <c r="F103" s="194">
        <v>1</v>
      </c>
      <c r="G103" s="184">
        <f>'CDM Activity'!I35</f>
        <v>355458.89988537878</v>
      </c>
      <c r="H103" s="195">
        <v>44412</v>
      </c>
      <c r="I103" s="184">
        <v>138.46317586658083</v>
      </c>
      <c r="J103" s="194">
        <v>351.91199999999998</v>
      </c>
      <c r="K103" s="194">
        <f t="shared" si="0"/>
        <v>25804434.921808228</v>
      </c>
      <c r="L103" s="194">
        <f t="shared" si="3"/>
        <v>689225.83180835843</v>
      </c>
      <c r="M103" s="285">
        <f t="shared" si="4"/>
        <v>2.7442567941143987E-2</v>
      </c>
      <c r="N103" s="24" t="s">
        <v>25</v>
      </c>
      <c r="O103" s="42">
        <v>-6449696.112421114</v>
      </c>
      <c r="P103" s="42">
        <v>3338663.188852448</v>
      </c>
      <c r="Q103" s="34">
        <v>-1.9318199373797804</v>
      </c>
      <c r="R103" s="24">
        <v>5.5863660947723763E-2</v>
      </c>
      <c r="S103" s="42">
        <v>-13063562.175073337</v>
      </c>
      <c r="T103" s="42">
        <v>164169.95023110881</v>
      </c>
    </row>
    <row r="104" spans="1:20">
      <c r="A104" s="183">
        <v>39234</v>
      </c>
      <c r="B104" s="284">
        <v>23534586.620000288</v>
      </c>
      <c r="C104" s="194">
        <f>'Weather Data'!B200</f>
        <v>96.7</v>
      </c>
      <c r="D104" s="194">
        <f>'Weather Data'!C200</f>
        <v>6.5</v>
      </c>
      <c r="E104" s="194">
        <v>30</v>
      </c>
      <c r="F104" s="194">
        <v>0</v>
      </c>
      <c r="G104" s="184">
        <f>'CDM Activity'!I36</f>
        <v>376607.44251952716</v>
      </c>
      <c r="H104" s="195">
        <v>44550</v>
      </c>
      <c r="I104" s="184">
        <v>138.69185905884657</v>
      </c>
      <c r="J104" s="194">
        <v>336.24</v>
      </c>
      <c r="K104" s="194">
        <f t="shared" si="0"/>
        <v>23907001.258659758</v>
      </c>
      <c r="L104" s="194">
        <f t="shared" si="3"/>
        <v>372414.63865946978</v>
      </c>
      <c r="M104" s="285">
        <f t="shared" si="4"/>
        <v>1.5824141918132625E-2</v>
      </c>
      <c r="N104" s="24" t="s">
        <v>1</v>
      </c>
      <c r="O104" s="42">
        <v>13403.707300669254</v>
      </c>
      <c r="P104" s="42">
        <v>342.89231977959167</v>
      </c>
      <c r="Q104" s="34">
        <v>39.090135670828218</v>
      </c>
      <c r="R104" s="24">
        <v>7.1549098907133146E-68</v>
      </c>
      <c r="S104" s="42">
        <v>12724.440256150807</v>
      </c>
      <c r="T104" s="42">
        <v>14082.9743451877</v>
      </c>
    </row>
    <row r="105" spans="1:20">
      <c r="A105" s="183">
        <v>39264</v>
      </c>
      <c r="B105" s="284">
        <v>25046931.960000161</v>
      </c>
      <c r="C105" s="194">
        <f>'Weather Data'!B201</f>
        <v>40.200000000000003</v>
      </c>
      <c r="D105" s="194">
        <f>'Weather Data'!C201</f>
        <v>51.8</v>
      </c>
      <c r="E105" s="194">
        <v>31</v>
      </c>
      <c r="F105" s="194">
        <v>0</v>
      </c>
      <c r="G105" s="184">
        <f>'CDM Activity'!I37</f>
        <v>397755.98515367555</v>
      </c>
      <c r="H105" s="195">
        <v>44365</v>
      </c>
      <c r="I105" s="184">
        <v>138.92091993999671</v>
      </c>
      <c r="J105" s="194">
        <v>336.28800000000001</v>
      </c>
      <c r="K105" s="194">
        <f t="shared" si="0"/>
        <v>26075934.855480954</v>
      </c>
      <c r="L105" s="194">
        <f t="shared" si="3"/>
        <v>1029002.895480793</v>
      </c>
      <c r="M105" s="285">
        <f t="shared" si="4"/>
        <v>4.1082991606481226E-2</v>
      </c>
      <c r="N105" s="24" t="s">
        <v>2</v>
      </c>
      <c r="O105" s="42">
        <v>43765.201429698631</v>
      </c>
      <c r="P105" s="42">
        <v>8256.9756393869247</v>
      </c>
      <c r="Q105" s="34">
        <v>5.3003912499066264</v>
      </c>
      <c r="R105" s="24">
        <v>5.7171832156308298E-7</v>
      </c>
      <c r="S105" s="42">
        <v>27408.196283498834</v>
      </c>
      <c r="T105" s="42">
        <v>60122.206575898424</v>
      </c>
    </row>
    <row r="106" spans="1:20">
      <c r="A106" s="183">
        <v>39295</v>
      </c>
      <c r="B106" s="284">
        <v>25330023.870000076</v>
      </c>
      <c r="C106" s="194">
        <f>'Weather Data'!B202</f>
        <v>62.9</v>
      </c>
      <c r="D106" s="194">
        <f>'Weather Data'!C202</f>
        <v>22.1</v>
      </c>
      <c r="E106" s="194">
        <v>31</v>
      </c>
      <c r="F106" s="194">
        <v>0</v>
      </c>
      <c r="G106" s="184">
        <f>'CDM Activity'!I38</f>
        <v>418904.52778782393</v>
      </c>
      <c r="H106" s="195">
        <v>44440</v>
      </c>
      <c r="I106" s="184">
        <v>139.15035913381516</v>
      </c>
      <c r="J106" s="194">
        <v>351.91199999999998</v>
      </c>
      <c r="K106" s="194">
        <f t="shared" si="0"/>
        <v>25042176.043705575</v>
      </c>
      <c r="L106" s="194">
        <f t="shared" si="3"/>
        <v>-287847.82629450038</v>
      </c>
      <c r="M106" s="285">
        <f t="shared" si="4"/>
        <v>1.1363898738185418E-2</v>
      </c>
      <c r="N106" s="24" t="s">
        <v>3</v>
      </c>
      <c r="O106" s="42">
        <v>981875.91958218196</v>
      </c>
      <c r="P106" s="42">
        <v>110254.12211857937</v>
      </c>
      <c r="Q106" s="34">
        <v>8.9055710636030909</v>
      </c>
      <c r="R106" s="24">
        <v>9.7264826665543965E-15</v>
      </c>
      <c r="S106" s="42">
        <v>763463.35284518637</v>
      </c>
      <c r="T106" s="42">
        <v>1200288.4863191776</v>
      </c>
    </row>
    <row r="107" spans="1:20">
      <c r="A107" s="183">
        <v>39326</v>
      </c>
      <c r="B107" s="284">
        <v>24758256.469999984</v>
      </c>
      <c r="C107" s="194">
        <f>'Weather Data'!B203</f>
        <v>164.7</v>
      </c>
      <c r="D107" s="194">
        <f>'Weather Data'!C203</f>
        <v>9.6</v>
      </c>
      <c r="E107" s="194">
        <v>30</v>
      </c>
      <c r="F107" s="194">
        <v>1</v>
      </c>
      <c r="G107" s="184">
        <f>'CDM Activity'!I39</f>
        <v>440053.07042197231</v>
      </c>
      <c r="H107" s="195">
        <v>44418</v>
      </c>
      <c r="I107" s="184">
        <v>139.38017726511606</v>
      </c>
      <c r="J107" s="194">
        <v>303.83999999999997</v>
      </c>
      <c r="K107" s="194">
        <f t="shared" si="0"/>
        <v>23908260.305621549</v>
      </c>
      <c r="L107" s="194">
        <f t="shared" si="3"/>
        <v>-849996.16437843442</v>
      </c>
      <c r="M107" s="285">
        <f t="shared" si="4"/>
        <v>3.4331826451850102E-2</v>
      </c>
      <c r="N107" s="24" t="s">
        <v>14</v>
      </c>
      <c r="O107" s="42">
        <v>-931275.71880021226</v>
      </c>
      <c r="P107" s="42">
        <v>207139.13756995229</v>
      </c>
      <c r="Q107" s="34">
        <v>-4.4958945456925745</v>
      </c>
      <c r="R107" s="24">
        <v>1.6743434695064899E-5</v>
      </c>
      <c r="S107" s="42">
        <v>-1341616.7549356497</v>
      </c>
      <c r="T107" s="42">
        <v>-520934.68266477477</v>
      </c>
    </row>
    <row r="108" spans="1:20" ht="13.5" thickBot="1">
      <c r="A108" s="183">
        <v>39356</v>
      </c>
      <c r="B108" s="284">
        <v>27656765.080000009</v>
      </c>
      <c r="C108" s="194">
        <f>'Weather Data'!B204</f>
        <v>310.60000000000002</v>
      </c>
      <c r="D108" s="194">
        <f>'Weather Data'!C204</f>
        <v>0</v>
      </c>
      <c r="E108" s="194">
        <v>31</v>
      </c>
      <c r="F108" s="194">
        <v>1</v>
      </c>
      <c r="G108" s="184">
        <f>'CDM Activity'!I40</f>
        <v>461201.6130561207</v>
      </c>
      <c r="H108" s="195">
        <v>44489</v>
      </c>
      <c r="I108" s="184">
        <v>139.61037495974546</v>
      </c>
      <c r="J108" s="194">
        <v>351.91199999999998</v>
      </c>
      <c r="K108" s="194">
        <f t="shared" si="0"/>
        <v>26387394.701607749</v>
      </c>
      <c r="L108" s="194">
        <f t="shared" si="3"/>
        <v>-1269370.3783922605</v>
      </c>
      <c r="M108" s="285">
        <f t="shared" si="4"/>
        <v>4.5897283168167984E-2</v>
      </c>
      <c r="N108" s="31" t="s">
        <v>56</v>
      </c>
      <c r="O108" s="35">
        <v>-1.8061048318689961</v>
      </c>
      <c r="P108" s="35">
        <v>0.46915885853908745</v>
      </c>
      <c r="Q108" s="35">
        <v>-3.8496658413165665</v>
      </c>
      <c r="R108" s="31">
        <v>1.9565131206473267E-4</v>
      </c>
      <c r="S108" s="35">
        <v>-2.735504917162074</v>
      </c>
      <c r="T108" s="35">
        <v>-0.8767047465759179</v>
      </c>
    </row>
    <row r="109" spans="1:20">
      <c r="A109" s="183">
        <v>39387</v>
      </c>
      <c r="B109" s="284">
        <v>30856187.839999899</v>
      </c>
      <c r="C109" s="194">
        <f>'Weather Data'!B205</f>
        <v>620.29999999999995</v>
      </c>
      <c r="D109" s="194">
        <f>'Weather Data'!C205</f>
        <v>0</v>
      </c>
      <c r="E109" s="194">
        <v>30</v>
      </c>
      <c r="F109" s="194">
        <v>1</v>
      </c>
      <c r="G109" s="184">
        <f>'CDM Activity'!I41</f>
        <v>482350.15569026908</v>
      </c>
      <c r="H109" s="195">
        <v>44459</v>
      </c>
      <c r="I109" s="184">
        <v>139.84095284458306</v>
      </c>
      <c r="J109" s="194">
        <v>352.08</v>
      </c>
      <c r="K109" s="194">
        <f t="shared" si="0"/>
        <v>29518450.448004309</v>
      </c>
      <c r="L109" s="194">
        <f t="shared" si="3"/>
        <v>-1337737.3919955902</v>
      </c>
      <c r="M109" s="285">
        <f t="shared" si="4"/>
        <v>4.3353942454985861E-2</v>
      </c>
    </row>
    <row r="110" spans="1:20">
      <c r="A110" s="183">
        <v>39417</v>
      </c>
      <c r="B110" s="284">
        <v>35513367.18000026</v>
      </c>
      <c r="C110" s="194">
        <f>'Weather Data'!B206</f>
        <v>925.8</v>
      </c>
      <c r="D110" s="194">
        <f>'Weather Data'!C206</f>
        <v>0</v>
      </c>
      <c r="E110" s="194">
        <v>31</v>
      </c>
      <c r="F110" s="194">
        <v>0</v>
      </c>
      <c r="G110" s="184">
        <f>'CDM Activity'!I42</f>
        <v>503498.69832441746</v>
      </c>
      <c r="H110" s="195">
        <v>44312</v>
      </c>
      <c r="I110" s="184">
        <v>140.07191154754381</v>
      </c>
      <c r="J110" s="194">
        <v>304.29599999999999</v>
      </c>
      <c r="K110" s="194">
        <f t="shared" si="0"/>
        <v>35488238.181702644</v>
      </c>
      <c r="L110" s="194">
        <f t="shared" si="3"/>
        <v>-25128.998297616839</v>
      </c>
      <c r="M110" s="285">
        <f t="shared" si="4"/>
        <v>7.0759266983189671E-4</v>
      </c>
    </row>
    <row r="111" spans="1:20">
      <c r="A111" s="183">
        <v>39448</v>
      </c>
      <c r="B111" s="284">
        <v>36959741.449999802</v>
      </c>
      <c r="C111" s="194">
        <f>'Weather Data'!B207</f>
        <v>934.70000000000016</v>
      </c>
      <c r="D111" s="194">
        <f>'Weather Data'!C207</f>
        <v>0</v>
      </c>
      <c r="E111" s="194">
        <v>31</v>
      </c>
      <c r="F111" s="194">
        <v>0</v>
      </c>
      <c r="G111" s="184">
        <f>'CDM Activity'!I43</f>
        <v>513423.64228246541</v>
      </c>
      <c r="H111" s="187">
        <v>44333</v>
      </c>
      <c r="I111" s="184">
        <v>139.96642175819056</v>
      </c>
      <c r="J111" s="37">
        <v>352</v>
      </c>
      <c r="K111" s="194">
        <f t="shared" si="0"/>
        <v>35589605.687439941</v>
      </c>
      <c r="L111" s="194">
        <f t="shared" si="3"/>
        <v>-1370135.7625598609</v>
      </c>
      <c r="M111" s="37">
        <f t="shared" si="4"/>
        <v>3.7071032123247395E-2</v>
      </c>
    </row>
    <row r="112" spans="1:20">
      <c r="A112" s="183">
        <v>39479</v>
      </c>
      <c r="B112" s="284">
        <v>33315884.939999737</v>
      </c>
      <c r="C112" s="194">
        <f>'Weather Data'!B208</f>
        <v>921.50000000000011</v>
      </c>
      <c r="D112" s="194">
        <f>'Weather Data'!C208</f>
        <v>0</v>
      </c>
      <c r="E112" s="194">
        <v>29</v>
      </c>
      <c r="F112" s="194">
        <v>0</v>
      </c>
      <c r="G112" s="184">
        <f>'CDM Activity'!I44</f>
        <v>523348.58624051337</v>
      </c>
      <c r="H112" s="187">
        <v>44401</v>
      </c>
      <c r="I112" s="184">
        <v>139.86101141442734</v>
      </c>
      <c r="J112" s="37">
        <v>320</v>
      </c>
      <c r="K112" s="194">
        <f t="shared" si="0"/>
        <v>33430999.422668085</v>
      </c>
      <c r="L112" s="194">
        <f t="shared" si="3"/>
        <v>115114.48266834766</v>
      </c>
      <c r="M112" s="37">
        <f t="shared" si="4"/>
        <v>3.4552431332880141E-3</v>
      </c>
    </row>
    <row r="113" spans="1:13">
      <c r="A113" s="183">
        <v>39508</v>
      </c>
      <c r="B113" s="284">
        <v>32204211.009999871</v>
      </c>
      <c r="C113" s="194">
        <f>'Weather Data'!B209</f>
        <v>791.9</v>
      </c>
      <c r="D113" s="194">
        <f>'Weather Data'!C209</f>
        <v>0</v>
      </c>
      <c r="E113" s="194">
        <v>31</v>
      </c>
      <c r="F113" s="194">
        <v>1</v>
      </c>
      <c r="G113" s="184">
        <f>'CDM Activity'!I45</f>
        <v>533273.53019856126</v>
      </c>
      <c r="H113" s="187">
        <v>44333</v>
      </c>
      <c r="I113" s="184">
        <v>139.75568045642274</v>
      </c>
      <c r="J113" s="37">
        <v>304</v>
      </c>
      <c r="K113" s="194">
        <f t="shared" si="0"/>
        <v>32708429.587626841</v>
      </c>
      <c r="L113" s="194">
        <f t="shared" si="3"/>
        <v>504218.57762696967</v>
      </c>
      <c r="M113" s="37">
        <f t="shared" si="4"/>
        <v>1.5656914478370625E-2</v>
      </c>
    </row>
    <row r="114" spans="1:13">
      <c r="A114" s="183">
        <v>39539</v>
      </c>
      <c r="B114" s="284">
        <v>27546470.049999915</v>
      </c>
      <c r="C114" s="194">
        <f>'Weather Data'!B210</f>
        <v>456.89999999999986</v>
      </c>
      <c r="D114" s="194">
        <f>'Weather Data'!C210</f>
        <v>0</v>
      </c>
      <c r="E114" s="194">
        <v>30</v>
      </c>
      <c r="F114" s="194">
        <v>1</v>
      </c>
      <c r="G114" s="184">
        <f>'CDM Activity'!I46</f>
        <v>543198.47415660915</v>
      </c>
      <c r="H114" s="187">
        <v>44453</v>
      </c>
      <c r="I114" s="184">
        <v>139.65042882439042</v>
      </c>
      <c r="J114" s="37">
        <v>352</v>
      </c>
      <c r="K114" s="194">
        <f t="shared" si="0"/>
        <v>27218386.233081795</v>
      </c>
      <c r="L114" s="194">
        <f t="shared" si="3"/>
        <v>-328083.81691811979</v>
      </c>
      <c r="M114" s="37">
        <f t="shared" si="4"/>
        <v>1.1910194530283229E-2</v>
      </c>
    </row>
    <row r="115" spans="1:13">
      <c r="A115" s="183">
        <v>39569</v>
      </c>
      <c r="B115" s="284">
        <v>25811018.169999894</v>
      </c>
      <c r="C115" s="194">
        <f>'Weather Data'!B211</f>
        <v>327.7</v>
      </c>
      <c r="D115" s="194">
        <f>'Weather Data'!C211</f>
        <v>0</v>
      </c>
      <c r="E115" s="194">
        <v>31</v>
      </c>
      <c r="F115" s="194">
        <v>1</v>
      </c>
      <c r="G115" s="184">
        <f>'CDM Activity'!I47</f>
        <v>553123.41811465705</v>
      </c>
      <c r="H115" s="187">
        <v>44678</v>
      </c>
      <c r="I115" s="184">
        <v>139.54525645858905</v>
      </c>
      <c r="J115" s="37">
        <v>336</v>
      </c>
      <c r="K115" s="194">
        <f t="shared" si="0"/>
        <v>26450577.680178851</v>
      </c>
      <c r="L115" s="194">
        <f t="shared" si="3"/>
        <v>639559.51017895713</v>
      </c>
      <c r="M115" s="37">
        <f t="shared" si="4"/>
        <v>2.4778546354374976E-2</v>
      </c>
    </row>
    <row r="116" spans="1:13">
      <c r="A116" s="183">
        <v>39600</v>
      </c>
      <c r="B116" s="284">
        <v>23670990.890000027</v>
      </c>
      <c r="C116" s="194">
        <f>'Weather Data'!B212</f>
        <v>109.89999999999998</v>
      </c>
      <c r="D116" s="194">
        <f>'Weather Data'!C212</f>
        <v>4.5999999999999996</v>
      </c>
      <c r="E116" s="194">
        <v>30</v>
      </c>
      <c r="F116" s="194">
        <v>0</v>
      </c>
      <c r="G116" s="184">
        <f>'CDM Activity'!I48</f>
        <v>563048.36207270494</v>
      </c>
      <c r="H116" s="187">
        <v>44475</v>
      </c>
      <c r="I116" s="184">
        <v>139.44016329932234</v>
      </c>
      <c r="J116" s="37">
        <v>336</v>
      </c>
      <c r="K116" s="194">
        <f t="shared" si="0"/>
        <v>23664044.46664907</v>
      </c>
      <c r="L116" s="194">
        <f t="shared" si="3"/>
        <v>-6946.423350956291</v>
      </c>
      <c r="M116" s="37">
        <f t="shared" si="4"/>
        <v>2.9345722717044582E-4</v>
      </c>
    </row>
    <row r="117" spans="1:13">
      <c r="A117" s="183">
        <v>39630</v>
      </c>
      <c r="B117" s="284">
        <v>24760370.830000084</v>
      </c>
      <c r="C117" s="194">
        <f>'Weather Data'!B213</f>
        <v>34.700000000000003</v>
      </c>
      <c r="D117" s="194">
        <f>'Weather Data'!C213</f>
        <v>22.1</v>
      </c>
      <c r="E117" s="194">
        <v>31</v>
      </c>
      <c r="F117" s="194">
        <v>0</v>
      </c>
      <c r="G117" s="184">
        <f>'CDM Activity'!I49</f>
        <v>572973.30603075284</v>
      </c>
      <c r="H117" s="187">
        <v>44447</v>
      </c>
      <c r="I117" s="184">
        <v>139.3351492869389</v>
      </c>
      <c r="J117" s="37">
        <v>352</v>
      </c>
      <c r="K117" s="194">
        <f t="shared" si="0"/>
        <v>24385927.133001994</v>
      </c>
      <c r="L117" s="194">
        <f t="shared" si="3"/>
        <v>-374443.69699808955</v>
      </c>
      <c r="M117" s="37">
        <f t="shared" si="4"/>
        <v>1.512270149623152E-2</v>
      </c>
    </row>
    <row r="118" spans="1:13">
      <c r="A118" s="183">
        <v>39661</v>
      </c>
      <c r="B118" s="284">
        <v>25074714.10000005</v>
      </c>
      <c r="C118" s="194">
        <f>'Weather Data'!B214</f>
        <v>50.400000000000006</v>
      </c>
      <c r="D118" s="194">
        <f>'Weather Data'!C214</f>
        <v>22.200000000000003</v>
      </c>
      <c r="E118" s="194">
        <v>31</v>
      </c>
      <c r="F118" s="194">
        <v>0</v>
      </c>
      <c r="G118" s="184">
        <f>'CDM Activity'!I50</f>
        <v>582898.24998880073</v>
      </c>
      <c r="H118" s="187">
        <v>44683</v>
      </c>
      <c r="I118" s="184">
        <v>139.23021436183228</v>
      </c>
      <c r="J118" s="37">
        <v>320</v>
      </c>
      <c r="K118" s="194">
        <f t="shared" si="0"/>
        <v>24582816.368526813</v>
      </c>
      <c r="L118" s="194">
        <f t="shared" si="3"/>
        <v>-491897.73147323728</v>
      </c>
      <c r="M118" s="37">
        <f t="shared" si="4"/>
        <v>1.9617281756892944E-2</v>
      </c>
    </row>
    <row r="119" spans="1:13">
      <c r="A119" s="183">
        <v>39692</v>
      </c>
      <c r="B119" s="284">
        <v>24527138.439999893</v>
      </c>
      <c r="C119" s="194">
        <f>'Weather Data'!B215</f>
        <v>193.29999999999998</v>
      </c>
      <c r="D119" s="194">
        <f>'Weather Data'!C215</f>
        <v>7</v>
      </c>
      <c r="E119" s="194">
        <v>30</v>
      </c>
      <c r="F119" s="194">
        <v>1</v>
      </c>
      <c r="G119" s="184">
        <f>'CDM Activity'!I51</f>
        <v>592823.19394684862</v>
      </c>
      <c r="H119" s="187">
        <v>44620</v>
      </c>
      <c r="I119" s="184">
        <v>139.12535846444095</v>
      </c>
      <c r="J119" s="37">
        <v>336</v>
      </c>
      <c r="K119" s="194">
        <f t="shared" si="0"/>
        <v>23901897.952439975</v>
      </c>
      <c r="L119" s="194">
        <f t="shared" si="3"/>
        <v>-625240.48755991831</v>
      </c>
      <c r="M119" s="37">
        <f t="shared" si="4"/>
        <v>2.5491782871019709E-2</v>
      </c>
    </row>
    <row r="120" spans="1:13">
      <c r="A120" s="183">
        <v>39722</v>
      </c>
      <c r="B120" s="284">
        <v>27463878.839999922</v>
      </c>
      <c r="C120" s="194">
        <f>'Weather Data'!B216</f>
        <v>373.09999999999997</v>
      </c>
      <c r="D120" s="194">
        <f>'Weather Data'!C216</f>
        <v>0</v>
      </c>
      <c r="E120" s="194">
        <v>31</v>
      </c>
      <c r="F120" s="194">
        <v>1</v>
      </c>
      <c r="G120" s="184">
        <f>'CDM Activity'!I52</f>
        <v>602748.13790489652</v>
      </c>
      <c r="H120" s="187">
        <v>44594</v>
      </c>
      <c r="I120" s="184">
        <v>139.02058153524823</v>
      </c>
      <c r="J120" s="37">
        <v>352</v>
      </c>
      <c r="K120" s="194">
        <f t="shared" si="0"/>
        <v>26969478.545435939</v>
      </c>
      <c r="L120" s="194">
        <f t="shared" si="3"/>
        <v>-494400.29456398264</v>
      </c>
      <c r="M120" s="37">
        <f t="shared" si="4"/>
        <v>1.8001837884745929E-2</v>
      </c>
    </row>
    <row r="121" spans="1:13">
      <c r="A121" s="183">
        <v>39753</v>
      </c>
      <c r="B121" s="284">
        <v>31251337.249999966</v>
      </c>
      <c r="C121" s="194">
        <f>'Weather Data'!B217</f>
        <v>591.00000000000011</v>
      </c>
      <c r="D121" s="194">
        <f>'Weather Data'!C217</f>
        <v>0</v>
      </c>
      <c r="E121" s="194">
        <v>30</v>
      </c>
      <c r="F121" s="194">
        <v>1</v>
      </c>
      <c r="G121" s="184">
        <f>'CDM Activity'!I53</f>
        <v>612673.08186294441</v>
      </c>
      <c r="H121" s="187">
        <v>44809</v>
      </c>
      <c r="I121" s="184">
        <v>138.91588351478222</v>
      </c>
      <c r="J121" s="37">
        <v>304</v>
      </c>
      <c r="K121" s="194">
        <f t="shared" si="0"/>
        <v>28890344.957430925</v>
      </c>
      <c r="L121" s="194">
        <f t="shared" si="3"/>
        <v>-2360992.2925690413</v>
      </c>
      <c r="M121" s="37">
        <f t="shared" si="4"/>
        <v>7.5548520489920598E-2</v>
      </c>
    </row>
    <row r="122" spans="1:13">
      <c r="A122" s="183">
        <v>39783</v>
      </c>
      <c r="B122" s="284">
        <v>37054439.399999842</v>
      </c>
      <c r="C122" s="194">
        <f>'Weather Data'!B218</f>
        <v>1033.7999999999997</v>
      </c>
      <c r="D122" s="194">
        <f>'Weather Data'!C218</f>
        <v>0</v>
      </c>
      <c r="E122" s="194">
        <v>31</v>
      </c>
      <c r="F122" s="194">
        <v>0</v>
      </c>
      <c r="G122" s="184">
        <f>'CDM Activity'!I54</f>
        <v>622598.0258209923</v>
      </c>
      <c r="H122" s="187">
        <v>44624</v>
      </c>
      <c r="I122" s="184">
        <v>138.8112643436159</v>
      </c>
      <c r="J122" s="37">
        <v>336</v>
      </c>
      <c r="K122" s="194">
        <f t="shared" si="0"/>
        <v>36720732.699311011</v>
      </c>
      <c r="L122" s="194">
        <f t="shared" si="3"/>
        <v>-333706.70068883151</v>
      </c>
      <c r="M122" s="188">
        <f t="shared" si="4"/>
        <v>9.005849395979067E-3</v>
      </c>
    </row>
    <row r="123" spans="1:13">
      <c r="A123" s="183">
        <v>39814</v>
      </c>
      <c r="B123" s="284">
        <v>38386142.999999948</v>
      </c>
      <c r="C123" s="194">
        <f>'Weather Data'!B219</f>
        <v>1093.3999999999996</v>
      </c>
      <c r="D123" s="194">
        <f>'Weather Data'!C219</f>
        <v>0</v>
      </c>
      <c r="E123" s="194">
        <v>31</v>
      </c>
      <c r="F123" s="194">
        <v>0</v>
      </c>
      <c r="G123" s="184">
        <f>'CDM Activity'!I55</f>
        <v>632742.12409511243</v>
      </c>
      <c r="H123" s="187">
        <v>44558</v>
      </c>
      <c r="I123" s="184">
        <v>138.38779708736809</v>
      </c>
      <c r="J123" s="37">
        <v>336</v>
      </c>
      <c r="K123" s="194">
        <f t="shared" si="0"/>
        <v>37501272.349523053</v>
      </c>
      <c r="L123" s="194">
        <f t="shared" si="3"/>
        <v>-884870.65047689527</v>
      </c>
      <c r="M123" s="37">
        <f t="shared" si="4"/>
        <v>2.3051824989994345E-2</v>
      </c>
    </row>
    <row r="124" spans="1:13">
      <c r="A124" s="183">
        <v>39845</v>
      </c>
      <c r="B124" s="284">
        <v>32364264.230000056</v>
      </c>
      <c r="C124" s="194">
        <f>'Weather Data'!B220</f>
        <v>838.90000000000009</v>
      </c>
      <c r="D124" s="194">
        <f>'Weather Data'!C220</f>
        <v>0</v>
      </c>
      <c r="E124" s="194">
        <v>28</v>
      </c>
      <c r="F124" s="194">
        <v>0</v>
      </c>
      <c r="G124" s="184">
        <f>'CDM Activity'!I56</f>
        <v>642886.22236923256</v>
      </c>
      <c r="H124" s="187">
        <v>44533</v>
      </c>
      <c r="I124" s="184">
        <v>137.965621689659</v>
      </c>
      <c r="J124" s="37">
        <v>304</v>
      </c>
      <c r="K124" s="194">
        <f t="shared" si="0"/>
        <v>31126079.777848341</v>
      </c>
      <c r="L124" s="194">
        <f t="shared" si="3"/>
        <v>-1238184.4521517158</v>
      </c>
      <c r="M124" s="37">
        <f t="shared" si="4"/>
        <v>3.8257766138368766E-2</v>
      </c>
    </row>
    <row r="125" spans="1:13">
      <c r="A125" s="183">
        <v>39873</v>
      </c>
      <c r="B125" s="284">
        <v>32111110.449999887</v>
      </c>
      <c r="C125" s="194">
        <f>'Weather Data'!B221</f>
        <v>762.3</v>
      </c>
      <c r="D125" s="194">
        <f>'Weather Data'!C221</f>
        <v>0</v>
      </c>
      <c r="E125" s="194">
        <v>31</v>
      </c>
      <c r="F125" s="194">
        <v>1</v>
      </c>
      <c r="G125" s="184">
        <f>'CDM Activity'!I57</f>
        <v>653030.32064335269</v>
      </c>
      <c r="H125" s="187">
        <v>44479</v>
      </c>
      <c r="I125" s="184">
        <v>137.54473420945553</v>
      </c>
      <c r="J125" s="37">
        <v>352</v>
      </c>
      <c r="K125" s="194">
        <f t="shared" si="0"/>
        <v>32095386.533655569</v>
      </c>
      <c r="L125" s="194">
        <f t="shared" si="3"/>
        <v>-15723.916344318539</v>
      </c>
      <c r="M125" s="37">
        <f t="shared" si="4"/>
        <v>4.8967214537168379E-4</v>
      </c>
    </row>
    <row r="126" spans="1:13">
      <c r="A126" s="183">
        <v>39904</v>
      </c>
      <c r="B126" s="284">
        <v>27582319.489999644</v>
      </c>
      <c r="C126" s="194">
        <f>'Weather Data'!B222</f>
        <v>453.2</v>
      </c>
      <c r="D126" s="194">
        <f>'Weather Data'!C222</f>
        <v>0</v>
      </c>
      <c r="E126" s="194">
        <v>30</v>
      </c>
      <c r="F126" s="194">
        <v>1</v>
      </c>
      <c r="G126" s="184">
        <f>'CDM Activity'!I58</f>
        <v>663174.41891747282</v>
      </c>
      <c r="H126" s="187">
        <v>44545</v>
      </c>
      <c r="I126" s="184">
        <v>137.12513071774731</v>
      </c>
      <c r="J126" s="37">
        <v>320</v>
      </c>
      <c r="K126" s="194">
        <f t="shared" si="0"/>
        <v>26952103.382528674</v>
      </c>
      <c r="L126" s="194">
        <f t="shared" si="3"/>
        <v>-630216.1074709706</v>
      </c>
      <c r="M126" s="287">
        <f t="shared" si="4"/>
        <v>2.284855367944905E-2</v>
      </c>
    </row>
    <row r="127" spans="1:13">
      <c r="A127" s="183">
        <v>39934</v>
      </c>
      <c r="B127" s="284">
        <v>25664853.929999951</v>
      </c>
      <c r="C127" s="194">
        <f>'Weather Data'!B223</f>
        <v>319.8</v>
      </c>
      <c r="D127" s="194">
        <f>'Weather Data'!C223</f>
        <v>0</v>
      </c>
      <c r="E127" s="194">
        <v>31</v>
      </c>
      <c r="F127" s="194">
        <v>1</v>
      </c>
      <c r="G127" s="184">
        <f>'CDM Activity'!I59</f>
        <v>673318.51719159295</v>
      </c>
      <c r="H127" s="187">
        <v>44731</v>
      </c>
      <c r="I127" s="184">
        <v>136.70680729751015</v>
      </c>
      <c r="J127" s="37">
        <v>320</v>
      </c>
      <c r="K127" s="194">
        <f t="shared" si="0"/>
        <v>26127603.443293735</v>
      </c>
      <c r="L127" s="194">
        <f t="shared" si="3"/>
        <v>462749.51329378411</v>
      </c>
      <c r="M127" s="37">
        <f t="shared" si="4"/>
        <v>1.8030475238858489E-2</v>
      </c>
    </row>
    <row r="128" spans="1:13">
      <c r="A128" s="183">
        <v>39965</v>
      </c>
      <c r="B128" s="284">
        <v>23320632.669999916</v>
      </c>
      <c r="C128" s="194">
        <f>'Weather Data'!B224</f>
        <v>141.80000000000001</v>
      </c>
      <c r="D128" s="194">
        <f>'Weather Data'!C224</f>
        <v>13.7</v>
      </c>
      <c r="E128" s="194">
        <v>30</v>
      </c>
      <c r="F128" s="194">
        <v>0</v>
      </c>
      <c r="G128" s="184">
        <f>'CDM Activity'!I60</f>
        <v>683462.61546571308</v>
      </c>
      <c r="H128" s="187">
        <v>44604</v>
      </c>
      <c r="I128" s="184">
        <v>136.28976004366936</v>
      </c>
      <c r="J128" s="37">
        <v>352</v>
      </c>
      <c r="K128" s="194">
        <f t="shared" si="0"/>
        <v>24272405.297671672</v>
      </c>
      <c r="L128" s="194">
        <f t="shared" si="3"/>
        <v>951772.62767175585</v>
      </c>
      <c r="M128" s="37">
        <f t="shared" si="4"/>
        <v>4.0812470276423221E-2</v>
      </c>
    </row>
    <row r="129" spans="1:13">
      <c r="A129" s="183">
        <v>39995</v>
      </c>
      <c r="B129" s="284">
        <v>24041096.170000102</v>
      </c>
      <c r="C129" s="194">
        <f>'Weather Data'!B225</f>
        <v>74.5</v>
      </c>
      <c r="D129" s="194">
        <f>'Weather Data'!C225</f>
        <v>2</v>
      </c>
      <c r="E129" s="194">
        <v>31</v>
      </c>
      <c r="F129" s="194">
        <v>0</v>
      </c>
      <c r="G129" s="184">
        <f>'CDM Activity'!I61</f>
        <v>693606.71373983321</v>
      </c>
      <c r="H129" s="187">
        <v>44542</v>
      </c>
      <c r="I129" s="184">
        <v>135.87398506306334</v>
      </c>
      <c r="J129" s="37">
        <v>352</v>
      </c>
      <c r="K129" s="194">
        <f t="shared" si="0"/>
        <v>23821837.554283496</v>
      </c>
      <c r="L129" s="194">
        <f t="shared" si="3"/>
        <v>-219258.61571660638</v>
      </c>
      <c r="M129" s="37">
        <f t="shared" si="4"/>
        <v>9.1201588382733654E-3</v>
      </c>
    </row>
    <row r="130" spans="1:13">
      <c r="A130" s="183">
        <v>40026</v>
      </c>
      <c r="B130" s="284">
        <v>24433772.640000012</v>
      </c>
      <c r="C130" s="194">
        <f>'Weather Data'!B226</f>
        <v>84.2</v>
      </c>
      <c r="D130" s="194">
        <f>'Weather Data'!C226</f>
        <v>14.2</v>
      </c>
      <c r="E130" s="194">
        <v>31</v>
      </c>
      <c r="F130" s="194">
        <v>0</v>
      </c>
      <c r="G130" s="184">
        <f>'CDM Activity'!I62</f>
        <v>703750.81201395334</v>
      </c>
      <c r="H130" s="187">
        <v>44538</v>
      </c>
      <c r="I130" s="184">
        <v>135.45947847440726</v>
      </c>
      <c r="J130" s="37">
        <v>320</v>
      </c>
      <c r="K130" s="194">
        <f t="shared" si="0"/>
        <v>24467467.667634469</v>
      </c>
      <c r="L130" s="194">
        <f t="shared" si="3"/>
        <v>33695.027634456754</v>
      </c>
      <c r="M130" s="37">
        <f t="shared" si="4"/>
        <v>1.3790349992573532E-3</v>
      </c>
    </row>
    <row r="131" spans="1:13">
      <c r="A131" s="183">
        <v>40057</v>
      </c>
      <c r="B131" s="284">
        <v>24530858.359999929</v>
      </c>
      <c r="C131" s="194">
        <f>'Weather Data'!B227</f>
        <v>102.8</v>
      </c>
      <c r="D131" s="194">
        <f>'Weather Data'!C227</f>
        <v>3.5</v>
      </c>
      <c r="E131" s="194">
        <v>30</v>
      </c>
      <c r="F131" s="194">
        <v>1</v>
      </c>
      <c r="G131" s="184">
        <f>'CDM Activity'!I63</f>
        <v>713894.91028807347</v>
      </c>
      <c r="H131" s="187">
        <v>44722</v>
      </c>
      <c r="I131" s="184">
        <v>135.04623640825679</v>
      </c>
      <c r="J131" s="37">
        <v>336</v>
      </c>
      <c r="K131" s="194">
        <f t="shared" si="0"/>
        <v>22317016.024838902</v>
      </c>
      <c r="L131" s="194">
        <f t="shared" si="3"/>
        <v>-2213842.3351610266</v>
      </c>
      <c r="M131" s="37">
        <f t="shared" si="4"/>
        <v>9.0247242989708126E-2</v>
      </c>
    </row>
    <row r="132" spans="1:13">
      <c r="A132" s="183">
        <v>40087</v>
      </c>
      <c r="B132" s="284">
        <v>27407141.959999695</v>
      </c>
      <c r="C132" s="194">
        <f>'Weather Data'!B228</f>
        <v>451.40000000000003</v>
      </c>
      <c r="D132" s="194">
        <f>'Weather Data'!C228</f>
        <v>0</v>
      </c>
      <c r="E132" s="194">
        <v>31</v>
      </c>
      <c r="F132" s="194">
        <v>1</v>
      </c>
      <c r="G132" s="184">
        <f>'CDM Activity'!I64</f>
        <v>724039.0085621936</v>
      </c>
      <c r="H132" s="187">
        <v>44786</v>
      </c>
      <c r="I132" s="184">
        <v>134.63425500697198</v>
      </c>
      <c r="J132" s="37">
        <v>336</v>
      </c>
      <c r="K132" s="194">
        <f t="shared" si="0"/>
        <v>27799924.799522601</v>
      </c>
      <c r="L132" s="194">
        <f t="shared" si="3"/>
        <v>392782.83952290565</v>
      </c>
      <c r="M132" s="37">
        <f t="shared" si="4"/>
        <v>1.433140456951572E-2</v>
      </c>
    </row>
    <row r="133" spans="1:13">
      <c r="A133" s="183">
        <v>40118</v>
      </c>
      <c r="B133" s="284">
        <v>29972143.999999814</v>
      </c>
      <c r="C133" s="194">
        <f>'Weather Data'!B229</f>
        <v>473.49999999999994</v>
      </c>
      <c r="D133" s="194">
        <f>'Weather Data'!C229</f>
        <v>0</v>
      </c>
      <c r="E133" s="194">
        <v>30</v>
      </c>
      <c r="F133" s="194">
        <v>1</v>
      </c>
      <c r="G133" s="184">
        <f>'CDM Activity'!I65</f>
        <v>734183.10683631373</v>
      </c>
      <c r="H133" s="187">
        <v>44620</v>
      </c>
      <c r="I133" s="184">
        <v>134.22353042468131</v>
      </c>
      <c r="J133" s="37">
        <v>320</v>
      </c>
      <c r="K133" s="194">
        <f t="shared" si="0"/>
        <v>27095949.506377362</v>
      </c>
      <c r="L133" s="194">
        <f t="shared" si="3"/>
        <v>-2876194.493622452</v>
      </c>
      <c r="M133" s="37">
        <f t="shared" si="4"/>
        <v>9.5962253938939771E-2</v>
      </c>
    </row>
    <row r="134" spans="1:13">
      <c r="A134" s="183">
        <v>40148</v>
      </c>
      <c r="B134" s="284">
        <v>34913483.790000267</v>
      </c>
      <c r="C134" s="194">
        <f>'Weather Data'!B230</f>
        <v>914.89999999999986</v>
      </c>
      <c r="D134" s="194">
        <f>'Weather Data'!C230</f>
        <v>0</v>
      </c>
      <c r="E134" s="194">
        <v>31</v>
      </c>
      <c r="F134" s="194">
        <v>0</v>
      </c>
      <c r="G134" s="184">
        <f>'CDM Activity'!I66</f>
        <v>744327.20511043386</v>
      </c>
      <c r="H134" s="187">
        <v>44706</v>
      </c>
      <c r="I134" s="184">
        <v>133.81405882724573</v>
      </c>
      <c r="J134" s="37">
        <v>352</v>
      </c>
      <c r="K134" s="194">
        <f t="shared" si="0"/>
        <v>34907176.242367327</v>
      </c>
      <c r="L134" s="194">
        <f t="shared" si="3"/>
        <v>-6307.5476329401135</v>
      </c>
      <c r="M134" s="37">
        <f t="shared" si="4"/>
        <v>1.8066222411029309E-4</v>
      </c>
    </row>
    <row r="135" spans="1:13">
      <c r="A135" s="183">
        <v>40179</v>
      </c>
      <c r="B135" s="284">
        <v>36085553.260000087</v>
      </c>
      <c r="C135" s="194">
        <f>'Weather Data'!B231</f>
        <v>900.20000000000027</v>
      </c>
      <c r="D135" s="194">
        <f>'Weather Data'!C231</f>
        <v>0</v>
      </c>
      <c r="E135" s="194">
        <v>31</v>
      </c>
      <c r="F135" s="194">
        <v>0</v>
      </c>
      <c r="G135" s="184">
        <f>'CDM Activity'!I67</f>
        <v>715812.91985037085</v>
      </c>
      <c r="H135" s="187">
        <v>44629</v>
      </c>
      <c r="I135" s="184">
        <v>134.14408039564063</v>
      </c>
      <c r="J135" s="194">
        <v>320</v>
      </c>
      <c r="K135" s="194">
        <f t="shared" si="0"/>
        <v>34761641.533432983</v>
      </c>
      <c r="L135" s="194">
        <f t="shared" si="3"/>
        <v>-1323911.7265671045</v>
      </c>
      <c r="M135" s="37">
        <f t="shared" si="4"/>
        <v>3.6688137134220603E-2</v>
      </c>
    </row>
    <row r="136" spans="1:13">
      <c r="A136" s="183">
        <v>40210</v>
      </c>
      <c r="B136" s="284">
        <v>30010764.890000019</v>
      </c>
      <c r="C136" s="194">
        <f>'Weather Data'!B232</f>
        <v>778.39999999999975</v>
      </c>
      <c r="D136" s="194">
        <f>'Weather Data'!C232</f>
        <v>0</v>
      </c>
      <c r="E136" s="194">
        <v>28</v>
      </c>
      <c r="F136" s="194">
        <v>0</v>
      </c>
      <c r="G136" s="184">
        <f>'CDM Activity'!I68</f>
        <v>687298.63459030783</v>
      </c>
      <c r="H136" s="187">
        <v>44651</v>
      </c>
      <c r="I136" s="184">
        <v>134.47491588625388</v>
      </c>
      <c r="J136" s="194">
        <v>304</v>
      </c>
      <c r="K136" s="194">
        <f t="shared" si="0"/>
        <v>30234942.01385041</v>
      </c>
      <c r="L136" s="194">
        <f t="shared" si="3"/>
        <v>224177.12385039032</v>
      </c>
      <c r="M136" s="37">
        <f t="shared" si="4"/>
        <v>7.4698903767390842E-3</v>
      </c>
    </row>
    <row r="137" spans="1:13">
      <c r="A137" s="183">
        <v>40238</v>
      </c>
      <c r="B137" s="284">
        <v>28911520.730000079</v>
      </c>
      <c r="C137" s="194">
        <f>'Weather Data'!B233</f>
        <v>514.4</v>
      </c>
      <c r="D137" s="194">
        <f>'Weather Data'!C233</f>
        <v>0</v>
      </c>
      <c r="E137" s="194">
        <v>31</v>
      </c>
      <c r="F137" s="194">
        <v>1</v>
      </c>
      <c r="G137" s="184">
        <f>'CDM Activity'!I69</f>
        <v>658784.34933024482</v>
      </c>
      <c r="H137" s="187">
        <v>44651</v>
      </c>
      <c r="I137" s="184">
        <v>134.80656730643724</v>
      </c>
      <c r="J137" s="194">
        <v>368</v>
      </c>
      <c r="K137" s="194">
        <f t="shared" si="0"/>
        <v>28762215.114805553</v>
      </c>
      <c r="L137" s="194">
        <f t="shared" si="3"/>
        <v>-149305.61519452557</v>
      </c>
      <c r="M137" s="37">
        <f t="shared" si="4"/>
        <v>5.1642255898216522E-3</v>
      </c>
    </row>
    <row r="138" spans="1:13">
      <c r="A138" s="183">
        <v>40269</v>
      </c>
      <c r="B138" s="284">
        <v>25118804.909999732</v>
      </c>
      <c r="C138" s="194">
        <f>'Weather Data'!B234</f>
        <v>358.00000000000011</v>
      </c>
      <c r="D138" s="194">
        <f>'Weather Data'!C234</f>
        <v>0</v>
      </c>
      <c r="E138" s="194">
        <v>30</v>
      </c>
      <c r="F138" s="194">
        <v>1</v>
      </c>
      <c r="G138" s="184">
        <f>'CDM Activity'!I70</f>
        <v>630270.0640701818</v>
      </c>
      <c r="H138" s="187">
        <v>44625</v>
      </c>
      <c r="I138" s="184">
        <v>135.13903666849313</v>
      </c>
      <c r="J138" s="194">
        <v>320</v>
      </c>
      <c r="K138" s="194">
        <f t="shared" si="0"/>
        <v>25735499.161784187</v>
      </c>
      <c r="L138" s="194">
        <f t="shared" si="3"/>
        <v>616694.25178445503</v>
      </c>
      <c r="M138" s="37">
        <f t="shared" si="4"/>
        <v>2.4551098429804304E-2</v>
      </c>
    </row>
    <row r="139" spans="1:13">
      <c r="A139" s="183">
        <v>40299</v>
      </c>
      <c r="B139" s="284">
        <v>24585712.38999987</v>
      </c>
      <c r="C139" s="194">
        <f>'Weather Data'!B235</f>
        <v>212.40000000000003</v>
      </c>
      <c r="D139" s="194">
        <f>'Weather Data'!C235</f>
        <v>0.6</v>
      </c>
      <c r="E139" s="194">
        <v>31</v>
      </c>
      <c r="F139" s="194">
        <v>1</v>
      </c>
      <c r="G139" s="184">
        <f>'CDM Activity'!I71</f>
        <v>601755.77881011879</v>
      </c>
      <c r="H139" s="187">
        <v>44628</v>
      </c>
      <c r="I139" s="184">
        <v>135.47232598968688</v>
      </c>
      <c r="J139" s="194">
        <v>320</v>
      </c>
      <c r="K139" s="194">
        <f t="shared" si="0"/>
        <v>24843554.207632236</v>
      </c>
      <c r="L139" s="194">
        <f t="shared" si="3"/>
        <v>257841.81763236597</v>
      </c>
      <c r="M139" s="37">
        <f t="shared" si="4"/>
        <v>1.0487465790791647E-2</v>
      </c>
    </row>
    <row r="140" spans="1:13">
      <c r="A140" s="183">
        <v>40330</v>
      </c>
      <c r="B140" s="284">
        <v>23836918.189999718</v>
      </c>
      <c r="C140" s="194">
        <f>'Weather Data'!B236</f>
        <v>106.30000000000003</v>
      </c>
      <c r="D140" s="194">
        <f>'Weather Data'!C236</f>
        <v>3.0000000000000004</v>
      </c>
      <c r="E140" s="194">
        <v>30</v>
      </c>
      <c r="F140" s="194">
        <v>0</v>
      </c>
      <c r="G140" s="184">
        <f>'CDM Activity'!I72</f>
        <v>573241.49355005578</v>
      </c>
      <c r="H140" s="187">
        <v>44772</v>
      </c>
      <c r="I140" s="184">
        <v>135.80643729225892</v>
      </c>
      <c r="J140" s="194">
        <v>352</v>
      </c>
      <c r="K140" s="194">
        <f t="shared" si="0"/>
        <v>23527356.934066027</v>
      </c>
      <c r="L140" s="194">
        <f t="shared" si="3"/>
        <v>-309561.25593369082</v>
      </c>
      <c r="M140" s="37">
        <f t="shared" si="4"/>
        <v>1.2986630799595595E-2</v>
      </c>
    </row>
    <row r="141" spans="1:13">
      <c r="A141" s="183">
        <v>40360</v>
      </c>
      <c r="B141" s="284">
        <v>25905019.170000263</v>
      </c>
      <c r="C141" s="194">
        <f>'Weather Data'!B237</f>
        <v>14.5</v>
      </c>
      <c r="D141" s="194">
        <f>'Weather Data'!C237</f>
        <v>52</v>
      </c>
      <c r="E141" s="194">
        <v>31</v>
      </c>
      <c r="F141" s="194">
        <v>0</v>
      </c>
      <c r="G141" s="184">
        <f>'CDM Activity'!I73</f>
        <v>544727.20828999276</v>
      </c>
      <c r="H141" s="187">
        <v>44773</v>
      </c>
      <c r="I141" s="184">
        <v>136.14137260343708</v>
      </c>
      <c r="J141" s="194">
        <v>336</v>
      </c>
      <c r="K141" s="194">
        <f t="shared" si="0"/>
        <v>25474767.181887493</v>
      </c>
      <c r="L141" s="194">
        <f t="shared" si="3"/>
        <v>-430251.98811277002</v>
      </c>
      <c r="M141" s="37">
        <f t="shared" si="4"/>
        <v>1.6608827242676989E-2</v>
      </c>
    </row>
    <row r="142" spans="1:13">
      <c r="A142" s="183">
        <v>40391</v>
      </c>
      <c r="B142" s="284">
        <v>26075806.560000002</v>
      </c>
      <c r="C142" s="194">
        <f>'Weather Data'!B238</f>
        <v>37.9</v>
      </c>
      <c r="D142" s="194">
        <f>'Weather Data'!C238</f>
        <v>55.8</v>
      </c>
      <c r="E142" s="194">
        <v>31</v>
      </c>
      <c r="F142" s="194">
        <v>0</v>
      </c>
      <c r="G142" s="184">
        <f>'CDM Activity'!I74</f>
        <v>516212.92302992969</v>
      </c>
      <c r="H142" s="187">
        <v>44748</v>
      </c>
      <c r="I142" s="184">
        <v>136.47713395544886</v>
      </c>
      <c r="J142" s="194">
        <v>336</v>
      </c>
      <c r="K142" s="194">
        <f t="shared" si="0"/>
        <v>26006221.486541502</v>
      </c>
      <c r="L142" s="194">
        <f t="shared" si="3"/>
        <v>-69585.073458500206</v>
      </c>
      <c r="M142" s="37">
        <f t="shared" si="4"/>
        <v>2.6685684026066881E-3</v>
      </c>
    </row>
    <row r="143" spans="1:13">
      <c r="A143" s="183">
        <v>40422</v>
      </c>
      <c r="B143" s="284">
        <v>24545247.180000003</v>
      </c>
      <c r="C143" s="194">
        <f>'Weather Data'!B239</f>
        <v>231.1</v>
      </c>
      <c r="D143" s="194">
        <f>'Weather Data'!C239</f>
        <v>0</v>
      </c>
      <c r="E143" s="194">
        <v>30</v>
      </c>
      <c r="F143" s="194">
        <v>1</v>
      </c>
      <c r="G143" s="184">
        <f>'CDM Activity'!I75</f>
        <v>487698.63776986662</v>
      </c>
      <c r="H143" s="187">
        <v>44858</v>
      </c>
      <c r="I143" s="184">
        <v>136.81372338553382</v>
      </c>
      <c r="J143" s="194">
        <v>336</v>
      </c>
      <c r="K143" s="194">
        <f t="shared" si="0"/>
        <v>24292067.647256713</v>
      </c>
      <c r="L143" s="194">
        <f t="shared" si="3"/>
        <v>-253179.53274329007</v>
      </c>
      <c r="M143" s="37">
        <f t="shared" si="4"/>
        <v>1.0314808846153573E-2</v>
      </c>
    </row>
    <row r="144" spans="1:13">
      <c r="A144" s="183">
        <v>40452</v>
      </c>
      <c r="B144" s="284">
        <v>26297636.290000055</v>
      </c>
      <c r="C144" s="194">
        <f>'Weather Data'!B240</f>
        <v>355.49999999999989</v>
      </c>
      <c r="D144" s="194">
        <f>'Weather Data'!C240</f>
        <v>0</v>
      </c>
      <c r="E144" s="194">
        <v>31</v>
      </c>
      <c r="F144" s="194">
        <v>1</v>
      </c>
      <c r="G144" s="184">
        <f>'CDM Activity'!I76</f>
        <v>459184.35250980355</v>
      </c>
      <c r="H144" s="187">
        <v>44861</v>
      </c>
      <c r="I144" s="184">
        <v>137.15114293595587</v>
      </c>
      <c r="J144" s="194">
        <v>320</v>
      </c>
      <c r="K144" s="194">
        <f t="shared" si="0"/>
        <v>26992864.543427642</v>
      </c>
      <c r="L144" s="194">
        <f t="shared" si="3"/>
        <v>695228.25342758745</v>
      </c>
      <c r="M144" s="37">
        <f t="shared" si="4"/>
        <v>2.6436910365664881E-2</v>
      </c>
    </row>
    <row r="145" spans="1:13">
      <c r="A145" s="183">
        <v>40483</v>
      </c>
      <c r="B145" s="284">
        <v>29657866.35999972</v>
      </c>
      <c r="C145" s="194">
        <f>'Weather Data'!B241</f>
        <v>549.40000000000009</v>
      </c>
      <c r="D145" s="194">
        <f>'Weather Data'!C241</f>
        <v>0</v>
      </c>
      <c r="E145" s="194">
        <v>30</v>
      </c>
      <c r="F145" s="194">
        <v>1</v>
      </c>
      <c r="G145" s="184">
        <f>'CDM Activity'!I77</f>
        <v>430670.06724974047</v>
      </c>
      <c r="H145" s="187">
        <v>44810</v>
      </c>
      <c r="I145" s="184">
        <v>137.48939465401571</v>
      </c>
      <c r="J145" s="194">
        <v>336</v>
      </c>
      <c r="K145" s="194">
        <f t="shared" si="0"/>
        <v>28661467.257830717</v>
      </c>
      <c r="L145" s="194">
        <f t="shared" si="3"/>
        <v>-996399.10216900334</v>
      </c>
      <c r="M145" s="37">
        <f t="shared" si="4"/>
        <v>3.359645262657434E-2</v>
      </c>
    </row>
    <row r="146" spans="1:13">
      <c r="A146" s="183">
        <v>40513</v>
      </c>
      <c r="B146" s="284">
        <v>34557679.539999954</v>
      </c>
      <c r="C146" s="194">
        <f>'Weather Data'!B242</f>
        <v>879.0999999999998</v>
      </c>
      <c r="D146" s="194">
        <f>'Weather Data'!C242</f>
        <v>0</v>
      </c>
      <c r="E146" s="194">
        <v>31</v>
      </c>
      <c r="F146" s="194">
        <v>0</v>
      </c>
      <c r="G146" s="184">
        <f>'CDM Activity'!I78</f>
        <v>402155.7819896774</v>
      </c>
      <c r="H146" s="187">
        <v>44821</v>
      </c>
      <c r="I146" s="184">
        <v>137.8284805920631</v>
      </c>
      <c r="J146" s="194">
        <v>368</v>
      </c>
      <c r="K146" s="194">
        <f t="shared" si="0"/>
        <v>35045320.981629252</v>
      </c>
      <c r="L146" s="194">
        <f t="shared" si="3"/>
        <v>487641.44162929803</v>
      </c>
      <c r="M146" s="37">
        <f t="shared" si="4"/>
        <v>1.4110942867702125E-2</v>
      </c>
    </row>
    <row r="147" spans="1:13">
      <c r="A147" s="183">
        <v>40544</v>
      </c>
      <c r="B147" s="284">
        <v>36516937.350000232</v>
      </c>
      <c r="C147" s="194">
        <f>'Weather Data'!B243</f>
        <v>1077.9000000000003</v>
      </c>
      <c r="D147" s="194">
        <f>'Weather Data'!C243</f>
        <v>0</v>
      </c>
      <c r="E147" s="287">
        <v>31</v>
      </c>
      <c r="F147" s="194">
        <v>0</v>
      </c>
      <c r="G147" s="184">
        <f>'CDM Activity'!I79</f>
        <v>433380.04574383411</v>
      </c>
      <c r="H147" s="187">
        <v>44726</v>
      </c>
      <c r="I147" s="184">
        <v>138.03353704635359</v>
      </c>
      <c r="J147" s="194">
        <v>336</v>
      </c>
      <c r="K147" s="194">
        <f t="shared" si="0"/>
        <v>37653583.699364379</v>
      </c>
      <c r="L147" s="194">
        <f t="shared" si="3"/>
        <v>1136646.3493641466</v>
      </c>
      <c r="M147" s="37">
        <f t="shared" si="4"/>
        <v>3.1126552001605343E-2</v>
      </c>
    </row>
    <row r="148" spans="1:13">
      <c r="A148" s="183">
        <v>40575</v>
      </c>
      <c r="B148" s="284">
        <v>31386775.589999977</v>
      </c>
      <c r="C148" s="194">
        <f>'Weather Data'!B244</f>
        <v>826.9</v>
      </c>
      <c r="D148" s="194">
        <f>'Weather Data'!C244</f>
        <v>0</v>
      </c>
      <c r="E148" s="287">
        <v>28</v>
      </c>
      <c r="F148" s="194">
        <v>0</v>
      </c>
      <c r="G148" s="184">
        <f>'CDM Activity'!I80</f>
        <v>464604.30949799082</v>
      </c>
      <c r="H148" s="187">
        <v>44775</v>
      </c>
      <c r="I148" s="184">
        <v>138.23889857655627</v>
      </c>
      <c r="J148" s="194">
        <v>304</v>
      </c>
      <c r="K148" s="194">
        <f t="shared" si="0"/>
        <v>31287231.114511907</v>
      </c>
      <c r="L148" s="194">
        <f t="shared" si="3"/>
        <v>-99544.475488070399</v>
      </c>
      <c r="M148" s="37">
        <f t="shared" si="4"/>
        <v>3.1715419509287181E-3</v>
      </c>
    </row>
    <row r="149" spans="1:13">
      <c r="A149" s="183">
        <v>40603</v>
      </c>
      <c r="B149" s="284">
        <v>31223082.410000503</v>
      </c>
      <c r="C149" s="194">
        <f>'Weather Data'!B245</f>
        <v>749.9</v>
      </c>
      <c r="D149" s="194">
        <f>'Weather Data'!C245</f>
        <v>0</v>
      </c>
      <c r="E149" s="287">
        <v>31</v>
      </c>
      <c r="F149" s="194">
        <v>1</v>
      </c>
      <c r="G149" s="184">
        <f>'CDM Activity'!I81</f>
        <v>495828.57325214753</v>
      </c>
      <c r="H149" s="187">
        <v>44762</v>
      </c>
      <c r="I149" s="184">
        <v>138.4445656365526</v>
      </c>
      <c r="J149" s="194">
        <v>368</v>
      </c>
      <c r="K149" s="194">
        <f t="shared" si="0"/>
        <v>32213103.398668777</v>
      </c>
      <c r="L149" s="194">
        <f t="shared" si="3"/>
        <v>990020.98866827413</v>
      </c>
      <c r="M149" s="37">
        <f t="shared" si="4"/>
        <v>3.1707983717558209E-2</v>
      </c>
    </row>
    <row r="150" spans="1:13">
      <c r="A150" s="183">
        <v>40634</v>
      </c>
      <c r="B150" s="284">
        <v>26878420.399999555</v>
      </c>
      <c r="C150" s="194">
        <f>'Weather Data'!B246</f>
        <v>482.30000000000007</v>
      </c>
      <c r="D150" s="194">
        <f>'Weather Data'!C246</f>
        <v>0</v>
      </c>
      <c r="E150" s="287">
        <v>30</v>
      </c>
      <c r="F150" s="194">
        <v>1</v>
      </c>
      <c r="G150" s="184">
        <f>'CDM Activity'!I82</f>
        <v>527052.8370063043</v>
      </c>
      <c r="H150" s="187">
        <v>44920</v>
      </c>
      <c r="I150" s="184">
        <v>138.65053868089922</v>
      </c>
      <c r="J150" s="194">
        <v>320</v>
      </c>
      <c r="K150" s="194">
        <f t="shared" si="0"/>
        <v>27588001.111789566</v>
      </c>
      <c r="L150" s="194">
        <f t="shared" si="3"/>
        <v>709580.71179001033</v>
      </c>
      <c r="M150" s="37">
        <f t="shared" si="4"/>
        <v>2.6399643328371414E-2</v>
      </c>
    </row>
    <row r="151" spans="1:13">
      <c r="A151" s="183">
        <v>40664</v>
      </c>
      <c r="B151" s="284">
        <v>24676485.139999926</v>
      </c>
      <c r="C151" s="194">
        <f>'Weather Data'!B247</f>
        <v>266.99999999999994</v>
      </c>
      <c r="D151" s="194">
        <f>'Weather Data'!C247</f>
        <v>0</v>
      </c>
      <c r="E151" s="287">
        <v>31</v>
      </c>
      <c r="F151" s="194">
        <v>1</v>
      </c>
      <c r="G151" s="184">
        <f>'CDM Activity'!I83</f>
        <v>558277.10076046106</v>
      </c>
      <c r="H151" s="187">
        <v>44927</v>
      </c>
      <c r="I151" s="184">
        <v>138.85681816482909</v>
      </c>
      <c r="J151" s="194">
        <v>336</v>
      </c>
      <c r="K151" s="194">
        <f t="shared" si="0"/>
        <v>25627664.555899721</v>
      </c>
      <c r="L151" s="194">
        <f t="shared" si="3"/>
        <v>951179.41589979455</v>
      </c>
      <c r="M151" s="37">
        <f t="shared" si="4"/>
        <v>3.8545984588297708E-2</v>
      </c>
    </row>
    <row r="152" spans="1:13">
      <c r="A152" s="183">
        <v>40695</v>
      </c>
      <c r="B152" s="284">
        <v>23151010.42999975</v>
      </c>
      <c r="C152" s="194">
        <f>'Weather Data'!B248</f>
        <v>110.1</v>
      </c>
      <c r="D152" s="194">
        <f>'Weather Data'!C248</f>
        <v>0</v>
      </c>
      <c r="E152" s="287">
        <v>30</v>
      </c>
      <c r="F152" s="194">
        <v>0</v>
      </c>
      <c r="G152" s="184">
        <f>'CDM Activity'!I84</f>
        <v>589501.36451461783</v>
      </c>
      <c r="H152" s="187">
        <v>44911</v>
      </c>
      <c r="I152" s="184">
        <v>139.06340454425245</v>
      </c>
      <c r="J152" s="194">
        <v>352</v>
      </c>
      <c r="K152" s="194">
        <f t="shared" ref="K152:K206" si="5">$O$103+C152*$O$104+D152*$O$105+E152*$O$106+F152*$O$107+G152*$O$108</f>
        <v>23417628.386004809</v>
      </c>
      <c r="L152" s="194">
        <f t="shared" si="3"/>
        <v>266617.95600505918</v>
      </c>
      <c r="M152" s="37">
        <f t="shared" si="4"/>
        <v>1.1516471681061831E-2</v>
      </c>
    </row>
    <row r="153" spans="1:13">
      <c r="A153" s="183">
        <v>40725</v>
      </c>
      <c r="B153" s="284">
        <v>25352001.299999826</v>
      </c>
      <c r="C153" s="194">
        <f>'Weather Data'!B249</f>
        <v>29.8</v>
      </c>
      <c r="D153" s="194">
        <f>'Weather Data'!C249</f>
        <v>63.7</v>
      </c>
      <c r="E153" s="287">
        <v>31</v>
      </c>
      <c r="F153" s="194">
        <v>0</v>
      </c>
      <c r="G153" s="184">
        <f>'CDM Activity'!I85</f>
        <v>620725.6282687746</v>
      </c>
      <c r="H153" s="187">
        <v>44960</v>
      </c>
      <c r="I153" s="184">
        <v>139.27029827575782</v>
      </c>
      <c r="J153" s="194">
        <v>320</v>
      </c>
      <c r="K153" s="194">
        <f t="shared" si="5"/>
        <v>26054635.646777123</v>
      </c>
      <c r="L153" s="194">
        <f t="shared" si="3"/>
        <v>702634.34677729756</v>
      </c>
      <c r="M153" s="37">
        <f t="shared" si="4"/>
        <v>2.7715143213459144E-2</v>
      </c>
    </row>
    <row r="154" spans="1:13">
      <c r="A154" s="183">
        <v>40756</v>
      </c>
      <c r="B154" s="284">
        <v>25813855.500000261</v>
      </c>
      <c r="C154" s="194">
        <f>'Weather Data'!B250</f>
        <v>22.2</v>
      </c>
      <c r="D154" s="194">
        <f>'Weather Data'!C250</f>
        <v>35.699999999999996</v>
      </c>
      <c r="E154" s="287">
        <v>31</v>
      </c>
      <c r="F154" s="194">
        <v>0</v>
      </c>
      <c r="G154" s="184">
        <f>'CDM Activity'!I86</f>
        <v>651949.89202293137</v>
      </c>
      <c r="H154" s="187">
        <v>44959</v>
      </c>
      <c r="I154" s="184">
        <v>139.477499816613</v>
      </c>
      <c r="J154" s="194">
        <v>352</v>
      </c>
      <c r="K154" s="194">
        <f t="shared" si="5"/>
        <v>24670947.537622537</v>
      </c>
      <c r="L154" s="194">
        <f t="shared" si="3"/>
        <v>-1142907.9623777233</v>
      </c>
      <c r="M154" s="37">
        <f t="shared" si="4"/>
        <v>4.4274981022409135E-2</v>
      </c>
    </row>
    <row r="155" spans="1:13">
      <c r="A155" s="183">
        <v>40787</v>
      </c>
      <c r="B155" s="284">
        <v>24597483.110000037</v>
      </c>
      <c r="C155" s="194">
        <f>'Weather Data'!B251</f>
        <v>172.3</v>
      </c>
      <c r="D155" s="194">
        <f>'Weather Data'!C251</f>
        <v>9.4</v>
      </c>
      <c r="E155" s="287">
        <v>30</v>
      </c>
      <c r="F155" s="194">
        <v>1</v>
      </c>
      <c r="G155" s="184">
        <f>'CDM Activity'!I87</f>
        <v>683174.15577708813</v>
      </c>
      <c r="H155" s="187">
        <v>45001</v>
      </c>
      <c r="I155" s="184">
        <v>139.68500962476614</v>
      </c>
      <c r="J155" s="194">
        <v>336</v>
      </c>
      <c r="K155" s="194">
        <f t="shared" si="5"/>
        <v>23562273.273831591</v>
      </c>
      <c r="L155" s="194">
        <f t="shared" si="3"/>
        <v>-1035209.8361684456</v>
      </c>
      <c r="M155" s="37">
        <f t="shared" si="4"/>
        <v>4.2086006586079694E-2</v>
      </c>
    </row>
    <row r="156" spans="1:13">
      <c r="A156" s="183">
        <v>40817</v>
      </c>
      <c r="B156" s="284">
        <v>26370882.959999766</v>
      </c>
      <c r="C156" s="194">
        <f>'Weather Data'!B252</f>
        <v>337.20000000000005</v>
      </c>
      <c r="D156" s="194">
        <f>'Weather Data'!C252</f>
        <v>5.4</v>
      </c>
      <c r="E156" s="287">
        <v>31</v>
      </c>
      <c r="F156" s="194">
        <v>1</v>
      </c>
      <c r="G156" s="184">
        <f>'CDM Activity'!I88</f>
        <v>714398.4195312449</v>
      </c>
      <c r="H156" s="187">
        <v>44933</v>
      </c>
      <c r="I156" s="184">
        <v>139.89282815884664</v>
      </c>
      <c r="J156" s="194">
        <v>320</v>
      </c>
      <c r="K156" s="194">
        <f t="shared" si="5"/>
        <v>26522965.427937407</v>
      </c>
      <c r="L156" s="194">
        <f t="shared" si="3"/>
        <v>152082.46793764085</v>
      </c>
      <c r="M156" s="37">
        <f t="shared" si="4"/>
        <v>5.7670601385749806E-3</v>
      </c>
    </row>
    <row r="157" spans="1:13">
      <c r="A157" s="183">
        <v>40848</v>
      </c>
      <c r="B157" s="284">
        <v>28854940.729999892</v>
      </c>
      <c r="C157" s="194">
        <f>'Weather Data'!B253</f>
        <v>563.20000000000005</v>
      </c>
      <c r="D157" s="194">
        <f>'Weather Data'!C253</f>
        <v>0</v>
      </c>
      <c r="E157" s="287">
        <v>30</v>
      </c>
      <c r="F157" s="194">
        <v>1</v>
      </c>
      <c r="G157" s="184">
        <f>'CDM Activity'!I89</f>
        <v>745622.68328540167</v>
      </c>
      <c r="H157" s="187">
        <v>44984</v>
      </c>
      <c r="I157" s="184">
        <v>140.1009558781663</v>
      </c>
      <c r="J157" s="194">
        <v>352</v>
      </c>
      <c r="K157" s="194">
        <f t="shared" si="5"/>
        <v>28277600.976948164</v>
      </c>
      <c r="L157" s="194">
        <f t="shared" ref="L157:L206" si="6">K157-B157</f>
        <v>-577339.75305172801</v>
      </c>
      <c r="M157" s="37">
        <f t="shared" ref="M157:M206" si="7">ABS(L157/B157)</f>
        <v>2.0008349989486536E-2</v>
      </c>
    </row>
    <row r="158" spans="1:13">
      <c r="A158" s="183">
        <v>40878</v>
      </c>
      <c r="B158" s="284">
        <v>32390431.579999913</v>
      </c>
      <c r="C158" s="194">
        <f>'Weather Data'!B254</f>
        <v>769.8</v>
      </c>
      <c r="D158" s="194">
        <f>'Weather Data'!C254</f>
        <v>0</v>
      </c>
      <c r="E158" s="287">
        <v>31</v>
      </c>
      <c r="F158" s="194">
        <v>0</v>
      </c>
      <c r="G158" s="184">
        <f>'CDM Activity'!I90</f>
        <v>776846.94703955844</v>
      </c>
      <c r="H158" s="187">
        <v>44950</v>
      </c>
      <c r="I158" s="184">
        <v>140.30939324272023</v>
      </c>
      <c r="J158" s="194">
        <v>336</v>
      </c>
      <c r="K158" s="194">
        <f t="shared" si="5"/>
        <v>32903564.250010893</v>
      </c>
      <c r="L158" s="194">
        <f t="shared" si="6"/>
        <v>513132.67001098022</v>
      </c>
      <c r="M158" s="37">
        <f t="shared" si="7"/>
        <v>1.5842106603106323E-2</v>
      </c>
    </row>
    <row r="159" spans="1:13">
      <c r="A159" s="183">
        <v>40909</v>
      </c>
      <c r="B159" s="284">
        <v>33402660.419999894</v>
      </c>
      <c r="C159" s="194">
        <f>'Weather Data'!B255</f>
        <v>865.69999999999993</v>
      </c>
      <c r="D159" s="194">
        <f>'Weather Data'!C255</f>
        <v>0</v>
      </c>
      <c r="E159" s="194">
        <v>31</v>
      </c>
      <c r="F159" s="194">
        <v>0</v>
      </c>
      <c r="G159" s="184">
        <f>'CDM Activity'!I91</f>
        <v>757573.01479586703</v>
      </c>
      <c r="H159" s="187">
        <v>44701</v>
      </c>
      <c r="I159" s="184">
        <v>140.51814071318793</v>
      </c>
      <c r="J159" s="194">
        <v>336</v>
      </c>
      <c r="K159" s="194">
        <f t="shared" si="5"/>
        <v>34223790.522299528</v>
      </c>
      <c r="L159" s="194">
        <f t="shared" si="6"/>
        <v>821130.10229963437</v>
      </c>
      <c r="M159" s="37">
        <f t="shared" si="7"/>
        <v>2.4582775502755509E-2</v>
      </c>
    </row>
    <row r="160" spans="1:13">
      <c r="A160" s="183">
        <v>40940</v>
      </c>
      <c r="B160" s="284">
        <v>29415795.669999786</v>
      </c>
      <c r="C160" s="194">
        <f>'Weather Data'!B256</f>
        <v>693.8</v>
      </c>
      <c r="D160" s="194">
        <f>'Weather Data'!C256</f>
        <v>0</v>
      </c>
      <c r="E160" s="194">
        <v>29</v>
      </c>
      <c r="F160" s="194">
        <v>0</v>
      </c>
      <c r="G160" s="184">
        <f>'CDM Activity'!I92</f>
        <v>738299.08255217574</v>
      </c>
      <c r="H160" s="187">
        <v>44705</v>
      </c>
      <c r="I160" s="184">
        <v>140.72719875093426</v>
      </c>
      <c r="J160" s="194">
        <v>320</v>
      </c>
      <c r="K160" s="194">
        <f t="shared" si="5"/>
        <v>29990752.140304562</v>
      </c>
      <c r="L160" s="194">
        <f t="shared" si="6"/>
        <v>574956.47030477598</v>
      </c>
      <c r="M160" s="37">
        <f t="shared" si="7"/>
        <v>1.9545841178491574E-2</v>
      </c>
    </row>
    <row r="161" spans="1:13">
      <c r="A161" s="183">
        <v>40969</v>
      </c>
      <c r="B161" s="284">
        <v>28020794.100000076</v>
      </c>
      <c r="C161" s="194">
        <f>'Weather Data'!B257</f>
        <v>525.4</v>
      </c>
      <c r="D161" s="194">
        <f>'Weather Data'!C257</f>
        <v>0</v>
      </c>
      <c r="E161" s="194">
        <v>31</v>
      </c>
      <c r="F161" s="194">
        <v>1</v>
      </c>
      <c r="G161" s="184">
        <f>'CDM Activity'!I93</f>
        <v>719025.15030848444</v>
      </c>
      <c r="H161" s="187">
        <v>44715</v>
      </c>
      <c r="I161" s="184">
        <v>140.9365678180105</v>
      </c>
      <c r="J161" s="194">
        <v>352</v>
      </c>
      <c r="K161" s="194">
        <f t="shared" si="5"/>
        <v>28800854.693390455</v>
      </c>
      <c r="L161" s="194">
        <f t="shared" si="6"/>
        <v>780060.5933903791</v>
      </c>
      <c r="M161" s="37">
        <f t="shared" si="7"/>
        <v>2.7838632645688546E-2</v>
      </c>
    </row>
    <row r="162" spans="1:13">
      <c r="A162" s="183">
        <v>41000</v>
      </c>
      <c r="B162" s="284">
        <v>24997873.08000005</v>
      </c>
      <c r="C162" s="194">
        <f>'Weather Data'!B258</f>
        <v>434.89999999999986</v>
      </c>
      <c r="D162" s="194">
        <f>'Weather Data'!C258</f>
        <v>0</v>
      </c>
      <c r="E162" s="194">
        <v>30</v>
      </c>
      <c r="F162" s="194">
        <v>1</v>
      </c>
      <c r="G162" s="184">
        <f>'CDM Activity'!I94</f>
        <v>699751.21806479315</v>
      </c>
      <c r="H162" s="187">
        <v>44680</v>
      </c>
      <c r="I162" s="184">
        <v>141.14624837715536</v>
      </c>
      <c r="J162" s="194">
        <v>320</v>
      </c>
      <c r="K162" s="194">
        <f t="shared" si="5"/>
        <v>26640754.005252149</v>
      </c>
      <c r="L162" s="194">
        <f t="shared" si="6"/>
        <v>1642880.9252520986</v>
      </c>
      <c r="M162" s="37">
        <f t="shared" si="7"/>
        <v>6.5720828327851297E-2</v>
      </c>
    </row>
    <row r="163" spans="1:13">
      <c r="A163" s="183">
        <v>41030</v>
      </c>
      <c r="B163" s="284">
        <v>24359301.689999789</v>
      </c>
      <c r="C163" s="194">
        <f>'Weather Data'!B259</f>
        <v>227.10000000000002</v>
      </c>
      <c r="D163" s="194">
        <f>'Weather Data'!C259</f>
        <v>0</v>
      </c>
      <c r="E163" s="194">
        <v>31</v>
      </c>
      <c r="F163" s="194">
        <v>1</v>
      </c>
      <c r="G163" s="184">
        <f>'CDM Activity'!I95</f>
        <v>680477.28582110186</v>
      </c>
      <c r="H163" s="187">
        <v>44589</v>
      </c>
      <c r="I163" s="184">
        <v>141.35624089179598</v>
      </c>
      <c r="J163" s="194">
        <v>352</v>
      </c>
      <c r="K163" s="194">
        <f t="shared" si="5"/>
        <v>24872150.289909709</v>
      </c>
      <c r="L163" s="194">
        <f t="shared" si="6"/>
        <v>512848.59990992025</v>
      </c>
      <c r="M163" s="37">
        <f t="shared" si="7"/>
        <v>2.1053501715135772E-2</v>
      </c>
    </row>
    <row r="164" spans="1:13">
      <c r="A164" s="183">
        <v>41061</v>
      </c>
      <c r="B164" s="284">
        <v>24710374.199999895</v>
      </c>
      <c r="C164" s="194">
        <f>'Weather Data'!B260</f>
        <v>64.900000000000006</v>
      </c>
      <c r="D164" s="194">
        <f>'Weather Data'!C260</f>
        <v>18.399999999999999</v>
      </c>
      <c r="E164" s="194">
        <v>30</v>
      </c>
      <c r="F164" s="194">
        <v>0</v>
      </c>
      <c r="G164" s="184">
        <f>'CDM Activity'!I96</f>
        <v>661203.35357741057</v>
      </c>
      <c r="H164" s="187">
        <v>44697</v>
      </c>
      <c r="I164" s="184">
        <v>141.56654582604895</v>
      </c>
      <c r="J164" s="194">
        <v>336</v>
      </c>
      <c r="K164" s="194">
        <f t="shared" si="5"/>
        <v>23487559.213420089</v>
      </c>
      <c r="L164" s="194">
        <f t="shared" si="6"/>
        <v>-1222814.9865798056</v>
      </c>
      <c r="M164" s="37">
        <f t="shared" si="7"/>
        <v>4.9485895141960688E-2</v>
      </c>
    </row>
    <row r="165" spans="1:13">
      <c r="A165" s="183">
        <v>41091</v>
      </c>
      <c r="B165" s="284">
        <v>26676003.260000024</v>
      </c>
      <c r="C165" s="194">
        <f>'Weather Data'!B261</f>
        <v>6.8</v>
      </c>
      <c r="D165" s="194">
        <f>'Weather Data'!C261</f>
        <v>66.5</v>
      </c>
      <c r="E165" s="194">
        <v>31</v>
      </c>
      <c r="F165" s="194">
        <v>0</v>
      </c>
      <c r="G165" s="184">
        <f>'CDM Activity'!I97</f>
        <v>641929.42133371928</v>
      </c>
      <c r="H165" s="187">
        <v>44693</v>
      </c>
      <c r="I165" s="184">
        <v>141.77716364472141</v>
      </c>
      <c r="J165" s="194">
        <v>336</v>
      </c>
      <c r="K165" s="194">
        <f t="shared" si="5"/>
        <v>25830596.669756338</v>
      </c>
      <c r="L165" s="194">
        <f t="shared" si="6"/>
        <v>-845406.59024368599</v>
      </c>
      <c r="M165" s="37">
        <f t="shared" si="7"/>
        <v>3.1691651181920168E-2</v>
      </c>
    </row>
    <row r="166" spans="1:13">
      <c r="A166" s="183">
        <v>41122</v>
      </c>
      <c r="B166" s="284">
        <v>26201585.379999846</v>
      </c>
      <c r="C166" s="194">
        <f>'Weather Data'!B262</f>
        <v>38.499999999999986</v>
      </c>
      <c r="D166" s="194">
        <f>'Weather Data'!C262</f>
        <v>27.7</v>
      </c>
      <c r="E166" s="194">
        <v>31</v>
      </c>
      <c r="F166" s="194">
        <v>0</v>
      </c>
      <c r="G166" s="184">
        <f>'CDM Activity'!I98</f>
        <v>622655.48909002799</v>
      </c>
      <c r="H166" s="187">
        <v>44727</v>
      </c>
      <c r="I166" s="184">
        <v>141.98809481331199</v>
      </c>
      <c r="J166" s="194">
        <v>352</v>
      </c>
      <c r="K166" s="194">
        <f t="shared" si="5"/>
        <v>24592215.117869694</v>
      </c>
      <c r="L166" s="194">
        <f t="shared" si="6"/>
        <v>-1609370.2621301524</v>
      </c>
      <c r="M166" s="37">
        <f t="shared" si="7"/>
        <v>6.1422629157341542E-2</v>
      </c>
    </row>
    <row r="167" spans="1:13">
      <c r="A167" s="183">
        <v>41153</v>
      </c>
      <c r="B167" s="284">
        <v>24540374.200000215</v>
      </c>
      <c r="C167" s="194">
        <f>'Weather Data'!B263</f>
        <v>213.49999999999997</v>
      </c>
      <c r="D167" s="194">
        <f>'Weather Data'!C263</f>
        <v>4</v>
      </c>
      <c r="E167" s="194">
        <v>30</v>
      </c>
      <c r="F167" s="194">
        <v>1</v>
      </c>
      <c r="G167" s="184">
        <f>'CDM Activity'!I99</f>
        <v>603381.55684633669</v>
      </c>
      <c r="H167" s="187">
        <v>44764</v>
      </c>
      <c r="I167" s="184">
        <v>142.19933979801186</v>
      </c>
      <c r="J167" s="194">
        <v>304</v>
      </c>
      <c r="K167" s="194">
        <f t="shared" si="5"/>
        <v>24022287.725375004</v>
      </c>
      <c r="L167" s="194">
        <f t="shared" si="6"/>
        <v>-518086.47462521121</v>
      </c>
      <c r="M167" s="37">
        <f t="shared" si="7"/>
        <v>2.1111596359651544E-2</v>
      </c>
    </row>
    <row r="168" spans="1:13">
      <c r="A168" s="183">
        <v>41183</v>
      </c>
      <c r="B168" s="284">
        <v>26589019.44000008</v>
      </c>
      <c r="C168" s="194">
        <f>'Weather Data'!B264</f>
        <v>395.80000000000007</v>
      </c>
      <c r="D168" s="194">
        <f>'Weather Data'!C264</f>
        <v>0</v>
      </c>
      <c r="E168" s="194">
        <v>31</v>
      </c>
      <c r="F168" s="194">
        <v>1</v>
      </c>
      <c r="G168" s="184">
        <f>'CDM Activity'!I100</f>
        <v>584107.6246026454</v>
      </c>
      <c r="H168" s="187">
        <v>44784</v>
      </c>
      <c r="I168" s="184">
        <v>142.41089906570582</v>
      </c>
      <c r="J168" s="194">
        <v>352</v>
      </c>
      <c r="K168" s="194">
        <f t="shared" si="5"/>
        <v>27307409.422304846</v>
      </c>
      <c r="L168" s="194">
        <f t="shared" si="6"/>
        <v>718389.98230476677</v>
      </c>
      <c r="M168" s="37">
        <f t="shared" si="7"/>
        <v>2.7018295425518129E-2</v>
      </c>
    </row>
    <row r="169" spans="1:13">
      <c r="A169" s="183">
        <v>41214</v>
      </c>
      <c r="B169" s="284">
        <v>28916497.10000005</v>
      </c>
      <c r="C169" s="194">
        <f>'Weather Data'!B265</f>
        <v>600.80000000000007</v>
      </c>
      <c r="D169" s="194">
        <f>'Weather Data'!C265</f>
        <v>0</v>
      </c>
      <c r="E169" s="194">
        <v>30</v>
      </c>
      <c r="F169" s="194">
        <v>1</v>
      </c>
      <c r="G169" s="184">
        <f>'CDM Activity'!I101</f>
        <v>564833.69235895411</v>
      </c>
      <c r="H169" s="187">
        <v>44871</v>
      </c>
      <c r="I169" s="184">
        <v>142.62277308397324</v>
      </c>
      <c r="J169" s="194">
        <v>352</v>
      </c>
      <c r="K169" s="194">
        <f t="shared" si="5"/>
        <v>29108104.241514307</v>
      </c>
      <c r="L169" s="194">
        <f t="shared" si="6"/>
        <v>191607.1415142566</v>
      </c>
      <c r="M169" s="37">
        <f t="shared" si="7"/>
        <v>6.6262224242318851E-3</v>
      </c>
    </row>
    <row r="170" spans="1:13">
      <c r="A170" s="183">
        <v>41244</v>
      </c>
      <c r="B170" s="284">
        <v>33312146.319999933</v>
      </c>
      <c r="C170" s="194">
        <f>'Weather Data'!B266</f>
        <v>793.69999999999993</v>
      </c>
      <c r="D170" s="194">
        <f>'Weather Data'!C266</f>
        <v>0</v>
      </c>
      <c r="E170" s="194">
        <v>31</v>
      </c>
      <c r="F170" s="194">
        <v>0</v>
      </c>
      <c r="G170" s="184">
        <f>'CDM Activity'!I102</f>
        <v>545559.76011526282</v>
      </c>
      <c r="H170" s="187">
        <v>44915</v>
      </c>
      <c r="I170" s="184">
        <v>142.83496232108919</v>
      </c>
      <c r="J170" s="194">
        <v>304</v>
      </c>
      <c r="K170" s="194">
        <f t="shared" si="5"/>
        <v>33641641.76035025</v>
      </c>
      <c r="L170" s="194">
        <f t="shared" si="6"/>
        <v>329495.44035031646</v>
      </c>
      <c r="M170" s="37">
        <f t="shared" si="7"/>
        <v>9.8911501283990861E-3</v>
      </c>
    </row>
    <row r="171" spans="1:13">
      <c r="A171" s="183">
        <v>41275</v>
      </c>
      <c r="B171" s="284">
        <v>35527330.339999676</v>
      </c>
      <c r="C171" s="194">
        <f>'Weather Data'!B267</f>
        <v>928.40000000000009</v>
      </c>
      <c r="D171" s="194">
        <f>'Weather Data'!C267</f>
        <v>0</v>
      </c>
      <c r="E171" s="194">
        <v>31</v>
      </c>
      <c r="F171" s="194">
        <v>0</v>
      </c>
      <c r="G171" s="184">
        <f>'CDM Activity'!I103</f>
        <v>567435.68696197809</v>
      </c>
      <c r="H171" s="187">
        <v>44923</v>
      </c>
      <c r="I171" s="184">
        <v>143.1291789570798</v>
      </c>
      <c r="J171" s="194">
        <v>352</v>
      </c>
      <c r="K171" s="194">
        <f t="shared" si="5"/>
        <v>35407610.916570932</v>
      </c>
      <c r="L171" s="194">
        <f t="shared" si="6"/>
        <v>-119719.42342874408</v>
      </c>
      <c r="M171" s="37">
        <f t="shared" si="7"/>
        <v>3.3697838335450107E-3</v>
      </c>
    </row>
    <row r="172" spans="1:13">
      <c r="A172" s="183">
        <v>41306</v>
      </c>
      <c r="B172" s="284">
        <v>30889612.989999942</v>
      </c>
      <c r="C172" s="194">
        <f>'Weather Data'!B268</f>
        <v>866.59999999999991</v>
      </c>
      <c r="D172" s="194">
        <f>'Weather Data'!C268</f>
        <v>0</v>
      </c>
      <c r="E172" s="194">
        <v>28</v>
      </c>
      <c r="F172" s="194">
        <v>0</v>
      </c>
      <c r="G172" s="184">
        <f>'CDM Activity'!I104</f>
        <v>589311.61380869336</v>
      </c>
      <c r="H172" s="187">
        <v>44915</v>
      </c>
      <c r="I172" s="184">
        <v>143.42400163116841</v>
      </c>
      <c r="J172" s="194">
        <v>304</v>
      </c>
      <c r="K172" s="194">
        <f t="shared" si="5"/>
        <v>31594123.82946356</v>
      </c>
      <c r="L172" s="194">
        <f t="shared" si="6"/>
        <v>704510.83946361765</v>
      </c>
      <c r="M172" s="37">
        <f t="shared" si="7"/>
        <v>2.2807370221559351E-2</v>
      </c>
    </row>
    <row r="173" spans="1:13">
      <c r="A173" s="183">
        <v>41334</v>
      </c>
      <c r="B173" s="284">
        <v>30782617.299999747</v>
      </c>
      <c r="C173" s="194">
        <f>'Weather Data'!B269</f>
        <v>767.3</v>
      </c>
      <c r="D173" s="194">
        <f>'Weather Data'!C269</f>
        <v>0</v>
      </c>
      <c r="E173" s="194">
        <v>31</v>
      </c>
      <c r="F173" s="194">
        <v>1</v>
      </c>
      <c r="G173" s="184">
        <f>'CDM Activity'!I105</f>
        <v>611187.54065540864</v>
      </c>
      <c r="H173" s="187">
        <v>44918</v>
      </c>
      <c r="I173" s="184">
        <v>143.71943159169427</v>
      </c>
      <c r="J173" s="194">
        <v>320</v>
      </c>
      <c r="K173" s="194">
        <f t="shared" si="5"/>
        <v>32237977.51727397</v>
      </c>
      <c r="L173" s="194">
        <f t="shared" si="6"/>
        <v>1455360.2172742225</v>
      </c>
      <c r="M173" s="37">
        <f t="shared" si="7"/>
        <v>4.7278637910826198E-2</v>
      </c>
    </row>
    <row r="174" spans="1:13">
      <c r="A174" s="183">
        <v>41365</v>
      </c>
      <c r="B174" s="284">
        <v>26800317.319999933</v>
      </c>
      <c r="C174" s="194">
        <f>'Weather Data'!B270</f>
        <v>524.79999999999995</v>
      </c>
      <c r="D174" s="194">
        <f>'Weather Data'!C270</f>
        <v>0</v>
      </c>
      <c r="E174" s="194">
        <v>30</v>
      </c>
      <c r="F174" s="194">
        <v>1</v>
      </c>
      <c r="G174" s="184">
        <f>'CDM Activity'!I106</f>
        <v>633063.46750212391</v>
      </c>
      <c r="H174" s="187">
        <v>44876</v>
      </c>
      <c r="I174" s="184">
        <v>144.01547008956803</v>
      </c>
      <c r="J174" s="194">
        <v>352</v>
      </c>
      <c r="K174" s="194">
        <f t="shared" si="5"/>
        <v>27966192.360100027</v>
      </c>
      <c r="L174" s="194">
        <f t="shared" si="6"/>
        <v>1165875.0401000939</v>
      </c>
      <c r="M174" s="37">
        <f t="shared" si="7"/>
        <v>4.3502284923695705E-2</v>
      </c>
    </row>
    <row r="175" spans="1:13">
      <c r="A175" s="183">
        <v>41395</v>
      </c>
      <c r="B175" s="284">
        <v>24986643.508349925</v>
      </c>
      <c r="C175" s="194">
        <f>'Weather Data'!B271</f>
        <v>325.3</v>
      </c>
      <c r="D175" s="194">
        <f>'Weather Data'!C271</f>
        <v>0</v>
      </c>
      <c r="E175" s="194">
        <v>31</v>
      </c>
      <c r="F175" s="194">
        <v>1</v>
      </c>
      <c r="G175" s="184">
        <f>'CDM Activity'!I107</f>
        <v>654939.39434883918</v>
      </c>
      <c r="H175" s="187">
        <v>44874</v>
      </c>
      <c r="I175" s="184">
        <v>144.31211837827698</v>
      </c>
      <c r="J175" s="194">
        <v>352</v>
      </c>
      <c r="K175" s="194">
        <f t="shared" si="5"/>
        <v>26234518.45601923</v>
      </c>
      <c r="L175" s="194">
        <f t="shared" si="6"/>
        <v>1247874.9476693049</v>
      </c>
      <c r="M175" s="37">
        <f t="shared" si="7"/>
        <v>4.9941679731905393E-2</v>
      </c>
    </row>
    <row r="176" spans="1:13">
      <c r="A176" s="183">
        <v>41426</v>
      </c>
      <c r="B176" s="284">
        <v>23287804.425449979</v>
      </c>
      <c r="C176" s="194">
        <f>'Weather Data'!B272</f>
        <v>130.9</v>
      </c>
      <c r="D176" s="194">
        <f>'Weather Data'!C272</f>
        <v>5.5</v>
      </c>
      <c r="E176" s="194">
        <v>30</v>
      </c>
      <c r="F176" s="194">
        <v>0</v>
      </c>
      <c r="G176" s="184">
        <f>'CDM Activity'!I108</f>
        <v>676815.32119555445</v>
      </c>
      <c r="H176" s="187">
        <v>44881</v>
      </c>
      <c r="I176" s="184">
        <v>144.60937771389038</v>
      </c>
      <c r="J176" s="194">
        <v>320</v>
      </c>
      <c r="K176" s="194">
        <f t="shared" si="5"/>
        <v>23779435.946671035</v>
      </c>
      <c r="L176" s="194">
        <f t="shared" si="6"/>
        <v>491631.52122105658</v>
      </c>
      <c r="M176" s="37">
        <f t="shared" si="7"/>
        <v>2.1111115167378302E-2</v>
      </c>
    </row>
    <row r="177" spans="1:13">
      <c r="A177" s="183">
        <v>41456</v>
      </c>
      <c r="B177" s="284">
        <v>24573362.894389432</v>
      </c>
      <c r="C177" s="194">
        <f>'Weather Data'!B273</f>
        <v>60.7</v>
      </c>
      <c r="D177" s="194">
        <f>'Weather Data'!C273</f>
        <v>28.000000000000007</v>
      </c>
      <c r="E177" s="194">
        <v>31</v>
      </c>
      <c r="F177" s="194">
        <v>0</v>
      </c>
      <c r="G177" s="184">
        <f>'CDM Activity'!I109</f>
        <v>698691.24804226973</v>
      </c>
      <c r="H177" s="187">
        <v>44900</v>
      </c>
      <c r="I177" s="184">
        <v>144.90724935506483</v>
      </c>
      <c r="J177" s="194">
        <v>352</v>
      </c>
      <c r="K177" s="194">
        <f t="shared" si="5"/>
        <v>24765578.428734992</v>
      </c>
      <c r="L177" s="194">
        <f t="shared" si="6"/>
        <v>192215.53434555978</v>
      </c>
      <c r="M177" s="37">
        <f t="shared" si="7"/>
        <v>7.8221094594035506E-3</v>
      </c>
    </row>
    <row r="178" spans="1:13">
      <c r="A178" s="183">
        <v>41487</v>
      </c>
      <c r="B178" s="284">
        <v>24947123.430989914</v>
      </c>
      <c r="C178" s="194">
        <f>'Weather Data'!B274</f>
        <v>45.8</v>
      </c>
      <c r="D178" s="194">
        <f>'Weather Data'!C274</f>
        <v>41.8</v>
      </c>
      <c r="E178" s="194">
        <v>31</v>
      </c>
      <c r="F178" s="194">
        <v>0</v>
      </c>
      <c r="G178" s="184">
        <f>'CDM Activity'!I110</f>
        <v>720567.174888985</v>
      </c>
      <c r="H178" s="187">
        <v>44933</v>
      </c>
      <c r="I178" s="184">
        <v>145.20573456304953</v>
      </c>
      <c r="J178" s="194">
        <v>336</v>
      </c>
      <c r="K178" s="194">
        <f t="shared" si="5"/>
        <v>25130312.752505396</v>
      </c>
      <c r="L178" s="194">
        <f t="shared" si="6"/>
        <v>183189.32151548192</v>
      </c>
      <c r="M178" s="37">
        <f t="shared" si="7"/>
        <v>7.343103986406696E-3</v>
      </c>
    </row>
    <row r="179" spans="1:13">
      <c r="A179" s="183">
        <v>41518</v>
      </c>
      <c r="B179" s="284">
        <v>24308811.02900004</v>
      </c>
      <c r="C179" s="194">
        <f>'Weather Data'!B275</f>
        <v>178.79999999999995</v>
      </c>
      <c r="D179" s="194">
        <f>'Weather Data'!C275</f>
        <v>0</v>
      </c>
      <c r="E179" s="194">
        <v>30</v>
      </c>
      <c r="F179" s="194">
        <v>1</v>
      </c>
      <c r="G179" s="184">
        <f>'CDM Activity'!I111</f>
        <v>742443.10173570027</v>
      </c>
      <c r="H179" s="187">
        <v>44955</v>
      </c>
      <c r="I179" s="184">
        <v>145.50483460169167</v>
      </c>
      <c r="J179" s="194">
        <v>320</v>
      </c>
      <c r="K179" s="194">
        <f t="shared" si="5"/>
        <v>23130958.548171137</v>
      </c>
      <c r="L179" s="194">
        <f t="shared" si="6"/>
        <v>-1177852.4808289036</v>
      </c>
      <c r="M179" s="37">
        <f t="shared" si="7"/>
        <v>4.8453726487228996E-2</v>
      </c>
    </row>
    <row r="180" spans="1:13">
      <c r="A180" s="183">
        <v>41548</v>
      </c>
      <c r="B180" s="284">
        <v>26948256.942999907</v>
      </c>
      <c r="C180" s="194">
        <f>'Weather Data'!B276</f>
        <v>328.50000000000006</v>
      </c>
      <c r="D180" s="194">
        <f>'Weather Data'!C276</f>
        <v>0</v>
      </c>
      <c r="E180" s="194">
        <v>31</v>
      </c>
      <c r="F180" s="194">
        <v>1</v>
      </c>
      <c r="G180" s="184">
        <f>'CDM Activity'!I112</f>
        <v>764319.02858241554</v>
      </c>
      <c r="H180" s="187">
        <v>44993</v>
      </c>
      <c r="I180" s="184">
        <v>145.8045507374417</v>
      </c>
      <c r="J180" s="194">
        <v>352</v>
      </c>
      <c r="K180" s="194">
        <f t="shared" si="5"/>
        <v>26079859.233484048</v>
      </c>
      <c r="L180" s="194">
        <f t="shared" si="6"/>
        <v>-868397.70951585844</v>
      </c>
      <c r="M180" s="37">
        <f t="shared" si="7"/>
        <v>3.2224633725018492E-2</v>
      </c>
    </row>
    <row r="181" spans="1:13">
      <c r="A181" s="183">
        <v>41579</v>
      </c>
      <c r="B181" s="284">
        <v>31135195.451000102</v>
      </c>
      <c r="C181" s="194">
        <f>'Weather Data'!B277</f>
        <v>620.6</v>
      </c>
      <c r="D181" s="194">
        <f>'Weather Data'!C277</f>
        <v>0</v>
      </c>
      <c r="E181" s="194">
        <v>30</v>
      </c>
      <c r="F181" s="194">
        <v>1</v>
      </c>
      <c r="G181" s="184">
        <f>'CDM Activity'!I113</f>
        <v>786194.95542913082</v>
      </c>
      <c r="H181" s="187">
        <v>45062</v>
      </c>
      <c r="I181" s="184">
        <v>146.1048842393588</v>
      </c>
      <c r="J181" s="194">
        <v>336</v>
      </c>
      <c r="K181" s="194">
        <f t="shared" si="5"/>
        <v>28973695.999247886</v>
      </c>
      <c r="L181" s="194">
        <f t="shared" si="6"/>
        <v>-2161499.4517522156</v>
      </c>
      <c r="M181" s="37">
        <f t="shared" si="7"/>
        <v>6.9423024986431728E-2</v>
      </c>
    </row>
    <row r="182" spans="1:13">
      <c r="A182" s="183">
        <v>41609</v>
      </c>
      <c r="B182" s="284">
        <v>36848813.003099665</v>
      </c>
      <c r="C182" s="194">
        <f>'Weather Data'!B278</f>
        <v>1112.8999999999999</v>
      </c>
      <c r="D182" s="194">
        <f>'Weather Data'!C278</f>
        <v>0</v>
      </c>
      <c r="E182" s="194">
        <v>31</v>
      </c>
      <c r="F182" s="194">
        <v>0</v>
      </c>
      <c r="G182" s="184">
        <f>'CDM Activity'!I114</f>
        <v>808070.88227584609</v>
      </c>
      <c r="H182" s="187">
        <v>45079</v>
      </c>
      <c r="I182" s="184">
        <v>146.40583637911641</v>
      </c>
      <c r="J182" s="194">
        <v>320</v>
      </c>
      <c r="K182" s="194">
        <f t="shared" si="5"/>
        <v>37445982.524570294</v>
      </c>
      <c r="L182" s="194">
        <f t="shared" si="6"/>
        <v>597169.52147062868</v>
      </c>
      <c r="M182" s="37">
        <f t="shared" si="7"/>
        <v>1.6205936441436954E-2</v>
      </c>
    </row>
    <row r="183" spans="1:13">
      <c r="A183" s="183">
        <v>41640</v>
      </c>
      <c r="B183" s="284">
        <v>38922016.556109458</v>
      </c>
      <c r="C183" s="194">
        <f>'Weather Data'!B279</f>
        <v>1119.5999999999997</v>
      </c>
      <c r="D183" s="194">
        <f>'Weather Data'!C279</f>
        <v>0</v>
      </c>
      <c r="E183" s="184">
        <v>31</v>
      </c>
      <c r="F183" s="194">
        <v>0</v>
      </c>
      <c r="G183" s="184">
        <f>'CDM Activity'!I115</f>
        <v>792996.7370670574</v>
      </c>
      <c r="H183" s="187">
        <v>45081</v>
      </c>
      <c r="I183" s="184"/>
      <c r="J183" s="197"/>
      <c r="K183" s="194">
        <f t="shared" si="5"/>
        <v>37563012.849982657</v>
      </c>
      <c r="L183" s="194">
        <f t="shared" si="6"/>
        <v>-1359003.7061268017</v>
      </c>
      <c r="M183" s="37">
        <f t="shared" si="7"/>
        <v>3.4916066185000462E-2</v>
      </c>
    </row>
    <row r="184" spans="1:13">
      <c r="A184" s="183">
        <v>41671</v>
      </c>
      <c r="B184" s="284">
        <v>32993369.868999798</v>
      </c>
      <c r="C184" s="194">
        <f>'Weather Data'!B280</f>
        <v>978.39999999999986</v>
      </c>
      <c r="D184" s="194">
        <f>'Weather Data'!C280</f>
        <v>0</v>
      </c>
      <c r="E184" s="184">
        <v>28</v>
      </c>
      <c r="F184" s="194">
        <v>0</v>
      </c>
      <c r="G184" s="184">
        <f>'CDM Activity'!I116</f>
        <v>777922.59185826872</v>
      </c>
      <c r="H184" s="187">
        <v>45092</v>
      </c>
      <c r="I184" s="184"/>
      <c r="J184" s="197"/>
      <c r="K184" s="194">
        <f t="shared" si="5"/>
        <v>32752007.106879506</v>
      </c>
      <c r="L184" s="194">
        <f t="shared" si="6"/>
        <v>-241362.76212029159</v>
      </c>
      <c r="M184" s="37">
        <f t="shared" si="7"/>
        <v>7.3154928726172144E-3</v>
      </c>
    </row>
    <row r="185" spans="1:13">
      <c r="A185" s="183">
        <v>41699</v>
      </c>
      <c r="B185" s="284">
        <v>32244957.139890101</v>
      </c>
      <c r="C185" s="194">
        <f>'Weather Data'!B281</f>
        <v>883.5</v>
      </c>
      <c r="D185" s="194">
        <f>'Weather Data'!C281</f>
        <v>0</v>
      </c>
      <c r="E185" s="184">
        <v>31</v>
      </c>
      <c r="F185" s="194">
        <v>1</v>
      </c>
      <c r="G185" s="184">
        <f>'CDM Activity'!I117</f>
        <v>762848.44664948003</v>
      </c>
      <c r="H185" s="187">
        <v>45098</v>
      </c>
      <c r="I185" s="184"/>
      <c r="J185" s="197"/>
      <c r="K185" s="194">
        <f t="shared" si="5"/>
        <v>33521572.810490217</v>
      </c>
      <c r="L185" s="194">
        <f t="shared" si="6"/>
        <v>1276615.6706001163</v>
      </c>
      <c r="M185" s="37">
        <f t="shared" si="7"/>
        <v>3.9591172816937019E-2</v>
      </c>
    </row>
    <row r="186" spans="1:13">
      <c r="A186" s="183">
        <v>41730</v>
      </c>
      <c r="B186" s="284">
        <v>27204303.46900025</v>
      </c>
      <c r="C186" s="194">
        <f>'Weather Data'!B282</f>
        <v>522.9</v>
      </c>
      <c r="D186" s="194">
        <f>'Weather Data'!C282</f>
        <v>0</v>
      </c>
      <c r="E186" s="184">
        <v>30</v>
      </c>
      <c r="F186" s="194">
        <v>1</v>
      </c>
      <c r="G186" s="184">
        <f>'CDM Activity'!I118</f>
        <v>747774.30144069134</v>
      </c>
      <c r="H186" s="187">
        <v>45080</v>
      </c>
      <c r="I186" s="184"/>
      <c r="J186" s="197"/>
      <c r="K186" s="194">
        <f t="shared" si="5"/>
        <v>27733545.524784587</v>
      </c>
      <c r="L186" s="194">
        <f t="shared" si="6"/>
        <v>529242.05578433722</v>
      </c>
      <c r="M186" s="37">
        <f t="shared" si="7"/>
        <v>1.945435053639279E-2</v>
      </c>
    </row>
    <row r="187" spans="1:13">
      <c r="A187" s="183">
        <v>41760</v>
      </c>
      <c r="B187" s="284">
        <v>24728780.316999894</v>
      </c>
      <c r="C187" s="194">
        <f>'Weather Data'!B283</f>
        <v>266.90000000000003</v>
      </c>
      <c r="D187" s="194">
        <f>'Weather Data'!C283</f>
        <v>1.1000000000000001</v>
      </c>
      <c r="E187" s="184">
        <v>31</v>
      </c>
      <c r="F187" s="194">
        <v>1</v>
      </c>
      <c r="G187" s="184">
        <f>'CDM Activity'!I119</f>
        <v>732700.15623190266</v>
      </c>
      <c r="H187" s="187">
        <v>45067.5</v>
      </c>
      <c r="I187" s="184"/>
      <c r="J187" s="197"/>
      <c r="K187" s="194">
        <f t="shared" si="5"/>
        <v>25359439.583465997</v>
      </c>
      <c r="L187" s="194">
        <f t="shared" si="6"/>
        <v>630659.26646610349</v>
      </c>
      <c r="M187" s="37">
        <f t="shared" si="7"/>
        <v>2.5503047800240854E-2</v>
      </c>
    </row>
    <row r="188" spans="1:13">
      <c r="A188" s="183">
        <v>41791</v>
      </c>
      <c r="B188" s="284">
        <v>22654738.925000042</v>
      </c>
      <c r="C188" s="194">
        <f>'Weather Data'!B284</f>
        <v>135.19999999999999</v>
      </c>
      <c r="D188" s="194">
        <f>'Weather Data'!C284</f>
        <v>6</v>
      </c>
      <c r="E188" s="184">
        <v>30</v>
      </c>
      <c r="F188" s="194">
        <v>0</v>
      </c>
      <c r="G188" s="184">
        <f>'CDM Activity'!I120</f>
        <v>717626.01102311397</v>
      </c>
      <c r="H188" s="187">
        <v>45067.25</v>
      </c>
      <c r="I188" s="184"/>
      <c r="J188" s="197"/>
      <c r="K188" s="194">
        <f t="shared" si="5"/>
        <v>23785246.1046893</v>
      </c>
      <c r="L188" s="194">
        <f t="shared" si="6"/>
        <v>1130507.1796892583</v>
      </c>
      <c r="M188" s="37">
        <f t="shared" si="7"/>
        <v>4.9901576152869137E-2</v>
      </c>
    </row>
    <row r="189" spans="1:13">
      <c r="A189" s="183">
        <v>41821</v>
      </c>
      <c r="B189" s="284">
        <v>23503977.621029828</v>
      </c>
      <c r="C189" s="194">
        <f>'Weather Data'!B285</f>
        <v>47.199999999999989</v>
      </c>
      <c r="D189" s="194">
        <f>'Weather Data'!C285</f>
        <v>9.5</v>
      </c>
      <c r="E189" s="184">
        <v>31</v>
      </c>
      <c r="F189" s="194">
        <v>0</v>
      </c>
      <c r="G189" s="184">
        <f>'CDM Activity'!I121</f>
        <v>702551.86581432528</v>
      </c>
      <c r="H189" s="187">
        <v>45053.125</v>
      </c>
      <c r="I189" s="184"/>
      <c r="J189" s="197"/>
      <c r="K189" s="194">
        <f t="shared" si="5"/>
        <v>23767999.473314423</v>
      </c>
      <c r="L189" s="194">
        <f t="shared" si="6"/>
        <v>264021.85228459537</v>
      </c>
      <c r="M189" s="37">
        <f t="shared" si="7"/>
        <v>1.1233071122751829E-2</v>
      </c>
    </row>
    <row r="190" spans="1:13">
      <c r="A190" s="183">
        <v>41852</v>
      </c>
      <c r="B190" s="284">
        <v>23764110.289000064</v>
      </c>
      <c r="C190" s="194">
        <f>'Weather Data'!B286</f>
        <v>65.200000000000017</v>
      </c>
      <c r="D190" s="194">
        <f>'Weather Data'!C286</f>
        <v>10.099999999999998</v>
      </c>
      <c r="E190" s="184">
        <v>31</v>
      </c>
      <c r="F190" s="194">
        <v>0</v>
      </c>
      <c r="G190" s="184">
        <f>'CDM Activity'!I122</f>
        <v>687477.7206055366</v>
      </c>
      <c r="H190" s="187">
        <v>45066.0625</v>
      </c>
      <c r="I190" s="184"/>
      <c r="J190" s="197"/>
      <c r="K190" s="194">
        <f t="shared" si="5"/>
        <v>24062750.812082179</v>
      </c>
      <c r="L190" s="194">
        <f t="shared" si="6"/>
        <v>298640.52308211476</v>
      </c>
      <c r="M190" s="37">
        <f t="shared" si="7"/>
        <v>1.2566871616495971E-2</v>
      </c>
    </row>
    <row r="191" spans="1:13">
      <c r="A191" s="183">
        <v>41883</v>
      </c>
      <c r="B191" s="284">
        <v>23696270.525999971</v>
      </c>
      <c r="C191" s="194">
        <f>'Weather Data'!B287</f>
        <v>196.5</v>
      </c>
      <c r="D191" s="194">
        <f>'Weather Data'!C287</f>
        <v>0</v>
      </c>
      <c r="E191" s="184">
        <v>30</v>
      </c>
      <c r="F191" s="194">
        <v>1</v>
      </c>
      <c r="G191" s="184">
        <f>'CDM Activity'!I123</f>
        <v>672403.57539674791</v>
      </c>
      <c r="H191" s="187">
        <v>45097.03125</v>
      </c>
      <c r="I191" s="184"/>
      <c r="J191" s="197"/>
      <c r="K191" s="194">
        <f t="shared" si="5"/>
        <v>23494702.894335583</v>
      </c>
      <c r="L191" s="194">
        <f t="shared" si="6"/>
        <v>-201567.63166438788</v>
      </c>
      <c r="M191" s="37">
        <f t="shared" si="7"/>
        <v>8.506301928112454E-3</v>
      </c>
    </row>
    <row r="192" spans="1:13">
      <c r="A192" s="183">
        <v>41913</v>
      </c>
      <c r="B192" s="284">
        <v>26444465.620999623</v>
      </c>
      <c r="C192" s="194">
        <f>'Weather Data'!B288</f>
        <v>382.59999999999997</v>
      </c>
      <c r="D192" s="194">
        <f>'Weather Data'!C288</f>
        <v>0</v>
      </c>
      <c r="E192" s="184">
        <v>31</v>
      </c>
      <c r="F192" s="194">
        <v>1</v>
      </c>
      <c r="G192" s="184">
        <f>'CDM Activity'!I124</f>
        <v>657329.43018795922</v>
      </c>
      <c r="H192" s="187">
        <v>45138.015625</v>
      </c>
      <c r="I192" s="184"/>
      <c r="J192" s="197"/>
      <c r="K192" s="194">
        <f t="shared" si="5"/>
        <v>26998234.229070202</v>
      </c>
      <c r="L192" s="194">
        <f t="shared" si="6"/>
        <v>553768.60807057843</v>
      </c>
      <c r="M192" s="37">
        <f t="shared" si="7"/>
        <v>2.0940812947675119E-2</v>
      </c>
    </row>
    <row r="193" spans="1:13">
      <c r="A193" s="183">
        <v>41944</v>
      </c>
      <c r="B193" s="284">
        <v>29676769.037999768</v>
      </c>
      <c r="C193" s="194">
        <f>'Weather Data'!B289</f>
        <v>647.79999999999995</v>
      </c>
      <c r="D193" s="194">
        <f>'Weather Data'!C289</f>
        <v>0</v>
      </c>
      <c r="E193" s="184">
        <v>30</v>
      </c>
      <c r="F193" s="194">
        <v>1</v>
      </c>
      <c r="G193" s="184">
        <f>'CDM Activity'!I125</f>
        <v>642255.28497917054</v>
      </c>
      <c r="H193" s="187">
        <v>45196.5078125</v>
      </c>
      <c r="I193" s="184"/>
      <c r="J193" s="197"/>
      <c r="K193" s="194">
        <f t="shared" si="5"/>
        <v>29598246.972123392</v>
      </c>
      <c r="L193" s="194">
        <f t="shared" si="6"/>
        <v>-78522.065876375884</v>
      </c>
      <c r="M193" s="37">
        <f t="shared" si="7"/>
        <v>2.6459101991807769E-3</v>
      </c>
    </row>
    <row r="194" spans="1:13">
      <c r="A194" s="183">
        <v>41974</v>
      </c>
      <c r="B194" s="284">
        <v>34191036.516999617</v>
      </c>
      <c r="C194" s="194">
        <f>'Weather Data'!B290</f>
        <v>780.59999999999991</v>
      </c>
      <c r="D194" s="194">
        <f>'Weather Data'!C290</f>
        <v>0</v>
      </c>
      <c r="E194" s="184">
        <v>31</v>
      </c>
      <c r="F194" s="194">
        <v>0</v>
      </c>
      <c r="G194" s="184">
        <f>'CDM Activity'!I126</f>
        <v>627181.13977038185</v>
      </c>
      <c r="H194" s="187">
        <v>45238.75390625</v>
      </c>
      <c r="I194" s="184"/>
      <c r="J194" s="197"/>
      <c r="K194" s="194">
        <f t="shared" si="5"/>
        <v>33318636.426532555</v>
      </c>
      <c r="L194" s="194">
        <f t="shared" si="6"/>
        <v>-872400.09046706185</v>
      </c>
      <c r="M194" s="37">
        <f t="shared" si="7"/>
        <v>2.5515461926207145E-2</v>
      </c>
    </row>
    <row r="195" spans="1:13">
      <c r="A195" s="183">
        <v>42005</v>
      </c>
      <c r="B195" s="284">
        <v>36508095.939999245</v>
      </c>
      <c r="C195" s="194">
        <f>'Weather Data'!B291</f>
        <v>979.49999999999989</v>
      </c>
      <c r="D195" s="194">
        <f>'Weather Data'!C291</f>
        <v>0</v>
      </c>
      <c r="E195" s="184">
        <v>31</v>
      </c>
      <c r="F195" s="194">
        <v>0</v>
      </c>
      <c r="G195" s="184">
        <f>'CDM Activity'!I127</f>
        <v>638329.86899495102</v>
      </c>
      <c r="H195" s="187">
        <v>45257.876953125</v>
      </c>
      <c r="I195" s="184"/>
      <c r="J195" s="197"/>
      <c r="K195" s="194">
        <f t="shared" si="5"/>
        <v>35964498.034913979</v>
      </c>
      <c r="L195" s="194">
        <f t="shared" si="6"/>
        <v>-543597.90508526564</v>
      </c>
      <c r="M195" s="37">
        <f t="shared" si="7"/>
        <v>1.4889790636538929E-2</v>
      </c>
    </row>
    <row r="196" spans="1:13">
      <c r="A196" s="183">
        <v>42036</v>
      </c>
      <c r="B196" s="284">
        <v>31660210.639999628</v>
      </c>
      <c r="C196" s="194">
        <f>'Weather Data'!B292</f>
        <v>1053.3</v>
      </c>
      <c r="D196" s="194">
        <f>'Weather Data'!C292</f>
        <v>0</v>
      </c>
      <c r="E196" s="184">
        <v>28</v>
      </c>
      <c r="F196" s="194">
        <v>0</v>
      </c>
      <c r="G196" s="184">
        <f>'CDM Activity'!I128</f>
        <v>649478.59821952018</v>
      </c>
      <c r="H196" s="187">
        <v>45271.4384765625</v>
      </c>
      <c r="I196" s="184"/>
      <c r="J196" s="197"/>
      <c r="K196" s="194">
        <f t="shared" si="5"/>
        <v>33987928.101235129</v>
      </c>
      <c r="L196" s="194">
        <f t="shared" si="6"/>
        <v>2327717.4612355009</v>
      </c>
      <c r="M196" s="37">
        <f t="shared" si="7"/>
        <v>7.3521856430565052E-2</v>
      </c>
    </row>
    <row r="197" spans="1:13">
      <c r="A197" s="183">
        <v>42064</v>
      </c>
      <c r="B197" s="284">
        <v>30744805.542999852</v>
      </c>
      <c r="C197" s="194">
        <f>'Weather Data'!B293</f>
        <v>710.39999999999986</v>
      </c>
      <c r="D197" s="194">
        <f>'Weather Data'!C293</f>
        <v>0</v>
      </c>
      <c r="E197" s="184">
        <v>31</v>
      </c>
      <c r="F197" s="194">
        <v>1</v>
      </c>
      <c r="G197" s="184">
        <f>'CDM Activity'!I129</f>
        <v>660627.32744408934</v>
      </c>
      <c r="H197" s="187">
        <v>45270.21923828125</v>
      </c>
      <c r="I197" s="184"/>
      <c r="J197" s="197"/>
      <c r="K197" s="194">
        <f t="shared" si="5"/>
        <v>31386013.134060279</v>
      </c>
      <c r="L197" s="194">
        <f t="shared" si="6"/>
        <v>641207.59106042609</v>
      </c>
      <c r="M197" s="37">
        <f t="shared" si="7"/>
        <v>2.0855802459496114E-2</v>
      </c>
    </row>
    <row r="198" spans="1:13">
      <c r="A198" s="183">
        <v>42095</v>
      </c>
      <c r="B198" s="284">
        <v>25623800.388999961</v>
      </c>
      <c r="C198" s="194">
        <f>'Weather Data'!B294</f>
        <v>432.09999999999997</v>
      </c>
      <c r="D198" s="194">
        <f>'Weather Data'!C294</f>
        <v>0</v>
      </c>
      <c r="E198" s="184">
        <v>30</v>
      </c>
      <c r="F198" s="194">
        <v>1</v>
      </c>
      <c r="G198" s="184">
        <f>'CDM Activity'!I130</f>
        <v>671776.05666865851</v>
      </c>
      <c r="H198" s="187">
        <v>45248.609619140625</v>
      </c>
      <c r="I198" s="184"/>
      <c r="J198" s="197"/>
      <c r="K198" s="194">
        <f t="shared" si="5"/>
        <v>26653749.698980149</v>
      </c>
      <c r="L198" s="194">
        <f t="shared" si="6"/>
        <v>1029949.3099801876</v>
      </c>
      <c r="M198" s="37">
        <f t="shared" si="7"/>
        <v>4.01950254975579E-2</v>
      </c>
    </row>
    <row r="199" spans="1:13">
      <c r="A199" s="183">
        <v>42125</v>
      </c>
      <c r="B199" s="284">
        <v>23579601.63399975</v>
      </c>
      <c r="C199" s="194">
        <f>'Weather Data'!B295</f>
        <v>276</v>
      </c>
      <c r="D199" s="194">
        <f>'Weather Data'!C295</f>
        <v>0</v>
      </c>
      <c r="E199" s="184">
        <v>31</v>
      </c>
      <c r="F199" s="194">
        <v>1</v>
      </c>
      <c r="G199" s="184">
        <f>'CDM Activity'!I131</f>
        <v>682924.78589322767</v>
      </c>
      <c r="H199" s="187">
        <v>45240.304809570313</v>
      </c>
      <c r="I199" s="184"/>
      <c r="J199" s="197"/>
      <c r="K199" s="194">
        <f t="shared" si="5"/>
        <v>25523171.13520617</v>
      </c>
      <c r="L199" s="194">
        <f t="shared" si="6"/>
        <v>1943569.5012064204</v>
      </c>
      <c r="M199" s="37">
        <f t="shared" si="7"/>
        <v>8.2425883667345795E-2</v>
      </c>
    </row>
    <row r="200" spans="1:13">
      <c r="A200" s="183">
        <v>42156</v>
      </c>
      <c r="B200" s="284">
        <v>22175635.396999881</v>
      </c>
      <c r="C200" s="194">
        <f>'Weather Data'!B296</f>
        <v>118.60000000000004</v>
      </c>
      <c r="D200" s="194">
        <f>'Weather Data'!C296</f>
        <v>0</v>
      </c>
      <c r="E200" s="184">
        <v>30</v>
      </c>
      <c r="F200" s="194">
        <v>0</v>
      </c>
      <c r="G200" s="184">
        <f>'CDM Activity'!I132</f>
        <v>694073.51511779684</v>
      </c>
      <c r="H200" s="187">
        <v>45233.152404785156</v>
      </c>
      <c r="I200" s="184"/>
      <c r="J200" s="197"/>
      <c r="K200" s="194">
        <f t="shared" si="5"/>
        <v>23342691.631577168</v>
      </c>
      <c r="L200" s="194">
        <f t="shared" si="6"/>
        <v>1167056.234577287</v>
      </c>
      <c r="M200" s="37">
        <f t="shared" si="7"/>
        <v>5.2627859977134039E-2</v>
      </c>
    </row>
    <row r="201" spans="1:13">
      <c r="A201" s="183">
        <v>42186</v>
      </c>
      <c r="B201" s="284">
        <v>23881661.082999926</v>
      </c>
      <c r="C201" s="194">
        <f>'Weather Data'!B297</f>
        <v>31.7</v>
      </c>
      <c r="D201" s="194">
        <f>'Weather Data'!C297</f>
        <v>38.000000000000007</v>
      </c>
      <c r="E201" s="184">
        <v>31</v>
      </c>
      <c r="F201" s="194">
        <v>0</v>
      </c>
      <c r="G201" s="184">
        <f>'CDM Activity'!I133</f>
        <v>705222.244342366</v>
      </c>
      <c r="H201" s="187">
        <v>45228.576202392578</v>
      </c>
      <c r="I201" s="184"/>
      <c r="J201" s="197"/>
      <c r="K201" s="194">
        <f t="shared" si="5"/>
        <v>24802727.267338045</v>
      </c>
      <c r="L201" s="194">
        <f t="shared" si="6"/>
        <v>921066.18433811888</v>
      </c>
      <c r="M201" s="37">
        <f t="shared" si="7"/>
        <v>3.8567927965185662E-2</v>
      </c>
    </row>
    <row r="202" spans="1:13">
      <c r="A202" s="183">
        <v>42217</v>
      </c>
      <c r="B202" s="284">
        <v>24372893.72900008</v>
      </c>
      <c r="C202" s="194">
        <f>'Weather Data'!B298</f>
        <v>50.7</v>
      </c>
      <c r="D202" s="194">
        <f>'Weather Data'!C298</f>
        <v>35.4</v>
      </c>
      <c r="E202" s="184">
        <v>31</v>
      </c>
      <c r="F202" s="194">
        <v>0</v>
      </c>
      <c r="G202" s="184">
        <f>'CDM Activity'!I134</f>
        <v>716370.97356693516</v>
      </c>
      <c r="H202" s="187">
        <v>45233.288101196289</v>
      </c>
      <c r="I202" s="184"/>
      <c r="J202" s="197"/>
      <c r="K202" s="194">
        <f t="shared" si="5"/>
        <v>24923472.408611853</v>
      </c>
      <c r="L202" s="194">
        <f t="shared" si="6"/>
        <v>550578.6796117723</v>
      </c>
      <c r="M202" s="37">
        <f t="shared" si="7"/>
        <v>2.2589795275587913E-2</v>
      </c>
    </row>
    <row r="203" spans="1:13">
      <c r="A203" s="183">
        <v>42248</v>
      </c>
      <c r="B203" s="284">
        <v>23562673.682000015</v>
      </c>
      <c r="C203" s="194">
        <f>'Weather Data'!B299</f>
        <v>106.20000000000002</v>
      </c>
      <c r="D203" s="194">
        <f>'Weather Data'!C299</f>
        <v>15.8</v>
      </c>
      <c r="E203" s="184">
        <v>30</v>
      </c>
      <c r="F203" s="194">
        <v>1</v>
      </c>
      <c r="G203" s="184">
        <f>'CDM Activity'!I135</f>
        <v>727519.70279150433</v>
      </c>
      <c r="H203" s="187">
        <v>45265.144050598145</v>
      </c>
      <c r="I203" s="184"/>
      <c r="J203" s="197"/>
      <c r="K203" s="194">
        <f t="shared" si="5"/>
        <v>22876292.803672813</v>
      </c>
      <c r="L203" s="194">
        <f t="shared" si="6"/>
        <v>-686380.87832720205</v>
      </c>
      <c r="M203" s="37">
        <f t="shared" si="7"/>
        <v>2.9130008232110847E-2</v>
      </c>
    </row>
    <row r="204" spans="1:13">
      <c r="A204" s="183">
        <v>42278</v>
      </c>
      <c r="B204" s="284">
        <v>24999074.480999615</v>
      </c>
      <c r="C204" s="194">
        <f>'Weather Data'!B300</f>
        <v>345.9</v>
      </c>
      <c r="D204" s="194">
        <f>'Weather Data'!C300</f>
        <v>0</v>
      </c>
      <c r="E204" s="184">
        <v>31</v>
      </c>
      <c r="F204" s="194">
        <v>1</v>
      </c>
      <c r="G204" s="184">
        <f>'CDM Activity'!I136</f>
        <v>738668.43201607349</v>
      </c>
      <c r="H204" s="187">
        <v>45305.572025299072</v>
      </c>
      <c r="I204" s="184"/>
      <c r="J204" s="197"/>
      <c r="K204" s="194">
        <f t="shared" si="5"/>
        <v>26359411.406914484</v>
      </c>
      <c r="L204" s="194">
        <f t="shared" si="6"/>
        <v>1360336.9259148687</v>
      </c>
      <c r="M204" s="37">
        <f t="shared" si="7"/>
        <v>5.4415491539448149E-2</v>
      </c>
    </row>
    <row r="205" spans="1:13">
      <c r="A205" s="183">
        <v>42309</v>
      </c>
      <c r="B205" s="284">
        <v>26870909.26699993</v>
      </c>
      <c r="C205" s="194">
        <f>'Weather Data'!B301</f>
        <v>469.10000000000008</v>
      </c>
      <c r="D205" s="194">
        <f>'Weather Data'!C301</f>
        <v>0</v>
      </c>
      <c r="E205" s="184">
        <v>30</v>
      </c>
      <c r="F205" s="194">
        <v>1</v>
      </c>
      <c r="G205" s="184">
        <f>'CDM Activity'!I137</f>
        <v>749817.16124064266</v>
      </c>
      <c r="H205" s="187">
        <v>45342.286012649536</v>
      </c>
      <c r="I205" s="184"/>
      <c r="J205" s="197"/>
      <c r="K205" s="194">
        <f t="shared" si="5"/>
        <v>27008736.453053061</v>
      </c>
      <c r="L205" s="194">
        <f t="shared" si="6"/>
        <v>137827.18605313078</v>
      </c>
      <c r="M205" s="37">
        <f t="shared" si="7"/>
        <v>5.1292341723023068E-3</v>
      </c>
    </row>
    <row r="206" spans="1:13">
      <c r="A206" s="183">
        <v>42339</v>
      </c>
      <c r="B206" s="284">
        <v>30693907.412000064</v>
      </c>
      <c r="C206" s="194">
        <f>'Weather Data'!B302</f>
        <v>564.90000000000009</v>
      </c>
      <c r="D206" s="194">
        <f>'Weather Data'!C302</f>
        <v>0</v>
      </c>
      <c r="E206" s="184">
        <v>31</v>
      </c>
      <c r="F206" s="194">
        <v>0</v>
      </c>
      <c r="G206" s="184">
        <f>'CDM Activity'!I138</f>
        <v>760965.89046521182</v>
      </c>
      <c r="H206" s="187">
        <v>45374.643006324768</v>
      </c>
      <c r="I206" s="184"/>
      <c r="J206" s="197"/>
      <c r="K206" s="194">
        <f t="shared" si="5"/>
        <v>30185827.477117877</v>
      </c>
      <c r="L206" s="194">
        <f t="shared" si="6"/>
        <v>-508079.93488218635</v>
      </c>
      <c r="M206" s="37">
        <f t="shared" si="7"/>
        <v>1.6553120072407199E-2</v>
      </c>
    </row>
    <row r="207" spans="1:13">
      <c r="A207" s="183">
        <v>42370</v>
      </c>
      <c r="B207" s="189"/>
      <c r="C207" s="190">
        <f>'Weather Analysis - Thunder Bay'!Z8</f>
        <v>960.98000000000013</v>
      </c>
      <c r="D207" s="190">
        <f>'Weather Analysis - Thunder Bay'!Z28</f>
        <v>0</v>
      </c>
      <c r="E207" s="184">
        <v>31</v>
      </c>
      <c r="F207" s="184">
        <v>0</v>
      </c>
      <c r="G207" s="184">
        <f>'CDM Activity'!I139</f>
        <v>751125.51779343269</v>
      </c>
      <c r="H207" s="184"/>
      <c r="I207" s="187"/>
      <c r="J207" s="184"/>
      <c r="K207" s="184">
        <f>$O$103+C207*$O$104+D207*$O$105+E207*$O$106+F207*$O$107+G207*$O$108</f>
        <v>35512540.609396845</v>
      </c>
      <c r="L207" s="6"/>
      <c r="M207" s="4">
        <f>AVERAGE(M87:M206)</f>
        <v>2.6278164979179539E-2</v>
      </c>
    </row>
    <row r="208" spans="1:13">
      <c r="A208" s="183">
        <v>42401</v>
      </c>
      <c r="B208" s="189"/>
      <c r="C208" s="190">
        <f>'Weather Analysis - Thunder Bay'!Z9</f>
        <v>875.5899999999998</v>
      </c>
      <c r="D208" s="190">
        <f>'Weather Analysis - Thunder Bay'!Z29</f>
        <v>0</v>
      </c>
      <c r="E208" s="184">
        <v>29</v>
      </c>
      <c r="F208" s="184">
        <v>0</v>
      </c>
      <c r="G208" s="184">
        <f>'CDM Activity'!I140</f>
        <v>741285.14512165356</v>
      </c>
      <c r="H208" s="184"/>
      <c r="I208" s="187"/>
      <c r="J208" s="184"/>
      <c r="K208" s="184">
        <f t="shared" ref="K208:K230" si="8">$O$103+C208*$O$104+D208*$O$105+E208*$O$106+F208*$O$107+G208*$O$108</f>
        <v>32422018.948458221</v>
      </c>
      <c r="L208" s="6"/>
    </row>
    <row r="209" spans="1:12">
      <c r="A209" s="183">
        <v>42430</v>
      </c>
      <c r="B209" s="189"/>
      <c r="C209" s="190">
        <f>'Weather Analysis - Thunder Bay'!Z10</f>
        <v>702.91</v>
      </c>
      <c r="D209" s="190">
        <f>'Weather Analysis - Thunder Bay'!Z30</f>
        <v>0</v>
      </c>
      <c r="E209" s="184">
        <v>31</v>
      </c>
      <c r="F209" s="184">
        <v>1</v>
      </c>
      <c r="G209" s="184">
        <f>'CDM Activity'!I141</f>
        <v>731444.77244987444</v>
      </c>
      <c r="H209" s="184"/>
      <c r="I209" s="187"/>
      <c r="J209" s="184"/>
      <c r="K209" s="184">
        <f t="shared" si="8"/>
        <v>31157715.636772703</v>
      </c>
      <c r="L209" s="6"/>
    </row>
    <row r="210" spans="1:12">
      <c r="A210" s="183">
        <v>42461</v>
      </c>
      <c r="B210" s="189"/>
      <c r="C210" s="190">
        <f>'Weather Analysis - Thunder Bay'!Z11</f>
        <v>450.5200000000001</v>
      </c>
      <c r="D210" s="190">
        <f>'Weather Analysis - Thunder Bay'!Z31</f>
        <v>0</v>
      </c>
      <c r="E210" s="184">
        <v>30</v>
      </c>
      <c r="F210" s="184">
        <v>1</v>
      </c>
      <c r="G210" s="184">
        <f>'CDM Activity'!I142</f>
        <v>721604.39977809531</v>
      </c>
      <c r="H210" s="184"/>
      <c r="I210" s="187"/>
      <c r="J210" s="184"/>
      <c r="K210" s="184">
        <f t="shared" si="8"/>
        <v>26810650.776204497</v>
      </c>
      <c r="L210" s="6"/>
    </row>
    <row r="211" spans="1:12">
      <c r="A211" s="183">
        <v>42491</v>
      </c>
      <c r="B211" s="189"/>
      <c r="C211" s="190">
        <f>'Weather Analysis - Thunder Bay'!Z12</f>
        <v>271.46000000000004</v>
      </c>
      <c r="D211" s="190">
        <f>'Weather Analysis - Thunder Bay'!Z32</f>
        <v>0.47000000000000003</v>
      </c>
      <c r="E211" s="184">
        <v>31</v>
      </c>
      <c r="F211" s="184">
        <v>1</v>
      </c>
      <c r="G211" s="184">
        <f>'CDM Activity'!I143</f>
        <v>711764.02710631618</v>
      </c>
      <c r="H211" s="184"/>
      <c r="I211" s="187"/>
      <c r="J211" s="184"/>
      <c r="K211" s="184">
        <f t="shared" si="8"/>
        <v>25430801.255830698</v>
      </c>
      <c r="L211" s="6"/>
    </row>
    <row r="212" spans="1:12">
      <c r="A212" s="183">
        <v>42522</v>
      </c>
      <c r="B212" s="189"/>
      <c r="C212" s="190">
        <f>'Weather Analysis - Thunder Bay'!Z13</f>
        <v>109.59</v>
      </c>
      <c r="D212" s="190">
        <f>'Weather Analysis - Thunder Bay'!Z33</f>
        <v>6.7</v>
      </c>
      <c r="E212" s="184">
        <v>30</v>
      </c>
      <c r="F212" s="184">
        <v>0</v>
      </c>
      <c r="G212" s="184">
        <f>'CDM Activity'!I144</f>
        <v>701923.65443453705</v>
      </c>
      <c r="H212" s="184"/>
      <c r="I212" s="187"/>
      <c r="J212" s="184"/>
      <c r="K212" s="184">
        <f t="shared" si="8"/>
        <v>23500972.903826308</v>
      </c>
      <c r="L212" s="6"/>
    </row>
    <row r="213" spans="1:12">
      <c r="A213" s="183">
        <v>42552</v>
      </c>
      <c r="B213" s="189"/>
      <c r="C213" s="190">
        <f>'Weather Analysis - Thunder Bay'!Z14</f>
        <v>36.33</v>
      </c>
      <c r="D213" s="190">
        <f>'Weather Analysis - Thunder Bay'!Z34</f>
        <v>40.369999999999997</v>
      </c>
      <c r="E213" s="184">
        <v>31</v>
      </c>
      <c r="F213" s="184">
        <v>0</v>
      </c>
      <c r="G213" s="184">
        <f>'CDM Activity'!I145</f>
        <v>692083.28176275792</v>
      </c>
      <c r="H213" s="184"/>
      <c r="I213" s="187"/>
      <c r="J213" s="184"/>
      <c r="K213" s="184">
        <f t="shared" si="8"/>
        <v>24992240.303329304</v>
      </c>
      <c r="L213" s="6"/>
    </row>
    <row r="214" spans="1:12">
      <c r="A214" s="183">
        <v>42583</v>
      </c>
      <c r="B214" s="189"/>
      <c r="C214" s="190">
        <f>'Weather Analysis - Thunder Bay'!Z15</f>
        <v>51.55</v>
      </c>
      <c r="D214" s="190">
        <f>'Weather Analysis - Thunder Bay'!Z35</f>
        <v>29.669999999999998</v>
      </c>
      <c r="E214" s="184">
        <v>31</v>
      </c>
      <c r="F214" s="184">
        <v>0</v>
      </c>
      <c r="G214" s="184">
        <f>'CDM Activity'!I146</f>
        <v>682242.90909097879</v>
      </c>
      <c r="H214" s="184"/>
      <c r="I214" s="187"/>
      <c r="J214" s="184"/>
      <c r="K214" s="184">
        <f t="shared" si="8"/>
        <v>24745729.817777608</v>
      </c>
      <c r="L214" s="6"/>
    </row>
    <row r="215" spans="1:12">
      <c r="A215" s="183">
        <v>42614</v>
      </c>
      <c r="B215" s="189"/>
      <c r="C215" s="190">
        <f>'Weather Analysis - Thunder Bay'!Z16</f>
        <v>176.97</v>
      </c>
      <c r="D215" s="190">
        <f>'Weather Analysis - Thunder Bay'!Z36</f>
        <v>5.05</v>
      </c>
      <c r="E215" s="184">
        <v>30</v>
      </c>
      <c r="F215" s="184">
        <v>1</v>
      </c>
      <c r="G215" s="184">
        <f>'CDM Activity'!I147</f>
        <v>672402.53641919966</v>
      </c>
      <c r="H215" s="184"/>
      <c r="I215" s="187"/>
      <c r="J215" s="184"/>
      <c r="K215" s="184">
        <f t="shared" si="8"/>
        <v>23453944.634475861</v>
      </c>
      <c r="L215" s="6"/>
    </row>
    <row r="216" spans="1:12">
      <c r="A216" s="183">
        <v>42644</v>
      </c>
      <c r="B216" s="189"/>
      <c r="C216" s="190">
        <f>'Weather Analysis - Thunder Bay'!Z17</f>
        <v>372.15</v>
      </c>
      <c r="D216" s="190">
        <f>'Weather Analysis - Thunder Bay'!Z37</f>
        <v>0.54</v>
      </c>
      <c r="E216" s="184">
        <v>31</v>
      </c>
      <c r="F216" s="184">
        <v>1</v>
      </c>
      <c r="G216" s="184">
        <f>'CDM Activity'!I148</f>
        <v>662562.16374742053</v>
      </c>
      <c r="H216" s="184"/>
      <c r="I216" s="187"/>
      <c r="J216" s="184"/>
      <c r="K216" s="184">
        <f t="shared" si="8"/>
        <v>26872347.831184622</v>
      </c>
      <c r="L216" s="6"/>
    </row>
    <row r="217" spans="1:12">
      <c r="A217" s="183">
        <v>42675</v>
      </c>
      <c r="B217" s="189"/>
      <c r="C217" s="190">
        <f>'Weather Analysis - Thunder Bay'!Z18</f>
        <v>567.61000000000013</v>
      </c>
      <c r="D217" s="190">
        <f>'Weather Analysis - Thunder Bay'!Z38</f>
        <v>0</v>
      </c>
      <c r="E217" s="184">
        <v>30</v>
      </c>
      <c r="F217" s="184">
        <v>1</v>
      </c>
      <c r="G217" s="184">
        <f>'CDM Activity'!I149</f>
        <v>652721.79107564141</v>
      </c>
      <c r="H217" s="184"/>
      <c r="I217" s="187"/>
      <c r="J217" s="184"/>
      <c r="K217" s="184">
        <f t="shared" si="8"/>
        <v>28504500.076449107</v>
      </c>
      <c r="L217" s="6"/>
    </row>
    <row r="218" spans="1:12">
      <c r="A218" s="183">
        <v>42705</v>
      </c>
      <c r="B218" s="189"/>
      <c r="C218" s="190">
        <f>'Weather Analysis - Thunder Bay'!Z19</f>
        <v>852.28999999999974</v>
      </c>
      <c r="D218" s="190">
        <f>'Weather Analysis - Thunder Bay'!Z39</f>
        <v>0</v>
      </c>
      <c r="E218" s="184">
        <v>31</v>
      </c>
      <c r="F218" s="184">
        <v>0</v>
      </c>
      <c r="G218" s="184">
        <f>'CDM Activity'!I150</f>
        <v>642881.41840386228</v>
      </c>
      <c r="H218" s="184"/>
      <c r="I218" s="187"/>
      <c r="J218" s="184"/>
      <c r="K218" s="184">
        <f t="shared" si="8"/>
        <v>34251191.853815913</v>
      </c>
      <c r="L218" s="6"/>
    </row>
    <row r="219" spans="1:12">
      <c r="A219" s="183">
        <v>42736</v>
      </c>
      <c r="B219" s="189"/>
      <c r="C219" s="190">
        <f>C207</f>
        <v>960.98000000000013</v>
      </c>
      <c r="D219" s="190">
        <f>D207</f>
        <v>0</v>
      </c>
      <c r="E219" s="184">
        <v>31</v>
      </c>
      <c r="F219" s="184">
        <v>0</v>
      </c>
      <c r="G219" s="184">
        <f>'CDM Activity'!I151</f>
        <v>641175.3474576677</v>
      </c>
      <c r="H219" s="184"/>
      <c r="I219" s="187"/>
      <c r="J219" s="184"/>
      <c r="K219" s="184">
        <f t="shared" si="8"/>
        <v>35711122.143305093</v>
      </c>
      <c r="L219" s="6"/>
    </row>
    <row r="220" spans="1:12">
      <c r="A220" s="183">
        <v>42767</v>
      </c>
      <c r="B220" s="189"/>
      <c r="C220" s="190">
        <f t="shared" ref="C220:D230" si="9">C208</f>
        <v>875.5899999999998</v>
      </c>
      <c r="D220" s="190">
        <f t="shared" si="9"/>
        <v>0</v>
      </c>
      <c r="E220" s="184">
        <v>28</v>
      </c>
      <c r="F220" s="184">
        <v>0</v>
      </c>
      <c r="G220" s="184">
        <f>'CDM Activity'!I152</f>
        <v>639469.27651147312</v>
      </c>
      <c r="H220" s="184"/>
      <c r="I220" s="187"/>
      <c r="J220" s="184"/>
      <c r="K220" s="184">
        <f t="shared" si="8"/>
        <v>31624033.161133826</v>
      </c>
      <c r="L220" s="6"/>
    </row>
    <row r="221" spans="1:12">
      <c r="A221" s="183">
        <v>42795</v>
      </c>
      <c r="B221" s="189"/>
      <c r="C221" s="190">
        <f t="shared" si="9"/>
        <v>702.91</v>
      </c>
      <c r="D221" s="190">
        <f t="shared" si="9"/>
        <v>0</v>
      </c>
      <c r="E221" s="184">
        <v>31</v>
      </c>
      <c r="F221" s="184">
        <v>1</v>
      </c>
      <c r="G221" s="184">
        <f>'CDM Activity'!I153</f>
        <v>637763.20556527853</v>
      </c>
      <c r="H221" s="184"/>
      <c r="I221" s="187"/>
      <c r="J221" s="184"/>
      <c r="K221" s="184">
        <f t="shared" si="8"/>
        <v>31326914.36738003</v>
      </c>
      <c r="L221" s="6"/>
    </row>
    <row r="222" spans="1:12">
      <c r="A222" s="183">
        <v>42826</v>
      </c>
      <c r="B222" s="189"/>
      <c r="C222" s="190">
        <f t="shared" si="9"/>
        <v>450.5200000000001</v>
      </c>
      <c r="D222" s="190">
        <f t="shared" si="9"/>
        <v>0</v>
      </c>
      <c r="E222" s="184">
        <v>30</v>
      </c>
      <c r="F222" s="184">
        <v>1</v>
      </c>
      <c r="G222" s="184">
        <f>'CDM Activity'!I154</f>
        <v>636057.13461908395</v>
      </c>
      <c r="H222" s="184"/>
      <c r="I222" s="187"/>
      <c r="J222" s="184"/>
      <c r="K222" s="184">
        <f t="shared" si="8"/>
        <v>26965158.105161369</v>
      </c>
      <c r="L222" s="6"/>
    </row>
    <row r="223" spans="1:12">
      <c r="A223" s="183">
        <v>42856</v>
      </c>
      <c r="B223" s="189"/>
      <c r="C223" s="190">
        <f t="shared" si="9"/>
        <v>271.46000000000004</v>
      </c>
      <c r="D223" s="190">
        <f t="shared" si="9"/>
        <v>0.47000000000000003</v>
      </c>
      <c r="E223" s="184">
        <v>31</v>
      </c>
      <c r="F223" s="184">
        <v>1</v>
      </c>
      <c r="G223" s="184">
        <f>'CDM Activity'!I155</f>
        <v>634351.06367288937</v>
      </c>
      <c r="H223" s="184"/>
      <c r="I223" s="187"/>
      <c r="J223" s="184"/>
      <c r="K223" s="184">
        <f t="shared" si="8"/>
        <v>25570617.183137108</v>
      </c>
      <c r="L223" s="6"/>
    </row>
    <row r="224" spans="1:12">
      <c r="A224" s="183">
        <v>42887</v>
      </c>
      <c r="B224" s="189"/>
      <c r="C224" s="190">
        <f t="shared" si="9"/>
        <v>109.59</v>
      </c>
      <c r="D224" s="190">
        <f t="shared" si="9"/>
        <v>6.7</v>
      </c>
      <c r="E224" s="184">
        <v>30</v>
      </c>
      <c r="F224" s="184">
        <v>0</v>
      </c>
      <c r="G224" s="184">
        <f>'CDM Activity'!I156</f>
        <v>632644.99272669479</v>
      </c>
      <c r="H224" s="184"/>
      <c r="I224" s="187"/>
      <c r="J224" s="184"/>
      <c r="K224" s="184">
        <f t="shared" si="8"/>
        <v>23626097.429482259</v>
      </c>
      <c r="L224" s="6"/>
    </row>
    <row r="225" spans="1:16">
      <c r="A225" s="183">
        <v>42917</v>
      </c>
      <c r="B225" s="189"/>
      <c r="C225" s="190">
        <f t="shared" si="9"/>
        <v>36.33</v>
      </c>
      <c r="D225" s="190">
        <f t="shared" si="9"/>
        <v>40.369999999999997</v>
      </c>
      <c r="E225" s="184">
        <v>31</v>
      </c>
      <c r="F225" s="184">
        <v>0</v>
      </c>
      <c r="G225" s="184">
        <f>'CDM Activity'!I157</f>
        <v>630938.92178050021</v>
      </c>
      <c r="H225" s="184"/>
      <c r="I225" s="187"/>
      <c r="J225" s="184"/>
      <c r="K225" s="184">
        <f t="shared" si="8"/>
        <v>25102673.427334797</v>
      </c>
      <c r="L225" s="6"/>
    </row>
    <row r="226" spans="1:16">
      <c r="A226" s="183">
        <v>42948</v>
      </c>
      <c r="B226" s="189"/>
      <c r="C226" s="190">
        <f t="shared" si="9"/>
        <v>51.55</v>
      </c>
      <c r="D226" s="190">
        <f t="shared" si="9"/>
        <v>29.669999999999998</v>
      </c>
      <c r="E226" s="184">
        <v>31</v>
      </c>
      <c r="F226" s="184">
        <v>0</v>
      </c>
      <c r="G226" s="184">
        <f>'CDM Activity'!I158</f>
        <v>629232.85083430563</v>
      </c>
      <c r="H226" s="184"/>
      <c r="I226" s="187"/>
      <c r="J226" s="184"/>
      <c r="K226" s="184">
        <f t="shared" si="8"/>
        <v>24841471.540132642</v>
      </c>
      <c r="L226" s="6"/>
    </row>
    <row r="227" spans="1:16">
      <c r="A227" s="183">
        <v>42979</v>
      </c>
      <c r="B227" s="189"/>
      <c r="C227" s="190">
        <f t="shared" si="9"/>
        <v>176.97</v>
      </c>
      <c r="D227" s="190">
        <f t="shared" si="9"/>
        <v>5.05</v>
      </c>
      <c r="E227" s="184">
        <v>30</v>
      </c>
      <c r="F227" s="184">
        <v>1</v>
      </c>
      <c r="G227" s="184">
        <f>'CDM Activity'!I159</f>
        <v>627526.77988811105</v>
      </c>
      <c r="H227" s="184"/>
      <c r="I227" s="187"/>
      <c r="J227" s="184"/>
      <c r="K227" s="184">
        <f t="shared" si="8"/>
        <v>23534994.955180436</v>
      </c>
      <c r="L227" s="6"/>
    </row>
    <row r="228" spans="1:16">
      <c r="A228" s="183">
        <v>43009</v>
      </c>
      <c r="B228" s="189"/>
      <c r="C228" s="190">
        <f t="shared" si="9"/>
        <v>372.15</v>
      </c>
      <c r="D228" s="190">
        <f t="shared" si="9"/>
        <v>0.54</v>
      </c>
      <c r="E228" s="184">
        <v>31</v>
      </c>
      <c r="F228" s="184">
        <v>1</v>
      </c>
      <c r="G228" s="184">
        <f>'CDM Activity'!I160</f>
        <v>625820.70894191647</v>
      </c>
      <c r="H228" s="184"/>
      <c r="I228" s="187"/>
      <c r="J228" s="184"/>
      <c r="K228" s="184">
        <f t="shared" si="8"/>
        <v>26938706.750238739</v>
      </c>
      <c r="L228" s="6"/>
    </row>
    <row r="229" spans="1:16">
      <c r="A229" s="183">
        <v>43040</v>
      </c>
      <c r="B229" s="189"/>
      <c r="C229" s="190">
        <f t="shared" si="9"/>
        <v>567.61000000000013</v>
      </c>
      <c r="D229" s="190">
        <f t="shared" si="9"/>
        <v>0</v>
      </c>
      <c r="E229" s="184">
        <v>30</v>
      </c>
      <c r="F229" s="184">
        <v>1</v>
      </c>
      <c r="G229" s="184">
        <f>'CDM Activity'!I161</f>
        <v>624114.63799572189</v>
      </c>
      <c r="H229" s="184"/>
      <c r="I229" s="187"/>
      <c r="J229" s="184"/>
      <c r="K229" s="184">
        <f t="shared" si="8"/>
        <v>28556167.593852766</v>
      </c>
      <c r="L229" s="6"/>
    </row>
    <row r="230" spans="1:16">
      <c r="A230" s="183">
        <v>43070</v>
      </c>
      <c r="B230" s="189"/>
      <c r="C230" s="190">
        <f t="shared" si="9"/>
        <v>852.28999999999974</v>
      </c>
      <c r="D230" s="190">
        <f t="shared" si="9"/>
        <v>0</v>
      </c>
      <c r="E230" s="184">
        <v>31</v>
      </c>
      <c r="F230" s="184">
        <v>0</v>
      </c>
      <c r="G230" s="184">
        <f>'CDM Activity'!I162</f>
        <v>622408.56704952731</v>
      </c>
      <c r="H230" s="184"/>
      <c r="I230" s="187"/>
      <c r="J230" s="184"/>
      <c r="K230" s="184">
        <f t="shared" si="8"/>
        <v>34288167.969569109</v>
      </c>
      <c r="L230" s="6"/>
    </row>
    <row r="231" spans="1:16">
      <c r="A231" s="20"/>
      <c r="B231" s="18"/>
      <c r="C231" s="41"/>
      <c r="D231" s="41"/>
      <c r="E231" s="12"/>
      <c r="F231" s="12"/>
      <c r="G231" s="12"/>
      <c r="H231" s="12"/>
      <c r="I231" s="22"/>
      <c r="J231" s="12"/>
      <c r="K231" s="12"/>
      <c r="L231" s="6"/>
    </row>
    <row r="232" spans="1:16">
      <c r="A232" s="2"/>
      <c r="C232"/>
      <c r="D232"/>
      <c r="G232" s="29">
        <f>SUM(G87:G230)</f>
        <v>84251278.918185323</v>
      </c>
      <c r="H232" s="29">
        <f>SUM(H87:H230)</f>
        <v>5370553.3569936752</v>
      </c>
      <c r="I232" s="29">
        <f>SUM(I87:I230)</f>
        <v>13339.828156798096</v>
      </c>
      <c r="J232" s="29">
        <f>SUM(J87:J230)</f>
        <v>32128.304000000004</v>
      </c>
      <c r="K232" s="29">
        <f>SUM(K87:K230)</f>
        <v>4072128362.2937336</v>
      </c>
    </row>
    <row r="233" spans="1:16">
      <c r="A233" s="2"/>
      <c r="N233" s="179" t="s">
        <v>309</v>
      </c>
      <c r="O233" s="201" t="s">
        <v>310</v>
      </c>
      <c r="P233" s="201"/>
    </row>
    <row r="234" spans="1:16">
      <c r="A234">
        <v>2006</v>
      </c>
      <c r="B234" s="5">
        <f>SUM(B87:B98)</f>
        <v>344985670.16000092</v>
      </c>
      <c r="K234" s="5">
        <f>SUM(K87:K98)</f>
        <v>345023562.34981245</v>
      </c>
      <c r="L234" s="25">
        <f>K234-B234</f>
        <v>37892.189811527729</v>
      </c>
      <c r="M234" s="4">
        <f>L234/B234</f>
        <v>1.09836996400325E-4</v>
      </c>
      <c r="N234" s="5">
        <f>'Residential WN'!K234</f>
        <v>348847526.23245072</v>
      </c>
      <c r="O234" s="15">
        <f>N234/K234</f>
        <v>1.0110831963376496</v>
      </c>
    </row>
    <row r="235" spans="1:16">
      <c r="A235" s="11">
        <v>2007</v>
      </c>
      <c r="B235" s="5">
        <f>SUM(B99:B110)</f>
        <v>347356682.25000095</v>
      </c>
      <c r="K235" s="5">
        <f>SUM(K99:K110)</f>
        <v>344015163.25865018</v>
      </c>
      <c r="L235" s="25">
        <f t="shared" ref="L235:L243" si="10">K235-B235</f>
        <v>-3341518.99135077</v>
      </c>
      <c r="M235" s="4">
        <f t="shared" ref="M235:M243" si="11">L235/B235</f>
        <v>-9.6198494576413482E-3</v>
      </c>
      <c r="N235" s="5">
        <f>'Residential WN'!K235</f>
        <v>343387625.53662926</v>
      </c>
      <c r="O235" s="15">
        <f t="shared" ref="O235:O243" si="12">N235/K235</f>
        <v>0.99817584284344729</v>
      </c>
    </row>
    <row r="236" spans="1:16">
      <c r="A236">
        <v>2008</v>
      </c>
      <c r="B236" s="5">
        <f>SUM(B111:B122)</f>
        <v>349640195.36999899</v>
      </c>
      <c r="K236" s="5">
        <f>SUM(K111:K122)</f>
        <v>344513240.73379123</v>
      </c>
      <c r="L236" s="25">
        <f t="shared" si="10"/>
        <v>-5126954.6362077594</v>
      </c>
      <c r="M236" s="4">
        <f t="shared" si="11"/>
        <v>-1.4663516106271115E-2</v>
      </c>
      <c r="N236" s="5">
        <f>'Residential WN'!K236</f>
        <v>340450345.2830534</v>
      </c>
      <c r="O236" s="15">
        <f t="shared" si="12"/>
        <v>0.98820685253755669</v>
      </c>
    </row>
    <row r="237" spans="1:16">
      <c r="A237" s="11">
        <v>2009</v>
      </c>
      <c r="B237" s="5">
        <f>SUM(B123:B134)</f>
        <v>344727820.68999922</v>
      </c>
      <c r="K237" s="5">
        <f>SUM(K123:K134)</f>
        <v>338484222.57954514</v>
      </c>
      <c r="L237" s="25">
        <f t="shared" si="10"/>
        <v>-6243598.1104540825</v>
      </c>
      <c r="M237" s="4">
        <f t="shared" si="11"/>
        <v>-1.8111674589991144E-2</v>
      </c>
      <c r="N237" s="5">
        <f>'Residential WN'!K237</f>
        <v>336856325.2909081</v>
      </c>
      <c r="O237" s="15">
        <f t="shared" si="12"/>
        <v>0.99519062579569872</v>
      </c>
    </row>
    <row r="238" spans="1:16">
      <c r="A238">
        <v>2010</v>
      </c>
      <c r="B238" s="5">
        <f>SUM(B135:B146)</f>
        <v>335588529.46999955</v>
      </c>
      <c r="K238" s="5">
        <f>SUM(K135:K146)</f>
        <v>334337918.06414473</v>
      </c>
      <c r="L238" s="25">
        <f t="shared" si="10"/>
        <v>-1250611.4058548212</v>
      </c>
      <c r="M238" s="4">
        <f t="shared" si="11"/>
        <v>-3.7266214308037649E-3</v>
      </c>
      <c r="N238" s="5">
        <f>'Residential WN'!K238</f>
        <v>339664102.66105872</v>
      </c>
      <c r="O238" s="15">
        <f t="shared" si="12"/>
        <v>1.0159305430498378</v>
      </c>
    </row>
    <row r="239" spans="1:16">
      <c r="A239">
        <v>2011</v>
      </c>
      <c r="B239" s="5">
        <f>SUM(B147:B158)</f>
        <v>337212306.49999964</v>
      </c>
      <c r="K239" s="5">
        <f>SUM(K147:K158)</f>
        <v>339779199.37936687</v>
      </c>
      <c r="L239" s="25">
        <f t="shared" si="10"/>
        <v>2566892.8793672323</v>
      </c>
      <c r="M239" s="4">
        <f t="shared" si="11"/>
        <v>7.6120972748876681E-3</v>
      </c>
      <c r="N239" s="5">
        <f>'Residential WN'!K239</f>
        <v>338664333.79074228</v>
      </c>
      <c r="O239" s="15">
        <f t="shared" si="12"/>
        <v>0.99671885274124794</v>
      </c>
    </row>
    <row r="240" spans="1:16">
      <c r="A240">
        <v>2012</v>
      </c>
      <c r="B240" s="5">
        <f>SUM(B159:B170)</f>
        <v>331142424.8599996</v>
      </c>
      <c r="K240" s="5">
        <f>SUM(K159:K170)</f>
        <v>332518115.80174696</v>
      </c>
      <c r="L240" s="25">
        <f t="shared" si="10"/>
        <v>1375690.9417473674</v>
      </c>
      <c r="M240" s="4">
        <f t="shared" si="11"/>
        <v>4.1543784138470992E-3</v>
      </c>
      <c r="N240" s="5">
        <f>'Residential WN'!K240</f>
        <v>338639424.21826762</v>
      </c>
      <c r="O240" s="15">
        <f t="shared" si="12"/>
        <v>1.0184089471388991</v>
      </c>
    </row>
    <row r="241" spans="1:15">
      <c r="A241">
        <v>2013</v>
      </c>
      <c r="B241" s="5">
        <f>SUM(B171:B182)</f>
        <v>341035888.63527828</v>
      </c>
      <c r="K241" s="5">
        <f>SUM(K171:K182)</f>
        <v>342746246.5128125</v>
      </c>
      <c r="L241" s="25">
        <f t="shared" si="10"/>
        <v>1710357.8775342107</v>
      </c>
      <c r="M241" s="4">
        <f t="shared" si="11"/>
        <v>5.0151844264207553E-3</v>
      </c>
      <c r="N241" s="5">
        <f>'Residential WN'!K241</f>
        <v>336873260.34088057</v>
      </c>
      <c r="O241" s="15">
        <f t="shared" si="12"/>
        <v>0.98286491469509829</v>
      </c>
    </row>
    <row r="242" spans="1:15">
      <c r="A242">
        <v>2014</v>
      </c>
      <c r="B242" s="5">
        <f>SUM(B183:B194)</f>
        <v>340024795.88802838</v>
      </c>
      <c r="C242" s="62"/>
      <c r="D242" s="62"/>
      <c r="E242" s="62"/>
      <c r="F242" s="62"/>
      <c r="G242" s="62"/>
      <c r="H242" s="62"/>
      <c r="J242" s="62"/>
      <c r="K242" s="5">
        <f>SUM(K183:K194)</f>
        <v>341955394.7877506</v>
      </c>
      <c r="L242" s="25">
        <f t="shared" si="10"/>
        <v>1930598.8997222185</v>
      </c>
      <c r="M242" s="4">
        <f t="shared" si="11"/>
        <v>5.6778179799510066E-3</v>
      </c>
      <c r="N242" s="5">
        <f>'Residential WN'!K242</f>
        <v>336389173.95387119</v>
      </c>
      <c r="O242" s="15">
        <f t="shared" si="12"/>
        <v>0.98372237748337232</v>
      </c>
    </row>
    <row r="243" spans="1:15">
      <c r="A243" s="11">
        <v>2015</v>
      </c>
      <c r="B243" s="5">
        <f>SUM(B195:B206)</f>
        <v>324673269.19699794</v>
      </c>
      <c r="C243" s="62"/>
      <c r="D243" s="62"/>
      <c r="E243" s="62"/>
      <c r="F243" s="62"/>
      <c r="G243" s="62"/>
      <c r="H243" s="62"/>
      <c r="J243" s="62"/>
      <c r="K243" s="5">
        <f>SUM(K195:K206)</f>
        <v>333014519.55268103</v>
      </c>
      <c r="L243" s="25">
        <f t="shared" si="10"/>
        <v>8341250.3556830883</v>
      </c>
      <c r="M243" s="4">
        <f t="shared" si="11"/>
        <v>2.5691213743321666E-2</v>
      </c>
      <c r="N243" s="5">
        <f>'Residential WN'!K243</f>
        <v>336615465.71243966</v>
      </c>
      <c r="O243" s="15">
        <f t="shared" si="12"/>
        <v>1.0108131806522898</v>
      </c>
    </row>
    <row r="244" spans="1:15">
      <c r="A244">
        <v>2016</v>
      </c>
      <c r="C244" s="62"/>
      <c r="D244" s="62"/>
      <c r="E244" s="62"/>
      <c r="F244" s="62"/>
      <c r="G244" s="62"/>
      <c r="H244" s="62"/>
      <c r="J244" s="62"/>
      <c r="K244" s="5">
        <f>SUM(K207:K218)</f>
        <v>337654654.64752167</v>
      </c>
      <c r="L244" s="62"/>
      <c r="M244" s="62"/>
      <c r="N244" s="5">
        <f>'Residential WN'!K244</f>
        <v>337654654.64752167</v>
      </c>
      <c r="O244" s="15"/>
    </row>
    <row r="245" spans="1:15">
      <c r="A245" s="11">
        <v>2017</v>
      </c>
      <c r="C245" s="62"/>
      <c r="D245" s="62"/>
      <c r="E245" s="62"/>
      <c r="F245" s="62"/>
      <c r="G245" s="62"/>
      <c r="H245" s="62"/>
      <c r="J245" s="62"/>
      <c r="K245" s="5">
        <f>SUM(K219:K230)</f>
        <v>338086124.62590814</v>
      </c>
      <c r="L245" s="62"/>
      <c r="M245" s="62"/>
      <c r="N245" s="5">
        <f>'Residential WN'!K245</f>
        <v>338086124.62590814</v>
      </c>
      <c r="O245" s="15"/>
    </row>
    <row r="246" spans="1:15" ht="13.5" thickBot="1">
      <c r="K246" s="5"/>
      <c r="N246" s="5"/>
      <c r="O246" s="15"/>
    </row>
    <row r="247" spans="1:15" ht="16.5" thickTop="1" thickBot="1">
      <c r="A247" s="48" t="s">
        <v>261</v>
      </c>
      <c r="B247" s="5">
        <f>SUM(B234:B243)</f>
        <v>3396387583.0203042</v>
      </c>
      <c r="K247" s="5">
        <f>SUM(K234:K243)</f>
        <v>3396387583.0203018</v>
      </c>
      <c r="L247" s="256">
        <f>K247-B247</f>
        <v>0</v>
      </c>
      <c r="N247" s="5"/>
      <c r="O247" s="15"/>
    </row>
    <row r="248" spans="1:15" ht="14.25" thickTop="1" thickBot="1">
      <c r="N248" s="5"/>
      <c r="O248" s="15"/>
    </row>
    <row r="249" spans="1:15" ht="16.5" thickTop="1" thickBot="1">
      <c r="K249" s="5">
        <f>SUM(K234:K245)</f>
        <v>4072128362.2937317</v>
      </c>
      <c r="L249" s="257">
        <f>K232-K249</f>
        <v>0</v>
      </c>
      <c r="N249" s="5"/>
      <c r="O249" s="15"/>
    </row>
    <row r="250" spans="1:15" ht="13.5" thickTop="1">
      <c r="K250" s="258"/>
      <c r="L250" s="258" t="s">
        <v>47</v>
      </c>
      <c r="M250" s="258"/>
    </row>
    <row r="254" spans="1:15">
      <c r="B254" s="60" t="s">
        <v>143</v>
      </c>
    </row>
    <row r="255" spans="1:15">
      <c r="A255" s="2">
        <v>42736</v>
      </c>
      <c r="C255" s="41">
        <f>'Weather Analysis - Thunder Bay'!AA8</f>
        <v>981.22443609022571</v>
      </c>
      <c r="D255" s="41">
        <f>'Weather Analysis - Thunder Bay'!AA28</f>
        <v>0</v>
      </c>
      <c r="E255" s="6">
        <f>E219</f>
        <v>31</v>
      </c>
      <c r="F255" s="6">
        <f t="shared" ref="F255:G255" si="13">F219</f>
        <v>0</v>
      </c>
      <c r="G255" s="6">
        <f t="shared" si="13"/>
        <v>641175.3474576677</v>
      </c>
      <c r="H255" s="12" t="e">
        <f>#REF!</f>
        <v>#REF!</v>
      </c>
      <c r="I255" s="22">
        <v>143.1291789570798</v>
      </c>
      <c r="J255" s="6">
        <v>352</v>
      </c>
      <c r="K255" s="12">
        <f t="shared" ref="K255:K266" si="14">$O$103+C255*$O$104+D255*$O$105+E255*$O$106+F255*$O$107+G255*$O$108</f>
        <v>35982472.639125586</v>
      </c>
    </row>
    <row r="256" spans="1:15">
      <c r="A256" s="2">
        <v>42767</v>
      </c>
      <c r="C256" s="41">
        <f>'Weather Analysis - Thunder Bay'!AA9</f>
        <v>920.49842105263269</v>
      </c>
      <c r="D256" s="41">
        <f>'Weather Analysis - Thunder Bay'!AA29</f>
        <v>0</v>
      </c>
      <c r="E256" s="6">
        <f t="shared" ref="E256:G256" si="15">E220</f>
        <v>28</v>
      </c>
      <c r="F256" s="6">
        <f t="shared" si="15"/>
        <v>0</v>
      </c>
      <c r="G256" s="6">
        <f t="shared" si="15"/>
        <v>639469.27651147312</v>
      </c>
      <c r="H256" s="12" t="e">
        <f>#REF!</f>
        <v>#REF!</v>
      </c>
      <c r="I256" s="22">
        <v>143.42400163116841</v>
      </c>
      <c r="J256" s="6">
        <v>304</v>
      </c>
      <c r="K256" s="12">
        <f t="shared" si="14"/>
        <v>32225972.492258534</v>
      </c>
    </row>
    <row r="257" spans="1:12">
      <c r="A257" s="2">
        <v>42795</v>
      </c>
      <c r="C257" s="41">
        <f>'Weather Analysis - Thunder Bay'!AA10</f>
        <v>728.65676691729323</v>
      </c>
      <c r="D257" s="41">
        <f>'Weather Analysis - Thunder Bay'!AA30</f>
        <v>0</v>
      </c>
      <c r="E257" s="6">
        <f t="shared" ref="E257:G257" si="16">E221</f>
        <v>31</v>
      </c>
      <c r="F257" s="6">
        <f t="shared" si="16"/>
        <v>1</v>
      </c>
      <c r="G257" s="6">
        <f t="shared" si="16"/>
        <v>637763.20556527853</v>
      </c>
      <c r="H257" s="12" t="e">
        <f>#REF!</f>
        <v>#REF!</v>
      </c>
      <c r="I257" s="22">
        <v>143.71943159169427</v>
      </c>
      <c r="J257" s="6">
        <v>320</v>
      </c>
      <c r="K257" s="12">
        <f t="shared" si="14"/>
        <v>31672016.495077983</v>
      </c>
    </row>
    <row r="258" spans="1:12">
      <c r="A258" s="2">
        <v>42826</v>
      </c>
      <c r="C258" s="41">
        <f>'Weather Analysis - Thunder Bay'!AA11</f>
        <v>457.84511278195487</v>
      </c>
      <c r="D258" s="41">
        <f>'Weather Analysis - Thunder Bay'!AA31</f>
        <v>0</v>
      </c>
      <c r="E258" s="6">
        <f t="shared" ref="E258:G258" si="17">E222</f>
        <v>30</v>
      </c>
      <c r="F258" s="6">
        <f t="shared" si="17"/>
        <v>1</v>
      </c>
      <c r="G258" s="6">
        <f t="shared" si="17"/>
        <v>636057.13461908395</v>
      </c>
      <c r="H258" s="12" t="e">
        <f>#REF!</f>
        <v>#REF!</v>
      </c>
      <c r="I258" s="22">
        <v>144.01547008956803</v>
      </c>
      <c r="J258" s="6">
        <v>352</v>
      </c>
      <c r="K258" s="12">
        <f t="shared" si="14"/>
        <v>27063341.772835083</v>
      </c>
    </row>
    <row r="259" spans="1:12">
      <c r="A259" s="2">
        <v>42856</v>
      </c>
      <c r="C259" s="41">
        <f>'Weather Analysis - Thunder Bay'!AA12</f>
        <v>271.64563909774438</v>
      </c>
      <c r="D259" s="41">
        <f>'Weather Analysis - Thunder Bay'!AA32</f>
        <v>0.20857142857142463</v>
      </c>
      <c r="E259" s="6">
        <f t="shared" ref="E259:G259" si="18">E223</f>
        <v>31</v>
      </c>
      <c r="F259" s="6">
        <f t="shared" si="18"/>
        <v>1</v>
      </c>
      <c r="G259" s="6">
        <f t="shared" si="18"/>
        <v>634351.06367288937</v>
      </c>
      <c r="H259" s="12" t="e">
        <f>#REF!</f>
        <v>#REF!</v>
      </c>
      <c r="I259" s="22">
        <v>144.31211837827698</v>
      </c>
      <c r="J259" s="6">
        <v>352</v>
      </c>
      <c r="K259" s="12">
        <f t="shared" si="14"/>
        <v>25561663.961178783</v>
      </c>
    </row>
    <row r="260" spans="1:12">
      <c r="A260" s="2">
        <v>42887</v>
      </c>
      <c r="C260" s="41">
        <f>'Weather Analysis - Thunder Bay'!AA13</f>
        <v>115.80518796992476</v>
      </c>
      <c r="D260" s="41">
        <f>'Weather Analysis - Thunder Bay'!AA33</f>
        <v>4.1052631578947967</v>
      </c>
      <c r="E260" s="6">
        <f t="shared" ref="E260:G260" si="19">E224</f>
        <v>30</v>
      </c>
      <c r="F260" s="6">
        <f t="shared" si="19"/>
        <v>0</v>
      </c>
      <c r="G260" s="6">
        <f t="shared" si="19"/>
        <v>632644.99272669479</v>
      </c>
      <c r="H260" s="12" t="e">
        <f>#REF!</f>
        <v>#REF!</v>
      </c>
      <c r="I260" s="22">
        <v>144.60937771389038</v>
      </c>
      <c r="J260" s="6">
        <v>320</v>
      </c>
      <c r="K260" s="12">
        <f t="shared" si="14"/>
        <v>23595844.809297975</v>
      </c>
    </row>
    <row r="261" spans="1:12">
      <c r="A261" s="2">
        <v>42917</v>
      </c>
      <c r="C261" s="41">
        <f>'Weather Analysis - Thunder Bay'!AA14</f>
        <v>34.996616541353319</v>
      </c>
      <c r="D261" s="41">
        <f>'Weather Analysis - Thunder Bay'!AA34</f>
        <v>41.516616541353415</v>
      </c>
      <c r="E261" s="6">
        <f t="shared" ref="E261:G261" si="20">E225</f>
        <v>31</v>
      </c>
      <c r="F261" s="6">
        <f t="shared" si="20"/>
        <v>0</v>
      </c>
      <c r="G261" s="6">
        <f t="shared" si="20"/>
        <v>630938.92178050021</v>
      </c>
      <c r="H261" s="12" t="e">
        <f>#REF!</f>
        <v>#REF!</v>
      </c>
      <c r="I261" s="22">
        <v>144.90724935506483</v>
      </c>
      <c r="J261" s="6">
        <v>352</v>
      </c>
      <c r="K261" s="12">
        <f t="shared" si="14"/>
        <v>25134983.0496305</v>
      </c>
    </row>
    <row r="262" spans="1:12">
      <c r="A262" s="2">
        <v>42948</v>
      </c>
      <c r="C262" s="41">
        <f>'Weather Analysis - Thunder Bay'!AA15</f>
        <v>48.162481203007474</v>
      </c>
      <c r="D262" s="41">
        <f>'Weather Analysis - Thunder Bay'!AA35</f>
        <v>33.181729323308446</v>
      </c>
      <c r="E262" s="6">
        <f t="shared" ref="E262:G262" si="21">E226</f>
        <v>31</v>
      </c>
      <c r="F262" s="6">
        <f t="shared" si="21"/>
        <v>0</v>
      </c>
      <c r="G262" s="6">
        <f t="shared" si="21"/>
        <v>629232.85083430563</v>
      </c>
      <c r="H262" s="12" t="e">
        <f>#REF!</f>
        <v>#REF!</v>
      </c>
      <c r="I262" s="22">
        <v>145.20573456304953</v>
      </c>
      <c r="J262" s="6">
        <v>336</v>
      </c>
      <c r="K262" s="12">
        <f t="shared" si="14"/>
        <v>24949757.770903416</v>
      </c>
    </row>
    <row r="263" spans="1:12">
      <c r="A263" s="2">
        <v>42979</v>
      </c>
      <c r="C263" s="41">
        <f>'Weather Analysis - Thunder Bay'!AA16</f>
        <v>175.57706766917295</v>
      </c>
      <c r="D263" s="41">
        <f>'Weather Analysis - Thunder Bay'!AA36</f>
        <v>5.6842857142857071</v>
      </c>
      <c r="E263" s="6">
        <f t="shared" ref="E263:G263" si="22">E227</f>
        <v>30</v>
      </c>
      <c r="F263" s="6">
        <f t="shared" si="22"/>
        <v>1</v>
      </c>
      <c r="G263" s="6">
        <f t="shared" si="22"/>
        <v>627526.77988811105</v>
      </c>
      <c r="H263" s="12" t="e">
        <f>#REF!</f>
        <v>#REF!</v>
      </c>
      <c r="I263" s="22">
        <v>145.50483460169167</v>
      </c>
      <c r="J263" s="6">
        <v>320</v>
      </c>
      <c r="K263" s="12">
        <f t="shared" si="14"/>
        <v>23544084.139978088</v>
      </c>
    </row>
    <row r="264" spans="1:12">
      <c r="A264" s="2">
        <v>43009</v>
      </c>
      <c r="C264" s="41">
        <f>'Weather Analysis - Thunder Bay'!AA17</f>
        <v>357.9927819548875</v>
      </c>
      <c r="D264" s="41">
        <f>'Weather Analysis - Thunder Bay'!AA37</f>
        <v>0.78360902255639076</v>
      </c>
      <c r="E264" s="6">
        <f t="shared" ref="E264:G264" si="23">E228</f>
        <v>31</v>
      </c>
      <c r="F264" s="6">
        <f t="shared" si="23"/>
        <v>1</v>
      </c>
      <c r="G264" s="6">
        <f t="shared" si="23"/>
        <v>625820.70894191647</v>
      </c>
      <c r="H264" s="12" t="e">
        <f>#REF!</f>
        <v>#REF!</v>
      </c>
      <c r="I264" s="22">
        <v>145.8045507374417</v>
      </c>
      <c r="J264" s="6">
        <v>352</v>
      </c>
      <c r="K264" s="12">
        <f t="shared" si="14"/>
        <v>26759609.141312569</v>
      </c>
    </row>
    <row r="265" spans="1:12">
      <c r="A265" s="2">
        <v>43040</v>
      </c>
      <c r="C265" s="41">
        <f>'Weather Analysis - Thunder Bay'!AA18</f>
        <v>558.62721804511284</v>
      </c>
      <c r="D265" s="41">
        <f>'Weather Analysis - Thunder Bay'!AA38</f>
        <v>0</v>
      </c>
      <c r="E265" s="6">
        <f t="shared" ref="E265:G265" si="24">E229</f>
        <v>30</v>
      </c>
      <c r="F265" s="6">
        <f t="shared" si="24"/>
        <v>1</v>
      </c>
      <c r="G265" s="6">
        <f t="shared" si="24"/>
        <v>624114.63799572189</v>
      </c>
      <c r="H265" s="12" t="e">
        <f>#REF!</f>
        <v>#REF!</v>
      </c>
      <c r="I265" s="22">
        <v>146.1048842393588</v>
      </c>
      <c r="J265" s="6">
        <v>336</v>
      </c>
      <c r="K265" s="12">
        <f t="shared" si="14"/>
        <v>28435765.013783723</v>
      </c>
    </row>
    <row r="266" spans="1:12">
      <c r="A266" s="2">
        <v>43070</v>
      </c>
      <c r="C266" s="41">
        <f>'Weather Analysis - Thunder Bay'!AA19</f>
        <v>843.2869924812029</v>
      </c>
      <c r="D266" s="41">
        <f>'Weather Analysis - Thunder Bay'!AA39</f>
        <v>0</v>
      </c>
      <c r="E266" s="6">
        <f t="shared" ref="E266:G266" si="25">E230</f>
        <v>31</v>
      </c>
      <c r="F266" s="6">
        <f t="shared" si="25"/>
        <v>0</v>
      </c>
      <c r="G266" s="6">
        <f t="shared" si="25"/>
        <v>622408.56704952731</v>
      </c>
      <c r="H266" s="12" t="e">
        <f>#REF!</f>
        <v>#REF!</v>
      </c>
      <c r="I266" s="22">
        <v>146.40583637911641</v>
      </c>
      <c r="J266" s="6">
        <v>320</v>
      </c>
      <c r="K266" s="12">
        <f t="shared" si="14"/>
        <v>34167494.291961439</v>
      </c>
      <c r="L266" s="29">
        <f>SUM(K255:K266)</f>
        <v>339093005.57734358</v>
      </c>
    </row>
  </sheetData>
  <mergeCells count="2">
    <mergeCell ref="H1:J1"/>
    <mergeCell ref="O233:P233"/>
  </mergeCells>
  <phoneticPr fontId="0" type="noConversion"/>
  <pageMargins left="0.38" right="0.75" top="0.73" bottom="0.74" header="0.5" footer="0.5"/>
  <pageSetup paperSize="5"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6"/>
  <sheetViews>
    <sheetView workbookViewId="0">
      <selection activeCell="B2" sqref="B2:M206"/>
    </sheetView>
  </sheetViews>
  <sheetFormatPr defaultRowHeight="12.75"/>
  <cols>
    <col min="1" max="1" width="11.85546875" customWidth="1"/>
    <col min="2" max="2" width="18" style="5" customWidth="1"/>
    <col min="3" max="3" width="11.7109375" style="179" customWidth="1"/>
    <col min="4" max="4" width="13.42578125" style="179" customWidth="1"/>
    <col min="5" max="5" width="10.140625" style="179" customWidth="1"/>
    <col min="6" max="7" width="12.42578125" style="179" customWidth="1"/>
    <col min="8" max="8" width="12.42578125" style="179" hidden="1" customWidth="1"/>
    <col min="9" max="9" width="14.42578125" style="23" hidden="1" customWidth="1"/>
    <col min="10" max="10" width="12.42578125" style="179" hidden="1" customWidth="1"/>
    <col min="11" max="11" width="15.42578125" style="179" bestFit="1" customWidth="1"/>
    <col min="12" max="12" width="17" style="179" customWidth="1"/>
    <col min="13" max="13" width="12.42578125" style="179"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200" t="s">
        <v>76</v>
      </c>
      <c r="I1" s="200"/>
      <c r="J1" s="200"/>
    </row>
    <row r="2" spans="1:13" ht="42" customHeight="1">
      <c r="A2" s="21"/>
      <c r="B2" s="261" t="s">
        <v>77</v>
      </c>
      <c r="C2" s="262" t="s">
        <v>1</v>
      </c>
      <c r="D2" s="262" t="s">
        <v>2</v>
      </c>
      <c r="E2" s="262" t="s">
        <v>3</v>
      </c>
      <c r="F2" s="262" t="s">
        <v>14</v>
      </c>
      <c r="G2" s="262" t="s">
        <v>56</v>
      </c>
      <c r="H2" s="263" t="s">
        <v>49</v>
      </c>
      <c r="I2" s="262" t="s">
        <v>4</v>
      </c>
      <c r="J2" s="262" t="s">
        <v>58</v>
      </c>
      <c r="K2" s="262" t="s">
        <v>78</v>
      </c>
      <c r="L2" s="262" t="s">
        <v>7</v>
      </c>
      <c r="M2" s="262" t="s">
        <v>8</v>
      </c>
    </row>
    <row r="3" spans="1:13" hidden="1">
      <c r="A3" s="20">
        <v>36161</v>
      </c>
      <c r="B3" s="284">
        <v>22843354.319999941</v>
      </c>
      <c r="C3" s="194">
        <f>'Weather Data'!B99</f>
        <v>994.7</v>
      </c>
      <c r="D3" s="194">
        <f>'Weather Data'!C99</f>
        <v>0</v>
      </c>
      <c r="E3" s="194">
        <v>31</v>
      </c>
      <c r="F3" s="194">
        <v>0</v>
      </c>
      <c r="G3" s="184">
        <v>0</v>
      </c>
      <c r="H3" s="195">
        <v>36735</v>
      </c>
      <c r="I3" s="184">
        <v>106.08666118100913</v>
      </c>
      <c r="J3" s="194">
        <v>319.87200000000001</v>
      </c>
      <c r="K3" s="194"/>
      <c r="L3" s="194"/>
      <c r="M3" s="285"/>
    </row>
    <row r="4" spans="1:13" hidden="1">
      <c r="A4" s="20">
        <v>36192</v>
      </c>
      <c r="B4" s="284">
        <v>30944887.000000566</v>
      </c>
      <c r="C4" s="194">
        <f>'Weather Data'!B100</f>
        <v>718.7</v>
      </c>
      <c r="D4" s="194">
        <f>'Weather Data'!C100</f>
        <v>0</v>
      </c>
      <c r="E4" s="194">
        <v>28</v>
      </c>
      <c r="F4" s="194">
        <v>0</v>
      </c>
      <c r="G4" s="184">
        <v>0</v>
      </c>
      <c r="H4" s="195">
        <v>43389</v>
      </c>
      <c r="I4" s="184">
        <v>106.08666118100913</v>
      </c>
      <c r="J4" s="194">
        <v>319.87200000000001</v>
      </c>
      <c r="K4" s="194"/>
      <c r="L4" s="194"/>
      <c r="M4" s="285"/>
    </row>
    <row r="5" spans="1:13" hidden="1">
      <c r="A5" s="20">
        <v>36220</v>
      </c>
      <c r="B5" s="284">
        <v>31192272.98</v>
      </c>
      <c r="C5" s="194">
        <f>'Weather Data'!B101</f>
        <v>710.1</v>
      </c>
      <c r="D5" s="194">
        <f>'Weather Data'!C101</f>
        <v>0</v>
      </c>
      <c r="E5" s="194">
        <v>31</v>
      </c>
      <c r="F5" s="194">
        <v>1</v>
      </c>
      <c r="G5" s="184">
        <v>0</v>
      </c>
      <c r="H5" s="195">
        <v>43566</v>
      </c>
      <c r="I5" s="184">
        <v>106.72898964661303</v>
      </c>
      <c r="J5" s="194">
        <v>368.28</v>
      </c>
      <c r="K5" s="194"/>
      <c r="L5" s="194"/>
      <c r="M5" s="285"/>
    </row>
    <row r="6" spans="1:13" hidden="1">
      <c r="A6" s="20">
        <v>36251</v>
      </c>
      <c r="B6" s="284">
        <v>27103570.060000088</v>
      </c>
      <c r="C6" s="194">
        <f>'Weather Data'!B102</f>
        <v>407.7</v>
      </c>
      <c r="D6" s="194">
        <f>'Weather Data'!C102</f>
        <v>0</v>
      </c>
      <c r="E6" s="194">
        <v>30</v>
      </c>
      <c r="F6" s="194">
        <v>1</v>
      </c>
      <c r="G6" s="184">
        <v>0</v>
      </c>
      <c r="H6" s="195">
        <v>43534</v>
      </c>
      <c r="I6" s="184">
        <v>107.37520725203085</v>
      </c>
      <c r="J6" s="194">
        <v>336.24</v>
      </c>
      <c r="K6" s="194"/>
      <c r="L6" s="194"/>
      <c r="M6" s="285"/>
    </row>
    <row r="7" spans="1:13" hidden="1">
      <c r="A7" s="20">
        <v>36281</v>
      </c>
      <c r="B7" s="284">
        <v>25155490.760000035</v>
      </c>
      <c r="C7" s="194">
        <f>'Weather Data'!B103</f>
        <v>224.7</v>
      </c>
      <c r="D7" s="194">
        <f>'Weather Data'!C103</f>
        <v>2.6</v>
      </c>
      <c r="E7" s="194">
        <v>31</v>
      </c>
      <c r="F7" s="194">
        <v>1</v>
      </c>
      <c r="G7" s="184">
        <v>0</v>
      </c>
      <c r="H7" s="195">
        <v>43500</v>
      </c>
      <c r="I7" s="184">
        <v>108.02533754504118</v>
      </c>
      <c r="J7" s="194">
        <v>319.92</v>
      </c>
      <c r="K7" s="194"/>
      <c r="L7" s="194"/>
      <c r="M7" s="285"/>
    </row>
    <row r="8" spans="1:13" hidden="1">
      <c r="A8" s="20">
        <v>36312</v>
      </c>
      <c r="B8" s="284">
        <v>23427104.32999998</v>
      </c>
      <c r="C8" s="194">
        <f>'Weather Data'!B104</f>
        <v>91.9</v>
      </c>
      <c r="D8" s="194">
        <f>'Weather Data'!C104</f>
        <v>11.4</v>
      </c>
      <c r="E8" s="194">
        <v>30</v>
      </c>
      <c r="F8" s="194">
        <v>0</v>
      </c>
      <c r="G8" s="184">
        <v>0</v>
      </c>
      <c r="H8" s="195">
        <v>43465</v>
      </c>
      <c r="I8" s="184">
        <v>108.6794042159986</v>
      </c>
      <c r="J8" s="194">
        <v>352.08</v>
      </c>
      <c r="K8" s="194"/>
      <c r="L8" s="194"/>
      <c r="M8" s="285"/>
    </row>
    <row r="9" spans="1:13" hidden="1">
      <c r="A9" s="20">
        <v>36342</v>
      </c>
      <c r="B9" s="284">
        <v>24261259.010000143</v>
      </c>
      <c r="C9" s="194">
        <f>'Weather Data'!B105</f>
        <v>24.2</v>
      </c>
      <c r="D9" s="194">
        <f>'Weather Data'!C105</f>
        <v>59.3</v>
      </c>
      <c r="E9" s="194">
        <v>31</v>
      </c>
      <c r="F9" s="194">
        <v>0</v>
      </c>
      <c r="G9" s="184">
        <v>0</v>
      </c>
      <c r="H9" s="195">
        <v>43633</v>
      </c>
      <c r="I9" s="184">
        <v>109.33743109869688</v>
      </c>
      <c r="J9" s="194">
        <v>336.28800000000001</v>
      </c>
      <c r="K9" s="194"/>
      <c r="L9" s="194"/>
      <c r="M9" s="285"/>
    </row>
    <row r="10" spans="1:13" hidden="1">
      <c r="A10" s="20">
        <v>36373</v>
      </c>
      <c r="B10" s="284">
        <v>24804295.33000008</v>
      </c>
      <c r="C10" s="194">
        <f>'Weather Data'!B106</f>
        <v>74</v>
      </c>
      <c r="D10" s="194">
        <f>'Weather Data'!C106</f>
        <v>12.2</v>
      </c>
      <c r="E10" s="194">
        <v>31</v>
      </c>
      <c r="F10" s="194">
        <v>0</v>
      </c>
      <c r="G10" s="184">
        <v>0</v>
      </c>
      <c r="H10" s="195">
        <v>43625</v>
      </c>
      <c r="I10" s="184">
        <v>109.99944217123755</v>
      </c>
      <c r="J10" s="194">
        <v>336.28800000000001</v>
      </c>
      <c r="K10" s="194"/>
      <c r="L10" s="194"/>
      <c r="M10" s="285"/>
    </row>
    <row r="11" spans="1:13" hidden="1">
      <c r="A11" s="20">
        <v>36404</v>
      </c>
      <c r="B11" s="284">
        <v>24983512.450000003</v>
      </c>
      <c r="C11" s="194">
        <f>'Weather Data'!B107</f>
        <v>194</v>
      </c>
      <c r="D11" s="194">
        <f>'Weather Data'!C107</f>
        <v>5.7</v>
      </c>
      <c r="E11" s="194">
        <v>30</v>
      </c>
      <c r="F11" s="194">
        <v>1</v>
      </c>
      <c r="G11" s="184">
        <v>0</v>
      </c>
      <c r="H11" s="195">
        <v>43713</v>
      </c>
      <c r="I11" s="184">
        <v>110.66546155690358</v>
      </c>
      <c r="J11" s="194">
        <v>336.24</v>
      </c>
      <c r="K11" s="194"/>
      <c r="L11" s="194"/>
      <c r="M11" s="285"/>
    </row>
    <row r="12" spans="1:13" hidden="1">
      <c r="A12" s="20">
        <v>36434</v>
      </c>
      <c r="B12" s="284">
        <v>27927641.870000076</v>
      </c>
      <c r="C12" s="194">
        <f>'Weather Data'!B108</f>
        <v>423.1</v>
      </c>
      <c r="D12" s="194">
        <f>'Weather Data'!C108</f>
        <v>0</v>
      </c>
      <c r="E12" s="194">
        <v>31</v>
      </c>
      <c r="F12" s="194">
        <v>1</v>
      </c>
      <c r="G12" s="184">
        <v>0</v>
      </c>
      <c r="H12" s="195">
        <v>43713</v>
      </c>
      <c r="I12" s="184">
        <v>111.33551352503846</v>
      </c>
      <c r="J12" s="194">
        <v>319.92</v>
      </c>
      <c r="K12" s="194"/>
      <c r="L12" s="194"/>
      <c r="M12" s="285"/>
    </row>
    <row r="13" spans="1:13" hidden="1">
      <c r="A13" s="20">
        <v>36465</v>
      </c>
      <c r="B13" s="284">
        <v>30807187.569999743</v>
      </c>
      <c r="C13" s="194">
        <f>'Weather Data'!B109</f>
        <v>500.7</v>
      </c>
      <c r="D13" s="194">
        <f>'Weather Data'!C109</f>
        <v>0</v>
      </c>
      <c r="E13" s="194">
        <v>30</v>
      </c>
      <c r="F13" s="194">
        <v>1</v>
      </c>
      <c r="G13" s="184">
        <v>0</v>
      </c>
      <c r="H13" s="195">
        <v>43708</v>
      </c>
      <c r="I13" s="184">
        <v>112.00962249193054</v>
      </c>
      <c r="J13" s="194">
        <v>352.08</v>
      </c>
      <c r="K13" s="194"/>
      <c r="L13" s="194"/>
      <c r="M13" s="285"/>
    </row>
    <row r="14" spans="1:13" hidden="1">
      <c r="A14" s="20">
        <v>36495</v>
      </c>
      <c r="B14" s="284">
        <v>36673911.080000579</v>
      </c>
      <c r="C14" s="194">
        <f>'Weather Data'!B110</f>
        <v>817.1</v>
      </c>
      <c r="D14" s="194">
        <f>'Weather Data'!C110</f>
        <v>0</v>
      </c>
      <c r="E14" s="194">
        <v>31</v>
      </c>
      <c r="F14" s="194">
        <v>0</v>
      </c>
      <c r="G14" s="184">
        <v>0</v>
      </c>
      <c r="H14" s="195">
        <v>43631</v>
      </c>
      <c r="I14" s="184">
        <v>112.68781302170287</v>
      </c>
      <c r="J14" s="194">
        <v>336.28800000000001</v>
      </c>
      <c r="K14" s="194"/>
      <c r="L14" s="194"/>
      <c r="M14" s="285"/>
    </row>
    <row r="15" spans="1:13" hidden="1">
      <c r="A15" s="20">
        <v>36526</v>
      </c>
      <c r="B15" s="284">
        <v>38014660.490000144</v>
      </c>
      <c r="C15" s="194">
        <f>'Weather Data'!B111</f>
        <v>963.5</v>
      </c>
      <c r="D15" s="194">
        <f>'Weather Data'!C111</f>
        <v>0</v>
      </c>
      <c r="E15" s="194">
        <v>31</v>
      </c>
      <c r="F15" s="194">
        <v>0</v>
      </c>
      <c r="G15" s="184">
        <v>0</v>
      </c>
      <c r="H15" s="195">
        <v>43530</v>
      </c>
      <c r="I15" s="184">
        <v>113.20550742744629</v>
      </c>
      <c r="J15" s="194">
        <v>319.92</v>
      </c>
      <c r="K15" s="194"/>
      <c r="L15" s="194"/>
      <c r="M15" s="285"/>
    </row>
    <row r="16" spans="1:13" hidden="1">
      <c r="A16" s="20">
        <v>36557</v>
      </c>
      <c r="B16" s="284">
        <v>32921590.989999924</v>
      </c>
      <c r="C16" s="194">
        <f>'Weather Data'!B112</f>
        <v>711.5</v>
      </c>
      <c r="D16" s="194">
        <f>'Weather Data'!C112</f>
        <v>0</v>
      </c>
      <c r="E16" s="194">
        <v>29</v>
      </c>
      <c r="F16" s="194">
        <v>0</v>
      </c>
      <c r="G16" s="184">
        <v>0</v>
      </c>
      <c r="H16" s="195">
        <v>43558</v>
      </c>
      <c r="I16" s="184">
        <v>113.72558015157706</v>
      </c>
      <c r="J16" s="194">
        <v>336.16799999999995</v>
      </c>
      <c r="K16" s="194"/>
      <c r="L16" s="194"/>
      <c r="M16" s="285"/>
    </row>
    <row r="17" spans="1:13" hidden="1">
      <c r="A17" s="20">
        <v>36586</v>
      </c>
      <c r="B17" s="284">
        <v>31183992.070000343</v>
      </c>
      <c r="C17" s="194">
        <f>'Weather Data'!B113</f>
        <v>574.6</v>
      </c>
      <c r="D17" s="194">
        <f>'Weather Data'!C113</f>
        <v>0</v>
      </c>
      <c r="E17" s="194">
        <v>31</v>
      </c>
      <c r="F17" s="194">
        <v>1</v>
      </c>
      <c r="G17" s="184">
        <v>0</v>
      </c>
      <c r="H17" s="195">
        <v>43618</v>
      </c>
      <c r="I17" s="184">
        <v>114.24804212022897</v>
      </c>
      <c r="J17" s="194">
        <v>368.28</v>
      </c>
      <c r="K17" s="194"/>
      <c r="L17" s="194"/>
      <c r="M17" s="285"/>
    </row>
    <row r="18" spans="1:13" ht="15" hidden="1" customHeight="1">
      <c r="A18" s="20">
        <v>36617</v>
      </c>
      <c r="B18" s="284">
        <v>27040375.419999946</v>
      </c>
      <c r="C18" s="194">
        <f>'Weather Data'!B114</f>
        <v>485.6</v>
      </c>
      <c r="D18" s="194">
        <f>'Weather Data'!C114</f>
        <v>0</v>
      </c>
      <c r="E18" s="194">
        <v>30</v>
      </c>
      <c r="F18" s="194">
        <v>1</v>
      </c>
      <c r="G18" s="184">
        <v>0</v>
      </c>
      <c r="H18" s="195">
        <v>43673</v>
      </c>
      <c r="I18" s="184">
        <v>114.77290430973115</v>
      </c>
      <c r="J18" s="194">
        <v>303.83999999999997</v>
      </c>
      <c r="K18" s="194"/>
      <c r="L18" s="194"/>
      <c r="M18" s="285"/>
    </row>
    <row r="19" spans="1:13" hidden="1">
      <c r="A19" s="20">
        <v>36647</v>
      </c>
      <c r="B19" s="284">
        <v>25265965.369999997</v>
      </c>
      <c r="C19" s="194">
        <f>'Weather Data'!B115</f>
        <v>260.5</v>
      </c>
      <c r="D19" s="194">
        <f>'Weather Data'!C115</f>
        <v>0</v>
      </c>
      <c r="E19" s="194">
        <v>31</v>
      </c>
      <c r="F19" s="194">
        <v>1</v>
      </c>
      <c r="G19" s="184">
        <v>0</v>
      </c>
      <c r="H19" s="195">
        <v>43755</v>
      </c>
      <c r="I19" s="184">
        <v>115.30017774683859</v>
      </c>
      <c r="J19" s="194">
        <v>351.91199999999998</v>
      </c>
      <c r="K19" s="194"/>
      <c r="L19" s="194"/>
      <c r="M19" s="285"/>
    </row>
    <row r="20" spans="1:13" hidden="1">
      <c r="A20" s="20">
        <v>36678</v>
      </c>
      <c r="B20" s="284">
        <v>23296606.519999966</v>
      </c>
      <c r="C20" s="194">
        <f>'Weather Data'!B116</f>
        <v>155.69999999999999</v>
      </c>
      <c r="D20" s="194">
        <f>'Weather Data'!C116</f>
        <v>2.2999999999999998</v>
      </c>
      <c r="E20" s="194">
        <v>30</v>
      </c>
      <c r="F20" s="194">
        <v>0</v>
      </c>
      <c r="G20" s="184">
        <v>0</v>
      </c>
      <c r="H20" s="195">
        <v>43676</v>
      </c>
      <c r="I20" s="184">
        <v>115.82987350896386</v>
      </c>
      <c r="J20" s="194">
        <v>352.08</v>
      </c>
      <c r="K20" s="194"/>
      <c r="L20" s="194"/>
      <c r="M20" s="285"/>
    </row>
    <row r="21" spans="1:13" hidden="1">
      <c r="A21" s="20">
        <v>36708</v>
      </c>
      <c r="B21" s="284">
        <v>23900944.639999881</v>
      </c>
      <c r="C21" s="194">
        <f>'Weather Data'!B117</f>
        <v>55.7</v>
      </c>
      <c r="D21" s="194">
        <f>'Weather Data'!C117</f>
        <v>20.8</v>
      </c>
      <c r="E21" s="194">
        <v>31</v>
      </c>
      <c r="F21" s="194">
        <v>0</v>
      </c>
      <c r="G21" s="184">
        <v>0</v>
      </c>
      <c r="H21" s="195">
        <v>43539</v>
      </c>
      <c r="I21" s="184">
        <v>116.36200272440982</v>
      </c>
      <c r="J21" s="194">
        <v>319.92</v>
      </c>
      <c r="K21" s="194"/>
      <c r="L21" s="194"/>
      <c r="M21" s="285"/>
    </row>
    <row r="22" spans="1:13" hidden="1">
      <c r="A22" s="20">
        <v>36739</v>
      </c>
      <c r="B22" s="284">
        <v>24355354.600000039</v>
      </c>
      <c r="C22" s="194">
        <f>'Weather Data'!B118</f>
        <v>63.4</v>
      </c>
      <c r="D22" s="194">
        <f>'Weather Data'!C118</f>
        <v>9.8000000000000007</v>
      </c>
      <c r="E22" s="194">
        <v>31</v>
      </c>
      <c r="F22" s="194">
        <v>0</v>
      </c>
      <c r="G22" s="184">
        <v>0</v>
      </c>
      <c r="H22" s="195">
        <v>43738</v>
      </c>
      <c r="I22" s="184">
        <v>116.89657657260338</v>
      </c>
      <c r="J22" s="194">
        <v>351.91199999999998</v>
      </c>
      <c r="K22" s="194"/>
      <c r="L22" s="194"/>
      <c r="M22" s="285"/>
    </row>
    <row r="23" spans="1:13" hidden="1">
      <c r="A23" s="20">
        <v>36770</v>
      </c>
      <c r="B23" s="284">
        <v>24440428.159999877</v>
      </c>
      <c r="C23" s="194">
        <f>'Weather Data'!B119</f>
        <v>223.3</v>
      </c>
      <c r="D23" s="194">
        <f>'Weather Data'!C119</f>
        <v>0</v>
      </c>
      <c r="E23" s="194">
        <v>30</v>
      </c>
      <c r="F23" s="194">
        <v>1</v>
      </c>
      <c r="G23" s="184">
        <v>0</v>
      </c>
      <c r="H23" s="195">
        <v>44000</v>
      </c>
      <c r="I23" s="184">
        <v>117.43360628433041</v>
      </c>
      <c r="J23" s="194">
        <v>319.68</v>
      </c>
      <c r="K23" s="194"/>
      <c r="L23" s="194"/>
      <c r="M23" s="285"/>
    </row>
    <row r="24" spans="1:13" hidden="1">
      <c r="A24" s="20">
        <v>36800</v>
      </c>
      <c r="B24" s="284">
        <v>27797989.669999942</v>
      </c>
      <c r="C24" s="194">
        <f>'Weather Data'!B120</f>
        <v>372.2</v>
      </c>
      <c r="D24" s="194">
        <f>'Weather Data'!C120</f>
        <v>0</v>
      </c>
      <c r="E24" s="194">
        <v>31</v>
      </c>
      <c r="F24" s="194">
        <v>1</v>
      </c>
      <c r="G24" s="184">
        <v>0</v>
      </c>
      <c r="H24" s="195">
        <v>43746</v>
      </c>
      <c r="I24" s="184">
        <v>117.97310314197166</v>
      </c>
      <c r="J24" s="194">
        <v>336.28800000000001</v>
      </c>
      <c r="K24" s="194"/>
      <c r="L24" s="194"/>
      <c r="M24" s="285"/>
    </row>
    <row r="25" spans="1:13" hidden="1">
      <c r="A25" s="20">
        <v>36831</v>
      </c>
      <c r="B25" s="284">
        <v>31881933.449999981</v>
      </c>
      <c r="C25" s="194">
        <f>'Weather Data'!B121</f>
        <v>561.6</v>
      </c>
      <c r="D25" s="194">
        <f>'Weather Data'!C121</f>
        <v>0</v>
      </c>
      <c r="E25" s="194">
        <v>30</v>
      </c>
      <c r="F25" s="194">
        <v>1</v>
      </c>
      <c r="G25" s="184">
        <v>0</v>
      </c>
      <c r="H25" s="195">
        <v>43748</v>
      </c>
      <c r="I25" s="184">
        <v>118.51507847973981</v>
      </c>
      <c r="J25" s="194">
        <v>352.08</v>
      </c>
      <c r="K25" s="194"/>
      <c r="L25" s="194"/>
      <c r="M25" s="285"/>
    </row>
    <row r="26" spans="1:13" hidden="1">
      <c r="A26" s="20">
        <v>36861</v>
      </c>
      <c r="B26" s="284">
        <v>37787462.930000082</v>
      </c>
      <c r="C26" s="194">
        <f>'Weather Data'!B122</f>
        <v>1041.3</v>
      </c>
      <c r="D26" s="194">
        <f>'Weather Data'!C122</f>
        <v>0</v>
      </c>
      <c r="E26" s="194">
        <v>31</v>
      </c>
      <c r="F26" s="194">
        <v>0</v>
      </c>
      <c r="G26" s="184">
        <v>0</v>
      </c>
      <c r="H26" s="195">
        <v>43752</v>
      </c>
      <c r="I26" s="184">
        <v>119.05954368391765</v>
      </c>
      <c r="J26" s="194">
        <v>304.29599999999999</v>
      </c>
      <c r="K26" s="194"/>
      <c r="L26" s="194"/>
      <c r="M26" s="285"/>
    </row>
    <row r="27" spans="1:13" hidden="1">
      <c r="A27" s="20">
        <v>36892</v>
      </c>
      <c r="B27" s="284">
        <v>38555412.55000025</v>
      </c>
      <c r="C27" s="194">
        <f>'Weather Data'!B123</f>
        <v>898.8</v>
      </c>
      <c r="D27" s="194">
        <f>'Weather Data'!C123</f>
        <v>0</v>
      </c>
      <c r="E27" s="194">
        <v>31</v>
      </c>
      <c r="F27" s="194">
        <v>0</v>
      </c>
      <c r="G27" s="184">
        <v>0</v>
      </c>
      <c r="H27" s="195">
        <v>43644</v>
      </c>
      <c r="I27" s="184">
        <v>119.23206305749976</v>
      </c>
      <c r="J27" s="194">
        <v>351.91199999999998</v>
      </c>
      <c r="K27" s="194"/>
      <c r="L27" s="194"/>
      <c r="M27" s="285"/>
    </row>
    <row r="28" spans="1:13" hidden="1">
      <c r="A28" s="20">
        <v>36925</v>
      </c>
      <c r="B28" s="284">
        <v>32616109.059999909</v>
      </c>
      <c r="C28" s="194">
        <f>'Weather Data'!B124</f>
        <v>918.9</v>
      </c>
      <c r="D28" s="194">
        <f>'Weather Data'!C124</f>
        <v>0</v>
      </c>
      <c r="E28" s="194">
        <v>28</v>
      </c>
      <c r="F28" s="194">
        <v>0</v>
      </c>
      <c r="G28" s="184">
        <v>0</v>
      </c>
      <c r="H28" s="195">
        <v>43682</v>
      </c>
      <c r="I28" s="184">
        <v>119.40483241468957</v>
      </c>
      <c r="J28" s="194">
        <v>319.87200000000001</v>
      </c>
      <c r="K28" s="194"/>
      <c r="L28" s="194"/>
      <c r="M28" s="285"/>
    </row>
    <row r="29" spans="1:13" hidden="1">
      <c r="A29" s="20">
        <v>36958</v>
      </c>
      <c r="B29" s="284">
        <v>32556214.300000075</v>
      </c>
      <c r="C29" s="194">
        <f>'Weather Data'!B125</f>
        <v>702.7</v>
      </c>
      <c r="D29" s="194">
        <f>'Weather Data'!C125</f>
        <v>0</v>
      </c>
      <c r="E29" s="194">
        <v>31</v>
      </c>
      <c r="F29" s="194">
        <v>1</v>
      </c>
      <c r="G29" s="184">
        <v>0</v>
      </c>
      <c r="H29" s="195">
        <v>43727</v>
      </c>
      <c r="I29" s="184">
        <v>119.57785211771773</v>
      </c>
      <c r="J29" s="194">
        <v>351.91199999999998</v>
      </c>
      <c r="K29" s="194"/>
      <c r="L29" s="194"/>
      <c r="M29" s="285"/>
    </row>
    <row r="30" spans="1:13" hidden="1">
      <c r="A30" s="20">
        <v>36991</v>
      </c>
      <c r="B30" s="284">
        <v>28157361.650000103</v>
      </c>
      <c r="C30" s="194">
        <f>'Weather Data'!B126</f>
        <v>430.7</v>
      </c>
      <c r="D30" s="194">
        <f>'Weather Data'!C126</f>
        <v>0</v>
      </c>
      <c r="E30" s="194">
        <v>30</v>
      </c>
      <c r="F30" s="194">
        <v>1</v>
      </c>
      <c r="G30" s="184">
        <v>0</v>
      </c>
      <c r="H30" s="195">
        <v>43680</v>
      </c>
      <c r="I30" s="184">
        <v>119.75112252933975</v>
      </c>
      <c r="J30" s="194">
        <v>319.68</v>
      </c>
      <c r="K30" s="194"/>
      <c r="L30" s="194"/>
      <c r="M30" s="285"/>
    </row>
    <row r="31" spans="1:13" hidden="1">
      <c r="A31" s="20">
        <v>37024</v>
      </c>
      <c r="B31" s="284">
        <v>25958482.530000001</v>
      </c>
      <c r="C31" s="194">
        <f>'Weather Data'!B127</f>
        <v>239.9</v>
      </c>
      <c r="D31" s="194">
        <f>'Weather Data'!C127</f>
        <v>0</v>
      </c>
      <c r="E31" s="194">
        <v>31</v>
      </c>
      <c r="F31" s="194">
        <v>1</v>
      </c>
      <c r="G31" s="184">
        <v>0</v>
      </c>
      <c r="H31" s="195">
        <v>43789</v>
      </c>
      <c r="I31" s="184">
        <v>119.92464401283681</v>
      </c>
      <c r="J31" s="194">
        <v>351.91199999999998</v>
      </c>
      <c r="K31" s="194"/>
      <c r="L31" s="194"/>
      <c r="M31" s="285"/>
    </row>
    <row r="32" spans="1:13" hidden="1">
      <c r="A32" s="20">
        <v>37057</v>
      </c>
      <c r="B32" s="284">
        <v>23827610.500000045</v>
      </c>
      <c r="C32" s="194">
        <f>'Weather Data'!B128</f>
        <v>114</v>
      </c>
      <c r="D32" s="194">
        <f>'Weather Data'!C128</f>
        <v>15.2</v>
      </c>
      <c r="E32" s="194">
        <v>30</v>
      </c>
      <c r="F32" s="194">
        <v>0</v>
      </c>
      <c r="G32" s="184">
        <v>0</v>
      </c>
      <c r="H32" s="195">
        <v>43875</v>
      </c>
      <c r="I32" s="184">
        <v>120.09841693201646</v>
      </c>
      <c r="J32" s="194">
        <v>336.24</v>
      </c>
      <c r="K32" s="194"/>
      <c r="L32" s="194"/>
      <c r="M32" s="285"/>
    </row>
    <row r="33" spans="1:13" hidden="1">
      <c r="A33" s="20">
        <v>37090</v>
      </c>
      <c r="B33" s="284">
        <v>24764452.77000007</v>
      </c>
      <c r="C33" s="194">
        <f>'Weather Data'!B129</f>
        <v>67.2</v>
      </c>
      <c r="D33" s="194">
        <f>'Weather Data'!C129</f>
        <v>29.7</v>
      </c>
      <c r="E33" s="194">
        <v>31</v>
      </c>
      <c r="F33" s="194">
        <v>0</v>
      </c>
      <c r="G33" s="184">
        <v>0</v>
      </c>
      <c r="H33" s="195">
        <v>43688</v>
      </c>
      <c r="I33" s="184">
        <v>120.27244165121344</v>
      </c>
      <c r="J33" s="194">
        <v>336.28800000000001</v>
      </c>
      <c r="K33" s="194"/>
      <c r="L33" s="194"/>
      <c r="M33" s="285"/>
    </row>
    <row r="34" spans="1:13" hidden="1">
      <c r="A34" s="20">
        <v>37123</v>
      </c>
      <c r="B34" s="284">
        <v>25255805.320000075</v>
      </c>
      <c r="C34" s="194">
        <f>'Weather Data'!B130</f>
        <v>40.200000000000003</v>
      </c>
      <c r="D34" s="194">
        <f>'Weather Data'!C130</f>
        <v>56.1</v>
      </c>
      <c r="E34" s="194">
        <v>31</v>
      </c>
      <c r="F34" s="194">
        <v>0</v>
      </c>
      <c r="G34" s="184">
        <v>0</v>
      </c>
      <c r="H34" s="195">
        <v>43795</v>
      </c>
      <c r="I34" s="184">
        <v>120.4467185352904</v>
      </c>
      <c r="J34" s="194">
        <v>351.91199999999998</v>
      </c>
      <c r="K34" s="194"/>
      <c r="L34" s="194"/>
      <c r="M34" s="285"/>
    </row>
    <row r="35" spans="1:13" hidden="1">
      <c r="A35" s="20">
        <v>37156</v>
      </c>
      <c r="B35" s="284">
        <v>24913988.220000021</v>
      </c>
      <c r="C35" s="194">
        <f>'Weather Data'!B131</f>
        <v>187.7</v>
      </c>
      <c r="D35" s="194">
        <f>'Weather Data'!C131</f>
        <v>6.8</v>
      </c>
      <c r="E35" s="194">
        <v>30</v>
      </c>
      <c r="F35" s="194">
        <v>1</v>
      </c>
      <c r="G35" s="184">
        <v>0</v>
      </c>
      <c r="H35" s="195">
        <v>43882</v>
      </c>
      <c r="I35" s="184">
        <v>120.62124794963869</v>
      </c>
      <c r="J35" s="194">
        <v>303.83999999999997</v>
      </c>
      <c r="K35" s="194"/>
      <c r="L35" s="194"/>
      <c r="M35" s="285"/>
    </row>
    <row r="36" spans="1:13" hidden="1">
      <c r="A36" s="20">
        <v>37189</v>
      </c>
      <c r="B36" s="284">
        <v>27835723.390000269</v>
      </c>
      <c r="C36" s="194">
        <f>'Weather Data'!B132</f>
        <v>408.6</v>
      </c>
      <c r="D36" s="194">
        <f>'Weather Data'!C132</f>
        <v>0</v>
      </c>
      <c r="E36" s="194">
        <v>31</v>
      </c>
      <c r="F36" s="194">
        <v>1</v>
      </c>
      <c r="G36" s="184">
        <v>0</v>
      </c>
      <c r="H36" s="195">
        <v>43898</v>
      </c>
      <c r="I36" s="184">
        <v>120.79603026017911</v>
      </c>
      <c r="J36" s="194">
        <v>351.91199999999998</v>
      </c>
      <c r="K36" s="194"/>
      <c r="L36" s="194"/>
      <c r="M36" s="285"/>
    </row>
    <row r="37" spans="1:13" hidden="1">
      <c r="A37" s="20">
        <v>37222</v>
      </c>
      <c r="B37" s="284">
        <v>30318950.679999791</v>
      </c>
      <c r="C37" s="194">
        <f>'Weather Data'!B133</f>
        <v>458.8</v>
      </c>
      <c r="D37" s="194">
        <f>'Weather Data'!C133</f>
        <v>0</v>
      </c>
      <c r="E37" s="194">
        <v>30</v>
      </c>
      <c r="F37" s="194">
        <v>1</v>
      </c>
      <c r="G37" s="184">
        <v>0</v>
      </c>
      <c r="H37" s="195">
        <v>43908</v>
      </c>
      <c r="I37" s="184">
        <v>120.9710658333627</v>
      </c>
      <c r="J37" s="194">
        <v>352.08</v>
      </c>
      <c r="K37" s="194"/>
      <c r="L37" s="194"/>
      <c r="M37" s="285"/>
    </row>
    <row r="38" spans="1:13" hidden="1">
      <c r="A38" s="20">
        <v>37255</v>
      </c>
      <c r="B38" s="284">
        <v>35374340.480000086</v>
      </c>
      <c r="C38" s="194">
        <f>'Weather Data'!B134</f>
        <v>716.4</v>
      </c>
      <c r="D38" s="194">
        <f>'Weather Data'!C134</f>
        <v>0</v>
      </c>
      <c r="E38" s="194">
        <v>31</v>
      </c>
      <c r="F38" s="194">
        <v>0</v>
      </c>
      <c r="G38" s="184">
        <v>0</v>
      </c>
      <c r="H38" s="195">
        <v>43793</v>
      </c>
      <c r="I38" s="184">
        <v>121.1463550361714</v>
      </c>
      <c r="J38" s="194">
        <v>304.29599999999999</v>
      </c>
      <c r="K38" s="194"/>
      <c r="L38" s="194"/>
      <c r="M38" s="285"/>
    </row>
    <row r="39" spans="1:13" hidden="1">
      <c r="A39" s="61">
        <v>37275</v>
      </c>
      <c r="B39" s="284">
        <v>36712335.590000197</v>
      </c>
      <c r="C39" s="194">
        <f>'Weather Data'!B135</f>
        <v>873.9</v>
      </c>
      <c r="D39" s="194">
        <f>'Weather Data'!C135</f>
        <v>0</v>
      </c>
      <c r="E39" s="194">
        <v>31</v>
      </c>
      <c r="F39" s="194">
        <v>0</v>
      </c>
      <c r="G39" s="184">
        <v>0</v>
      </c>
      <c r="H39" s="195">
        <v>43791</v>
      </c>
      <c r="I39" s="184">
        <v>121.50450639216388</v>
      </c>
      <c r="J39" s="194">
        <v>351.91199999999998</v>
      </c>
      <c r="K39" s="194"/>
      <c r="L39" s="194"/>
      <c r="M39" s="285"/>
    </row>
    <row r="40" spans="1:13" hidden="1">
      <c r="A40" s="20">
        <v>37308</v>
      </c>
      <c r="B40" s="284">
        <v>32266195.500000108</v>
      </c>
      <c r="C40" s="194">
        <f>'Weather Data'!B136</f>
        <v>733</v>
      </c>
      <c r="D40" s="194">
        <f>'Weather Data'!C136</f>
        <v>0</v>
      </c>
      <c r="E40" s="194">
        <v>28</v>
      </c>
      <c r="F40" s="194">
        <v>0</v>
      </c>
      <c r="G40" s="184">
        <v>0</v>
      </c>
      <c r="H40" s="195">
        <v>43785</v>
      </c>
      <c r="I40" s="184">
        <v>121.86371656989111</v>
      </c>
      <c r="J40" s="194">
        <v>319.87200000000001</v>
      </c>
      <c r="K40" s="194"/>
      <c r="L40" s="194"/>
      <c r="M40" s="285"/>
    </row>
    <row r="41" spans="1:13" hidden="1">
      <c r="A41" s="20">
        <v>37341</v>
      </c>
      <c r="B41" s="284">
        <v>33150979.240000058</v>
      </c>
      <c r="C41" s="194">
        <f>'Weather Data'!B137</f>
        <v>804.7</v>
      </c>
      <c r="D41" s="194">
        <f>'Weather Data'!C137</f>
        <v>0</v>
      </c>
      <c r="E41" s="194">
        <v>31</v>
      </c>
      <c r="F41" s="194">
        <v>1</v>
      </c>
      <c r="G41" s="184">
        <v>0</v>
      </c>
      <c r="H41" s="195">
        <v>43856</v>
      </c>
      <c r="I41" s="184">
        <v>122.22398869960362</v>
      </c>
      <c r="J41" s="194">
        <v>319.92</v>
      </c>
      <c r="K41" s="194"/>
      <c r="L41" s="194"/>
      <c r="M41" s="285"/>
    </row>
    <row r="42" spans="1:13" hidden="1">
      <c r="A42" s="20">
        <v>37374</v>
      </c>
      <c r="B42" s="284">
        <v>28627065.020000082</v>
      </c>
      <c r="C42" s="194">
        <f>'Weather Data'!B138</f>
        <v>462.3</v>
      </c>
      <c r="D42" s="194">
        <f>'Weather Data'!C138</f>
        <v>0</v>
      </c>
      <c r="E42" s="194">
        <v>30</v>
      </c>
      <c r="F42" s="194">
        <v>1</v>
      </c>
      <c r="G42" s="184">
        <v>0</v>
      </c>
      <c r="H42" s="195">
        <v>43869</v>
      </c>
      <c r="I42" s="184">
        <v>122.58532592080604</v>
      </c>
      <c r="J42" s="194">
        <v>352.08</v>
      </c>
      <c r="K42" s="194"/>
      <c r="L42" s="194"/>
      <c r="M42" s="285"/>
    </row>
    <row r="43" spans="1:13" hidden="1">
      <c r="A43" s="20">
        <v>37407</v>
      </c>
      <c r="B43" s="284">
        <v>26571396.520000149</v>
      </c>
      <c r="C43" s="194">
        <f>'Weather Data'!B139</f>
        <v>335</v>
      </c>
      <c r="D43" s="194">
        <f>'Weather Data'!C139</f>
        <v>0.5</v>
      </c>
      <c r="E43" s="194">
        <v>31</v>
      </c>
      <c r="F43" s="194">
        <v>1</v>
      </c>
      <c r="G43" s="184">
        <v>0</v>
      </c>
      <c r="H43" s="195">
        <v>43842</v>
      </c>
      <c r="I43" s="184">
        <v>122.9477313822845</v>
      </c>
      <c r="J43" s="194">
        <v>351.91199999999998</v>
      </c>
      <c r="K43" s="194"/>
      <c r="L43" s="194"/>
      <c r="M43" s="285"/>
    </row>
    <row r="44" spans="1:13" hidden="1">
      <c r="A44" s="20">
        <v>37408</v>
      </c>
      <c r="B44" s="284">
        <v>24748365.239999816</v>
      </c>
      <c r="C44" s="194">
        <f>'Weather Data'!B140</f>
        <v>114.4</v>
      </c>
      <c r="D44" s="194">
        <f>'Weather Data'!C140</f>
        <v>14.2</v>
      </c>
      <c r="E44" s="194">
        <v>30</v>
      </c>
      <c r="F44" s="194">
        <v>0</v>
      </c>
      <c r="G44" s="184">
        <v>0</v>
      </c>
      <c r="H44" s="195">
        <v>43856</v>
      </c>
      <c r="I44" s="184">
        <v>123.31120824213403</v>
      </c>
      <c r="J44" s="194">
        <v>319.68</v>
      </c>
      <c r="K44" s="194"/>
      <c r="L44" s="194"/>
      <c r="M44" s="285"/>
    </row>
    <row r="45" spans="1:13" hidden="1">
      <c r="A45" s="20">
        <v>37440</v>
      </c>
      <c r="B45" s="284">
        <v>25888517.460000087</v>
      </c>
      <c r="C45" s="194">
        <f>'Weather Data'!B141</f>
        <v>17.899999999999999</v>
      </c>
      <c r="D45" s="194">
        <f>'Weather Data'!C141</f>
        <v>79.3</v>
      </c>
      <c r="E45" s="194">
        <v>31</v>
      </c>
      <c r="F45" s="194">
        <v>0</v>
      </c>
      <c r="G45" s="184">
        <v>0</v>
      </c>
      <c r="H45" s="195">
        <v>43816</v>
      </c>
      <c r="I45" s="184">
        <v>123.67575966778612</v>
      </c>
      <c r="J45" s="194">
        <v>351.91199999999998</v>
      </c>
      <c r="K45" s="194"/>
      <c r="L45" s="194"/>
      <c r="M45" s="285"/>
    </row>
    <row r="46" spans="1:13" hidden="1">
      <c r="A46" s="20">
        <v>37473</v>
      </c>
      <c r="B46" s="284">
        <v>26199143.039999906</v>
      </c>
      <c r="C46" s="194">
        <f>'Weather Data'!B142</f>
        <v>49.7</v>
      </c>
      <c r="D46" s="194">
        <f>'Weather Data'!C142</f>
        <v>15.5</v>
      </c>
      <c r="E46" s="194">
        <v>31</v>
      </c>
      <c r="F46" s="194">
        <v>0</v>
      </c>
      <c r="G46" s="184">
        <v>0</v>
      </c>
      <c r="H46" s="195">
        <v>44159</v>
      </c>
      <c r="I46" s="184">
        <v>124.04138883603632</v>
      </c>
      <c r="J46" s="194">
        <v>336.28800000000001</v>
      </c>
      <c r="K46" s="194"/>
      <c r="L46" s="194"/>
      <c r="M46" s="285"/>
    </row>
    <row r="47" spans="1:13" hidden="1">
      <c r="A47" s="20">
        <v>37506</v>
      </c>
      <c r="B47" s="284">
        <v>25956181.139999911</v>
      </c>
      <c r="C47" s="194">
        <f>'Weather Data'!B143</f>
        <v>143.5</v>
      </c>
      <c r="D47" s="194">
        <f>'Weather Data'!C143</f>
        <v>20.9</v>
      </c>
      <c r="E47" s="194">
        <v>30</v>
      </c>
      <c r="F47" s="194">
        <v>1</v>
      </c>
      <c r="G47" s="184">
        <v>0</v>
      </c>
      <c r="H47" s="195">
        <v>44035</v>
      </c>
      <c r="I47" s="184">
        <v>124.40809893307186</v>
      </c>
      <c r="J47" s="194">
        <v>319.68</v>
      </c>
      <c r="K47" s="194"/>
      <c r="L47" s="194"/>
      <c r="M47" s="285"/>
    </row>
    <row r="48" spans="1:13" hidden="1">
      <c r="A48" s="20">
        <v>37539</v>
      </c>
      <c r="B48" s="284">
        <v>29475965.61000016</v>
      </c>
      <c r="C48" s="194">
        <f>'Weather Data'!B144</f>
        <v>510.1</v>
      </c>
      <c r="D48" s="194">
        <f>'Weather Data'!C144</f>
        <v>0</v>
      </c>
      <c r="E48" s="194">
        <v>31</v>
      </c>
      <c r="F48" s="194">
        <v>1</v>
      </c>
      <c r="G48" s="184">
        <v>0</v>
      </c>
      <c r="H48" s="195">
        <v>43993</v>
      </c>
      <c r="I48" s="184">
        <v>124.7758931544995</v>
      </c>
      <c r="J48" s="194">
        <v>351.91199999999998</v>
      </c>
      <c r="K48" s="194"/>
      <c r="L48" s="194"/>
      <c r="M48" s="285"/>
    </row>
    <row r="49" spans="1:13" hidden="1">
      <c r="A49" s="20">
        <v>37572</v>
      </c>
      <c r="B49" s="284">
        <v>31967182.769999605</v>
      </c>
      <c r="C49" s="194">
        <f>'Weather Data'!B145</f>
        <v>668</v>
      </c>
      <c r="D49" s="194">
        <f>'Weather Data'!C145</f>
        <v>0</v>
      </c>
      <c r="E49" s="194">
        <v>30</v>
      </c>
      <c r="F49" s="194">
        <v>1</v>
      </c>
      <c r="G49" s="184">
        <v>0</v>
      </c>
      <c r="H49" s="195">
        <v>44123</v>
      </c>
      <c r="I49" s="184">
        <v>125.14477470537335</v>
      </c>
      <c r="J49" s="194">
        <v>336.24</v>
      </c>
      <c r="K49" s="194"/>
      <c r="L49" s="194"/>
      <c r="M49" s="285"/>
    </row>
    <row r="50" spans="1:13" hidden="1">
      <c r="A50" s="20">
        <v>37605</v>
      </c>
      <c r="B50" s="284">
        <v>36868027.479999997</v>
      </c>
      <c r="C50" s="194">
        <f>'Weather Data'!B146</f>
        <v>785.6</v>
      </c>
      <c r="D50" s="194">
        <f>'Weather Data'!C146</f>
        <v>0</v>
      </c>
      <c r="E50" s="184">
        <v>31</v>
      </c>
      <c r="F50" s="184">
        <v>0</v>
      </c>
      <c r="G50" s="184">
        <v>0</v>
      </c>
      <c r="H50" s="185">
        <v>43950</v>
      </c>
      <c r="I50" s="184">
        <v>125.51474680022261</v>
      </c>
      <c r="J50" s="194">
        <v>319.92</v>
      </c>
      <c r="K50" s="194"/>
      <c r="L50" s="194"/>
      <c r="M50" s="286"/>
    </row>
    <row r="51" spans="1:13" hidden="1">
      <c r="A51" s="20">
        <v>37622</v>
      </c>
      <c r="B51" s="284">
        <v>38700757.240000278</v>
      </c>
      <c r="C51" s="194">
        <f>'Weather Data'!B147</f>
        <v>907.4</v>
      </c>
      <c r="D51" s="194">
        <f>'Weather Data'!C147</f>
        <v>0</v>
      </c>
      <c r="E51" s="194">
        <v>31</v>
      </c>
      <c r="F51" s="194">
        <v>0</v>
      </c>
      <c r="G51" s="184">
        <v>0</v>
      </c>
      <c r="H51" s="195">
        <v>43905</v>
      </c>
      <c r="I51" s="184">
        <v>125.66024937363977</v>
      </c>
      <c r="J51" s="194">
        <v>351.91199999999998</v>
      </c>
      <c r="K51" s="194"/>
      <c r="L51" s="194"/>
      <c r="M51" s="285"/>
    </row>
    <row r="52" spans="1:13" hidden="1">
      <c r="A52" s="20">
        <v>37653</v>
      </c>
      <c r="B52" s="284">
        <v>34507023.20000001</v>
      </c>
      <c r="C52" s="194">
        <f>'Weather Data'!B148</f>
        <v>969.6</v>
      </c>
      <c r="D52" s="194">
        <f>'Weather Data'!C148</f>
        <v>0</v>
      </c>
      <c r="E52" s="194">
        <v>28</v>
      </c>
      <c r="F52" s="194">
        <v>0</v>
      </c>
      <c r="G52" s="184">
        <v>0</v>
      </c>
      <c r="H52" s="195">
        <v>43803</v>
      </c>
      <c r="I52" s="184">
        <v>125.80592062045517</v>
      </c>
      <c r="J52" s="194">
        <v>319.87200000000001</v>
      </c>
      <c r="K52" s="194"/>
      <c r="L52" s="194"/>
      <c r="M52" s="285"/>
    </row>
    <row r="53" spans="1:13" hidden="1">
      <c r="A53" s="20">
        <v>37681</v>
      </c>
      <c r="B53" s="284">
        <v>34325569.499999963</v>
      </c>
      <c r="C53" s="194">
        <f>'Weather Data'!B149</f>
        <v>765.1</v>
      </c>
      <c r="D53" s="194">
        <f>'Weather Data'!C149</f>
        <v>0</v>
      </c>
      <c r="E53" s="194">
        <v>31</v>
      </c>
      <c r="F53" s="194">
        <v>1</v>
      </c>
      <c r="G53" s="184">
        <v>0</v>
      </c>
      <c r="H53" s="195">
        <v>43839</v>
      </c>
      <c r="I53" s="184">
        <v>125.9517607362029</v>
      </c>
      <c r="J53" s="194">
        <v>336.28800000000001</v>
      </c>
      <c r="K53" s="194"/>
      <c r="L53" s="194"/>
      <c r="M53" s="285"/>
    </row>
    <row r="54" spans="1:13" hidden="1">
      <c r="A54" s="20">
        <v>37712</v>
      </c>
      <c r="B54" s="284">
        <v>28484611.509999972</v>
      </c>
      <c r="C54" s="194">
        <f>'Weather Data'!B150</f>
        <v>499.3</v>
      </c>
      <c r="D54" s="194">
        <f>'Weather Data'!C150</f>
        <v>0</v>
      </c>
      <c r="E54" s="194">
        <v>30</v>
      </c>
      <c r="F54" s="194">
        <v>1</v>
      </c>
      <c r="G54" s="184">
        <v>0</v>
      </c>
      <c r="H54" s="195">
        <v>43964</v>
      </c>
      <c r="I54" s="184">
        <v>126.09776991664374</v>
      </c>
      <c r="J54" s="194">
        <v>336.24</v>
      </c>
      <c r="K54" s="194"/>
      <c r="L54" s="194"/>
      <c r="M54" s="285"/>
    </row>
    <row r="55" spans="1:13" hidden="1">
      <c r="A55" s="20">
        <v>37742</v>
      </c>
      <c r="B55" s="284">
        <v>26044982.910000205</v>
      </c>
      <c r="C55" s="194">
        <f>'Weather Data'!B151</f>
        <v>276.39999999999998</v>
      </c>
      <c r="D55" s="194">
        <f>'Weather Data'!C151</f>
        <v>0</v>
      </c>
      <c r="E55" s="194">
        <v>31</v>
      </c>
      <c r="F55" s="194">
        <v>1</v>
      </c>
      <c r="G55" s="184">
        <v>0</v>
      </c>
      <c r="H55" s="195">
        <v>44218</v>
      </c>
      <c r="I55" s="184">
        <v>126.2439483577654</v>
      </c>
      <c r="J55" s="194">
        <v>336.28800000000001</v>
      </c>
      <c r="K55" s="194"/>
      <c r="L55" s="194"/>
      <c r="M55" s="285"/>
    </row>
    <row r="56" spans="1:13" hidden="1">
      <c r="A56" s="20">
        <v>37773</v>
      </c>
      <c r="B56" s="284">
        <v>24018303.7999999</v>
      </c>
      <c r="C56" s="194">
        <f>'Weather Data'!B152</f>
        <v>129.30000000000001</v>
      </c>
      <c r="D56" s="194">
        <f>'Weather Data'!C152</f>
        <v>0</v>
      </c>
      <c r="E56" s="194">
        <v>30</v>
      </c>
      <c r="F56" s="194">
        <v>0</v>
      </c>
      <c r="G56" s="184">
        <v>0</v>
      </c>
      <c r="H56" s="195">
        <v>43978</v>
      </c>
      <c r="I56" s="184">
        <v>126.3902962557828</v>
      </c>
      <c r="J56" s="194">
        <v>336.24</v>
      </c>
      <c r="K56" s="194"/>
      <c r="L56" s="194"/>
      <c r="M56" s="285"/>
    </row>
    <row r="57" spans="1:13" hidden="1">
      <c r="A57" s="20">
        <v>37803</v>
      </c>
      <c r="B57" s="284">
        <v>25420951.430000067</v>
      </c>
      <c r="C57" s="194">
        <f>'Weather Data'!B153</f>
        <v>29.9</v>
      </c>
      <c r="D57" s="194">
        <f>'Weather Data'!C153</f>
        <v>18.2</v>
      </c>
      <c r="E57" s="194">
        <v>31</v>
      </c>
      <c r="F57" s="194">
        <v>0</v>
      </c>
      <c r="G57" s="184">
        <v>0</v>
      </c>
      <c r="H57" s="195">
        <v>43908</v>
      </c>
      <c r="I57" s="184">
        <v>126.5368138071383</v>
      </c>
      <c r="J57" s="194">
        <v>351.91199999999998</v>
      </c>
      <c r="K57" s="194"/>
      <c r="L57" s="194"/>
      <c r="M57" s="285"/>
    </row>
    <row r="58" spans="1:13" hidden="1">
      <c r="A58" s="20">
        <v>37834</v>
      </c>
      <c r="B58" s="284">
        <v>26294357.740000248</v>
      </c>
      <c r="C58" s="194">
        <f>'Weather Data'!B154</f>
        <v>35.6</v>
      </c>
      <c r="D58" s="194">
        <f>'Weather Data'!C154</f>
        <v>50.9</v>
      </c>
      <c r="E58" s="194">
        <v>31</v>
      </c>
      <c r="F58" s="194">
        <v>0</v>
      </c>
      <c r="G58" s="184">
        <v>0</v>
      </c>
      <c r="H58" s="195">
        <v>44235</v>
      </c>
      <c r="I58" s="184">
        <v>126.68350120850199</v>
      </c>
      <c r="J58" s="194">
        <v>319.92</v>
      </c>
      <c r="K58" s="194"/>
      <c r="L58" s="194"/>
      <c r="M58" s="285"/>
    </row>
    <row r="59" spans="1:13" hidden="1">
      <c r="A59" s="20">
        <v>37865</v>
      </c>
      <c r="B59" s="284">
        <v>26006212.489999998</v>
      </c>
      <c r="C59" s="194">
        <f>'Weather Data'!B155</f>
        <v>164</v>
      </c>
      <c r="D59" s="194">
        <f>'Weather Data'!C155</f>
        <v>6.7</v>
      </c>
      <c r="E59" s="194">
        <v>30</v>
      </c>
      <c r="F59" s="194">
        <v>1</v>
      </c>
      <c r="G59" s="184">
        <v>0</v>
      </c>
      <c r="H59" s="195">
        <v>44236</v>
      </c>
      <c r="I59" s="184">
        <v>126.83035865677196</v>
      </c>
      <c r="J59" s="194">
        <v>336.24</v>
      </c>
      <c r="K59" s="194"/>
      <c r="L59" s="194"/>
      <c r="M59" s="285"/>
    </row>
    <row r="60" spans="1:13" hidden="1">
      <c r="A60" s="20">
        <v>37895</v>
      </c>
      <c r="B60" s="284">
        <v>29293413.960000347</v>
      </c>
      <c r="C60" s="194">
        <f>'Weather Data'!B156</f>
        <v>414.2</v>
      </c>
      <c r="D60" s="194">
        <f>'Weather Data'!C156</f>
        <v>0</v>
      </c>
      <c r="E60" s="194">
        <v>31</v>
      </c>
      <c r="F60" s="194">
        <v>1</v>
      </c>
      <c r="G60" s="184">
        <v>0</v>
      </c>
      <c r="H60" s="195">
        <v>44111</v>
      </c>
      <c r="I60" s="184">
        <v>126.97738634907456</v>
      </c>
      <c r="J60" s="194">
        <v>351.91199999999998</v>
      </c>
      <c r="K60" s="194"/>
      <c r="L60" s="194"/>
      <c r="M60" s="285"/>
    </row>
    <row r="61" spans="1:13" hidden="1">
      <c r="A61" s="20">
        <v>37926</v>
      </c>
      <c r="B61" s="284">
        <v>32018999.120000001</v>
      </c>
      <c r="C61" s="194">
        <f>'Weather Data'!B157</f>
        <v>632.9</v>
      </c>
      <c r="D61" s="194">
        <f>'Weather Data'!C157</f>
        <v>0</v>
      </c>
      <c r="E61" s="194">
        <v>30</v>
      </c>
      <c r="F61" s="194">
        <v>1</v>
      </c>
      <c r="G61" s="184">
        <v>0</v>
      </c>
      <c r="H61" s="195">
        <v>44114</v>
      </c>
      <c r="I61" s="184">
        <v>127.12458448276465</v>
      </c>
      <c r="J61" s="194">
        <v>319.68</v>
      </c>
      <c r="K61" s="194"/>
      <c r="L61" s="194"/>
      <c r="M61" s="285"/>
    </row>
    <row r="62" spans="1:13" hidden="1">
      <c r="A62" s="20">
        <v>37956</v>
      </c>
      <c r="B62" s="284">
        <v>36958308.960000031</v>
      </c>
      <c r="C62" s="194">
        <f>'Weather Data'!B158</f>
        <v>785.9</v>
      </c>
      <c r="D62" s="194">
        <f>'Weather Data'!C158</f>
        <v>0</v>
      </c>
      <c r="E62" s="194">
        <v>31</v>
      </c>
      <c r="F62" s="194">
        <v>0</v>
      </c>
      <c r="G62" s="184">
        <v>0</v>
      </c>
      <c r="H62" s="195">
        <v>44063</v>
      </c>
      <c r="I62" s="184">
        <v>127.27195325542573</v>
      </c>
      <c r="J62" s="194">
        <v>336.28800000000001</v>
      </c>
      <c r="K62" s="194"/>
      <c r="L62" s="194"/>
      <c r="M62" s="285"/>
    </row>
    <row r="63" spans="1:13" hidden="1">
      <c r="A63" s="20">
        <v>37987</v>
      </c>
      <c r="B63" s="284">
        <v>38668458.560000561</v>
      </c>
      <c r="C63" s="194">
        <f>'Weather Data'!B159</f>
        <v>1140.5999999999999</v>
      </c>
      <c r="D63" s="194">
        <f>'Weather Data'!C159</f>
        <v>0</v>
      </c>
      <c r="E63" s="194">
        <v>31</v>
      </c>
      <c r="F63" s="194">
        <v>0</v>
      </c>
      <c r="G63" s="184">
        <v>0</v>
      </c>
      <c r="H63" s="195">
        <v>44081</v>
      </c>
      <c r="I63" s="184">
        <v>127.53411264087498</v>
      </c>
      <c r="J63" s="194">
        <v>336.28800000000001</v>
      </c>
      <c r="K63" s="194"/>
      <c r="L63" s="194"/>
      <c r="M63" s="285"/>
    </row>
    <row r="64" spans="1:13" hidden="1">
      <c r="A64" s="20">
        <v>38018</v>
      </c>
      <c r="B64" s="284">
        <v>34331411.410000011</v>
      </c>
      <c r="C64" s="194">
        <f>'Weather Data'!B160</f>
        <v>778.3</v>
      </c>
      <c r="D64" s="194">
        <f>'Weather Data'!C160</f>
        <v>0</v>
      </c>
      <c r="E64" s="194">
        <v>29</v>
      </c>
      <c r="F64" s="194">
        <v>0</v>
      </c>
      <c r="G64" s="184">
        <v>0</v>
      </c>
      <c r="H64" s="195">
        <v>43971</v>
      </c>
      <c r="I64" s="184">
        <v>127.79681203173486</v>
      </c>
      <c r="J64" s="194">
        <v>320.16000000000003</v>
      </c>
      <c r="K64" s="194"/>
      <c r="L64" s="194"/>
      <c r="M64" s="285"/>
    </row>
    <row r="65" spans="1:47" hidden="1">
      <c r="A65" s="20">
        <v>38047</v>
      </c>
      <c r="B65" s="284">
        <v>32611182.190000217</v>
      </c>
      <c r="C65" s="194">
        <f>'Weather Data'!B161</f>
        <v>684.3</v>
      </c>
      <c r="D65" s="194">
        <f>'Weather Data'!C161</f>
        <v>0</v>
      </c>
      <c r="E65" s="194">
        <v>31</v>
      </c>
      <c r="F65" s="194">
        <v>1</v>
      </c>
      <c r="G65" s="184">
        <v>0</v>
      </c>
      <c r="H65" s="195">
        <v>44103</v>
      </c>
      <c r="I65" s="184">
        <v>128.06005254032812</v>
      </c>
      <c r="J65" s="194">
        <v>368.28</v>
      </c>
      <c r="K65" s="194"/>
      <c r="L65" s="194"/>
      <c r="M65" s="285"/>
    </row>
    <row r="66" spans="1:47" hidden="1">
      <c r="A66" s="20">
        <v>38078</v>
      </c>
      <c r="B66" s="284">
        <v>28276428.909999788</v>
      </c>
      <c r="C66" s="194">
        <f>'Weather Data'!B162</f>
        <v>472.4</v>
      </c>
      <c r="D66" s="194">
        <f>'Weather Data'!C162</f>
        <v>0</v>
      </c>
      <c r="E66" s="194">
        <v>30</v>
      </c>
      <c r="F66" s="194">
        <v>1</v>
      </c>
      <c r="G66" s="184">
        <v>0</v>
      </c>
      <c r="H66" s="195">
        <v>44019</v>
      </c>
      <c r="I66" s="184">
        <v>128.32383528126866</v>
      </c>
      <c r="J66" s="194">
        <v>336.24</v>
      </c>
      <c r="K66" s="194"/>
      <c r="L66" s="194"/>
      <c r="M66" s="285"/>
    </row>
    <row r="67" spans="1:47" hidden="1">
      <c r="A67" s="20">
        <v>38108</v>
      </c>
      <c r="B67" s="284">
        <v>26338968.129999977</v>
      </c>
      <c r="C67" s="194">
        <f>'Weather Data'!B163</f>
        <v>333.2</v>
      </c>
      <c r="D67" s="194">
        <f>'Weather Data'!C163</f>
        <v>0</v>
      </c>
      <c r="E67" s="194">
        <v>31</v>
      </c>
      <c r="F67" s="194">
        <v>1</v>
      </c>
      <c r="G67" s="184">
        <v>0</v>
      </c>
      <c r="H67" s="195">
        <v>44025</v>
      </c>
      <c r="I67" s="184">
        <v>128.58816137146633</v>
      </c>
      <c r="J67" s="194">
        <v>319.92</v>
      </c>
      <c r="K67" s="194"/>
      <c r="L67" s="194"/>
      <c r="M67" s="285"/>
    </row>
    <row r="68" spans="1:47" hidden="1">
      <c r="A68" s="20">
        <v>38139</v>
      </c>
      <c r="B68" s="284">
        <v>23894672.880000148</v>
      </c>
      <c r="C68" s="194">
        <f>'Weather Data'!B164</f>
        <v>145.80000000000001</v>
      </c>
      <c r="D68" s="194">
        <f>'Weather Data'!C164</f>
        <v>3.1</v>
      </c>
      <c r="E68" s="194">
        <v>30</v>
      </c>
      <c r="F68" s="194">
        <v>0</v>
      </c>
      <c r="G68" s="184">
        <v>0</v>
      </c>
      <c r="H68" s="195">
        <v>44110</v>
      </c>
      <c r="I68" s="184">
        <v>128.85303193013166</v>
      </c>
      <c r="J68" s="194">
        <v>352.08</v>
      </c>
      <c r="K68" s="194"/>
      <c r="L68" s="194"/>
      <c r="M68" s="285"/>
    </row>
    <row r="69" spans="1:47" hidden="1">
      <c r="A69" s="20">
        <v>38169</v>
      </c>
      <c r="B69" s="284">
        <v>24543277.730000049</v>
      </c>
      <c r="C69" s="194">
        <f>'Weather Data'!B165</f>
        <v>67.400000000000006</v>
      </c>
      <c r="D69" s="194">
        <f>'Weather Data'!C165</f>
        <v>22</v>
      </c>
      <c r="E69" s="194">
        <v>31</v>
      </c>
      <c r="F69" s="194">
        <v>0</v>
      </c>
      <c r="G69" s="184">
        <v>0</v>
      </c>
      <c r="H69" s="195">
        <v>44256</v>
      </c>
      <c r="I69" s="184">
        <v>129.11844807878055</v>
      </c>
      <c r="J69" s="194">
        <v>336.28800000000001</v>
      </c>
      <c r="K69" s="194"/>
      <c r="L69" s="194"/>
      <c r="M69" s="285"/>
    </row>
    <row r="70" spans="1:47" hidden="1">
      <c r="A70" s="20">
        <v>38200</v>
      </c>
      <c r="B70" s="284">
        <v>25024173.030000053</v>
      </c>
      <c r="C70" s="194">
        <f>'Weather Data'!B166</f>
        <v>123</v>
      </c>
      <c r="D70" s="194">
        <f>'Weather Data'!C166</f>
        <v>1.8</v>
      </c>
      <c r="E70" s="194">
        <v>31</v>
      </c>
      <c r="F70" s="194">
        <v>0</v>
      </c>
      <c r="G70" s="184">
        <v>0</v>
      </c>
      <c r="H70" s="195">
        <v>44126</v>
      </c>
      <c r="I70" s="184">
        <v>129.38441094123903</v>
      </c>
      <c r="J70" s="194">
        <v>336.28800000000001</v>
      </c>
      <c r="K70" s="194"/>
      <c r="L70" s="194"/>
      <c r="M70" s="285"/>
    </row>
    <row r="71" spans="1:47" hidden="1">
      <c r="A71" s="20">
        <v>38231</v>
      </c>
      <c r="B71" s="284">
        <v>25064194.599999979</v>
      </c>
      <c r="C71" s="194">
        <f>'Weather Data'!B167</f>
        <v>132.9</v>
      </c>
      <c r="D71" s="194">
        <f>'Weather Data'!C167</f>
        <v>4.7</v>
      </c>
      <c r="E71" s="194">
        <v>30</v>
      </c>
      <c r="F71" s="194">
        <v>1</v>
      </c>
      <c r="G71" s="184">
        <v>0</v>
      </c>
      <c r="H71" s="195">
        <v>44294</v>
      </c>
      <c r="I71" s="184">
        <v>129.65092164364802</v>
      </c>
      <c r="J71" s="194">
        <v>336.24</v>
      </c>
      <c r="K71" s="194"/>
      <c r="L71" s="194"/>
      <c r="M71" s="285"/>
    </row>
    <row r="72" spans="1:47" hidden="1">
      <c r="A72" s="20">
        <v>38261</v>
      </c>
      <c r="B72" s="284">
        <v>28414629.599999845</v>
      </c>
      <c r="C72" s="194">
        <f>'Weather Data'!B168</f>
        <v>372.7</v>
      </c>
      <c r="D72" s="194">
        <f>'Weather Data'!C168</f>
        <v>0</v>
      </c>
      <c r="E72" s="194">
        <v>31</v>
      </c>
      <c r="F72" s="194">
        <v>1</v>
      </c>
      <c r="G72" s="184">
        <v>0</v>
      </c>
      <c r="H72" s="195">
        <v>44311</v>
      </c>
      <c r="I72" s="184">
        <v>129.91798131446814</v>
      </c>
      <c r="J72" s="194">
        <v>319.92</v>
      </c>
      <c r="K72" s="194"/>
      <c r="L72" s="194"/>
      <c r="M72" s="285"/>
    </row>
    <row r="73" spans="1:47" hidden="1">
      <c r="A73" s="20">
        <v>38292</v>
      </c>
      <c r="B73" s="284">
        <v>31681875.579999883</v>
      </c>
      <c r="C73" s="194">
        <f>'Weather Data'!B169</f>
        <v>554.9</v>
      </c>
      <c r="D73" s="194">
        <f>'Weather Data'!C169</f>
        <v>0</v>
      </c>
      <c r="E73" s="194">
        <v>30</v>
      </c>
      <c r="F73" s="194">
        <v>1</v>
      </c>
      <c r="G73" s="184">
        <v>0</v>
      </c>
      <c r="H73" s="195">
        <v>44365</v>
      </c>
      <c r="I73" s="184">
        <v>130.18559108448443</v>
      </c>
      <c r="J73" s="194">
        <v>352.08</v>
      </c>
      <c r="K73" s="194"/>
      <c r="L73" s="194"/>
      <c r="M73" s="285"/>
    </row>
    <row r="74" spans="1:47" hidden="1">
      <c r="A74" s="20">
        <v>38322</v>
      </c>
      <c r="B74" s="284">
        <v>37366129.619999848</v>
      </c>
      <c r="C74" s="194">
        <f>'Weather Data'!B170</f>
        <v>926.6</v>
      </c>
      <c r="D74" s="194">
        <f>'Weather Data'!C170</f>
        <v>0</v>
      </c>
      <c r="E74" s="194">
        <v>31</v>
      </c>
      <c r="F74" s="194">
        <v>0</v>
      </c>
      <c r="G74" s="184">
        <v>0</v>
      </c>
      <c r="H74" s="195">
        <v>44185</v>
      </c>
      <c r="I74" s="184">
        <v>130.45375208681136</v>
      </c>
      <c r="J74" s="194">
        <v>336.28800000000001</v>
      </c>
      <c r="K74" s="194"/>
      <c r="L74" s="194"/>
      <c r="M74" s="285"/>
    </row>
    <row r="75" spans="1:47" hidden="1">
      <c r="A75" s="20">
        <v>38353</v>
      </c>
      <c r="B75" s="284">
        <v>38920097.020000175</v>
      </c>
      <c r="C75" s="194">
        <f>'Weather Data'!B171</f>
        <v>1084.3</v>
      </c>
      <c r="D75" s="194">
        <f>'Weather Data'!C171</f>
        <v>0</v>
      </c>
      <c r="E75" s="194">
        <v>31</v>
      </c>
      <c r="F75" s="194">
        <v>0</v>
      </c>
      <c r="G75" s="184">
        <v>0</v>
      </c>
      <c r="H75" s="195">
        <v>44157</v>
      </c>
      <c r="I75" s="184">
        <v>130.74370215685079</v>
      </c>
      <c r="J75" s="194">
        <v>319.92</v>
      </c>
      <c r="K75" s="194"/>
      <c r="L75" s="194"/>
      <c r="M75" s="285"/>
    </row>
    <row r="76" spans="1:47" s="9" customFormat="1" hidden="1">
      <c r="A76" s="20">
        <v>38384</v>
      </c>
      <c r="B76" s="284">
        <v>33256365.220000371</v>
      </c>
      <c r="C76" s="194">
        <f>'Weather Data'!B172</f>
        <v>755.9</v>
      </c>
      <c r="D76" s="194">
        <f>'Weather Data'!C172</f>
        <v>0</v>
      </c>
      <c r="E76" s="194">
        <v>28</v>
      </c>
      <c r="F76" s="194">
        <v>0</v>
      </c>
      <c r="G76" s="184">
        <v>0</v>
      </c>
      <c r="H76" s="195">
        <v>44040</v>
      </c>
      <c r="I76" s="184">
        <v>131.0342966778299</v>
      </c>
      <c r="J76" s="194">
        <v>319.87200000000001</v>
      </c>
      <c r="K76" s="194"/>
      <c r="L76" s="194"/>
      <c r="M76" s="285"/>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20">
        <v>38412</v>
      </c>
      <c r="B77" s="284">
        <v>32485847.760000072</v>
      </c>
      <c r="C77" s="194">
        <f>'Weather Data'!B173</f>
        <v>814.1</v>
      </c>
      <c r="D77" s="194">
        <f>'Weather Data'!C173</f>
        <v>0</v>
      </c>
      <c r="E77" s="194">
        <v>31</v>
      </c>
      <c r="F77" s="194">
        <v>1</v>
      </c>
      <c r="G77" s="184">
        <v>0</v>
      </c>
      <c r="H77" s="195">
        <v>44100</v>
      </c>
      <c r="I77" s="184">
        <v>131.32553708212293</v>
      </c>
      <c r="J77" s="194">
        <v>351.91199999999998</v>
      </c>
      <c r="K77" s="194"/>
      <c r="L77" s="194"/>
      <c r="M77" s="285"/>
    </row>
    <row r="78" spans="1:47" hidden="1">
      <c r="A78" s="20">
        <v>38443</v>
      </c>
      <c r="B78" s="284">
        <v>27843394.499999896</v>
      </c>
      <c r="C78" s="194">
        <f>'Weather Data'!B174</f>
        <v>408.1</v>
      </c>
      <c r="D78" s="194">
        <f>'Weather Data'!C174</f>
        <v>0</v>
      </c>
      <c r="E78" s="194">
        <v>30</v>
      </c>
      <c r="F78" s="194">
        <v>1</v>
      </c>
      <c r="G78" s="184">
        <v>0</v>
      </c>
      <c r="H78" s="195">
        <v>44350</v>
      </c>
      <c r="I78" s="184">
        <v>131.61742480528775</v>
      </c>
      <c r="J78" s="194">
        <v>336.24</v>
      </c>
      <c r="K78" s="194"/>
      <c r="L78" s="194"/>
      <c r="M78" s="285"/>
    </row>
    <row r="79" spans="1:47" hidden="1">
      <c r="A79" s="20">
        <v>38473</v>
      </c>
      <c r="B79" s="284">
        <v>26410477.640000038</v>
      </c>
      <c r="C79" s="194">
        <f>'Weather Data'!B175</f>
        <v>306.2</v>
      </c>
      <c r="D79" s="194">
        <f>'Weather Data'!C175</f>
        <v>0</v>
      </c>
      <c r="E79" s="194">
        <v>31</v>
      </c>
      <c r="F79" s="194">
        <v>1</v>
      </c>
      <c r="G79" s="184">
        <v>0</v>
      </c>
      <c r="H79" s="195">
        <v>44250</v>
      </c>
      <c r="I79" s="184">
        <v>131.90996128607298</v>
      </c>
      <c r="J79" s="194">
        <v>336.28800000000001</v>
      </c>
      <c r="K79" s="194"/>
      <c r="L79" s="194"/>
      <c r="M79" s="285"/>
    </row>
    <row r="80" spans="1:47" hidden="1">
      <c r="A80" s="20">
        <v>38504</v>
      </c>
      <c r="B80" s="284">
        <v>24942453.350000061</v>
      </c>
      <c r="C80" s="194">
        <f>'Weather Data'!B176</f>
        <v>72.599999999999994</v>
      </c>
      <c r="D80" s="194">
        <f>'Weather Data'!C176</f>
        <v>16.8</v>
      </c>
      <c r="E80" s="194">
        <v>30</v>
      </c>
      <c r="F80" s="194">
        <v>0</v>
      </c>
      <c r="G80" s="184">
        <v>0</v>
      </c>
      <c r="H80" s="195">
        <v>44190</v>
      </c>
      <c r="I80" s="184">
        <v>132.20314796642501</v>
      </c>
      <c r="J80" s="194">
        <v>352.08</v>
      </c>
      <c r="K80" s="194"/>
      <c r="L80" s="194"/>
      <c r="M80" s="285"/>
    </row>
    <row r="81" spans="1:47" hidden="1">
      <c r="A81" s="20">
        <v>38534</v>
      </c>
      <c r="B81" s="284">
        <v>26102158.649999917</v>
      </c>
      <c r="C81" s="194">
        <f>'Weather Data'!B177</f>
        <v>45.3</v>
      </c>
      <c r="D81" s="194">
        <f>'Weather Data'!C177</f>
        <v>53</v>
      </c>
      <c r="E81" s="194">
        <v>31</v>
      </c>
      <c r="F81" s="194">
        <v>0</v>
      </c>
      <c r="G81" s="184">
        <v>0</v>
      </c>
      <c r="H81" s="195">
        <v>44315</v>
      </c>
      <c r="I81" s="184">
        <v>132.49698629149512</v>
      </c>
      <c r="J81" s="194">
        <v>319.92</v>
      </c>
      <c r="K81" s="194"/>
      <c r="L81" s="194"/>
      <c r="M81" s="285"/>
    </row>
    <row r="82" spans="1:47" hidden="1">
      <c r="A82" s="20">
        <v>38565</v>
      </c>
      <c r="B82" s="284">
        <v>26089422.109999936</v>
      </c>
      <c r="C82" s="194">
        <f>'Weather Data'!B178</f>
        <v>46.3</v>
      </c>
      <c r="D82" s="194">
        <f>'Weather Data'!C178</f>
        <v>29.6</v>
      </c>
      <c r="E82" s="194">
        <v>31</v>
      </c>
      <c r="F82" s="194">
        <v>0</v>
      </c>
      <c r="G82" s="184">
        <v>0</v>
      </c>
      <c r="H82" s="195">
        <v>44305</v>
      </c>
      <c r="I82" s="184">
        <v>132.79147770964664</v>
      </c>
      <c r="J82" s="194">
        <v>351.91199999999998</v>
      </c>
      <c r="K82" s="194"/>
      <c r="L82" s="194"/>
      <c r="M82" s="285"/>
    </row>
    <row r="83" spans="1:47" hidden="1">
      <c r="A83" s="20">
        <v>38596</v>
      </c>
      <c r="B83" s="284">
        <v>25222662.819999851</v>
      </c>
      <c r="C83" s="194">
        <f>'Weather Data'!B179</f>
        <v>148.80000000000001</v>
      </c>
      <c r="D83" s="194">
        <f>'Weather Data'!C179</f>
        <v>15.2</v>
      </c>
      <c r="E83" s="194">
        <v>30</v>
      </c>
      <c r="F83" s="194">
        <v>1</v>
      </c>
      <c r="G83" s="184">
        <v>0</v>
      </c>
      <c r="H83" s="195">
        <v>44424</v>
      </c>
      <c r="I83" s="184">
        <v>133.08662367246211</v>
      </c>
      <c r="J83" s="194">
        <v>336.24</v>
      </c>
      <c r="K83" s="194"/>
      <c r="L83" s="194"/>
      <c r="M83" s="285"/>
    </row>
    <row r="84" spans="1:47" hidden="1">
      <c r="A84" s="20">
        <v>38626</v>
      </c>
      <c r="B84" s="284">
        <v>28188329.079999827</v>
      </c>
      <c r="C84" s="194">
        <f>'Weather Data'!B180</f>
        <v>347.3</v>
      </c>
      <c r="D84" s="194">
        <f>'Weather Data'!C180</f>
        <v>0</v>
      </c>
      <c r="E84" s="194">
        <v>31</v>
      </c>
      <c r="F84" s="194">
        <v>1</v>
      </c>
      <c r="G84" s="184">
        <v>0</v>
      </c>
      <c r="H84" s="195">
        <v>44257</v>
      </c>
      <c r="I84" s="184">
        <v>133.38242563475035</v>
      </c>
      <c r="J84" s="194">
        <v>319.92</v>
      </c>
      <c r="K84" s="194"/>
      <c r="L84" s="194"/>
      <c r="M84" s="285"/>
    </row>
    <row r="85" spans="1:47" hidden="1">
      <c r="A85" s="20">
        <v>38657</v>
      </c>
      <c r="B85" s="284">
        <v>31328731.729999922</v>
      </c>
      <c r="C85" s="194">
        <f>'Weather Data'!B181</f>
        <v>606.9</v>
      </c>
      <c r="D85" s="194">
        <f>'Weather Data'!C181</f>
        <v>0</v>
      </c>
      <c r="E85" s="194">
        <v>30</v>
      </c>
      <c r="F85" s="194">
        <v>1</v>
      </c>
      <c r="G85" s="184">
        <v>0</v>
      </c>
      <c r="H85" s="195">
        <v>44315</v>
      </c>
      <c r="I85" s="184">
        <v>133.67888505455369</v>
      </c>
      <c r="J85" s="194">
        <v>352.08</v>
      </c>
      <c r="K85" s="194"/>
      <c r="L85" s="194"/>
      <c r="M85" s="285"/>
    </row>
    <row r="86" spans="1:47" hidden="1">
      <c r="A86" s="20">
        <v>38687</v>
      </c>
      <c r="B86" s="284">
        <v>35177920.479999423</v>
      </c>
      <c r="C86" s="194">
        <f>'Weather Data'!B182</f>
        <v>833.4</v>
      </c>
      <c r="D86" s="194">
        <f>'Weather Data'!C182</f>
        <v>0</v>
      </c>
      <c r="E86" s="194">
        <v>31</v>
      </c>
      <c r="F86" s="194">
        <v>0</v>
      </c>
      <c r="G86" s="184">
        <v>0</v>
      </c>
      <c r="H86" s="195">
        <v>44282</v>
      </c>
      <c r="I86" s="184">
        <v>133.97600339315525</v>
      </c>
      <c r="J86" s="194">
        <v>319.92</v>
      </c>
      <c r="K86" s="194"/>
      <c r="L86" s="194"/>
      <c r="M86" s="285"/>
    </row>
    <row r="87" spans="1:47" s="21" customFormat="1" ht="15">
      <c r="A87" s="20">
        <v>38718</v>
      </c>
      <c r="B87" s="284">
        <v>35639480.850000851</v>
      </c>
      <c r="C87" s="194">
        <f>'Weather Analysis - Thunder Bay'!Z8</f>
        <v>960.98000000000013</v>
      </c>
      <c r="D87" s="194">
        <f>'Weather Analysis - Thunder Bay'!Z28</f>
        <v>0</v>
      </c>
      <c r="E87" s="194">
        <v>31</v>
      </c>
      <c r="F87" s="194">
        <v>0</v>
      </c>
      <c r="G87" s="184">
        <f>'CDM Activity'!I19</f>
        <v>20809.682226219731</v>
      </c>
      <c r="H87" s="195">
        <v>44181</v>
      </c>
      <c r="I87" s="184">
        <v>134.25197202423305</v>
      </c>
      <c r="J87" s="194">
        <v>336.28800000000001</v>
      </c>
      <c r="K87" s="194">
        <f>$O$103+C87*$O$104+D87*$O$105+E87*$O$106+F87*$O$107+G87*$O$108</f>
        <v>36831567.568805233</v>
      </c>
      <c r="L87" s="194"/>
      <c r="M87" s="285"/>
      <c r="N87" s="260"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20">
        <v>38749</v>
      </c>
      <c r="B88" s="284">
        <v>31006600.609999921</v>
      </c>
      <c r="C88" s="194">
        <f>'Weather Analysis - Thunder Bay'!Z9</f>
        <v>875.5899999999998</v>
      </c>
      <c r="D88" s="194">
        <f>'Weather Analysis - Thunder Bay'!Z29</f>
        <v>0</v>
      </c>
      <c r="E88" s="194">
        <v>28</v>
      </c>
      <c r="F88" s="194">
        <v>0</v>
      </c>
      <c r="G88" s="184">
        <f>'CDM Activity'!I20</f>
        <v>41619.364452439462</v>
      </c>
      <c r="H88" s="195">
        <v>44198</v>
      </c>
      <c r="I88" s="184">
        <v>134.52850910550649</v>
      </c>
      <c r="J88" s="194">
        <v>319.87200000000001</v>
      </c>
      <c r="K88" s="194">
        <f t="shared" ref="K88:K151" si="0">$O$103+C88*$O$104+D88*$O$105+E88*$O$106+F88*$O$107+G88*$O$108</f>
        <v>32703812.776036102</v>
      </c>
      <c r="L88" s="194"/>
      <c r="M88" s="285"/>
    </row>
    <row r="89" spans="1:47">
      <c r="A89" s="20">
        <v>38777</v>
      </c>
      <c r="B89" s="284">
        <v>31468779.68000007</v>
      </c>
      <c r="C89" s="194">
        <f>'Weather Analysis - Thunder Bay'!Z10</f>
        <v>702.91</v>
      </c>
      <c r="D89" s="194">
        <f>'Weather Analysis - Thunder Bay'!Z30</f>
        <v>0</v>
      </c>
      <c r="E89" s="194">
        <v>31</v>
      </c>
      <c r="F89" s="194">
        <v>1</v>
      </c>
      <c r="G89" s="184">
        <f>'CDM Activity'!I21</f>
        <v>62429.046678659193</v>
      </c>
      <c r="H89" s="195">
        <v>44236</v>
      </c>
      <c r="I89" s="184">
        <v>134.80561580788986</v>
      </c>
      <c r="J89" s="194">
        <v>368.28</v>
      </c>
      <c r="K89" s="194">
        <f t="shared" si="0"/>
        <v>32366028.171684437</v>
      </c>
      <c r="L89" s="194"/>
      <c r="M89" s="285"/>
      <c r="N89" s="33" t="s">
        <v>16</v>
      </c>
      <c r="O89" s="33"/>
    </row>
    <row r="90" spans="1:47">
      <c r="A90" s="20">
        <v>38808</v>
      </c>
      <c r="B90" s="284">
        <v>26780261.130000174</v>
      </c>
      <c r="C90" s="194">
        <f>'Weather Analysis - Thunder Bay'!Z11</f>
        <v>450.5200000000001</v>
      </c>
      <c r="D90" s="194">
        <f>'Weather Analysis - Thunder Bay'!Z31</f>
        <v>0</v>
      </c>
      <c r="E90" s="194">
        <v>30</v>
      </c>
      <c r="F90" s="194">
        <v>1</v>
      </c>
      <c r="G90" s="184">
        <f>'CDM Activity'!I22</f>
        <v>83238.728904878924</v>
      </c>
      <c r="H90" s="195">
        <v>44282</v>
      </c>
      <c r="I90" s="184">
        <v>135.08329330470943</v>
      </c>
      <c r="J90" s="194">
        <v>303.83999999999997</v>
      </c>
      <c r="K90" s="194">
        <f t="shared" si="0"/>
        <v>27963606.098867908</v>
      </c>
      <c r="L90" s="194"/>
      <c r="M90" s="285"/>
      <c r="N90" s="24" t="s">
        <v>17</v>
      </c>
      <c r="O90" s="36">
        <v>0.97587745524861003</v>
      </c>
    </row>
    <row r="91" spans="1:47">
      <c r="A91" s="20">
        <v>38838</v>
      </c>
      <c r="B91" s="284">
        <v>25597983.169999883</v>
      </c>
      <c r="C91" s="194">
        <f>'Weather Analysis - Thunder Bay'!Z12</f>
        <v>271.46000000000004</v>
      </c>
      <c r="D91" s="194">
        <f>'Weather Analysis - Thunder Bay'!Z32</f>
        <v>0.47000000000000003</v>
      </c>
      <c r="E91" s="194">
        <v>31</v>
      </c>
      <c r="F91" s="194">
        <v>1</v>
      </c>
      <c r="G91" s="184">
        <f>'CDM Activity'!I23</f>
        <v>104048.41113109866</v>
      </c>
      <c r="H91" s="195">
        <v>44417</v>
      </c>
      <c r="I91" s="184">
        <v>135.36154277170829</v>
      </c>
      <c r="J91" s="194">
        <v>351.91199999999998</v>
      </c>
      <c r="K91" s="194">
        <f t="shared" si="0"/>
        <v>26528399.36624578</v>
      </c>
      <c r="L91" s="194"/>
      <c r="M91" s="285"/>
      <c r="N91" s="24" t="s">
        <v>18</v>
      </c>
      <c r="O91" s="36">
        <v>0.95233680766250295</v>
      </c>
    </row>
    <row r="92" spans="1:47">
      <c r="A92" s="20">
        <v>38869</v>
      </c>
      <c r="B92" s="284">
        <v>24345684.17000021</v>
      </c>
      <c r="C92" s="194">
        <f>'Weather Analysis - Thunder Bay'!Z13</f>
        <v>109.59</v>
      </c>
      <c r="D92" s="194">
        <f>'Weather Analysis - Thunder Bay'!Z33</f>
        <v>6.7</v>
      </c>
      <c r="E92" s="194">
        <v>30</v>
      </c>
      <c r="F92" s="194">
        <v>0</v>
      </c>
      <c r="G92" s="184">
        <f>'CDM Activity'!I24</f>
        <v>124858.0933573184</v>
      </c>
      <c r="H92" s="195">
        <v>44241</v>
      </c>
      <c r="I92" s="184">
        <v>135.64036538705133</v>
      </c>
      <c r="J92" s="194">
        <v>352.08</v>
      </c>
      <c r="K92" s="194">
        <f t="shared" si="0"/>
        <v>24543213.801993065</v>
      </c>
      <c r="L92" s="194"/>
      <c r="M92" s="285"/>
      <c r="N92" s="24" t="s">
        <v>19</v>
      </c>
      <c r="O92" s="36">
        <v>0.95024631677050742</v>
      </c>
    </row>
    <row r="93" spans="1:47">
      <c r="A93" s="20">
        <v>38899</v>
      </c>
      <c r="B93" s="284">
        <v>26114962.539999943</v>
      </c>
      <c r="C93" s="194">
        <f>'Weather Analysis - Thunder Bay'!Z14</f>
        <v>36.33</v>
      </c>
      <c r="D93" s="194">
        <f>'Weather Analysis - Thunder Bay'!Z34</f>
        <v>40.369999999999997</v>
      </c>
      <c r="E93" s="194">
        <v>31</v>
      </c>
      <c r="F93" s="194">
        <v>0</v>
      </c>
      <c r="G93" s="184">
        <f>'CDM Activity'!I25</f>
        <v>145667.77558353814</v>
      </c>
      <c r="H93" s="195">
        <v>44219</v>
      </c>
      <c r="I93" s="184">
        <v>135.9197623313303</v>
      </c>
      <c r="J93" s="194">
        <v>319.92</v>
      </c>
      <c r="K93" s="194">
        <f t="shared" si="0"/>
        <v>25979123.989247736</v>
      </c>
      <c r="L93" s="194"/>
      <c r="M93" s="285"/>
      <c r="N93" s="24" t="s">
        <v>20</v>
      </c>
      <c r="O93" s="42">
        <v>947549.16646627837</v>
      </c>
    </row>
    <row r="94" spans="1:47" ht="13.5" thickBot="1">
      <c r="A94" s="20">
        <v>38930</v>
      </c>
      <c r="B94" s="284">
        <v>26097674.579999994</v>
      </c>
      <c r="C94" s="194">
        <f>'Weather Analysis - Thunder Bay'!Z15</f>
        <v>51.55</v>
      </c>
      <c r="D94" s="194">
        <f>'Weather Analysis - Thunder Bay'!Z35</f>
        <v>29.669999999999998</v>
      </c>
      <c r="E94" s="194">
        <v>31</v>
      </c>
      <c r="F94" s="194">
        <v>0</v>
      </c>
      <c r="G94" s="184">
        <f>'CDM Activity'!I26</f>
        <v>166477.45780975788</v>
      </c>
      <c r="H94" s="195">
        <v>44380</v>
      </c>
      <c r="I94" s="184">
        <v>136.19973478756879</v>
      </c>
      <c r="J94" s="194">
        <v>351.91199999999998</v>
      </c>
      <c r="K94" s="194">
        <f t="shared" si="0"/>
        <v>25677256.291447714</v>
      </c>
      <c r="L94" s="194"/>
      <c r="M94" s="285"/>
      <c r="N94" s="31" t="s">
        <v>21</v>
      </c>
      <c r="O94" s="31">
        <v>120</v>
      </c>
    </row>
    <row r="95" spans="1:47">
      <c r="A95" s="20">
        <v>38961</v>
      </c>
      <c r="B95" s="284">
        <v>25191336.769999918</v>
      </c>
      <c r="C95" s="194">
        <f>'Weather Analysis - Thunder Bay'!Z16</f>
        <v>176.97</v>
      </c>
      <c r="D95" s="194">
        <f>'Weather Analysis - Thunder Bay'!Z36</f>
        <v>5.05</v>
      </c>
      <c r="E95" s="194">
        <v>30</v>
      </c>
      <c r="F95" s="194">
        <v>1</v>
      </c>
      <c r="G95" s="184">
        <f>'CDM Activity'!I27</f>
        <v>187287.14003597762</v>
      </c>
      <c r="H95" s="195">
        <v>44567</v>
      </c>
      <c r="I95" s="184">
        <v>136.48028394122719</v>
      </c>
      <c r="J95" s="194">
        <v>319.68</v>
      </c>
      <c r="K95" s="194">
        <f t="shared" si="0"/>
        <v>24330113.895897642</v>
      </c>
      <c r="L95" s="194"/>
      <c r="M95" s="285"/>
    </row>
    <row r="96" spans="1:47" ht="13.5" thickBot="1">
      <c r="A96" s="20">
        <v>38991</v>
      </c>
      <c r="B96" s="284">
        <v>28029266.82999998</v>
      </c>
      <c r="C96" s="194">
        <f>'Weather Analysis - Thunder Bay'!Z17</f>
        <v>372.15</v>
      </c>
      <c r="D96" s="194">
        <f>'Weather Analysis - Thunder Bay'!Z37</f>
        <v>0.54</v>
      </c>
      <c r="E96" s="194">
        <v>31</v>
      </c>
      <c r="F96" s="194">
        <v>1</v>
      </c>
      <c r="G96" s="184">
        <f>'CDM Activity'!I28</f>
        <v>208096.82226219735</v>
      </c>
      <c r="H96" s="195">
        <v>44364</v>
      </c>
      <c r="I96" s="184">
        <v>136.76141098020776</v>
      </c>
      <c r="J96" s="194">
        <v>336.28800000000001</v>
      </c>
      <c r="K96" s="194">
        <f t="shared" si="0"/>
        <v>27693159.880358078</v>
      </c>
      <c r="L96" s="194"/>
      <c r="M96" s="285"/>
      <c r="N96" t="s">
        <v>22</v>
      </c>
    </row>
    <row r="97" spans="1:20">
      <c r="A97" s="20">
        <v>39022</v>
      </c>
      <c r="B97" s="284">
        <v>30314179.629999813</v>
      </c>
      <c r="C97" s="194">
        <f>'Weather Analysis - Thunder Bay'!Z18</f>
        <v>567.61000000000013</v>
      </c>
      <c r="D97" s="194">
        <f>'Weather Analysis - Thunder Bay'!Z38</f>
        <v>0</v>
      </c>
      <c r="E97" s="194">
        <v>30</v>
      </c>
      <c r="F97" s="194">
        <v>1</v>
      </c>
      <c r="G97" s="184">
        <f>'CDM Activity'!I29</f>
        <v>228906.50448841709</v>
      </c>
      <c r="H97" s="195">
        <v>44313</v>
      </c>
      <c r="I97" s="184">
        <v>137.04311709485967</v>
      </c>
      <c r="J97" s="194">
        <v>352.08</v>
      </c>
      <c r="K97" s="194">
        <f t="shared" si="0"/>
        <v>29269954.913374234</v>
      </c>
      <c r="L97" s="194"/>
      <c r="M97" s="285"/>
      <c r="N97" s="32"/>
      <c r="O97" s="32" t="s">
        <v>26</v>
      </c>
      <c r="P97" s="32" t="s">
        <v>27</v>
      </c>
      <c r="Q97" s="32" t="s">
        <v>28</v>
      </c>
      <c r="R97" s="32" t="s">
        <v>29</v>
      </c>
      <c r="S97" s="32" t="s">
        <v>30</v>
      </c>
    </row>
    <row r="98" spans="1:20">
      <c r="A98" s="20">
        <v>39052</v>
      </c>
      <c r="B98" s="284">
        <v>34399460.200000234</v>
      </c>
      <c r="C98" s="194">
        <f>'Weather Analysis - Thunder Bay'!Z19</f>
        <v>852.28999999999974</v>
      </c>
      <c r="D98" s="194">
        <f>'Weather Analysis - Thunder Bay'!Z39</f>
        <v>0</v>
      </c>
      <c r="E98" s="194">
        <v>31</v>
      </c>
      <c r="F98" s="194">
        <v>0</v>
      </c>
      <c r="G98" s="184">
        <f>'CDM Activity'!I30</f>
        <v>249716.18671463683</v>
      </c>
      <c r="H98" s="195">
        <v>44347</v>
      </c>
      <c r="I98" s="184">
        <v>137.32540347798411</v>
      </c>
      <c r="J98" s="194">
        <v>304.29599999999999</v>
      </c>
      <c r="K98" s="194">
        <f t="shared" si="0"/>
        <v>34961289.478492714</v>
      </c>
      <c r="L98" s="194"/>
      <c r="M98" s="285"/>
      <c r="N98" s="24" t="s">
        <v>23</v>
      </c>
      <c r="O98" s="24">
        <v>5</v>
      </c>
      <c r="P98" s="24">
        <v>2045105904102588.2</v>
      </c>
      <c r="Q98" s="24">
        <v>409021180820517.62</v>
      </c>
      <c r="R98" s="24">
        <v>455.55654478525213</v>
      </c>
      <c r="S98" s="24">
        <v>1.4108595510257177E-73</v>
      </c>
    </row>
    <row r="99" spans="1:20">
      <c r="A99" s="20">
        <v>39083</v>
      </c>
      <c r="B99" s="284">
        <v>36651750.410000287</v>
      </c>
      <c r="C99" s="194">
        <f>C87</f>
        <v>960.98000000000013</v>
      </c>
      <c r="D99" s="194">
        <f>D87</f>
        <v>0</v>
      </c>
      <c r="E99" s="194">
        <v>31</v>
      </c>
      <c r="F99" s="194">
        <v>0</v>
      </c>
      <c r="G99" s="184">
        <f>'CDM Activity'!I31</f>
        <v>270864.72934878524</v>
      </c>
      <c r="H99" s="195">
        <v>44296</v>
      </c>
      <c r="I99" s="184">
        <v>137.552207546647</v>
      </c>
      <c r="J99" s="194">
        <v>351.91199999999998</v>
      </c>
      <c r="K99" s="194">
        <f t="shared" si="0"/>
        <v>36379941.939963937</v>
      </c>
      <c r="L99" s="194"/>
      <c r="M99" s="285"/>
      <c r="N99" s="24" t="s">
        <v>24</v>
      </c>
      <c r="O99" s="24">
        <v>114</v>
      </c>
      <c r="P99" s="24">
        <v>102354834207287.03</v>
      </c>
      <c r="Q99" s="24">
        <v>897849422870.93884</v>
      </c>
      <c r="R99" s="24"/>
      <c r="S99" s="24"/>
    </row>
    <row r="100" spans="1:20" ht="13.5" thickBot="1">
      <c r="A100" s="20">
        <v>39114</v>
      </c>
      <c r="B100" s="284">
        <v>32943660.569999944</v>
      </c>
      <c r="C100" s="194">
        <f t="shared" ref="C100:D100" si="1">C88</f>
        <v>875.5899999999998</v>
      </c>
      <c r="D100" s="194">
        <f t="shared" si="1"/>
        <v>0</v>
      </c>
      <c r="E100" s="194">
        <v>28</v>
      </c>
      <c r="F100" s="194">
        <v>0</v>
      </c>
      <c r="G100" s="184">
        <f>'CDM Activity'!I32</f>
        <v>292013.27198293363</v>
      </c>
      <c r="H100" s="195">
        <v>44278</v>
      </c>
      <c r="I100" s="184">
        <v>137.77938620066888</v>
      </c>
      <c r="J100" s="194">
        <v>319.87200000000001</v>
      </c>
      <c r="K100" s="194">
        <f t="shared" si="0"/>
        <v>32251575.129774719</v>
      </c>
      <c r="L100" s="194"/>
      <c r="M100" s="285"/>
      <c r="N100" s="31" t="s">
        <v>5</v>
      </c>
      <c r="O100" s="31">
        <v>119</v>
      </c>
      <c r="P100" s="31">
        <v>2147460738309875.2</v>
      </c>
      <c r="Q100" s="31"/>
      <c r="R100" s="31"/>
      <c r="S100" s="31"/>
    </row>
    <row r="101" spans="1:20" ht="13.5" thickBot="1">
      <c r="A101" s="20">
        <v>39142</v>
      </c>
      <c r="B101" s="284">
        <v>32857535.92000011</v>
      </c>
      <c r="C101" s="194">
        <f t="shared" ref="C101:D101" si="2">C89</f>
        <v>702.91</v>
      </c>
      <c r="D101" s="194">
        <f t="shared" si="2"/>
        <v>0</v>
      </c>
      <c r="E101" s="194">
        <v>31</v>
      </c>
      <c r="F101" s="194">
        <v>1</v>
      </c>
      <c r="G101" s="184">
        <f>'CDM Activity'!I33</f>
        <v>313161.81461708201</v>
      </c>
      <c r="H101" s="195">
        <v>44348</v>
      </c>
      <c r="I101" s="184">
        <v>138.00694005870795</v>
      </c>
      <c r="J101" s="194">
        <v>351.91199999999998</v>
      </c>
      <c r="K101" s="194">
        <f t="shared" si="0"/>
        <v>31913178.508002967</v>
      </c>
      <c r="L101" s="194"/>
      <c r="M101" s="285"/>
    </row>
    <row r="102" spans="1:20">
      <c r="A102" s="20">
        <v>39173</v>
      </c>
      <c r="B102" s="284">
        <v>27092407.240000095</v>
      </c>
      <c r="C102" s="194">
        <f t="shared" ref="C102:D102" si="3">C90</f>
        <v>450.5200000000001</v>
      </c>
      <c r="D102" s="194">
        <f t="shared" si="3"/>
        <v>0</v>
      </c>
      <c r="E102" s="194">
        <v>30</v>
      </c>
      <c r="F102" s="194">
        <v>1</v>
      </c>
      <c r="G102" s="184">
        <f>'CDM Activity'!I34</f>
        <v>334310.35725123039</v>
      </c>
      <c r="H102" s="195">
        <v>44296</v>
      </c>
      <c r="I102" s="184">
        <v>138.23486974044414</v>
      </c>
      <c r="J102" s="194">
        <v>319.68</v>
      </c>
      <c r="K102" s="194">
        <f t="shared" si="0"/>
        <v>27510144.417766348</v>
      </c>
      <c r="L102" s="194"/>
      <c r="M102" s="285"/>
      <c r="N102" s="32"/>
      <c r="O102" s="32" t="s">
        <v>31</v>
      </c>
      <c r="P102" s="32" t="s">
        <v>20</v>
      </c>
      <c r="Q102" s="32" t="s">
        <v>32</v>
      </c>
      <c r="R102" s="32" t="s">
        <v>33</v>
      </c>
      <c r="S102" s="32" t="s">
        <v>34</v>
      </c>
      <c r="T102" s="32" t="s">
        <v>35</v>
      </c>
    </row>
    <row r="103" spans="1:20">
      <c r="A103" s="20">
        <v>39203</v>
      </c>
      <c r="B103" s="284">
        <v>25115209.089999869</v>
      </c>
      <c r="C103" s="194">
        <f t="shared" ref="C103:D103" si="4">C91</f>
        <v>271.46000000000004</v>
      </c>
      <c r="D103" s="194">
        <f t="shared" si="4"/>
        <v>0.47000000000000003</v>
      </c>
      <c r="E103" s="194">
        <v>31</v>
      </c>
      <c r="F103" s="194">
        <v>1</v>
      </c>
      <c r="G103" s="184">
        <f>'CDM Activity'!I35</f>
        <v>355458.89988537878</v>
      </c>
      <c r="H103" s="195">
        <v>44412</v>
      </c>
      <c r="I103" s="184">
        <v>138.46317586658083</v>
      </c>
      <c r="J103" s="194">
        <v>351.91199999999998</v>
      </c>
      <c r="K103" s="194">
        <f t="shared" si="0"/>
        <v>26074325.667724129</v>
      </c>
      <c r="L103" s="194"/>
      <c r="M103" s="285"/>
      <c r="N103" s="24" t="s">
        <v>25</v>
      </c>
      <c r="O103" s="42">
        <v>-6449696.112421114</v>
      </c>
      <c r="P103" s="42">
        <v>3338663.188852448</v>
      </c>
      <c r="Q103" s="34">
        <v>-1.9318199373797804</v>
      </c>
      <c r="R103" s="24">
        <v>5.5863660947723763E-2</v>
      </c>
      <c r="S103" s="42">
        <v>-13063562.175073337</v>
      </c>
      <c r="T103" s="42">
        <v>164169.95023110881</v>
      </c>
    </row>
    <row r="104" spans="1:20">
      <c r="A104" s="20">
        <v>39234</v>
      </c>
      <c r="B104" s="284">
        <v>23534586.620000288</v>
      </c>
      <c r="C104" s="194">
        <f t="shared" ref="C104:D104" si="5">C92</f>
        <v>109.59</v>
      </c>
      <c r="D104" s="194">
        <f t="shared" si="5"/>
        <v>6.7</v>
      </c>
      <c r="E104" s="194">
        <v>30</v>
      </c>
      <c r="F104" s="194">
        <v>0</v>
      </c>
      <c r="G104" s="184">
        <f>'CDM Activity'!I36</f>
        <v>376607.44251952716</v>
      </c>
      <c r="H104" s="195">
        <v>44550</v>
      </c>
      <c r="I104" s="184">
        <v>138.69185905884657</v>
      </c>
      <c r="J104" s="194">
        <v>336.24</v>
      </c>
      <c r="K104" s="194">
        <f t="shared" si="0"/>
        <v>24088528.086051323</v>
      </c>
      <c r="L104" s="194"/>
      <c r="M104" s="285"/>
      <c r="N104" s="24" t="s">
        <v>1</v>
      </c>
      <c r="O104" s="42">
        <v>13403.707300669254</v>
      </c>
      <c r="P104" s="42">
        <v>342.89231977959167</v>
      </c>
      <c r="Q104" s="34">
        <v>39.090135670828218</v>
      </c>
      <c r="R104" s="24">
        <v>7.1549098907133146E-68</v>
      </c>
      <c r="S104" s="42">
        <v>12724.440256150807</v>
      </c>
      <c r="T104" s="42">
        <v>14082.9743451877</v>
      </c>
    </row>
    <row r="105" spans="1:20">
      <c r="A105" s="20">
        <v>39264</v>
      </c>
      <c r="B105" s="284">
        <v>25046931.960000161</v>
      </c>
      <c r="C105" s="194">
        <f t="shared" ref="C105:D105" si="6">C93</f>
        <v>36.33</v>
      </c>
      <c r="D105" s="194">
        <f t="shared" si="6"/>
        <v>40.369999999999997</v>
      </c>
      <c r="E105" s="194">
        <v>31</v>
      </c>
      <c r="F105" s="194">
        <v>0</v>
      </c>
      <c r="G105" s="184">
        <f>'CDM Activity'!I37</f>
        <v>397755.98515367555</v>
      </c>
      <c r="H105" s="195">
        <v>44365</v>
      </c>
      <c r="I105" s="184">
        <v>138.92091993999671</v>
      </c>
      <c r="J105" s="194">
        <v>336.28800000000001</v>
      </c>
      <c r="K105" s="194">
        <f t="shared" si="0"/>
        <v>25523826.255885907</v>
      </c>
      <c r="L105" s="194"/>
      <c r="M105" s="285"/>
      <c r="N105" s="24" t="s">
        <v>2</v>
      </c>
      <c r="O105" s="42">
        <v>43765.201429698631</v>
      </c>
      <c r="P105" s="42">
        <v>8256.9756393869247</v>
      </c>
      <c r="Q105" s="34">
        <v>5.3003912499066264</v>
      </c>
      <c r="R105" s="24">
        <v>5.7171832156308298E-7</v>
      </c>
      <c r="S105" s="42">
        <v>27408.196283498834</v>
      </c>
      <c r="T105" s="42">
        <v>60122.206575898424</v>
      </c>
    </row>
    <row r="106" spans="1:20">
      <c r="A106" s="20">
        <v>39295</v>
      </c>
      <c r="B106" s="284">
        <v>25330023.870000076</v>
      </c>
      <c r="C106" s="194">
        <f t="shared" ref="C106:D106" si="7">C94</f>
        <v>51.55</v>
      </c>
      <c r="D106" s="194">
        <f t="shared" si="7"/>
        <v>29.669999999999998</v>
      </c>
      <c r="E106" s="194">
        <v>31</v>
      </c>
      <c r="F106" s="194">
        <v>0</v>
      </c>
      <c r="G106" s="184">
        <f>'CDM Activity'!I38</f>
        <v>418904.52778782393</v>
      </c>
      <c r="H106" s="195">
        <v>44440</v>
      </c>
      <c r="I106" s="184">
        <v>139.15035913381516</v>
      </c>
      <c r="J106" s="194">
        <v>351.91199999999998</v>
      </c>
      <c r="K106" s="194">
        <f t="shared" si="0"/>
        <v>25221346.540665794</v>
      </c>
      <c r="L106" s="194"/>
      <c r="M106" s="285"/>
      <c r="N106" s="24" t="s">
        <v>3</v>
      </c>
      <c r="O106" s="42">
        <v>981875.91958218196</v>
      </c>
      <c r="P106" s="42">
        <v>110254.12211857937</v>
      </c>
      <c r="Q106" s="34">
        <v>8.9055710636030909</v>
      </c>
      <c r="R106" s="24">
        <v>9.7264826665543965E-15</v>
      </c>
      <c r="S106" s="42">
        <v>763463.35284518637</v>
      </c>
      <c r="T106" s="42">
        <v>1200288.4863191776</v>
      </c>
    </row>
    <row r="107" spans="1:20">
      <c r="A107" s="20">
        <v>39326</v>
      </c>
      <c r="B107" s="284">
        <v>24758256.469999984</v>
      </c>
      <c r="C107" s="194">
        <f t="shared" ref="C107:D107" si="8">C95</f>
        <v>176.97</v>
      </c>
      <c r="D107" s="194">
        <f t="shared" si="8"/>
        <v>5.05</v>
      </c>
      <c r="E107" s="194">
        <v>30</v>
      </c>
      <c r="F107" s="194">
        <v>1</v>
      </c>
      <c r="G107" s="184">
        <f>'CDM Activity'!I39</f>
        <v>440053.07042197231</v>
      </c>
      <c r="H107" s="195">
        <v>44418</v>
      </c>
      <c r="I107" s="184">
        <v>139.38017726511606</v>
      </c>
      <c r="J107" s="194">
        <v>303.83999999999997</v>
      </c>
      <c r="K107" s="194">
        <f t="shared" si="0"/>
        <v>23873592.127695635</v>
      </c>
      <c r="L107" s="194"/>
      <c r="M107" s="285"/>
      <c r="N107" s="24" t="s">
        <v>14</v>
      </c>
      <c r="O107" s="42">
        <v>-931275.71880021226</v>
      </c>
      <c r="P107" s="42">
        <v>207139.13756995229</v>
      </c>
      <c r="Q107" s="34">
        <v>-4.4958945456925745</v>
      </c>
      <c r="R107" s="24">
        <v>1.6743434695064899E-5</v>
      </c>
      <c r="S107" s="42">
        <v>-1341616.7549356497</v>
      </c>
      <c r="T107" s="42">
        <v>-520934.68266477477</v>
      </c>
    </row>
    <row r="108" spans="1:20" ht="13.5" thickBot="1">
      <c r="A108" s="20">
        <v>39356</v>
      </c>
      <c r="B108" s="284">
        <v>27656765.080000009</v>
      </c>
      <c r="C108" s="194">
        <f t="shared" ref="C108:D108" si="9">C96</f>
        <v>372.15</v>
      </c>
      <c r="D108" s="194">
        <f t="shared" si="9"/>
        <v>0.54</v>
      </c>
      <c r="E108" s="194">
        <v>31</v>
      </c>
      <c r="F108" s="194">
        <v>1</v>
      </c>
      <c r="G108" s="184">
        <f>'CDM Activity'!I40</f>
        <v>461201.6130561207</v>
      </c>
      <c r="H108" s="195">
        <v>44489</v>
      </c>
      <c r="I108" s="184">
        <v>139.61037495974546</v>
      </c>
      <c r="J108" s="194">
        <v>351.91199999999998</v>
      </c>
      <c r="K108" s="194">
        <f t="shared" si="0"/>
        <v>27236026.09473598</v>
      </c>
      <c r="L108" s="194"/>
      <c r="M108" s="285"/>
      <c r="N108" s="31" t="s">
        <v>56</v>
      </c>
      <c r="O108" s="35">
        <v>-1.8061048318689961</v>
      </c>
      <c r="P108" s="35">
        <v>0.46915885853908745</v>
      </c>
      <c r="Q108" s="35">
        <v>-3.8496658413165665</v>
      </c>
      <c r="R108" s="31">
        <v>1.9565131206473267E-4</v>
      </c>
      <c r="S108" s="35">
        <v>-2.735504917162074</v>
      </c>
      <c r="T108" s="35">
        <v>-0.8767047465759179</v>
      </c>
    </row>
    <row r="109" spans="1:20">
      <c r="A109" s="20">
        <v>39387</v>
      </c>
      <c r="B109" s="284">
        <v>30856187.839999899</v>
      </c>
      <c r="C109" s="194">
        <f t="shared" ref="C109:D109" si="10">C97</f>
        <v>567.61000000000013</v>
      </c>
      <c r="D109" s="194">
        <f t="shared" si="10"/>
        <v>0</v>
      </c>
      <c r="E109" s="194">
        <v>30</v>
      </c>
      <c r="F109" s="194">
        <v>1</v>
      </c>
      <c r="G109" s="184">
        <f>'CDM Activity'!I41</f>
        <v>482350.15569026908</v>
      </c>
      <c r="H109" s="195">
        <v>44459</v>
      </c>
      <c r="I109" s="184">
        <v>139.84095284458306</v>
      </c>
      <c r="J109" s="194">
        <v>352.08</v>
      </c>
      <c r="K109" s="194">
        <f t="shared" si="0"/>
        <v>28812209.110332049</v>
      </c>
      <c r="L109" s="194"/>
      <c r="M109" s="285"/>
    </row>
    <row r="110" spans="1:20">
      <c r="A110" s="20">
        <v>39417</v>
      </c>
      <c r="B110" s="284">
        <v>35513367.18000026</v>
      </c>
      <c r="C110" s="194">
        <f t="shared" ref="C110:D110" si="11">C98</f>
        <v>852.28999999999974</v>
      </c>
      <c r="D110" s="194">
        <f t="shared" si="11"/>
        <v>0</v>
      </c>
      <c r="E110" s="194">
        <v>31</v>
      </c>
      <c r="F110" s="194">
        <v>0</v>
      </c>
      <c r="G110" s="184">
        <f>'CDM Activity'!I42</f>
        <v>503498.69832441746</v>
      </c>
      <c r="H110" s="195">
        <v>44312</v>
      </c>
      <c r="I110" s="184">
        <v>140.07191154754381</v>
      </c>
      <c r="J110" s="194">
        <v>304.29599999999999</v>
      </c>
      <c r="K110" s="194">
        <f t="shared" si="0"/>
        <v>34502931.658030435</v>
      </c>
      <c r="L110" s="194"/>
      <c r="M110" s="285"/>
    </row>
    <row r="111" spans="1:20">
      <c r="A111" s="20">
        <v>39448</v>
      </c>
      <c r="B111" s="284">
        <v>36959741.449999802</v>
      </c>
      <c r="C111" s="194">
        <f t="shared" ref="C111:D111" si="12">C99</f>
        <v>960.98000000000013</v>
      </c>
      <c r="D111" s="194">
        <f t="shared" si="12"/>
        <v>0</v>
      </c>
      <c r="E111" s="194">
        <v>31</v>
      </c>
      <c r="F111" s="194">
        <v>0</v>
      </c>
      <c r="G111" s="184">
        <f>'CDM Activity'!I43</f>
        <v>513423.64228246541</v>
      </c>
      <c r="H111" s="187">
        <v>44333</v>
      </c>
      <c r="I111" s="184">
        <v>139.96642175819056</v>
      </c>
      <c r="J111" s="37">
        <v>352</v>
      </c>
      <c r="K111" s="194">
        <f t="shared" si="0"/>
        <v>35941855.115301527</v>
      </c>
      <c r="L111" s="194"/>
      <c r="M111" s="37"/>
    </row>
    <row r="112" spans="1:20">
      <c r="A112" s="20">
        <v>39479</v>
      </c>
      <c r="B112" s="284">
        <v>33315884.939999737</v>
      </c>
      <c r="C112" s="194">
        <f t="shared" ref="C112:D112" si="13">C100</f>
        <v>875.5899999999998</v>
      </c>
      <c r="D112" s="194">
        <f t="shared" si="13"/>
        <v>0</v>
      </c>
      <c r="E112" s="194">
        <v>29</v>
      </c>
      <c r="F112" s="194">
        <v>0</v>
      </c>
      <c r="G112" s="184">
        <f>'CDM Activity'!I44</f>
        <v>523348.58624051337</v>
      </c>
      <c r="H112" s="187">
        <v>44401</v>
      </c>
      <c r="I112" s="184">
        <v>139.86101141442734</v>
      </c>
      <c r="J112" s="37">
        <v>320</v>
      </c>
      <c r="K112" s="194">
        <f t="shared" si="0"/>
        <v>32815635.220494352</v>
      </c>
      <c r="L112" s="194"/>
      <c r="M112" s="37"/>
    </row>
    <row r="113" spans="1:13">
      <c r="A113" s="20">
        <v>39508</v>
      </c>
      <c r="B113" s="284">
        <v>32204211.009999871</v>
      </c>
      <c r="C113" s="194">
        <f t="shared" ref="C113:D113" si="14">C101</f>
        <v>702.91</v>
      </c>
      <c r="D113" s="194">
        <f t="shared" si="14"/>
        <v>0</v>
      </c>
      <c r="E113" s="194">
        <v>31</v>
      </c>
      <c r="F113" s="194">
        <v>1</v>
      </c>
      <c r="G113" s="184">
        <f>'CDM Activity'!I45</f>
        <v>533273.53019856126</v>
      </c>
      <c r="H113" s="187">
        <v>44333</v>
      </c>
      <c r="I113" s="184">
        <v>139.75568045642274</v>
      </c>
      <c r="J113" s="37">
        <v>304</v>
      </c>
      <c r="K113" s="194">
        <f t="shared" si="0"/>
        <v>31515633.674940281</v>
      </c>
      <c r="L113" s="194"/>
      <c r="M113" s="37"/>
    </row>
    <row r="114" spans="1:13">
      <c r="A114" s="20">
        <v>39539</v>
      </c>
      <c r="B114" s="284">
        <v>27546470.049999915</v>
      </c>
      <c r="C114" s="194">
        <f t="shared" ref="C114:D114" si="15">C102</f>
        <v>450.5200000000001</v>
      </c>
      <c r="D114" s="194">
        <f t="shared" si="15"/>
        <v>0</v>
      </c>
      <c r="E114" s="194">
        <v>30</v>
      </c>
      <c r="F114" s="194">
        <v>1</v>
      </c>
      <c r="G114" s="184">
        <f>'CDM Activity'!I46</f>
        <v>543198.47415660915</v>
      </c>
      <c r="H114" s="187">
        <v>44453</v>
      </c>
      <c r="I114" s="184">
        <v>139.65042882439042</v>
      </c>
      <c r="J114" s="37">
        <v>352</v>
      </c>
      <c r="K114" s="194">
        <f t="shared" si="0"/>
        <v>27132870.580503527</v>
      </c>
      <c r="L114" s="194"/>
      <c r="M114" s="37"/>
    </row>
    <row r="115" spans="1:13">
      <c r="A115" s="20">
        <v>39569</v>
      </c>
      <c r="B115" s="284">
        <v>25811018.169999894</v>
      </c>
      <c r="C115" s="194">
        <f t="shared" ref="C115:D115" si="16">C103</f>
        <v>271.46000000000004</v>
      </c>
      <c r="D115" s="194">
        <f t="shared" si="16"/>
        <v>0.47000000000000003</v>
      </c>
      <c r="E115" s="194">
        <v>31</v>
      </c>
      <c r="F115" s="194">
        <v>1</v>
      </c>
      <c r="G115" s="184">
        <f>'CDM Activity'!I47</f>
        <v>553123.41811465705</v>
      </c>
      <c r="H115" s="187">
        <v>44678</v>
      </c>
      <c r="I115" s="184">
        <v>139.54525645858905</v>
      </c>
      <c r="J115" s="37">
        <v>336</v>
      </c>
      <c r="K115" s="194">
        <f t="shared" si="0"/>
        <v>25717322.826261174</v>
      </c>
      <c r="L115" s="194"/>
      <c r="M115" s="37"/>
    </row>
    <row r="116" spans="1:13">
      <c r="A116" s="20">
        <v>39600</v>
      </c>
      <c r="B116" s="284">
        <v>23670990.890000027</v>
      </c>
      <c r="C116" s="194">
        <f t="shared" ref="C116:D116" si="17">C104</f>
        <v>109.59</v>
      </c>
      <c r="D116" s="194">
        <f t="shared" si="17"/>
        <v>6.7</v>
      </c>
      <c r="E116" s="194">
        <v>30</v>
      </c>
      <c r="F116" s="194">
        <v>0</v>
      </c>
      <c r="G116" s="184">
        <f>'CDM Activity'!I48</f>
        <v>563048.36207270494</v>
      </c>
      <c r="H116" s="187">
        <v>44475</v>
      </c>
      <c r="I116" s="184">
        <v>139.44016329932234</v>
      </c>
      <c r="J116" s="37">
        <v>336</v>
      </c>
      <c r="K116" s="194">
        <f t="shared" si="0"/>
        <v>23751796.240388229</v>
      </c>
      <c r="L116" s="194"/>
      <c r="M116" s="37"/>
    </row>
    <row r="117" spans="1:13">
      <c r="A117" s="20">
        <v>39630</v>
      </c>
      <c r="B117" s="284">
        <v>24760370.830000084</v>
      </c>
      <c r="C117" s="194">
        <f t="shared" ref="C117:D117" si="18">C105</f>
        <v>36.33</v>
      </c>
      <c r="D117" s="194">
        <f t="shared" si="18"/>
        <v>40.369999999999997</v>
      </c>
      <c r="E117" s="194">
        <v>31</v>
      </c>
      <c r="F117" s="194">
        <v>0</v>
      </c>
      <c r="G117" s="184">
        <f>'CDM Activity'!I49</f>
        <v>572973.30603075284</v>
      </c>
      <c r="H117" s="187">
        <v>44447</v>
      </c>
      <c r="I117" s="184">
        <v>139.3351492869389</v>
      </c>
      <c r="J117" s="37">
        <v>352</v>
      </c>
      <c r="K117" s="194">
        <f t="shared" si="0"/>
        <v>25207365.406022679</v>
      </c>
      <c r="L117" s="194"/>
      <c r="M117" s="37"/>
    </row>
    <row r="118" spans="1:13">
      <c r="A118" s="20">
        <v>39661</v>
      </c>
      <c r="B118" s="284">
        <v>25074714.10000005</v>
      </c>
      <c r="C118" s="194">
        <f t="shared" ref="C118:D118" si="19">C106</f>
        <v>51.55</v>
      </c>
      <c r="D118" s="194">
        <f t="shared" si="19"/>
        <v>29.669999999999998</v>
      </c>
      <c r="E118" s="194">
        <v>31</v>
      </c>
      <c r="F118" s="194">
        <v>0</v>
      </c>
      <c r="G118" s="184">
        <f>'CDM Activity'!I50</f>
        <v>582898.24998880073</v>
      </c>
      <c r="H118" s="187">
        <v>44683</v>
      </c>
      <c r="I118" s="184">
        <v>139.23021436183228</v>
      </c>
      <c r="J118" s="37">
        <v>320</v>
      </c>
      <c r="K118" s="194">
        <f t="shared" si="0"/>
        <v>24925156.686602429</v>
      </c>
      <c r="L118" s="194"/>
      <c r="M118" s="37"/>
    </row>
    <row r="119" spans="1:13">
      <c r="A119" s="20">
        <v>39692</v>
      </c>
      <c r="B119" s="284">
        <v>24527138.439999893</v>
      </c>
      <c r="C119" s="194">
        <f t="shared" ref="C119:D119" si="20">C107</f>
        <v>176.97</v>
      </c>
      <c r="D119" s="194">
        <f t="shared" si="20"/>
        <v>5.05</v>
      </c>
      <c r="E119" s="194">
        <v>30</v>
      </c>
      <c r="F119" s="194">
        <v>1</v>
      </c>
      <c r="G119" s="184">
        <f>'CDM Activity'!I51</f>
        <v>592823.19394684862</v>
      </c>
      <c r="H119" s="187">
        <v>44620</v>
      </c>
      <c r="I119" s="184">
        <v>139.12535846444095</v>
      </c>
      <c r="J119" s="37">
        <v>336</v>
      </c>
      <c r="K119" s="194">
        <f t="shared" si="0"/>
        <v>23597673.269432135</v>
      </c>
      <c r="L119" s="194"/>
      <c r="M119" s="37"/>
    </row>
    <row r="120" spans="1:13">
      <c r="A120" s="20">
        <v>39722</v>
      </c>
      <c r="B120" s="284">
        <v>27463878.839999922</v>
      </c>
      <c r="C120" s="194">
        <f t="shared" ref="C120:D120" si="21">C108</f>
        <v>372.15</v>
      </c>
      <c r="D120" s="194">
        <f t="shared" si="21"/>
        <v>0.54</v>
      </c>
      <c r="E120" s="194">
        <v>31</v>
      </c>
      <c r="F120" s="194">
        <v>1</v>
      </c>
      <c r="G120" s="184">
        <f>'CDM Activity'!I52</f>
        <v>602748.13790489652</v>
      </c>
      <c r="H120" s="187">
        <v>44594</v>
      </c>
      <c r="I120" s="184">
        <v>139.02058153524823</v>
      </c>
      <c r="J120" s="37">
        <v>352</v>
      </c>
      <c r="K120" s="194">
        <f t="shared" si="0"/>
        <v>26980378.232272342</v>
      </c>
      <c r="L120" s="194"/>
      <c r="M120" s="37"/>
    </row>
    <row r="121" spans="1:13">
      <c r="A121" s="20">
        <v>39753</v>
      </c>
      <c r="B121" s="284">
        <v>31251337.249999966</v>
      </c>
      <c r="C121" s="194">
        <f t="shared" ref="C121:D121" si="22">C109</f>
        <v>567.61000000000013</v>
      </c>
      <c r="D121" s="194">
        <f t="shared" si="22"/>
        <v>0</v>
      </c>
      <c r="E121" s="194">
        <v>30</v>
      </c>
      <c r="F121" s="194">
        <v>1</v>
      </c>
      <c r="G121" s="184">
        <f>'CDM Activity'!I53</f>
        <v>612673.08186294441</v>
      </c>
      <c r="H121" s="187">
        <v>44809</v>
      </c>
      <c r="I121" s="184">
        <v>138.91588351478222</v>
      </c>
      <c r="J121" s="37">
        <v>304</v>
      </c>
      <c r="K121" s="194">
        <f t="shared" si="0"/>
        <v>28576832.243668273</v>
      </c>
      <c r="L121" s="194"/>
      <c r="M121" s="37"/>
    </row>
    <row r="122" spans="1:13">
      <c r="A122" s="20">
        <v>39783</v>
      </c>
      <c r="B122" s="284">
        <v>37054439.399999842</v>
      </c>
      <c r="C122" s="194">
        <f t="shared" ref="C122:D122" si="23">C110</f>
        <v>852.28999999999974</v>
      </c>
      <c r="D122" s="194">
        <f t="shared" si="23"/>
        <v>0</v>
      </c>
      <c r="E122" s="194">
        <v>31</v>
      </c>
      <c r="F122" s="194">
        <v>0</v>
      </c>
      <c r="G122" s="184">
        <f>'CDM Activity'!I54</f>
        <v>622598.0258209923</v>
      </c>
      <c r="H122" s="187">
        <v>44624</v>
      </c>
      <c r="I122" s="184">
        <v>138.8112643436159</v>
      </c>
      <c r="J122" s="37">
        <v>336</v>
      </c>
      <c r="K122" s="194">
        <f t="shared" si="0"/>
        <v>34287825.787166528</v>
      </c>
      <c r="L122" s="194"/>
      <c r="M122" s="188"/>
    </row>
    <row r="123" spans="1:13">
      <c r="A123" s="20">
        <v>39814</v>
      </c>
      <c r="B123" s="284">
        <v>38386142.999999948</v>
      </c>
      <c r="C123" s="194">
        <f t="shared" ref="C123:D123" si="24">C111</f>
        <v>960.98000000000013</v>
      </c>
      <c r="D123" s="194">
        <f t="shared" si="24"/>
        <v>0</v>
      </c>
      <c r="E123" s="194">
        <v>31</v>
      </c>
      <c r="F123" s="194">
        <v>0</v>
      </c>
      <c r="G123" s="184">
        <f>'CDM Activity'!I55</f>
        <v>632742.12409511243</v>
      </c>
      <c r="H123" s="187">
        <v>44558</v>
      </c>
      <c r="I123" s="184">
        <v>138.38779708736809</v>
      </c>
      <c r="J123" s="37">
        <v>336</v>
      </c>
      <c r="K123" s="194">
        <f t="shared" si="0"/>
        <v>35726353.428768434</v>
      </c>
      <c r="L123" s="194"/>
      <c r="M123" s="37"/>
    </row>
    <row r="124" spans="1:13">
      <c r="A124" s="20">
        <v>39845</v>
      </c>
      <c r="B124" s="284">
        <v>32364264.230000056</v>
      </c>
      <c r="C124" s="194">
        <f t="shared" ref="C124:D124" si="25">C112</f>
        <v>875.5899999999998</v>
      </c>
      <c r="D124" s="194">
        <f t="shared" si="25"/>
        <v>0</v>
      </c>
      <c r="E124" s="194">
        <v>28</v>
      </c>
      <c r="F124" s="194">
        <v>0</v>
      </c>
      <c r="G124" s="184">
        <f>'CDM Activity'!I56</f>
        <v>642886.22236923256</v>
      </c>
      <c r="H124" s="187">
        <v>44533</v>
      </c>
      <c r="I124" s="184">
        <v>137.965621689659</v>
      </c>
      <c r="J124" s="37">
        <v>304</v>
      </c>
      <c r="K124" s="194">
        <f t="shared" si="0"/>
        <v>31617861.798709892</v>
      </c>
      <c r="L124" s="194"/>
      <c r="M124" s="37"/>
    </row>
    <row r="125" spans="1:13">
      <c r="A125" s="20">
        <v>39873</v>
      </c>
      <c r="B125" s="284">
        <v>32111110.449999887</v>
      </c>
      <c r="C125" s="194">
        <f t="shared" ref="C125:D125" si="26">C113</f>
        <v>702.91</v>
      </c>
      <c r="D125" s="194">
        <f t="shared" si="26"/>
        <v>0</v>
      </c>
      <c r="E125" s="194">
        <v>31</v>
      </c>
      <c r="F125" s="194">
        <v>1</v>
      </c>
      <c r="G125" s="184">
        <f>'CDM Activity'!I57</f>
        <v>653030.32064335269</v>
      </c>
      <c r="H125" s="187">
        <v>44479</v>
      </c>
      <c r="I125" s="184">
        <v>137.54473420945553</v>
      </c>
      <c r="J125" s="37">
        <v>352</v>
      </c>
      <c r="K125" s="194">
        <f t="shared" si="0"/>
        <v>31299340.357068822</v>
      </c>
      <c r="L125" s="194"/>
      <c r="M125" s="37"/>
    </row>
    <row r="126" spans="1:13">
      <c r="A126" s="20">
        <v>39904</v>
      </c>
      <c r="B126" s="284">
        <v>27582319.489999644</v>
      </c>
      <c r="C126" s="194">
        <f t="shared" ref="C126:D126" si="27">C114</f>
        <v>450.5200000000001</v>
      </c>
      <c r="D126" s="194">
        <f t="shared" si="27"/>
        <v>0</v>
      </c>
      <c r="E126" s="194">
        <v>30</v>
      </c>
      <c r="F126" s="194">
        <v>1</v>
      </c>
      <c r="G126" s="184">
        <f>'CDM Activity'!I58</f>
        <v>663174.41891747282</v>
      </c>
      <c r="H126" s="187">
        <v>44545</v>
      </c>
      <c r="I126" s="184">
        <v>137.12513071774731</v>
      </c>
      <c r="J126" s="37">
        <v>320</v>
      </c>
      <c r="K126" s="194">
        <f t="shared" si="0"/>
        <v>26916181.446962882</v>
      </c>
      <c r="L126" s="194"/>
      <c r="M126" s="287"/>
    </row>
    <row r="127" spans="1:13">
      <c r="A127" s="20">
        <v>39934</v>
      </c>
      <c r="B127" s="284">
        <v>25664853.929999951</v>
      </c>
      <c r="C127" s="194">
        <f t="shared" ref="C127:D127" si="28">C115</f>
        <v>271.46000000000004</v>
      </c>
      <c r="D127" s="194">
        <f t="shared" si="28"/>
        <v>0.47000000000000003</v>
      </c>
      <c r="E127" s="194">
        <v>31</v>
      </c>
      <c r="F127" s="194">
        <v>1</v>
      </c>
      <c r="G127" s="184">
        <f>'CDM Activity'!I59</f>
        <v>673318.51719159295</v>
      </c>
      <c r="H127" s="187">
        <v>44731</v>
      </c>
      <c r="I127" s="184">
        <v>136.70680729751015</v>
      </c>
      <c r="J127" s="37">
        <v>320</v>
      </c>
      <c r="K127" s="194">
        <f t="shared" si="0"/>
        <v>25500237.877051346</v>
      </c>
      <c r="L127" s="194"/>
      <c r="M127" s="37"/>
    </row>
    <row r="128" spans="1:13">
      <c r="A128" s="20">
        <v>39965</v>
      </c>
      <c r="B128" s="284">
        <v>23320632.669999916</v>
      </c>
      <c r="C128" s="194">
        <f t="shared" ref="C128:D128" si="29">C116</f>
        <v>109.59</v>
      </c>
      <c r="D128" s="194">
        <f t="shared" si="29"/>
        <v>6.7</v>
      </c>
      <c r="E128" s="194">
        <v>30</v>
      </c>
      <c r="F128" s="194">
        <v>0</v>
      </c>
      <c r="G128" s="184">
        <f>'CDM Activity'!I60</f>
        <v>683462.61546571308</v>
      </c>
      <c r="H128" s="187">
        <v>44604</v>
      </c>
      <c r="I128" s="184">
        <v>136.28976004366936</v>
      </c>
      <c r="J128" s="37">
        <v>352</v>
      </c>
      <c r="K128" s="194">
        <f t="shared" si="0"/>
        <v>23534315.475509223</v>
      </c>
      <c r="L128" s="194"/>
      <c r="M128" s="37"/>
    </row>
    <row r="129" spans="1:13">
      <c r="A129" s="20">
        <v>39995</v>
      </c>
      <c r="B129" s="284">
        <v>24041096.170000102</v>
      </c>
      <c r="C129" s="194">
        <f t="shared" ref="C129:D129" si="30">C117</f>
        <v>36.33</v>
      </c>
      <c r="D129" s="194">
        <f t="shared" si="30"/>
        <v>40.369999999999997</v>
      </c>
      <c r="E129" s="194">
        <v>31</v>
      </c>
      <c r="F129" s="194">
        <v>0</v>
      </c>
      <c r="G129" s="184">
        <f>'CDM Activity'!I61</f>
        <v>693606.71373983321</v>
      </c>
      <c r="H129" s="187">
        <v>44542</v>
      </c>
      <c r="I129" s="184">
        <v>135.87398506306334</v>
      </c>
      <c r="J129" s="37">
        <v>352</v>
      </c>
      <c r="K129" s="194">
        <f t="shared" si="0"/>
        <v>24989488.825474486</v>
      </c>
      <c r="L129" s="194"/>
      <c r="M129" s="37"/>
    </row>
    <row r="130" spans="1:13">
      <c r="A130" s="20">
        <v>40026</v>
      </c>
      <c r="B130" s="284">
        <v>24433772.640000012</v>
      </c>
      <c r="C130" s="194">
        <f t="shared" ref="C130:D130" si="31">C118</f>
        <v>51.55</v>
      </c>
      <c r="D130" s="194">
        <f t="shared" si="31"/>
        <v>29.669999999999998</v>
      </c>
      <c r="E130" s="194">
        <v>31</v>
      </c>
      <c r="F130" s="194">
        <v>0</v>
      </c>
      <c r="G130" s="184">
        <f>'CDM Activity'!I62</f>
        <v>703750.81201395334</v>
      </c>
      <c r="H130" s="187">
        <v>44538</v>
      </c>
      <c r="I130" s="184">
        <v>135.45947847440726</v>
      </c>
      <c r="J130" s="37">
        <v>320</v>
      </c>
      <c r="K130" s="194">
        <f t="shared" si="0"/>
        <v>24706884.290385053</v>
      </c>
      <c r="L130" s="194"/>
      <c r="M130" s="37"/>
    </row>
    <row r="131" spans="1:13">
      <c r="A131" s="20">
        <v>40057</v>
      </c>
      <c r="B131" s="284">
        <v>24530858.359999929</v>
      </c>
      <c r="C131" s="194">
        <f t="shared" ref="C131:D131" si="32">C119</f>
        <v>176.97</v>
      </c>
      <c r="D131" s="194">
        <f t="shared" si="32"/>
        <v>5.05</v>
      </c>
      <c r="E131" s="194">
        <v>30</v>
      </c>
      <c r="F131" s="194">
        <v>1</v>
      </c>
      <c r="G131" s="184">
        <f>'CDM Activity'!I63</f>
        <v>713894.91028807347</v>
      </c>
      <c r="H131" s="187">
        <v>44722</v>
      </c>
      <c r="I131" s="184">
        <v>135.04623640825679</v>
      </c>
      <c r="J131" s="37">
        <v>336</v>
      </c>
      <c r="K131" s="194">
        <f t="shared" si="0"/>
        <v>23379005.057545576</v>
      </c>
      <c r="L131" s="194"/>
      <c r="M131" s="37"/>
    </row>
    <row r="132" spans="1:13">
      <c r="A132" s="20">
        <v>40087</v>
      </c>
      <c r="B132" s="284">
        <v>27407141.959999695</v>
      </c>
      <c r="C132" s="194">
        <f t="shared" ref="C132:D132" si="33">C120</f>
        <v>372.15</v>
      </c>
      <c r="D132" s="194">
        <f t="shared" si="33"/>
        <v>0.54</v>
      </c>
      <c r="E132" s="194">
        <v>31</v>
      </c>
      <c r="F132" s="194">
        <v>1</v>
      </c>
      <c r="G132" s="184">
        <f>'CDM Activity'!I64</f>
        <v>724039.0085621936</v>
      </c>
      <c r="H132" s="187">
        <v>44786</v>
      </c>
      <c r="I132" s="184">
        <v>134.63425500697198</v>
      </c>
      <c r="J132" s="37">
        <v>336</v>
      </c>
      <c r="K132" s="194">
        <f t="shared" si="0"/>
        <v>26761314.2047166</v>
      </c>
      <c r="L132" s="194"/>
      <c r="M132" s="37"/>
    </row>
    <row r="133" spans="1:13">
      <c r="A133" s="20">
        <v>40118</v>
      </c>
      <c r="B133" s="284">
        <v>29972143.999999814</v>
      </c>
      <c r="C133" s="194">
        <f t="shared" ref="C133:D133" si="34">C121</f>
        <v>567.61000000000013</v>
      </c>
      <c r="D133" s="194">
        <f t="shared" si="34"/>
        <v>0</v>
      </c>
      <c r="E133" s="194">
        <v>30</v>
      </c>
      <c r="F133" s="194">
        <v>1</v>
      </c>
      <c r="G133" s="184">
        <f>'CDM Activity'!I65</f>
        <v>734183.10683631373</v>
      </c>
      <c r="H133" s="187">
        <v>44620</v>
      </c>
      <c r="I133" s="184">
        <v>134.22353042468131</v>
      </c>
      <c r="J133" s="37">
        <v>320</v>
      </c>
      <c r="K133" s="194">
        <f t="shared" si="0"/>
        <v>28357372.400443349</v>
      </c>
      <c r="L133" s="194"/>
      <c r="M133" s="37"/>
    </row>
    <row r="134" spans="1:13">
      <c r="A134" s="20">
        <v>40148</v>
      </c>
      <c r="B134" s="284">
        <v>34913483.790000267</v>
      </c>
      <c r="C134" s="194">
        <f t="shared" ref="C134:D134" si="35">C122</f>
        <v>852.28999999999974</v>
      </c>
      <c r="D134" s="194">
        <f t="shared" si="35"/>
        <v>0</v>
      </c>
      <c r="E134" s="194">
        <v>31</v>
      </c>
      <c r="F134" s="194">
        <v>0</v>
      </c>
      <c r="G134" s="184">
        <f>'CDM Activity'!I66</f>
        <v>744327.20511043386</v>
      </c>
      <c r="H134" s="187">
        <v>44706</v>
      </c>
      <c r="I134" s="184">
        <v>133.81405882724573</v>
      </c>
      <c r="J134" s="37">
        <v>352</v>
      </c>
      <c r="K134" s="194">
        <f t="shared" si="0"/>
        <v>34067970.128272422</v>
      </c>
      <c r="L134" s="194"/>
      <c r="M134" s="37"/>
    </row>
    <row r="135" spans="1:13">
      <c r="A135" s="20">
        <v>40179</v>
      </c>
      <c r="B135" s="284">
        <v>36085553.260000087</v>
      </c>
      <c r="C135" s="194">
        <f t="shared" ref="C135:D135" si="36">C123</f>
        <v>960.98000000000013</v>
      </c>
      <c r="D135" s="194">
        <f t="shared" si="36"/>
        <v>0</v>
      </c>
      <c r="E135" s="194">
        <v>31</v>
      </c>
      <c r="F135" s="194">
        <v>0</v>
      </c>
      <c r="G135" s="184">
        <f>'CDM Activity'!I67</f>
        <v>715812.91985037085</v>
      </c>
      <c r="H135" s="187">
        <v>44629</v>
      </c>
      <c r="I135" s="184">
        <v>134.14408039564063</v>
      </c>
      <c r="J135" s="194">
        <v>320</v>
      </c>
      <c r="K135" s="194">
        <f t="shared" si="0"/>
        <v>35576318.863167658</v>
      </c>
      <c r="L135" s="194"/>
      <c r="M135" s="37"/>
    </row>
    <row r="136" spans="1:13">
      <c r="A136" s="20">
        <v>40210</v>
      </c>
      <c r="B136" s="284">
        <v>30010764.890000019</v>
      </c>
      <c r="C136" s="194">
        <f t="shared" ref="C136:D136" si="37">C124</f>
        <v>875.5899999999998</v>
      </c>
      <c r="D136" s="194">
        <f t="shared" si="37"/>
        <v>0</v>
      </c>
      <c r="E136" s="194">
        <v>28</v>
      </c>
      <c r="F136" s="194">
        <v>0</v>
      </c>
      <c r="G136" s="184">
        <f>'CDM Activity'!I68</f>
        <v>687298.63459030783</v>
      </c>
      <c r="H136" s="187">
        <v>44651</v>
      </c>
      <c r="I136" s="184">
        <v>134.47491588625388</v>
      </c>
      <c r="J136" s="194">
        <v>304</v>
      </c>
      <c r="K136" s="194">
        <f t="shared" si="0"/>
        <v>31537648.326402452</v>
      </c>
      <c r="L136" s="194"/>
      <c r="M136" s="37"/>
    </row>
    <row r="137" spans="1:13">
      <c r="A137" s="20">
        <v>40238</v>
      </c>
      <c r="B137" s="284">
        <v>28911520.730000079</v>
      </c>
      <c r="C137" s="194">
        <f t="shared" ref="C137:D137" si="38">C125</f>
        <v>702.91</v>
      </c>
      <c r="D137" s="194">
        <f t="shared" si="38"/>
        <v>0</v>
      </c>
      <c r="E137" s="194">
        <v>31</v>
      </c>
      <c r="F137" s="194">
        <v>1</v>
      </c>
      <c r="G137" s="184">
        <f>'CDM Activity'!I69</f>
        <v>658784.34933024482</v>
      </c>
      <c r="H137" s="187">
        <v>44651</v>
      </c>
      <c r="I137" s="184">
        <v>134.80656730643724</v>
      </c>
      <c r="J137" s="194">
        <v>368</v>
      </c>
      <c r="K137" s="194">
        <f t="shared" si="0"/>
        <v>31288947.978054713</v>
      </c>
      <c r="L137" s="194"/>
      <c r="M137" s="37"/>
    </row>
    <row r="138" spans="1:13">
      <c r="A138" s="20">
        <v>40269</v>
      </c>
      <c r="B138" s="284">
        <v>25118804.909999732</v>
      </c>
      <c r="C138" s="194">
        <f t="shared" ref="C138:D138" si="39">C126</f>
        <v>450.5200000000001</v>
      </c>
      <c r="D138" s="194">
        <f t="shared" si="39"/>
        <v>0</v>
      </c>
      <c r="E138" s="194">
        <v>30</v>
      </c>
      <c r="F138" s="194">
        <v>1</v>
      </c>
      <c r="G138" s="184">
        <f>'CDM Activity'!I70</f>
        <v>630270.0640701818</v>
      </c>
      <c r="H138" s="187">
        <v>44625</v>
      </c>
      <c r="I138" s="184">
        <v>135.13903666849313</v>
      </c>
      <c r="J138" s="194">
        <v>320</v>
      </c>
      <c r="K138" s="194">
        <f t="shared" si="0"/>
        <v>26975610.161242105</v>
      </c>
      <c r="L138" s="194"/>
      <c r="M138" s="37"/>
    </row>
    <row r="139" spans="1:13">
      <c r="A139" s="20">
        <v>40299</v>
      </c>
      <c r="B139" s="284">
        <v>24585712.38999987</v>
      </c>
      <c r="C139" s="194">
        <f t="shared" ref="C139:D139" si="40">C127</f>
        <v>271.46000000000004</v>
      </c>
      <c r="D139" s="194">
        <f t="shared" si="40"/>
        <v>0.47000000000000003</v>
      </c>
      <c r="E139" s="194">
        <v>31</v>
      </c>
      <c r="F139" s="194">
        <v>1</v>
      </c>
      <c r="G139" s="184">
        <f>'CDM Activity'!I71</f>
        <v>601755.77881011879</v>
      </c>
      <c r="H139" s="187">
        <v>44628</v>
      </c>
      <c r="I139" s="184">
        <v>135.47232598968688</v>
      </c>
      <c r="J139" s="194">
        <v>320</v>
      </c>
      <c r="K139" s="194">
        <f t="shared" si="0"/>
        <v>25629487.684623905</v>
      </c>
      <c r="L139" s="194"/>
      <c r="M139" s="37"/>
    </row>
    <row r="140" spans="1:13">
      <c r="A140" s="20">
        <v>40330</v>
      </c>
      <c r="B140" s="284">
        <v>23836918.189999718</v>
      </c>
      <c r="C140" s="194">
        <f t="shared" ref="C140:D140" si="41">C128</f>
        <v>109.59</v>
      </c>
      <c r="D140" s="194">
        <f t="shared" si="41"/>
        <v>6.7</v>
      </c>
      <c r="E140" s="194">
        <v>30</v>
      </c>
      <c r="F140" s="194">
        <v>0</v>
      </c>
      <c r="G140" s="184">
        <f>'CDM Activity'!I72</f>
        <v>573241.49355005578</v>
      </c>
      <c r="H140" s="187">
        <v>44772</v>
      </c>
      <c r="I140" s="184">
        <v>135.80643729225892</v>
      </c>
      <c r="J140" s="194">
        <v>352</v>
      </c>
      <c r="K140" s="194">
        <f t="shared" si="0"/>
        <v>23733386.376375113</v>
      </c>
      <c r="L140" s="194"/>
      <c r="M140" s="37"/>
    </row>
    <row r="141" spans="1:13">
      <c r="A141" s="20">
        <v>40360</v>
      </c>
      <c r="B141" s="284">
        <v>25905019.170000263</v>
      </c>
      <c r="C141" s="194">
        <f t="shared" ref="C141:D141" si="42">C129</f>
        <v>36.33</v>
      </c>
      <c r="D141" s="194">
        <f t="shared" si="42"/>
        <v>40.369999999999997</v>
      </c>
      <c r="E141" s="194">
        <v>31</v>
      </c>
      <c r="F141" s="194">
        <v>0</v>
      </c>
      <c r="G141" s="184">
        <f>'CDM Activity'!I73</f>
        <v>544727.20828999276</v>
      </c>
      <c r="H141" s="187">
        <v>44773</v>
      </c>
      <c r="I141" s="184">
        <v>136.14137260343708</v>
      </c>
      <c r="J141" s="194">
        <v>336</v>
      </c>
      <c r="K141" s="194">
        <f t="shared" si="0"/>
        <v>25258380.819633707</v>
      </c>
      <c r="L141" s="194"/>
      <c r="M141" s="37"/>
    </row>
    <row r="142" spans="1:13">
      <c r="A142" s="20">
        <v>40391</v>
      </c>
      <c r="B142" s="284">
        <v>26075806.560000002</v>
      </c>
      <c r="C142" s="194">
        <f t="shared" ref="C142:D142" si="43">C130</f>
        <v>51.55</v>
      </c>
      <c r="D142" s="194">
        <f t="shared" si="43"/>
        <v>29.669999999999998</v>
      </c>
      <c r="E142" s="194">
        <v>31</v>
      </c>
      <c r="F142" s="194">
        <v>0</v>
      </c>
      <c r="G142" s="184">
        <f>'CDM Activity'!I74</f>
        <v>516212.92302992969</v>
      </c>
      <c r="H142" s="187">
        <v>44748</v>
      </c>
      <c r="I142" s="184">
        <v>136.47713395544886</v>
      </c>
      <c r="J142" s="194">
        <v>336</v>
      </c>
      <c r="K142" s="194">
        <f t="shared" si="0"/>
        <v>25045597.377837609</v>
      </c>
      <c r="L142" s="194"/>
      <c r="M142" s="37"/>
    </row>
    <row r="143" spans="1:13">
      <c r="A143" s="20">
        <v>40422</v>
      </c>
      <c r="B143" s="284">
        <v>24545247.180000003</v>
      </c>
      <c r="C143" s="194">
        <f t="shared" ref="C143:D143" si="44">C131</f>
        <v>176.97</v>
      </c>
      <c r="D143" s="194">
        <f t="shared" si="44"/>
        <v>5.05</v>
      </c>
      <c r="E143" s="194">
        <v>30</v>
      </c>
      <c r="F143" s="194">
        <v>1</v>
      </c>
      <c r="G143" s="184">
        <f>'CDM Activity'!I75</f>
        <v>487698.63776986662</v>
      </c>
      <c r="H143" s="187">
        <v>44858</v>
      </c>
      <c r="I143" s="184">
        <v>136.81372338553382</v>
      </c>
      <c r="J143" s="194">
        <v>336</v>
      </c>
      <c r="K143" s="194">
        <f t="shared" si="0"/>
        <v>23787539.238291465</v>
      </c>
      <c r="L143" s="194"/>
      <c r="M143" s="37"/>
    </row>
    <row r="144" spans="1:13">
      <c r="A144" s="20">
        <v>40452</v>
      </c>
      <c r="B144" s="284">
        <v>26297636.290000055</v>
      </c>
      <c r="C144" s="194">
        <f t="shared" ref="C144:D144" si="45">C132</f>
        <v>372.15</v>
      </c>
      <c r="D144" s="194">
        <f t="shared" si="45"/>
        <v>0.54</v>
      </c>
      <c r="E144" s="194">
        <v>31</v>
      </c>
      <c r="F144" s="194">
        <v>1</v>
      </c>
      <c r="G144" s="184">
        <f>'CDM Activity'!I76</f>
        <v>459184.35250980355</v>
      </c>
      <c r="H144" s="187">
        <v>44861</v>
      </c>
      <c r="I144" s="184">
        <v>137.15114293595587</v>
      </c>
      <c r="J144" s="194">
        <v>320</v>
      </c>
      <c r="K144" s="194">
        <f t="shared" si="0"/>
        <v>27239669.478755824</v>
      </c>
      <c r="L144" s="194"/>
      <c r="M144" s="37"/>
    </row>
    <row r="145" spans="1:13">
      <c r="A145" s="20">
        <v>40483</v>
      </c>
      <c r="B145" s="284">
        <v>29657866.35999972</v>
      </c>
      <c r="C145" s="194">
        <f t="shared" ref="C145:D145" si="46">C133</f>
        <v>567.61000000000013</v>
      </c>
      <c r="D145" s="194">
        <f t="shared" si="46"/>
        <v>0</v>
      </c>
      <c r="E145" s="194">
        <v>30</v>
      </c>
      <c r="F145" s="194">
        <v>1</v>
      </c>
      <c r="G145" s="184">
        <f>'CDM Activity'!I77</f>
        <v>430670.06724974047</v>
      </c>
      <c r="H145" s="187">
        <v>44810</v>
      </c>
      <c r="I145" s="184">
        <v>137.48939465401571</v>
      </c>
      <c r="J145" s="194">
        <v>336</v>
      </c>
      <c r="K145" s="194">
        <f t="shared" si="0"/>
        <v>28905548.767775904</v>
      </c>
      <c r="L145" s="194"/>
      <c r="M145" s="37"/>
    </row>
    <row r="146" spans="1:13">
      <c r="A146" s="20">
        <v>40513</v>
      </c>
      <c r="B146" s="284">
        <v>34557679.539999954</v>
      </c>
      <c r="C146" s="194">
        <f t="shared" ref="C146:D146" si="47">C134</f>
        <v>852.28999999999974</v>
      </c>
      <c r="D146" s="194">
        <f t="shared" si="47"/>
        <v>0</v>
      </c>
      <c r="E146" s="194">
        <v>31</v>
      </c>
      <c r="F146" s="194">
        <v>0</v>
      </c>
      <c r="G146" s="184">
        <f>'CDM Activity'!I78</f>
        <v>402155.7819896774</v>
      </c>
      <c r="H146" s="187">
        <v>44821</v>
      </c>
      <c r="I146" s="184">
        <v>137.8284805920631</v>
      </c>
      <c r="J146" s="194">
        <v>368</v>
      </c>
      <c r="K146" s="194">
        <f t="shared" si="0"/>
        <v>34685967.588898309</v>
      </c>
      <c r="L146" s="194"/>
      <c r="M146" s="37"/>
    </row>
    <row r="147" spans="1:13">
      <c r="A147" s="20">
        <v>40544</v>
      </c>
      <c r="B147" s="284">
        <v>36516937.350000232</v>
      </c>
      <c r="C147" s="194">
        <f t="shared" ref="C147:D147" si="48">C135</f>
        <v>960.98000000000013</v>
      </c>
      <c r="D147" s="194">
        <f t="shared" si="48"/>
        <v>0</v>
      </c>
      <c r="E147" s="287">
        <v>31</v>
      </c>
      <c r="F147" s="194">
        <v>0</v>
      </c>
      <c r="G147" s="184">
        <f>'CDM Activity'!I79</f>
        <v>433380.04574383411</v>
      </c>
      <c r="H147" s="187">
        <v>44726</v>
      </c>
      <c r="I147" s="184">
        <v>138.03353704635359</v>
      </c>
      <c r="J147" s="194">
        <v>336</v>
      </c>
      <c r="K147" s="194">
        <f t="shared" si="0"/>
        <v>36086422.241770126</v>
      </c>
      <c r="L147" s="194"/>
      <c r="M147" s="37"/>
    </row>
    <row r="148" spans="1:13">
      <c r="A148" s="20">
        <v>40575</v>
      </c>
      <c r="B148" s="284">
        <v>31386775.589999977</v>
      </c>
      <c r="C148" s="194">
        <f t="shared" ref="C148:D148" si="49">C136</f>
        <v>875.5899999999998</v>
      </c>
      <c r="D148" s="194">
        <f t="shared" si="49"/>
        <v>0</v>
      </c>
      <c r="E148" s="287">
        <v>28</v>
      </c>
      <c r="F148" s="194">
        <v>0</v>
      </c>
      <c r="G148" s="184">
        <f>'CDM Activity'!I80</f>
        <v>464604.30949799082</v>
      </c>
      <c r="H148" s="187">
        <v>44775</v>
      </c>
      <c r="I148" s="184">
        <v>138.23889857655627</v>
      </c>
      <c r="J148" s="194">
        <v>304</v>
      </c>
      <c r="K148" s="194">
        <f t="shared" si="0"/>
        <v>31939857.622981489</v>
      </c>
      <c r="L148" s="194"/>
      <c r="M148" s="37"/>
    </row>
    <row r="149" spans="1:13">
      <c r="A149" s="20">
        <v>40603</v>
      </c>
      <c r="B149" s="284">
        <v>31223082.410000503</v>
      </c>
      <c r="C149" s="194">
        <f t="shared" ref="C149:D149" si="50">C137</f>
        <v>702.91</v>
      </c>
      <c r="D149" s="194">
        <f t="shared" si="50"/>
        <v>0</v>
      </c>
      <c r="E149" s="287">
        <v>31</v>
      </c>
      <c r="F149" s="194">
        <v>1</v>
      </c>
      <c r="G149" s="184">
        <f>'CDM Activity'!I81</f>
        <v>495828.57325214753</v>
      </c>
      <c r="H149" s="187">
        <v>44762</v>
      </c>
      <c r="I149" s="184">
        <v>138.4445656365526</v>
      </c>
      <c r="J149" s="194">
        <v>368</v>
      </c>
      <c r="K149" s="194">
        <f t="shared" si="0"/>
        <v>31583263.192610327</v>
      </c>
      <c r="L149" s="194"/>
      <c r="M149" s="37"/>
    </row>
    <row r="150" spans="1:13">
      <c r="A150" s="20">
        <v>40634</v>
      </c>
      <c r="B150" s="284">
        <v>26878420.399999555</v>
      </c>
      <c r="C150" s="194">
        <f t="shared" ref="C150:D150" si="51">C138</f>
        <v>450.5200000000001</v>
      </c>
      <c r="D150" s="194">
        <f t="shared" si="51"/>
        <v>0</v>
      </c>
      <c r="E150" s="287">
        <v>30</v>
      </c>
      <c r="F150" s="194">
        <v>1</v>
      </c>
      <c r="G150" s="184">
        <f>'CDM Activity'!I82</f>
        <v>527052.8370063043</v>
      </c>
      <c r="H150" s="187">
        <v>44920</v>
      </c>
      <c r="I150" s="184">
        <v>138.65053868089922</v>
      </c>
      <c r="J150" s="194">
        <v>320</v>
      </c>
      <c r="K150" s="194">
        <f t="shared" si="0"/>
        <v>27162031.293774296</v>
      </c>
      <c r="L150" s="194"/>
      <c r="M150" s="37"/>
    </row>
    <row r="151" spans="1:13">
      <c r="A151" s="20">
        <v>40664</v>
      </c>
      <c r="B151" s="284">
        <v>24676485.139999926</v>
      </c>
      <c r="C151" s="194">
        <f t="shared" ref="C151:D151" si="52">C139</f>
        <v>271.46000000000004</v>
      </c>
      <c r="D151" s="194">
        <f t="shared" si="52"/>
        <v>0.47000000000000003</v>
      </c>
      <c r="E151" s="287">
        <v>31</v>
      </c>
      <c r="F151" s="194">
        <v>1</v>
      </c>
      <c r="G151" s="184">
        <f>'CDM Activity'!I83</f>
        <v>558277.10076046106</v>
      </c>
      <c r="H151" s="187">
        <v>44927</v>
      </c>
      <c r="I151" s="184">
        <v>138.85681816482909</v>
      </c>
      <c r="J151" s="194">
        <v>336</v>
      </c>
      <c r="K151" s="194">
        <f t="shared" si="0"/>
        <v>25708014.735132668</v>
      </c>
      <c r="L151" s="194"/>
      <c r="M151" s="37"/>
    </row>
    <row r="152" spans="1:13">
      <c r="A152" s="20">
        <v>40695</v>
      </c>
      <c r="B152" s="284">
        <v>23151010.42999975</v>
      </c>
      <c r="C152" s="194">
        <f t="shared" ref="C152:D152" si="53">C140</f>
        <v>109.59</v>
      </c>
      <c r="D152" s="194">
        <f t="shared" si="53"/>
        <v>6.7</v>
      </c>
      <c r="E152" s="287">
        <v>30</v>
      </c>
      <c r="F152" s="194">
        <v>0</v>
      </c>
      <c r="G152" s="184">
        <f>'CDM Activity'!I84</f>
        <v>589501.36451461783</v>
      </c>
      <c r="H152" s="187">
        <v>44911</v>
      </c>
      <c r="I152" s="184">
        <v>139.06340454425245</v>
      </c>
      <c r="J152" s="194">
        <v>352</v>
      </c>
      <c r="K152" s="194">
        <f t="shared" ref="K152:K206" si="54">$O$103+C152*$O$104+D152*$O$105+E152*$O$106+F152*$O$107+G152*$O$108</f>
        <v>23704019.344860449</v>
      </c>
      <c r="L152" s="194"/>
      <c r="M152" s="37"/>
    </row>
    <row r="153" spans="1:13">
      <c r="A153" s="20">
        <v>40725</v>
      </c>
      <c r="B153" s="284">
        <v>25352001.299999826</v>
      </c>
      <c r="C153" s="194">
        <f t="shared" ref="C153:D153" si="55">C141</f>
        <v>36.33</v>
      </c>
      <c r="D153" s="194">
        <f t="shared" si="55"/>
        <v>40.369999999999997</v>
      </c>
      <c r="E153" s="287">
        <v>31</v>
      </c>
      <c r="F153" s="194">
        <v>0</v>
      </c>
      <c r="G153" s="184">
        <f>'CDM Activity'!I85</f>
        <v>620725.6282687746</v>
      </c>
      <c r="H153" s="187">
        <v>44960</v>
      </c>
      <c r="I153" s="184">
        <v>139.27029827575782</v>
      </c>
      <c r="J153" s="194">
        <v>320</v>
      </c>
      <c r="K153" s="194">
        <f t="shared" si="54"/>
        <v>25121119.706095621</v>
      </c>
      <c r="L153" s="194"/>
      <c r="M153" s="37"/>
    </row>
    <row r="154" spans="1:13">
      <c r="A154" s="20">
        <v>40756</v>
      </c>
      <c r="B154" s="284">
        <v>25813855.500000261</v>
      </c>
      <c r="C154" s="194">
        <f t="shared" ref="C154:D154" si="56">C142</f>
        <v>51.55</v>
      </c>
      <c r="D154" s="194">
        <f t="shared" si="56"/>
        <v>29.669999999999998</v>
      </c>
      <c r="E154" s="287">
        <v>31</v>
      </c>
      <c r="F154" s="194">
        <v>0</v>
      </c>
      <c r="G154" s="184">
        <f>'CDM Activity'!I86</f>
        <v>651949.89202293137</v>
      </c>
      <c r="H154" s="187">
        <v>44959</v>
      </c>
      <c r="I154" s="184">
        <v>139.477499816613</v>
      </c>
      <c r="J154" s="194">
        <v>352</v>
      </c>
      <c r="K154" s="194">
        <f t="shared" si="54"/>
        <v>24800442.182276096</v>
      </c>
      <c r="L154" s="194"/>
      <c r="M154" s="37"/>
    </row>
    <row r="155" spans="1:13">
      <c r="A155" s="20">
        <v>40787</v>
      </c>
      <c r="B155" s="284">
        <v>24597483.110000037</v>
      </c>
      <c r="C155" s="194">
        <f t="shared" ref="C155:D155" si="57">C143</f>
        <v>176.97</v>
      </c>
      <c r="D155" s="194">
        <f t="shared" si="57"/>
        <v>5.05</v>
      </c>
      <c r="E155" s="287">
        <v>30</v>
      </c>
      <c r="F155" s="194">
        <v>1</v>
      </c>
      <c r="G155" s="184">
        <f>'CDM Activity'!I87</f>
        <v>683174.15577708813</v>
      </c>
      <c r="H155" s="187">
        <v>45001</v>
      </c>
      <c r="I155" s="184">
        <v>139.68500962476614</v>
      </c>
      <c r="J155" s="194">
        <v>336</v>
      </c>
      <c r="K155" s="194">
        <f t="shared" si="54"/>
        <v>23434489.960706525</v>
      </c>
      <c r="L155" s="194"/>
      <c r="M155" s="37"/>
    </row>
    <row r="156" spans="1:13">
      <c r="A156" s="20">
        <v>40817</v>
      </c>
      <c r="B156" s="284">
        <v>26370882.959999766</v>
      </c>
      <c r="C156" s="194">
        <f t="shared" ref="C156:D156" si="58">C144</f>
        <v>372.15</v>
      </c>
      <c r="D156" s="194">
        <f t="shared" si="58"/>
        <v>0.54</v>
      </c>
      <c r="E156" s="287">
        <v>31</v>
      </c>
      <c r="F156" s="194">
        <v>1</v>
      </c>
      <c r="G156" s="184">
        <f>'CDM Activity'!I88</f>
        <v>714398.4195312449</v>
      </c>
      <c r="H156" s="187">
        <v>44933</v>
      </c>
      <c r="I156" s="184">
        <v>139.89282815884664</v>
      </c>
      <c r="J156" s="194">
        <v>320</v>
      </c>
      <c r="K156" s="194">
        <f t="shared" si="54"/>
        <v>26778726.119147461</v>
      </c>
      <c r="L156" s="194"/>
      <c r="M156" s="37"/>
    </row>
    <row r="157" spans="1:13">
      <c r="A157" s="20">
        <v>40848</v>
      </c>
      <c r="B157" s="284">
        <v>28854940.729999892</v>
      </c>
      <c r="C157" s="194">
        <f t="shared" ref="C157:D157" si="59">C145</f>
        <v>567.61000000000013</v>
      </c>
      <c r="D157" s="194">
        <f t="shared" si="59"/>
        <v>0</v>
      </c>
      <c r="E157" s="287">
        <v>30</v>
      </c>
      <c r="F157" s="194">
        <v>1</v>
      </c>
      <c r="G157" s="184">
        <f>'CDM Activity'!I89</f>
        <v>745622.68328540167</v>
      </c>
      <c r="H157" s="187">
        <v>44984</v>
      </c>
      <c r="I157" s="184">
        <v>140.1009558781663</v>
      </c>
      <c r="J157" s="194">
        <v>352</v>
      </c>
      <c r="K157" s="194">
        <f t="shared" si="54"/>
        <v>28336711.326144118</v>
      </c>
      <c r="L157" s="194"/>
      <c r="M157" s="37"/>
    </row>
    <row r="158" spans="1:13">
      <c r="A158" s="20">
        <v>40878</v>
      </c>
      <c r="B158" s="284">
        <v>32390431.579999913</v>
      </c>
      <c r="C158" s="194">
        <f t="shared" ref="C158:D158" si="60">C146</f>
        <v>852.28999999999974</v>
      </c>
      <c r="D158" s="194">
        <f t="shared" si="60"/>
        <v>0</v>
      </c>
      <c r="E158" s="287">
        <v>31</v>
      </c>
      <c r="F158" s="194">
        <v>0</v>
      </c>
      <c r="G158" s="184">
        <f>'CDM Activity'!I90</f>
        <v>776846.94703955844</v>
      </c>
      <c r="H158" s="187">
        <v>44950</v>
      </c>
      <c r="I158" s="184">
        <v>140.30939324272023</v>
      </c>
      <c r="J158" s="194">
        <v>336</v>
      </c>
      <c r="K158" s="194">
        <f t="shared" si="54"/>
        <v>34009236.065243095</v>
      </c>
      <c r="L158" s="194"/>
      <c r="M158" s="37"/>
    </row>
    <row r="159" spans="1:13">
      <c r="A159" s="20">
        <v>40909</v>
      </c>
      <c r="B159" s="284">
        <v>33402660.419999894</v>
      </c>
      <c r="C159" s="194">
        <f t="shared" ref="C159:D159" si="61">C147</f>
        <v>960.98000000000013</v>
      </c>
      <c r="D159" s="194">
        <f t="shared" si="61"/>
        <v>0</v>
      </c>
      <c r="E159" s="194">
        <v>31</v>
      </c>
      <c r="F159" s="194">
        <v>0</v>
      </c>
      <c r="G159" s="184">
        <f>'CDM Activity'!I91</f>
        <v>757573.01479586703</v>
      </c>
      <c r="H159" s="187">
        <v>44701</v>
      </c>
      <c r="I159" s="184">
        <v>140.51814071318793</v>
      </c>
      <c r="J159" s="194">
        <v>336</v>
      </c>
      <c r="K159" s="194">
        <f t="shared" si="54"/>
        <v>35500895.753907293</v>
      </c>
      <c r="L159" s="194"/>
      <c r="M159" s="37"/>
    </row>
    <row r="160" spans="1:13">
      <c r="A160" s="20">
        <v>40940</v>
      </c>
      <c r="B160" s="284">
        <v>29415795.669999786</v>
      </c>
      <c r="C160" s="194">
        <f t="shared" ref="C160:D160" si="62">C148</f>
        <v>875.5899999999998</v>
      </c>
      <c r="D160" s="194">
        <f t="shared" si="62"/>
        <v>0</v>
      </c>
      <c r="E160" s="194">
        <v>29</v>
      </c>
      <c r="F160" s="194">
        <v>0</v>
      </c>
      <c r="G160" s="184">
        <f>'CDM Activity'!I92</f>
        <v>738299.08255217574</v>
      </c>
      <c r="H160" s="187">
        <v>44705</v>
      </c>
      <c r="I160" s="184">
        <v>140.72719875093426</v>
      </c>
      <c r="J160" s="194">
        <v>320</v>
      </c>
      <c r="K160" s="194">
        <f t="shared" si="54"/>
        <v>32427412.090493221</v>
      </c>
      <c r="L160" s="194"/>
      <c r="M160" s="37"/>
    </row>
    <row r="161" spans="1:13">
      <c r="A161" s="20">
        <v>40969</v>
      </c>
      <c r="B161" s="284">
        <v>28020794.100000076</v>
      </c>
      <c r="C161" s="194">
        <f t="shared" ref="C161:D161" si="63">C149</f>
        <v>702.91</v>
      </c>
      <c r="D161" s="194">
        <f t="shared" si="63"/>
        <v>0</v>
      </c>
      <c r="E161" s="194">
        <v>31</v>
      </c>
      <c r="F161" s="194">
        <v>1</v>
      </c>
      <c r="G161" s="184">
        <f>'CDM Activity'!I93</f>
        <v>719025.15030848444</v>
      </c>
      <c r="H161" s="187">
        <v>44715</v>
      </c>
      <c r="I161" s="184">
        <v>140.9365678180105</v>
      </c>
      <c r="J161" s="194">
        <v>352</v>
      </c>
      <c r="K161" s="194">
        <f t="shared" si="54"/>
        <v>31180146.776332255</v>
      </c>
      <c r="L161" s="194"/>
      <c r="M161" s="37"/>
    </row>
    <row r="162" spans="1:13">
      <c r="A162" s="20">
        <v>41000</v>
      </c>
      <c r="B162" s="284">
        <v>24997873.08000005</v>
      </c>
      <c r="C162" s="194">
        <f t="shared" ref="C162:D162" si="64">C150</f>
        <v>450.5200000000001</v>
      </c>
      <c r="D162" s="194">
        <f t="shared" si="64"/>
        <v>0</v>
      </c>
      <c r="E162" s="194">
        <v>30</v>
      </c>
      <c r="F162" s="194">
        <v>1</v>
      </c>
      <c r="G162" s="184">
        <f>'CDM Activity'!I94</f>
        <v>699751.21806479315</v>
      </c>
      <c r="H162" s="187">
        <v>44680</v>
      </c>
      <c r="I162" s="184">
        <v>141.14624837715536</v>
      </c>
      <c r="J162" s="194">
        <v>320</v>
      </c>
      <c r="K162" s="194">
        <f t="shared" si="54"/>
        <v>26850119.913288604</v>
      </c>
      <c r="L162" s="194"/>
      <c r="M162" s="37"/>
    </row>
    <row r="163" spans="1:13">
      <c r="A163" s="20">
        <v>41030</v>
      </c>
      <c r="B163" s="284">
        <v>24359301.689999789</v>
      </c>
      <c r="C163" s="194">
        <f t="shared" ref="C163:D163" si="65">C151</f>
        <v>271.46000000000004</v>
      </c>
      <c r="D163" s="194">
        <f t="shared" si="65"/>
        <v>0.47000000000000003</v>
      </c>
      <c r="E163" s="194">
        <v>31</v>
      </c>
      <c r="F163" s="194">
        <v>1</v>
      </c>
      <c r="G163" s="184">
        <f>'CDM Activity'!I95</f>
        <v>680477.28582110186</v>
      </c>
      <c r="H163" s="187">
        <v>44589</v>
      </c>
      <c r="I163" s="184">
        <v>141.35624089179598</v>
      </c>
      <c r="J163" s="194">
        <v>352</v>
      </c>
      <c r="K163" s="194">
        <f t="shared" si="54"/>
        <v>25487308.390439358</v>
      </c>
      <c r="L163" s="194"/>
      <c r="M163" s="37"/>
    </row>
    <row r="164" spans="1:13">
      <c r="A164" s="20">
        <v>41061</v>
      </c>
      <c r="B164" s="284">
        <v>24710374.199999895</v>
      </c>
      <c r="C164" s="194">
        <f t="shared" ref="C164:D164" si="66">C152</f>
        <v>109.59</v>
      </c>
      <c r="D164" s="194">
        <f t="shared" si="66"/>
        <v>6.7</v>
      </c>
      <c r="E164" s="194">
        <v>30</v>
      </c>
      <c r="F164" s="194">
        <v>0</v>
      </c>
      <c r="G164" s="184">
        <f>'CDM Activity'!I96</f>
        <v>661203.35357741057</v>
      </c>
      <c r="H164" s="187">
        <v>44697</v>
      </c>
      <c r="I164" s="184">
        <v>141.56654582604895</v>
      </c>
      <c r="J164" s="194">
        <v>336</v>
      </c>
      <c r="K164" s="194">
        <f t="shared" si="54"/>
        <v>23574518.035959523</v>
      </c>
      <c r="L164" s="194"/>
      <c r="M164" s="37"/>
    </row>
    <row r="165" spans="1:13">
      <c r="A165" s="20">
        <v>41091</v>
      </c>
      <c r="B165" s="284">
        <v>26676003.260000024</v>
      </c>
      <c r="C165" s="194">
        <f t="shared" ref="C165:D165" si="67">C153</f>
        <v>36.33</v>
      </c>
      <c r="D165" s="194">
        <f t="shared" si="67"/>
        <v>40.369999999999997</v>
      </c>
      <c r="E165" s="194">
        <v>31</v>
      </c>
      <c r="F165" s="194">
        <v>0</v>
      </c>
      <c r="G165" s="184">
        <f>'CDM Activity'!I97</f>
        <v>641929.42133371928</v>
      </c>
      <c r="H165" s="187">
        <v>44693</v>
      </c>
      <c r="I165" s="184">
        <v>141.77716364472141</v>
      </c>
      <c r="J165" s="194">
        <v>336</v>
      </c>
      <c r="K165" s="194">
        <f t="shared" si="54"/>
        <v>25082823.432987075</v>
      </c>
      <c r="L165" s="194"/>
      <c r="M165" s="37"/>
    </row>
    <row r="166" spans="1:13">
      <c r="A166" s="20">
        <v>41122</v>
      </c>
      <c r="B166" s="284">
        <v>26201585.379999846</v>
      </c>
      <c r="C166" s="194">
        <f t="shared" ref="C166:D166" si="68">C154</f>
        <v>51.55</v>
      </c>
      <c r="D166" s="194">
        <f t="shared" si="68"/>
        <v>29.669999999999998</v>
      </c>
      <c r="E166" s="194">
        <v>31</v>
      </c>
      <c r="F166" s="194">
        <v>0</v>
      </c>
      <c r="G166" s="184">
        <f>'CDM Activity'!I98</f>
        <v>622655.48909002799</v>
      </c>
      <c r="H166" s="187">
        <v>44727</v>
      </c>
      <c r="I166" s="184">
        <v>141.98809481331199</v>
      </c>
      <c r="J166" s="194">
        <v>352</v>
      </c>
      <c r="K166" s="194">
        <f t="shared" si="54"/>
        <v>24853350.944959931</v>
      </c>
      <c r="L166" s="194"/>
      <c r="M166" s="37"/>
    </row>
    <row r="167" spans="1:13">
      <c r="A167" s="20">
        <v>41153</v>
      </c>
      <c r="B167" s="284">
        <v>24540374.200000215</v>
      </c>
      <c r="C167" s="194">
        <f t="shared" ref="C167:D167" si="69">C155</f>
        <v>176.97</v>
      </c>
      <c r="D167" s="194">
        <f t="shared" si="69"/>
        <v>5.05</v>
      </c>
      <c r="E167" s="194">
        <v>30</v>
      </c>
      <c r="F167" s="194">
        <v>1</v>
      </c>
      <c r="G167" s="184">
        <f>'CDM Activity'!I99</f>
        <v>603381.55684633669</v>
      </c>
      <c r="H167" s="187">
        <v>44764</v>
      </c>
      <c r="I167" s="184">
        <v>142.19933979801186</v>
      </c>
      <c r="J167" s="194">
        <v>304</v>
      </c>
      <c r="K167" s="194">
        <f t="shared" si="54"/>
        <v>23578603.75918274</v>
      </c>
      <c r="L167" s="194"/>
      <c r="M167" s="37"/>
    </row>
    <row r="168" spans="1:13">
      <c r="A168" s="20">
        <v>41183</v>
      </c>
      <c r="B168" s="284">
        <v>26589019.44000008</v>
      </c>
      <c r="C168" s="194">
        <f t="shared" ref="C168:D168" si="70">C156</f>
        <v>372.15</v>
      </c>
      <c r="D168" s="194">
        <f t="shared" si="70"/>
        <v>0.54</v>
      </c>
      <c r="E168" s="194">
        <v>31</v>
      </c>
      <c r="F168" s="194">
        <v>1</v>
      </c>
      <c r="G168" s="184">
        <f>'CDM Activity'!I100</f>
        <v>584107.6246026454</v>
      </c>
      <c r="H168" s="187">
        <v>44784</v>
      </c>
      <c r="I168" s="184">
        <v>142.41089906570582</v>
      </c>
      <c r="J168" s="194">
        <v>352</v>
      </c>
      <c r="K168" s="194">
        <f t="shared" si="54"/>
        <v>27014044.953416057</v>
      </c>
      <c r="L168" s="194"/>
      <c r="M168" s="37"/>
    </row>
    <row r="169" spans="1:13">
      <c r="A169" s="20">
        <v>41214</v>
      </c>
      <c r="B169" s="284">
        <v>28916497.10000005</v>
      </c>
      <c r="C169" s="194">
        <f t="shared" ref="C169:D169" si="71">C157</f>
        <v>567.61000000000013</v>
      </c>
      <c r="D169" s="194">
        <f t="shared" si="71"/>
        <v>0</v>
      </c>
      <c r="E169" s="194">
        <v>30</v>
      </c>
      <c r="F169" s="194">
        <v>1</v>
      </c>
      <c r="G169" s="184">
        <f>'CDM Activity'!I101</f>
        <v>564833.69235895411</v>
      </c>
      <c r="H169" s="187">
        <v>44871</v>
      </c>
      <c r="I169" s="184">
        <v>142.62277308397324</v>
      </c>
      <c r="J169" s="194">
        <v>352</v>
      </c>
      <c r="K169" s="194">
        <f t="shared" si="54"/>
        <v>28663235.196205094</v>
      </c>
      <c r="L169" s="194"/>
      <c r="M169" s="37"/>
    </row>
    <row r="170" spans="1:13">
      <c r="A170" s="20">
        <v>41244</v>
      </c>
      <c r="B170" s="284">
        <v>33312146.319999933</v>
      </c>
      <c r="C170" s="194">
        <f t="shared" ref="C170:D170" si="72">C158</f>
        <v>852.28999999999974</v>
      </c>
      <c r="D170" s="194">
        <f t="shared" si="72"/>
        <v>0</v>
      </c>
      <c r="E170" s="194">
        <v>31</v>
      </c>
      <c r="F170" s="194">
        <v>0</v>
      </c>
      <c r="G170" s="184">
        <f>'CDM Activity'!I102</f>
        <v>545559.76011526282</v>
      </c>
      <c r="H170" s="187">
        <v>44915</v>
      </c>
      <c r="I170" s="184">
        <v>142.83496232108919</v>
      </c>
      <c r="J170" s="194">
        <v>304</v>
      </c>
      <c r="K170" s="194">
        <f t="shared" si="54"/>
        <v>34426964.971096456</v>
      </c>
      <c r="L170" s="194"/>
      <c r="M170" s="37"/>
    </row>
    <row r="171" spans="1:13">
      <c r="A171" s="20">
        <v>41275</v>
      </c>
      <c r="B171" s="284">
        <v>35527330.339999676</v>
      </c>
      <c r="C171" s="194">
        <f t="shared" ref="C171:D171" si="73">C159</f>
        <v>960.98000000000013</v>
      </c>
      <c r="D171" s="194">
        <f t="shared" si="73"/>
        <v>0</v>
      </c>
      <c r="E171" s="194">
        <v>31</v>
      </c>
      <c r="F171" s="194">
        <v>0</v>
      </c>
      <c r="G171" s="184">
        <f>'CDM Activity'!I103</f>
        <v>567435.68696197809</v>
      </c>
      <c r="H171" s="187">
        <v>44923</v>
      </c>
      <c r="I171" s="184">
        <v>143.1291789570798</v>
      </c>
      <c r="J171" s="194">
        <v>352</v>
      </c>
      <c r="K171" s="194">
        <f t="shared" si="54"/>
        <v>35844303.700426735</v>
      </c>
      <c r="L171" s="194"/>
      <c r="M171" s="37"/>
    </row>
    <row r="172" spans="1:13">
      <c r="A172" s="20">
        <v>41306</v>
      </c>
      <c r="B172" s="284">
        <v>30889612.989999942</v>
      </c>
      <c r="C172" s="194">
        <f t="shared" ref="C172:D172" si="74">C160</f>
        <v>875.5899999999998</v>
      </c>
      <c r="D172" s="194">
        <f t="shared" si="74"/>
        <v>0</v>
      </c>
      <c r="E172" s="194">
        <v>28</v>
      </c>
      <c r="F172" s="194">
        <v>0</v>
      </c>
      <c r="G172" s="184">
        <f>'CDM Activity'!I104</f>
        <v>589311.61380869336</v>
      </c>
      <c r="H172" s="187">
        <v>44915</v>
      </c>
      <c r="I172" s="184">
        <v>143.42400163116841</v>
      </c>
      <c r="J172" s="194">
        <v>304</v>
      </c>
      <c r="K172" s="194">
        <f t="shared" si="54"/>
        <v>31714623.158096574</v>
      </c>
      <c r="L172" s="194"/>
      <c r="M172" s="37"/>
    </row>
    <row r="173" spans="1:13">
      <c r="A173" s="20">
        <v>41334</v>
      </c>
      <c r="B173" s="284">
        <v>30782617.299999747</v>
      </c>
      <c r="C173" s="194">
        <f t="shared" ref="C173:D173" si="75">C161</f>
        <v>702.91</v>
      </c>
      <c r="D173" s="194">
        <f t="shared" si="75"/>
        <v>0</v>
      </c>
      <c r="E173" s="194">
        <v>31</v>
      </c>
      <c r="F173" s="194">
        <v>1</v>
      </c>
      <c r="G173" s="184">
        <f>'CDM Activity'!I105</f>
        <v>611187.54065540864</v>
      </c>
      <c r="H173" s="187">
        <v>44918</v>
      </c>
      <c r="I173" s="184">
        <v>143.71943159169427</v>
      </c>
      <c r="J173" s="194">
        <v>320</v>
      </c>
      <c r="K173" s="194">
        <f t="shared" si="54"/>
        <v>31374912.804183878</v>
      </c>
      <c r="L173" s="194"/>
      <c r="M173" s="37"/>
    </row>
    <row r="174" spans="1:13">
      <c r="A174" s="20">
        <v>41365</v>
      </c>
      <c r="B174" s="284">
        <v>26800317.319999933</v>
      </c>
      <c r="C174" s="194">
        <f t="shared" ref="C174:D174" si="76">C162</f>
        <v>450.5200000000001</v>
      </c>
      <c r="D174" s="194">
        <f t="shared" si="76"/>
        <v>0</v>
      </c>
      <c r="E174" s="194">
        <v>30</v>
      </c>
      <c r="F174" s="194">
        <v>1</v>
      </c>
      <c r="G174" s="184">
        <f>'CDM Activity'!I106</f>
        <v>633063.46750212391</v>
      </c>
      <c r="H174" s="187">
        <v>44876</v>
      </c>
      <c r="I174" s="184">
        <v>144.01547008956803</v>
      </c>
      <c r="J174" s="194">
        <v>352</v>
      </c>
      <c r="K174" s="194">
        <f t="shared" si="54"/>
        <v>26970564.981806315</v>
      </c>
      <c r="L174" s="194"/>
      <c r="M174" s="37"/>
    </row>
    <row r="175" spans="1:13">
      <c r="A175" s="20">
        <v>41395</v>
      </c>
      <c r="B175" s="284">
        <v>24986643.508349925</v>
      </c>
      <c r="C175" s="194">
        <f t="shared" ref="C175:D175" si="77">C163</f>
        <v>271.46000000000004</v>
      </c>
      <c r="D175" s="194">
        <f t="shared" si="77"/>
        <v>0.47000000000000003</v>
      </c>
      <c r="E175" s="194">
        <v>31</v>
      </c>
      <c r="F175" s="194">
        <v>1</v>
      </c>
      <c r="G175" s="184">
        <f>'CDM Activity'!I107</f>
        <v>654939.39434883918</v>
      </c>
      <c r="H175" s="187">
        <v>44874</v>
      </c>
      <c r="I175" s="184">
        <v>144.31211837827698</v>
      </c>
      <c r="J175" s="194">
        <v>352</v>
      </c>
      <c r="K175" s="194">
        <f t="shared" si="54"/>
        <v>25533432.499623157</v>
      </c>
      <c r="L175" s="194"/>
      <c r="M175" s="37"/>
    </row>
    <row r="176" spans="1:13">
      <c r="A176" s="20">
        <v>41426</v>
      </c>
      <c r="B176" s="284">
        <v>23287804.425449979</v>
      </c>
      <c r="C176" s="194">
        <f t="shared" ref="C176:D176" si="78">C164</f>
        <v>109.59</v>
      </c>
      <c r="D176" s="194">
        <f t="shared" si="78"/>
        <v>6.7</v>
      </c>
      <c r="E176" s="194">
        <v>30</v>
      </c>
      <c r="F176" s="194">
        <v>0</v>
      </c>
      <c r="G176" s="184">
        <f>'CDM Activity'!I108</f>
        <v>676815.32119555445</v>
      </c>
      <c r="H176" s="187">
        <v>44881</v>
      </c>
      <c r="I176" s="184">
        <v>144.60937771389038</v>
      </c>
      <c r="J176" s="194">
        <v>320</v>
      </c>
      <c r="K176" s="194">
        <f t="shared" si="54"/>
        <v>23546321.185809411</v>
      </c>
      <c r="L176" s="194"/>
      <c r="M176" s="37"/>
    </row>
    <row r="177" spans="1:13">
      <c r="A177" s="20">
        <v>41456</v>
      </c>
      <c r="B177" s="284">
        <v>24573362.894389432</v>
      </c>
      <c r="C177" s="194">
        <f t="shared" ref="C177:D177" si="79">C165</f>
        <v>36.33</v>
      </c>
      <c r="D177" s="194">
        <f t="shared" si="79"/>
        <v>40.369999999999997</v>
      </c>
      <c r="E177" s="194">
        <v>31</v>
      </c>
      <c r="F177" s="194">
        <v>0</v>
      </c>
      <c r="G177" s="184">
        <f>'CDM Activity'!I109</f>
        <v>698691.24804226973</v>
      </c>
      <c r="H177" s="187">
        <v>44900</v>
      </c>
      <c r="I177" s="184">
        <v>144.90724935506483</v>
      </c>
      <c r="J177" s="194">
        <v>352</v>
      </c>
      <c r="K177" s="194">
        <f t="shared" si="54"/>
        <v>24980305.623503052</v>
      </c>
      <c r="L177" s="194"/>
      <c r="M177" s="37"/>
    </row>
    <row r="178" spans="1:13">
      <c r="A178" s="20">
        <v>41487</v>
      </c>
      <c r="B178" s="284">
        <v>24947123.430989914</v>
      </c>
      <c r="C178" s="194">
        <f t="shared" ref="C178:D178" si="80">C166</f>
        <v>51.55</v>
      </c>
      <c r="D178" s="194">
        <f t="shared" si="80"/>
        <v>29.669999999999998</v>
      </c>
      <c r="E178" s="194">
        <v>31</v>
      </c>
      <c r="F178" s="194">
        <v>0</v>
      </c>
      <c r="G178" s="184">
        <f>'CDM Activity'!I110</f>
        <v>720567.174888985</v>
      </c>
      <c r="H178" s="187">
        <v>44933</v>
      </c>
      <c r="I178" s="184">
        <v>145.20573456304953</v>
      </c>
      <c r="J178" s="194">
        <v>336</v>
      </c>
      <c r="K178" s="194">
        <f t="shared" si="54"/>
        <v>24676512.176141996</v>
      </c>
      <c r="L178" s="194"/>
      <c r="M178" s="37"/>
    </row>
    <row r="179" spans="1:13">
      <c r="A179" s="20">
        <v>41518</v>
      </c>
      <c r="B179" s="284">
        <v>24308811.02900004</v>
      </c>
      <c r="C179" s="194">
        <f t="shared" ref="C179:D179" si="81">C167</f>
        <v>176.97</v>
      </c>
      <c r="D179" s="194">
        <f t="shared" si="81"/>
        <v>5.05</v>
      </c>
      <c r="E179" s="194">
        <v>30</v>
      </c>
      <c r="F179" s="194">
        <v>1</v>
      </c>
      <c r="G179" s="184">
        <f>'CDM Activity'!I111</f>
        <v>742443.10173570027</v>
      </c>
      <c r="H179" s="187">
        <v>44955</v>
      </c>
      <c r="I179" s="184">
        <v>145.50483460169167</v>
      </c>
      <c r="J179" s="194">
        <v>320</v>
      </c>
      <c r="K179" s="194">
        <f t="shared" si="54"/>
        <v>23327444.031030893</v>
      </c>
      <c r="L179" s="194"/>
      <c r="M179" s="37"/>
    </row>
    <row r="180" spans="1:13">
      <c r="A180" s="20">
        <v>41548</v>
      </c>
      <c r="B180" s="284">
        <v>26948256.942999907</v>
      </c>
      <c r="C180" s="194">
        <f t="shared" ref="C180:D180" si="82">C168</f>
        <v>372.15</v>
      </c>
      <c r="D180" s="194">
        <f t="shared" si="82"/>
        <v>0.54</v>
      </c>
      <c r="E180" s="194">
        <v>31</v>
      </c>
      <c r="F180" s="194">
        <v>1</v>
      </c>
      <c r="G180" s="184">
        <f>'CDM Activity'!I112</f>
        <v>764319.02858241554</v>
      </c>
      <c r="H180" s="187">
        <v>44993</v>
      </c>
      <c r="I180" s="184">
        <v>145.8045507374417</v>
      </c>
      <c r="J180" s="194">
        <v>352</v>
      </c>
      <c r="K180" s="194">
        <f t="shared" si="54"/>
        <v>26688564.265930299</v>
      </c>
      <c r="L180" s="194"/>
      <c r="M180" s="37"/>
    </row>
    <row r="181" spans="1:13">
      <c r="A181" s="20">
        <v>41579</v>
      </c>
      <c r="B181" s="284">
        <v>31135195.451000102</v>
      </c>
      <c r="C181" s="194">
        <f t="shared" ref="C181:D181" si="83">C169</f>
        <v>567.61000000000013</v>
      </c>
      <c r="D181" s="194">
        <f t="shared" si="83"/>
        <v>0</v>
      </c>
      <c r="E181" s="194">
        <v>30</v>
      </c>
      <c r="F181" s="194">
        <v>1</v>
      </c>
      <c r="G181" s="184">
        <f>'CDM Activity'!I113</f>
        <v>786194.95542913082</v>
      </c>
      <c r="H181" s="187">
        <v>45062</v>
      </c>
      <c r="I181" s="184">
        <v>146.1048842393588</v>
      </c>
      <c r="J181" s="194">
        <v>336</v>
      </c>
      <c r="K181" s="194">
        <f t="shared" si="54"/>
        <v>28263433.549385425</v>
      </c>
      <c r="L181" s="194"/>
      <c r="M181" s="37"/>
    </row>
    <row r="182" spans="1:13">
      <c r="A182" s="20">
        <v>41609</v>
      </c>
      <c r="B182" s="284">
        <v>36848813.003099665</v>
      </c>
      <c r="C182" s="194">
        <f t="shared" ref="C182:D182" si="84">C170</f>
        <v>852.28999999999974</v>
      </c>
      <c r="D182" s="194">
        <f t="shared" si="84"/>
        <v>0</v>
      </c>
      <c r="E182" s="194">
        <v>31</v>
      </c>
      <c r="F182" s="194">
        <v>0</v>
      </c>
      <c r="G182" s="184">
        <f>'CDM Activity'!I114</f>
        <v>808070.88227584609</v>
      </c>
      <c r="H182" s="187">
        <v>45079</v>
      </c>
      <c r="I182" s="184">
        <v>146.40583637911641</v>
      </c>
      <c r="J182" s="194">
        <v>320</v>
      </c>
      <c r="K182" s="194">
        <f t="shared" si="54"/>
        <v>33952842.364942871</v>
      </c>
      <c r="L182" s="194"/>
      <c r="M182" s="37"/>
    </row>
    <row r="183" spans="1:13">
      <c r="A183" s="20">
        <v>41640</v>
      </c>
      <c r="B183" s="284">
        <v>38922016.556109458</v>
      </c>
      <c r="C183" s="194">
        <f t="shared" ref="C183:D183" si="85">C171</f>
        <v>960.98000000000013</v>
      </c>
      <c r="D183" s="194">
        <f t="shared" si="85"/>
        <v>0</v>
      </c>
      <c r="E183" s="184">
        <v>31</v>
      </c>
      <c r="F183" s="194">
        <v>0</v>
      </c>
      <c r="G183" s="184">
        <f>'CDM Activity'!I115</f>
        <v>792996.7370670574</v>
      </c>
      <c r="H183" s="187">
        <v>45081</v>
      </c>
      <c r="I183" s="184"/>
      <c r="J183" s="197"/>
      <c r="K183" s="194">
        <f t="shared" si="54"/>
        <v>35436916.797950506</v>
      </c>
      <c r="L183" s="194"/>
      <c r="M183" s="37"/>
    </row>
    <row r="184" spans="1:13">
      <c r="A184" s="20">
        <v>41671</v>
      </c>
      <c r="B184" s="284">
        <v>32993369.868999798</v>
      </c>
      <c r="C184" s="194">
        <f t="shared" ref="C184:D184" si="86">C172</f>
        <v>875.5899999999998</v>
      </c>
      <c r="D184" s="194">
        <f t="shared" si="86"/>
        <v>0</v>
      </c>
      <c r="E184" s="184">
        <v>28</v>
      </c>
      <c r="F184" s="194">
        <v>0</v>
      </c>
      <c r="G184" s="184">
        <f>'CDM Activity'!I116</f>
        <v>777922.59185826872</v>
      </c>
      <c r="H184" s="187">
        <v>45092</v>
      </c>
      <c r="I184" s="184"/>
      <c r="J184" s="197"/>
      <c r="K184" s="194">
        <f t="shared" si="54"/>
        <v>31373971.959297698</v>
      </c>
      <c r="L184" s="194"/>
      <c r="M184" s="37"/>
    </row>
    <row r="185" spans="1:13">
      <c r="A185" s="20">
        <v>41699</v>
      </c>
      <c r="B185" s="284">
        <v>32244957.139890101</v>
      </c>
      <c r="C185" s="194">
        <f t="shared" ref="C185:D185" si="87">C173</f>
        <v>702.91</v>
      </c>
      <c r="D185" s="194">
        <f t="shared" si="87"/>
        <v>0</v>
      </c>
      <c r="E185" s="184">
        <v>31</v>
      </c>
      <c r="F185" s="194">
        <v>1</v>
      </c>
      <c r="G185" s="184">
        <f>'CDM Activity'!I117</f>
        <v>762848.44664948003</v>
      </c>
      <c r="H185" s="187">
        <v>45098</v>
      </c>
      <c r="I185" s="184"/>
      <c r="J185" s="197"/>
      <c r="K185" s="194">
        <f t="shared" si="54"/>
        <v>31100997.309062354</v>
      </c>
      <c r="L185" s="194"/>
      <c r="M185" s="37"/>
    </row>
    <row r="186" spans="1:13">
      <c r="A186" s="20">
        <v>41730</v>
      </c>
      <c r="B186" s="284">
        <v>27204303.46900025</v>
      </c>
      <c r="C186" s="194">
        <f t="shared" ref="C186:D186" si="88">C174</f>
        <v>450.5200000000001</v>
      </c>
      <c r="D186" s="194">
        <f t="shared" si="88"/>
        <v>0</v>
      </c>
      <c r="E186" s="184">
        <v>30</v>
      </c>
      <c r="F186" s="194">
        <v>1</v>
      </c>
      <c r="G186" s="184">
        <f>'CDM Activity'!I118</f>
        <v>747774.30144069134</v>
      </c>
      <c r="H186" s="187">
        <v>45080</v>
      </c>
      <c r="I186" s="184"/>
      <c r="J186" s="197"/>
      <c r="K186" s="194">
        <f t="shared" si="54"/>
        <v>26763385.190362148</v>
      </c>
      <c r="L186" s="194"/>
      <c r="M186" s="37"/>
    </row>
    <row r="187" spans="1:13">
      <c r="A187" s="20">
        <v>41760</v>
      </c>
      <c r="B187" s="284">
        <v>24728780.316999894</v>
      </c>
      <c r="C187" s="194">
        <f t="shared" ref="C187:D187" si="89">C175</f>
        <v>271.46000000000004</v>
      </c>
      <c r="D187" s="194">
        <f t="shared" si="89"/>
        <v>0.47000000000000003</v>
      </c>
      <c r="E187" s="184">
        <v>31</v>
      </c>
      <c r="F187" s="194">
        <v>1</v>
      </c>
      <c r="G187" s="184">
        <f>'CDM Activity'!I119</f>
        <v>732700.15623190266</v>
      </c>
      <c r="H187" s="187">
        <v>45067.5</v>
      </c>
      <c r="I187" s="184"/>
      <c r="J187" s="197"/>
      <c r="K187" s="194">
        <f t="shared" si="54"/>
        <v>25392988.411856342</v>
      </c>
      <c r="L187" s="194"/>
      <c r="M187" s="37"/>
    </row>
    <row r="188" spans="1:13">
      <c r="A188" s="20">
        <v>41791</v>
      </c>
      <c r="B188" s="284">
        <v>22654738.925000042</v>
      </c>
      <c r="C188" s="194">
        <f t="shared" ref="C188:D188" si="90">C176</f>
        <v>109.59</v>
      </c>
      <c r="D188" s="194">
        <f t="shared" si="90"/>
        <v>6.7</v>
      </c>
      <c r="E188" s="184">
        <v>30</v>
      </c>
      <c r="F188" s="194">
        <v>0</v>
      </c>
      <c r="G188" s="184">
        <f>'CDM Activity'!I120</f>
        <v>717626.01102311397</v>
      </c>
      <c r="H188" s="187">
        <v>45067.25</v>
      </c>
      <c r="I188" s="184"/>
      <c r="J188" s="197"/>
      <c r="K188" s="194">
        <f t="shared" si="54"/>
        <v>23472612.801719949</v>
      </c>
      <c r="L188" s="194"/>
      <c r="M188" s="37"/>
    </row>
    <row r="189" spans="1:13">
      <c r="A189" s="20">
        <v>41821</v>
      </c>
      <c r="B189" s="284">
        <v>23503977.621029828</v>
      </c>
      <c r="C189" s="194">
        <f t="shared" ref="C189:D189" si="91">C177</f>
        <v>36.33</v>
      </c>
      <c r="D189" s="194">
        <f t="shared" si="91"/>
        <v>40.369999999999997</v>
      </c>
      <c r="E189" s="184">
        <v>31</v>
      </c>
      <c r="F189" s="194">
        <v>0</v>
      </c>
      <c r="G189" s="184">
        <f>'CDM Activity'!I121</f>
        <v>702551.86581432528</v>
      </c>
      <c r="H189" s="187">
        <v>45053.125</v>
      </c>
      <c r="I189" s="184"/>
      <c r="J189" s="197"/>
      <c r="K189" s="194">
        <f t="shared" si="54"/>
        <v>24973332.943090942</v>
      </c>
      <c r="L189" s="194"/>
      <c r="M189" s="37"/>
    </row>
    <row r="190" spans="1:13">
      <c r="A190" s="20">
        <v>41852</v>
      </c>
      <c r="B190" s="284">
        <v>23764110.289000064</v>
      </c>
      <c r="C190" s="194">
        <f t="shared" ref="C190:D190" si="92">C178</f>
        <v>51.55</v>
      </c>
      <c r="D190" s="194">
        <f t="shared" si="92"/>
        <v>29.669999999999998</v>
      </c>
      <c r="E190" s="184">
        <v>31</v>
      </c>
      <c r="F190" s="194">
        <v>0</v>
      </c>
      <c r="G190" s="184">
        <f>'CDM Activity'!I122</f>
        <v>687477.7206055366</v>
      </c>
      <c r="H190" s="187">
        <v>45066.0625</v>
      </c>
      <c r="I190" s="184"/>
      <c r="J190" s="197"/>
      <c r="K190" s="194">
        <f t="shared" si="54"/>
        <v>24736275.199407242</v>
      </c>
      <c r="L190" s="194"/>
      <c r="M190" s="37"/>
    </row>
    <row r="191" spans="1:13">
      <c r="A191" s="20">
        <v>41883</v>
      </c>
      <c r="B191" s="284">
        <v>23696270.525999971</v>
      </c>
      <c r="C191" s="194">
        <f t="shared" ref="C191:D191" si="93">C179</f>
        <v>176.97</v>
      </c>
      <c r="D191" s="194">
        <f t="shared" si="93"/>
        <v>5.05</v>
      </c>
      <c r="E191" s="184">
        <v>30</v>
      </c>
      <c r="F191" s="194">
        <v>1</v>
      </c>
      <c r="G191" s="184">
        <f>'CDM Activity'!I123</f>
        <v>672403.57539674791</v>
      </c>
      <c r="H191" s="187">
        <v>45097.03125</v>
      </c>
      <c r="I191" s="184"/>
      <c r="J191" s="197"/>
      <c r="K191" s="194">
        <f t="shared" si="54"/>
        <v>23453942.757973492</v>
      </c>
      <c r="L191" s="194"/>
      <c r="M191" s="37"/>
    </row>
    <row r="192" spans="1:13">
      <c r="A192" s="20">
        <v>41913</v>
      </c>
      <c r="B192" s="284">
        <v>26444465.620999623</v>
      </c>
      <c r="C192" s="194">
        <f t="shared" ref="C192:D192" si="94">C180</f>
        <v>372.15</v>
      </c>
      <c r="D192" s="194">
        <f t="shared" si="94"/>
        <v>0.54</v>
      </c>
      <c r="E192" s="184">
        <v>31</v>
      </c>
      <c r="F192" s="194">
        <v>1</v>
      </c>
      <c r="G192" s="184">
        <f>'CDM Activity'!I124</f>
        <v>657329.43018795922</v>
      </c>
      <c r="H192" s="187">
        <v>45138.015625</v>
      </c>
      <c r="I192" s="184"/>
      <c r="J192" s="197"/>
      <c r="K192" s="194">
        <f t="shared" si="54"/>
        <v>26881798.69655025</v>
      </c>
      <c r="L192" s="194"/>
      <c r="M192" s="37"/>
    </row>
    <row r="193" spans="1:13">
      <c r="A193" s="20">
        <v>41944</v>
      </c>
      <c r="B193" s="284">
        <v>29676769.037999768</v>
      </c>
      <c r="C193" s="194">
        <f t="shared" ref="C193:D193" si="95">C181</f>
        <v>567.61000000000013</v>
      </c>
      <c r="D193" s="194">
        <f t="shared" si="95"/>
        <v>0</v>
      </c>
      <c r="E193" s="184">
        <v>30</v>
      </c>
      <c r="F193" s="194">
        <v>1</v>
      </c>
      <c r="G193" s="184">
        <f>'CDM Activity'!I125</f>
        <v>642255.28497917054</v>
      </c>
      <c r="H193" s="187">
        <v>45196.5078125</v>
      </c>
      <c r="I193" s="184"/>
      <c r="J193" s="197"/>
      <c r="K193" s="194">
        <f t="shared" si="54"/>
        <v>28523403.683682729</v>
      </c>
      <c r="L193" s="194"/>
      <c r="M193" s="37"/>
    </row>
    <row r="194" spans="1:13">
      <c r="A194" s="20">
        <v>41974</v>
      </c>
      <c r="B194" s="284">
        <v>34191036.516999617</v>
      </c>
      <c r="C194" s="194">
        <f t="shared" ref="C194:D194" si="96">C182</f>
        <v>852.28999999999974</v>
      </c>
      <c r="D194" s="194">
        <f t="shared" si="96"/>
        <v>0</v>
      </c>
      <c r="E194" s="184">
        <v>31</v>
      </c>
      <c r="F194" s="194">
        <v>0</v>
      </c>
      <c r="G194" s="184">
        <f>'CDM Activity'!I126</f>
        <v>627181.13977038185</v>
      </c>
      <c r="H194" s="187">
        <v>45238.75390625</v>
      </c>
      <c r="I194" s="184"/>
      <c r="J194" s="197"/>
      <c r="K194" s="194">
        <f t="shared" si="54"/>
        <v>34279548.202917531</v>
      </c>
      <c r="L194" s="194"/>
      <c r="M194" s="37"/>
    </row>
    <row r="195" spans="1:13">
      <c r="A195" s="20">
        <v>42005</v>
      </c>
      <c r="B195" s="284">
        <v>36508095.939999245</v>
      </c>
      <c r="C195" s="194">
        <f t="shared" ref="C195:D195" si="97">C183</f>
        <v>960.98000000000013</v>
      </c>
      <c r="D195" s="194">
        <f t="shared" si="97"/>
        <v>0</v>
      </c>
      <c r="E195" s="184">
        <v>31</v>
      </c>
      <c r="F195" s="194">
        <v>0</v>
      </c>
      <c r="G195" s="184">
        <f>'CDM Activity'!I127</f>
        <v>638329.86899495102</v>
      </c>
      <c r="H195" s="187">
        <v>45257.876953125</v>
      </c>
      <c r="I195" s="184"/>
      <c r="J195" s="197"/>
      <c r="K195" s="194">
        <f t="shared" si="54"/>
        <v>35716261.375705585</v>
      </c>
      <c r="L195" s="194"/>
      <c r="M195" s="37"/>
    </row>
    <row r="196" spans="1:13">
      <c r="A196" s="20">
        <v>42036</v>
      </c>
      <c r="B196" s="284">
        <v>31660210.639999628</v>
      </c>
      <c r="C196" s="194">
        <f t="shared" ref="C196:D196" si="98">C184</f>
        <v>875.5899999999998</v>
      </c>
      <c r="D196" s="194">
        <f t="shared" si="98"/>
        <v>0</v>
      </c>
      <c r="E196" s="184">
        <v>28</v>
      </c>
      <c r="F196" s="194">
        <v>0</v>
      </c>
      <c r="G196" s="184">
        <f>'CDM Activity'!I128</f>
        <v>649478.59821952018</v>
      </c>
      <c r="H196" s="187">
        <v>45271.4384765625</v>
      </c>
      <c r="I196" s="184"/>
      <c r="J196" s="197"/>
      <c r="K196" s="194">
        <f t="shared" si="54"/>
        <v>31605955.276833192</v>
      </c>
      <c r="L196" s="194"/>
      <c r="M196" s="37"/>
    </row>
    <row r="197" spans="1:13">
      <c r="A197" s="20">
        <v>42064</v>
      </c>
      <c r="B197" s="284">
        <v>30744805.542999852</v>
      </c>
      <c r="C197" s="194">
        <f t="shared" ref="C197:D197" si="99">C185</f>
        <v>702.91</v>
      </c>
      <c r="D197" s="194">
        <f t="shared" si="99"/>
        <v>0</v>
      </c>
      <c r="E197" s="184">
        <v>31</v>
      </c>
      <c r="F197" s="194">
        <v>1</v>
      </c>
      <c r="G197" s="184">
        <f>'CDM Activity'!I129</f>
        <v>660627.32744408934</v>
      </c>
      <c r="H197" s="187">
        <v>45270.21923828125</v>
      </c>
      <c r="I197" s="184"/>
      <c r="J197" s="197"/>
      <c r="K197" s="194">
        <f t="shared" si="54"/>
        <v>31285619.36637827</v>
      </c>
      <c r="L197" s="194"/>
      <c r="M197" s="37"/>
    </row>
    <row r="198" spans="1:13">
      <c r="A198" s="20">
        <v>42095</v>
      </c>
      <c r="B198" s="284">
        <v>25623800.388999961</v>
      </c>
      <c r="C198" s="194">
        <f t="shared" ref="C198:D198" si="100">C186</f>
        <v>450.5200000000001</v>
      </c>
      <c r="D198" s="194">
        <f t="shared" si="100"/>
        <v>0</v>
      </c>
      <c r="E198" s="184">
        <v>30</v>
      </c>
      <c r="F198" s="194">
        <v>1</v>
      </c>
      <c r="G198" s="184">
        <f>'CDM Activity'!I130</f>
        <v>671776.05666865851</v>
      </c>
      <c r="H198" s="187">
        <v>45248.609619140625</v>
      </c>
      <c r="I198" s="184"/>
      <c r="J198" s="197"/>
      <c r="K198" s="194">
        <f t="shared" si="54"/>
        <v>26900645.987458479</v>
      </c>
      <c r="L198" s="194"/>
      <c r="M198" s="37"/>
    </row>
    <row r="199" spans="1:13">
      <c r="A199" s="20">
        <v>42125</v>
      </c>
      <c r="B199" s="284">
        <v>23579601.63399975</v>
      </c>
      <c r="C199" s="194">
        <f t="shared" ref="C199:D199" si="101">C187</f>
        <v>271.46000000000004</v>
      </c>
      <c r="D199" s="194">
        <f t="shared" si="101"/>
        <v>0.47000000000000003</v>
      </c>
      <c r="E199" s="184">
        <v>31</v>
      </c>
      <c r="F199" s="194">
        <v>1</v>
      </c>
      <c r="G199" s="184">
        <f>'CDM Activity'!I131</f>
        <v>682924.78589322767</v>
      </c>
      <c r="H199" s="187">
        <v>45240.304809570313</v>
      </c>
      <c r="I199" s="184"/>
      <c r="J199" s="197"/>
      <c r="K199" s="194">
        <f t="shared" si="54"/>
        <v>25482887.948733091</v>
      </c>
      <c r="L199" s="194"/>
      <c r="M199" s="37"/>
    </row>
    <row r="200" spans="1:13">
      <c r="A200" s="20">
        <v>42156</v>
      </c>
      <c r="B200" s="284">
        <v>22175635.396999881</v>
      </c>
      <c r="C200" s="194">
        <f t="shared" ref="C200:D200" si="102">C188</f>
        <v>109.59</v>
      </c>
      <c r="D200" s="194">
        <f t="shared" si="102"/>
        <v>6.7</v>
      </c>
      <c r="E200" s="184">
        <v>30</v>
      </c>
      <c r="F200" s="194">
        <v>0</v>
      </c>
      <c r="G200" s="184">
        <f>'CDM Activity'!I132</f>
        <v>694073.51511779684</v>
      </c>
      <c r="H200" s="187">
        <v>45233.152404785156</v>
      </c>
      <c r="I200" s="184"/>
      <c r="J200" s="197"/>
      <c r="K200" s="194">
        <f t="shared" si="54"/>
        <v>23515151.078377116</v>
      </c>
      <c r="L200" s="194"/>
      <c r="M200" s="37"/>
    </row>
    <row r="201" spans="1:13">
      <c r="A201" s="20">
        <v>42186</v>
      </c>
      <c r="B201" s="284">
        <v>23881661.082999926</v>
      </c>
      <c r="C201" s="194">
        <f t="shared" ref="C201:D201" si="103">C189</f>
        <v>36.33</v>
      </c>
      <c r="D201" s="194">
        <f t="shared" si="103"/>
        <v>40.369999999999997</v>
      </c>
      <c r="E201" s="184">
        <v>31</v>
      </c>
      <c r="F201" s="194">
        <v>0</v>
      </c>
      <c r="G201" s="184">
        <f>'CDM Activity'!I133</f>
        <v>705222.244342366</v>
      </c>
      <c r="H201" s="187">
        <v>45228.576202392578</v>
      </c>
      <c r="I201" s="184"/>
      <c r="J201" s="197"/>
      <c r="K201" s="194">
        <f t="shared" si="54"/>
        <v>24968509.959528528</v>
      </c>
      <c r="L201" s="194"/>
      <c r="M201" s="37"/>
    </row>
    <row r="202" spans="1:13">
      <c r="A202" s="20">
        <v>42217</v>
      </c>
      <c r="B202" s="284">
        <v>24372893.72900008</v>
      </c>
      <c r="C202" s="194">
        <f t="shared" ref="C202:D202" si="104">C190</f>
        <v>51.55</v>
      </c>
      <c r="D202" s="194">
        <f t="shared" si="104"/>
        <v>29.669999999999998</v>
      </c>
      <c r="E202" s="184">
        <v>31</v>
      </c>
      <c r="F202" s="194">
        <v>0</v>
      </c>
      <c r="G202" s="184">
        <f>'CDM Activity'!I134</f>
        <v>716370.97356693516</v>
      </c>
      <c r="H202" s="187">
        <v>45233.288101196289</v>
      </c>
      <c r="I202" s="184"/>
      <c r="J202" s="197"/>
      <c r="K202" s="194">
        <f t="shared" si="54"/>
        <v>24684090.955625247</v>
      </c>
      <c r="L202" s="194"/>
      <c r="M202" s="37"/>
    </row>
    <row r="203" spans="1:13">
      <c r="A203" s="20">
        <v>42248</v>
      </c>
      <c r="B203" s="284">
        <v>23562673.682000015</v>
      </c>
      <c r="C203" s="194">
        <f t="shared" ref="C203:D203" si="105">C191</f>
        <v>176.97</v>
      </c>
      <c r="D203" s="194">
        <f t="shared" si="105"/>
        <v>5.05</v>
      </c>
      <c r="E203" s="184">
        <v>30</v>
      </c>
      <c r="F203" s="194">
        <v>1</v>
      </c>
      <c r="G203" s="184">
        <f>'CDM Activity'!I135</f>
        <v>727519.70279150433</v>
      </c>
      <c r="H203" s="187">
        <v>45265.144050598145</v>
      </c>
      <c r="I203" s="184"/>
      <c r="J203" s="197"/>
      <c r="K203" s="194">
        <f t="shared" si="54"/>
        <v>23354397.253971916</v>
      </c>
      <c r="L203" s="194"/>
      <c r="M203" s="37"/>
    </row>
    <row r="204" spans="1:13">
      <c r="A204" s="20">
        <v>42278</v>
      </c>
      <c r="B204" s="284">
        <v>24999074.480999615</v>
      </c>
      <c r="C204" s="194">
        <f t="shared" ref="C204:D204" si="106">C192</f>
        <v>372.15</v>
      </c>
      <c r="D204" s="194">
        <f t="shared" si="106"/>
        <v>0.54</v>
      </c>
      <c r="E204" s="184">
        <v>31</v>
      </c>
      <c r="F204" s="194">
        <v>1</v>
      </c>
      <c r="G204" s="184">
        <f>'CDM Activity'!I136</f>
        <v>738668.43201607349</v>
      </c>
      <c r="H204" s="187">
        <v>45305.572025299072</v>
      </c>
      <c r="I204" s="184"/>
      <c r="J204" s="197"/>
      <c r="K204" s="194">
        <f t="shared" si="54"/>
        <v>26734891.932329088</v>
      </c>
      <c r="L204" s="194"/>
      <c r="M204" s="37"/>
    </row>
    <row r="205" spans="1:13">
      <c r="A205" s="20">
        <v>42309</v>
      </c>
      <c r="B205" s="284">
        <v>26870909.26699993</v>
      </c>
      <c r="C205" s="194">
        <f t="shared" ref="C205:D205" si="107">C193</f>
        <v>567.61000000000013</v>
      </c>
      <c r="D205" s="194">
        <f t="shared" si="107"/>
        <v>0</v>
      </c>
      <c r="E205" s="184">
        <v>30</v>
      </c>
      <c r="F205" s="194">
        <v>1</v>
      </c>
      <c r="G205" s="184">
        <f>'CDM Activity'!I137</f>
        <v>749817.16124064266</v>
      </c>
      <c r="H205" s="187">
        <v>45342.286012649536</v>
      </c>
      <c r="I205" s="184"/>
      <c r="J205" s="197"/>
      <c r="K205" s="194">
        <f t="shared" si="54"/>
        <v>28329135.659241989</v>
      </c>
      <c r="L205" s="194"/>
      <c r="M205" s="37"/>
    </row>
    <row r="206" spans="1:13">
      <c r="A206" s="20">
        <v>42339</v>
      </c>
      <c r="B206" s="284">
        <v>30693907.412000064</v>
      </c>
      <c r="C206" s="194">
        <f t="shared" ref="C206:D206" si="108">C194</f>
        <v>852.28999999999974</v>
      </c>
      <c r="D206" s="194">
        <f t="shared" si="108"/>
        <v>0</v>
      </c>
      <c r="E206" s="184">
        <v>31</v>
      </c>
      <c r="F206" s="194">
        <v>0</v>
      </c>
      <c r="G206" s="184">
        <f>'CDM Activity'!I138</f>
        <v>760965.89046521182</v>
      </c>
      <c r="H206" s="187">
        <v>45374.643006324768</v>
      </c>
      <c r="I206" s="184"/>
      <c r="J206" s="197"/>
      <c r="K206" s="194">
        <f t="shared" si="54"/>
        <v>34037918.918257207</v>
      </c>
      <c r="L206" s="194"/>
      <c r="M206" s="37"/>
    </row>
    <row r="207" spans="1:13">
      <c r="A207" s="20">
        <v>42370</v>
      </c>
      <c r="B207" s="18"/>
      <c r="C207" s="12">
        <f t="shared" ref="C207:D207" si="109">C195</f>
        <v>960.98000000000013</v>
      </c>
      <c r="D207" s="12">
        <f t="shared" si="109"/>
        <v>0</v>
      </c>
      <c r="E207" s="12">
        <v>31</v>
      </c>
      <c r="F207" s="12">
        <v>0</v>
      </c>
      <c r="G207" s="12">
        <f>'CDM Activity'!I139</f>
        <v>751125.51779343269</v>
      </c>
      <c r="H207" s="12"/>
      <c r="I207" s="22"/>
      <c r="J207" s="12"/>
      <c r="K207" s="12">
        <f>$O$103+C207*$O$104+D207*$O$105+E207*$O$106+F207*$O$107+G207*$O$108</f>
        <v>35512540.609396845</v>
      </c>
      <c r="L207" s="6"/>
    </row>
    <row r="208" spans="1:13">
      <c r="A208" s="20">
        <v>42401</v>
      </c>
      <c r="B208" s="18"/>
      <c r="C208" s="12">
        <f t="shared" ref="C208:D208" si="110">C196</f>
        <v>875.5899999999998</v>
      </c>
      <c r="D208" s="12">
        <f t="shared" si="110"/>
        <v>0</v>
      </c>
      <c r="E208" s="12">
        <v>29</v>
      </c>
      <c r="F208" s="12">
        <v>0</v>
      </c>
      <c r="G208" s="12">
        <f>'CDM Activity'!I140</f>
        <v>741285.14512165356</v>
      </c>
      <c r="H208" s="12"/>
      <c r="I208" s="22"/>
      <c r="J208" s="12"/>
      <c r="K208" s="12">
        <f t="shared" ref="K208:K230" si="111">$O$103+C208*$O$104+D208*$O$105+E208*$O$106+F208*$O$107+G208*$O$108</f>
        <v>32422018.948458221</v>
      </c>
      <c r="L208" s="6"/>
    </row>
    <row r="209" spans="1:12">
      <c r="A209" s="20">
        <v>42430</v>
      </c>
      <c r="B209" s="18"/>
      <c r="C209" s="12">
        <f t="shared" ref="C209:D209" si="112">C197</f>
        <v>702.91</v>
      </c>
      <c r="D209" s="12">
        <f t="shared" si="112"/>
        <v>0</v>
      </c>
      <c r="E209" s="12">
        <v>31</v>
      </c>
      <c r="F209" s="12">
        <v>1</v>
      </c>
      <c r="G209" s="12">
        <f>'CDM Activity'!I141</f>
        <v>731444.77244987444</v>
      </c>
      <c r="H209" s="12"/>
      <c r="I209" s="22"/>
      <c r="J209" s="12"/>
      <c r="K209" s="12">
        <f t="shared" si="111"/>
        <v>31157715.636772703</v>
      </c>
      <c r="L209" s="6"/>
    </row>
    <row r="210" spans="1:12">
      <c r="A210" s="20">
        <v>42461</v>
      </c>
      <c r="B210" s="18"/>
      <c r="C210" s="12">
        <f t="shared" ref="C210:D210" si="113">C198</f>
        <v>450.5200000000001</v>
      </c>
      <c r="D210" s="12">
        <f t="shared" si="113"/>
        <v>0</v>
      </c>
      <c r="E210" s="12">
        <v>30</v>
      </c>
      <c r="F210" s="12">
        <v>1</v>
      </c>
      <c r="G210" s="12">
        <f>'CDM Activity'!I142</f>
        <v>721604.39977809531</v>
      </c>
      <c r="H210" s="12"/>
      <c r="I210" s="22"/>
      <c r="J210" s="12"/>
      <c r="K210" s="12">
        <f t="shared" si="111"/>
        <v>26810650.776204497</v>
      </c>
      <c r="L210" s="6"/>
    </row>
    <row r="211" spans="1:12">
      <c r="A211" s="20">
        <v>42491</v>
      </c>
      <c r="B211" s="18"/>
      <c r="C211" s="12">
        <f t="shared" ref="C211:D211" si="114">C199</f>
        <v>271.46000000000004</v>
      </c>
      <c r="D211" s="12">
        <f t="shared" si="114"/>
        <v>0.47000000000000003</v>
      </c>
      <c r="E211" s="12">
        <v>31</v>
      </c>
      <c r="F211" s="12">
        <v>1</v>
      </c>
      <c r="G211" s="12">
        <f>'CDM Activity'!I143</f>
        <v>711764.02710631618</v>
      </c>
      <c r="H211" s="12"/>
      <c r="I211" s="22"/>
      <c r="J211" s="12"/>
      <c r="K211" s="12">
        <f t="shared" si="111"/>
        <v>25430801.255830698</v>
      </c>
      <c r="L211" s="6"/>
    </row>
    <row r="212" spans="1:12">
      <c r="A212" s="20">
        <v>42522</v>
      </c>
      <c r="B212" s="18"/>
      <c r="C212" s="12">
        <f t="shared" ref="C212:D212" si="115">C200</f>
        <v>109.59</v>
      </c>
      <c r="D212" s="12">
        <f t="shared" si="115"/>
        <v>6.7</v>
      </c>
      <c r="E212" s="12">
        <v>30</v>
      </c>
      <c r="F212" s="12">
        <v>0</v>
      </c>
      <c r="G212" s="12">
        <f>'CDM Activity'!I144</f>
        <v>701923.65443453705</v>
      </c>
      <c r="H212" s="12"/>
      <c r="I212" s="22"/>
      <c r="J212" s="12"/>
      <c r="K212" s="12">
        <f t="shared" si="111"/>
        <v>23500972.903826308</v>
      </c>
      <c r="L212" s="6"/>
    </row>
    <row r="213" spans="1:12">
      <c r="A213" s="20">
        <v>42552</v>
      </c>
      <c r="B213" s="18"/>
      <c r="C213" s="12">
        <f t="shared" ref="C213:D213" si="116">C201</f>
        <v>36.33</v>
      </c>
      <c r="D213" s="12">
        <f t="shared" si="116"/>
        <v>40.369999999999997</v>
      </c>
      <c r="E213" s="12">
        <v>31</v>
      </c>
      <c r="F213" s="12">
        <v>0</v>
      </c>
      <c r="G213" s="12">
        <f>'CDM Activity'!I145</f>
        <v>692083.28176275792</v>
      </c>
      <c r="H213" s="12"/>
      <c r="I213" s="22"/>
      <c r="J213" s="12"/>
      <c r="K213" s="12">
        <f t="shared" si="111"/>
        <v>24992240.303329304</v>
      </c>
      <c r="L213" s="6"/>
    </row>
    <row r="214" spans="1:12">
      <c r="A214" s="20">
        <v>42583</v>
      </c>
      <c r="B214" s="18"/>
      <c r="C214" s="12">
        <f t="shared" ref="C214:D214" si="117">C202</f>
        <v>51.55</v>
      </c>
      <c r="D214" s="12">
        <f t="shared" si="117"/>
        <v>29.669999999999998</v>
      </c>
      <c r="E214" s="12">
        <v>31</v>
      </c>
      <c r="F214" s="12">
        <v>0</v>
      </c>
      <c r="G214" s="12">
        <f>'CDM Activity'!I146</f>
        <v>682242.90909097879</v>
      </c>
      <c r="H214" s="12"/>
      <c r="I214" s="22"/>
      <c r="J214" s="12"/>
      <c r="K214" s="12">
        <f t="shared" si="111"/>
        <v>24745729.817777608</v>
      </c>
      <c r="L214" s="6"/>
    </row>
    <row r="215" spans="1:12">
      <c r="A215" s="20">
        <v>42614</v>
      </c>
      <c r="B215" s="18"/>
      <c r="C215" s="12">
        <f t="shared" ref="C215:D215" si="118">C203</f>
        <v>176.97</v>
      </c>
      <c r="D215" s="12">
        <f t="shared" si="118"/>
        <v>5.05</v>
      </c>
      <c r="E215" s="12">
        <v>30</v>
      </c>
      <c r="F215" s="12">
        <v>1</v>
      </c>
      <c r="G215" s="12">
        <f>'CDM Activity'!I147</f>
        <v>672402.53641919966</v>
      </c>
      <c r="H215" s="12"/>
      <c r="I215" s="22"/>
      <c r="J215" s="12"/>
      <c r="K215" s="12">
        <f t="shared" si="111"/>
        <v>23453944.634475861</v>
      </c>
      <c r="L215" s="6"/>
    </row>
    <row r="216" spans="1:12">
      <c r="A216" s="20">
        <v>42644</v>
      </c>
      <c r="B216" s="18"/>
      <c r="C216" s="12">
        <f t="shared" ref="C216:D216" si="119">C204</f>
        <v>372.15</v>
      </c>
      <c r="D216" s="12">
        <f t="shared" si="119"/>
        <v>0.54</v>
      </c>
      <c r="E216" s="12">
        <v>31</v>
      </c>
      <c r="F216" s="12">
        <v>1</v>
      </c>
      <c r="G216" s="12">
        <f>'CDM Activity'!I148</f>
        <v>662562.16374742053</v>
      </c>
      <c r="H216" s="12"/>
      <c r="I216" s="22"/>
      <c r="J216" s="12"/>
      <c r="K216" s="12">
        <f t="shared" si="111"/>
        <v>26872347.831184622</v>
      </c>
      <c r="L216" s="6"/>
    </row>
    <row r="217" spans="1:12">
      <c r="A217" s="20">
        <v>42675</v>
      </c>
      <c r="B217" s="18"/>
      <c r="C217" s="12">
        <f t="shared" ref="C217:D217" si="120">C205</f>
        <v>567.61000000000013</v>
      </c>
      <c r="D217" s="12">
        <f t="shared" si="120"/>
        <v>0</v>
      </c>
      <c r="E217" s="12">
        <v>30</v>
      </c>
      <c r="F217" s="12">
        <v>1</v>
      </c>
      <c r="G217" s="12">
        <f>'CDM Activity'!I149</f>
        <v>652721.79107564141</v>
      </c>
      <c r="H217" s="12"/>
      <c r="I217" s="22"/>
      <c r="J217" s="12"/>
      <c r="K217" s="12">
        <f t="shared" si="111"/>
        <v>28504500.076449107</v>
      </c>
      <c r="L217" s="6"/>
    </row>
    <row r="218" spans="1:12">
      <c r="A218" s="20">
        <v>42705</v>
      </c>
      <c r="B218" s="18"/>
      <c r="C218" s="12">
        <f t="shared" ref="C218:D218" si="121">C206</f>
        <v>852.28999999999974</v>
      </c>
      <c r="D218" s="12">
        <f t="shared" si="121"/>
        <v>0</v>
      </c>
      <c r="E218" s="12">
        <v>31</v>
      </c>
      <c r="F218" s="12">
        <v>0</v>
      </c>
      <c r="G218" s="12">
        <f>'CDM Activity'!I150</f>
        <v>642881.41840386228</v>
      </c>
      <c r="H218" s="12"/>
      <c r="I218" s="22"/>
      <c r="J218" s="12"/>
      <c r="K218" s="12">
        <f t="shared" si="111"/>
        <v>34251191.853815913</v>
      </c>
      <c r="L218" s="6"/>
    </row>
    <row r="219" spans="1:12">
      <c r="A219" s="20">
        <v>42736</v>
      </c>
      <c r="B219" s="18"/>
      <c r="C219" s="12">
        <f t="shared" ref="C219:D219" si="122">C207</f>
        <v>960.98000000000013</v>
      </c>
      <c r="D219" s="12">
        <f t="shared" si="122"/>
        <v>0</v>
      </c>
      <c r="E219" s="12">
        <v>31</v>
      </c>
      <c r="F219" s="12">
        <v>0</v>
      </c>
      <c r="G219" s="12">
        <f>'CDM Activity'!I151</f>
        <v>641175.3474576677</v>
      </c>
      <c r="H219" s="12"/>
      <c r="I219" s="22"/>
      <c r="J219" s="12"/>
      <c r="K219" s="12">
        <f t="shared" si="111"/>
        <v>35711122.143305093</v>
      </c>
      <c r="L219" s="6"/>
    </row>
    <row r="220" spans="1:12">
      <c r="A220" s="20">
        <v>42767</v>
      </c>
      <c r="B220" s="18"/>
      <c r="C220" s="12">
        <f t="shared" ref="C220:D220" si="123">C208</f>
        <v>875.5899999999998</v>
      </c>
      <c r="D220" s="12">
        <f t="shared" si="123"/>
        <v>0</v>
      </c>
      <c r="E220" s="12">
        <v>28</v>
      </c>
      <c r="F220" s="12">
        <v>0</v>
      </c>
      <c r="G220" s="12">
        <f>'CDM Activity'!I152</f>
        <v>639469.27651147312</v>
      </c>
      <c r="H220" s="12"/>
      <c r="I220" s="22"/>
      <c r="J220" s="12"/>
      <c r="K220" s="12">
        <f t="shared" si="111"/>
        <v>31624033.161133826</v>
      </c>
      <c r="L220" s="6"/>
    </row>
    <row r="221" spans="1:12">
      <c r="A221" s="20">
        <v>42795</v>
      </c>
      <c r="B221" s="18"/>
      <c r="C221" s="12">
        <f t="shared" ref="C221:D221" si="124">C209</f>
        <v>702.91</v>
      </c>
      <c r="D221" s="12">
        <f t="shared" si="124"/>
        <v>0</v>
      </c>
      <c r="E221" s="12">
        <v>31</v>
      </c>
      <c r="F221" s="12">
        <v>1</v>
      </c>
      <c r="G221" s="12">
        <f>'CDM Activity'!I153</f>
        <v>637763.20556527853</v>
      </c>
      <c r="H221" s="12"/>
      <c r="I221" s="22"/>
      <c r="J221" s="12"/>
      <c r="K221" s="12">
        <f t="shared" si="111"/>
        <v>31326914.36738003</v>
      </c>
      <c r="L221" s="6"/>
    </row>
    <row r="222" spans="1:12">
      <c r="A222" s="20">
        <v>42826</v>
      </c>
      <c r="B222" s="18"/>
      <c r="C222" s="12">
        <f t="shared" ref="C222:D222" si="125">C210</f>
        <v>450.5200000000001</v>
      </c>
      <c r="D222" s="12">
        <f t="shared" si="125"/>
        <v>0</v>
      </c>
      <c r="E222" s="12">
        <v>30</v>
      </c>
      <c r="F222" s="12">
        <v>1</v>
      </c>
      <c r="G222" s="12">
        <f>'CDM Activity'!I154</f>
        <v>636057.13461908395</v>
      </c>
      <c r="H222" s="12"/>
      <c r="I222" s="22"/>
      <c r="J222" s="12"/>
      <c r="K222" s="12">
        <f t="shared" si="111"/>
        <v>26965158.105161369</v>
      </c>
      <c r="L222" s="6"/>
    </row>
    <row r="223" spans="1:12">
      <c r="A223" s="20">
        <v>42856</v>
      </c>
      <c r="B223" s="18"/>
      <c r="C223" s="12">
        <f t="shared" ref="C223:D223" si="126">C211</f>
        <v>271.46000000000004</v>
      </c>
      <c r="D223" s="12">
        <f t="shared" si="126"/>
        <v>0.47000000000000003</v>
      </c>
      <c r="E223" s="12">
        <v>31</v>
      </c>
      <c r="F223" s="12">
        <v>1</v>
      </c>
      <c r="G223" s="12">
        <f>'CDM Activity'!I155</f>
        <v>634351.06367288937</v>
      </c>
      <c r="H223" s="12"/>
      <c r="I223" s="22"/>
      <c r="J223" s="12"/>
      <c r="K223" s="12">
        <f t="shared" si="111"/>
        <v>25570617.183137108</v>
      </c>
      <c r="L223" s="6"/>
    </row>
    <row r="224" spans="1:12">
      <c r="A224" s="20">
        <v>42887</v>
      </c>
      <c r="B224" s="18"/>
      <c r="C224" s="12">
        <f t="shared" ref="C224:D224" si="127">C212</f>
        <v>109.59</v>
      </c>
      <c r="D224" s="12">
        <f t="shared" si="127"/>
        <v>6.7</v>
      </c>
      <c r="E224" s="12">
        <v>30</v>
      </c>
      <c r="F224" s="12">
        <v>0</v>
      </c>
      <c r="G224" s="12">
        <f>'CDM Activity'!I156</f>
        <v>632644.99272669479</v>
      </c>
      <c r="H224" s="12"/>
      <c r="I224" s="22"/>
      <c r="J224" s="12"/>
      <c r="K224" s="12">
        <f t="shared" si="111"/>
        <v>23626097.429482259</v>
      </c>
      <c r="L224" s="6"/>
    </row>
    <row r="225" spans="1:13">
      <c r="A225" s="20">
        <v>42917</v>
      </c>
      <c r="B225" s="18"/>
      <c r="C225" s="12">
        <f t="shared" ref="C225:D225" si="128">C213</f>
        <v>36.33</v>
      </c>
      <c r="D225" s="12">
        <f t="shared" si="128"/>
        <v>40.369999999999997</v>
      </c>
      <c r="E225" s="12">
        <v>31</v>
      </c>
      <c r="F225" s="12">
        <v>0</v>
      </c>
      <c r="G225" s="12">
        <f>'CDM Activity'!I157</f>
        <v>630938.92178050021</v>
      </c>
      <c r="H225" s="12"/>
      <c r="I225" s="22"/>
      <c r="J225" s="12"/>
      <c r="K225" s="12">
        <f t="shared" si="111"/>
        <v>25102673.427334797</v>
      </c>
      <c r="L225" s="6"/>
    </row>
    <row r="226" spans="1:13">
      <c r="A226" s="20">
        <v>42948</v>
      </c>
      <c r="B226" s="18"/>
      <c r="C226" s="12">
        <f t="shared" ref="C226:D226" si="129">C214</f>
        <v>51.55</v>
      </c>
      <c r="D226" s="12">
        <f t="shared" si="129"/>
        <v>29.669999999999998</v>
      </c>
      <c r="E226" s="12">
        <v>31</v>
      </c>
      <c r="F226" s="12">
        <v>0</v>
      </c>
      <c r="G226" s="12">
        <f>'CDM Activity'!I158</f>
        <v>629232.85083430563</v>
      </c>
      <c r="H226" s="12"/>
      <c r="I226" s="22"/>
      <c r="J226" s="12"/>
      <c r="K226" s="12">
        <f t="shared" si="111"/>
        <v>24841471.540132642</v>
      </c>
      <c r="L226" s="6"/>
    </row>
    <row r="227" spans="1:13">
      <c r="A227" s="20">
        <v>42979</v>
      </c>
      <c r="B227" s="18"/>
      <c r="C227" s="12">
        <f t="shared" ref="C227:D227" si="130">C215</f>
        <v>176.97</v>
      </c>
      <c r="D227" s="12">
        <f t="shared" si="130"/>
        <v>5.05</v>
      </c>
      <c r="E227" s="12">
        <v>30</v>
      </c>
      <c r="F227" s="12">
        <v>1</v>
      </c>
      <c r="G227" s="12">
        <f>'CDM Activity'!I159</f>
        <v>627526.77988811105</v>
      </c>
      <c r="H227" s="12"/>
      <c r="I227" s="22"/>
      <c r="J227" s="12"/>
      <c r="K227" s="12">
        <f t="shared" si="111"/>
        <v>23534994.955180436</v>
      </c>
      <c r="L227" s="6"/>
    </row>
    <row r="228" spans="1:13">
      <c r="A228" s="20">
        <v>43009</v>
      </c>
      <c r="B228" s="18"/>
      <c r="C228" s="12">
        <f t="shared" ref="C228:D228" si="131">C216</f>
        <v>372.15</v>
      </c>
      <c r="D228" s="12">
        <f t="shared" si="131"/>
        <v>0.54</v>
      </c>
      <c r="E228" s="12">
        <v>31</v>
      </c>
      <c r="F228" s="12">
        <v>1</v>
      </c>
      <c r="G228" s="12">
        <f>'CDM Activity'!I160</f>
        <v>625820.70894191647</v>
      </c>
      <c r="H228" s="12"/>
      <c r="I228" s="22"/>
      <c r="J228" s="12"/>
      <c r="K228" s="12">
        <f t="shared" si="111"/>
        <v>26938706.750238739</v>
      </c>
      <c r="L228" s="6"/>
    </row>
    <row r="229" spans="1:13">
      <c r="A229" s="20">
        <v>43040</v>
      </c>
      <c r="B229" s="18"/>
      <c r="C229" s="12">
        <f t="shared" ref="C229:D229" si="132">C217</f>
        <v>567.61000000000013</v>
      </c>
      <c r="D229" s="12">
        <f t="shared" si="132"/>
        <v>0</v>
      </c>
      <c r="E229" s="12">
        <v>30</v>
      </c>
      <c r="F229" s="12">
        <v>1</v>
      </c>
      <c r="G229" s="12">
        <f>'CDM Activity'!I161</f>
        <v>624114.63799572189</v>
      </c>
      <c r="H229" s="12"/>
      <c r="I229" s="22"/>
      <c r="J229" s="12"/>
      <c r="K229" s="12">
        <f t="shared" si="111"/>
        <v>28556167.593852766</v>
      </c>
      <c r="L229" s="6"/>
    </row>
    <row r="230" spans="1:13">
      <c r="A230" s="20">
        <v>43070</v>
      </c>
      <c r="B230" s="18"/>
      <c r="C230" s="12">
        <f t="shared" ref="C230:D230" si="133">C218</f>
        <v>852.28999999999974</v>
      </c>
      <c r="D230" s="12">
        <f t="shared" si="133"/>
        <v>0</v>
      </c>
      <c r="E230" s="12">
        <v>31</v>
      </c>
      <c r="F230" s="12">
        <v>0</v>
      </c>
      <c r="G230" s="12">
        <f>'CDM Activity'!I162</f>
        <v>622408.56704952731</v>
      </c>
      <c r="H230" s="12"/>
      <c r="I230" s="22"/>
      <c r="J230" s="12"/>
      <c r="K230" s="12">
        <f t="shared" si="111"/>
        <v>34288167.969569109</v>
      </c>
      <c r="L230" s="6"/>
    </row>
    <row r="231" spans="1:13">
      <c r="A231" s="20"/>
      <c r="B231" s="18"/>
      <c r="C231" s="41"/>
      <c r="D231" s="41"/>
      <c r="E231" s="12"/>
      <c r="F231" s="12"/>
      <c r="G231" s="12"/>
      <c r="H231" s="12"/>
      <c r="I231" s="22"/>
      <c r="J231" s="12"/>
      <c r="K231" s="12"/>
      <c r="L231" s="6"/>
    </row>
    <row r="232" spans="1:13">
      <c r="A232" s="2"/>
      <c r="C232"/>
      <c r="D232"/>
      <c r="K232" s="29">
        <f>SUM(K87:K230)</f>
        <v>4072128362.2937355</v>
      </c>
    </row>
    <row r="233" spans="1:13">
      <c r="A233" s="2"/>
    </row>
    <row r="234" spans="1:13">
      <c r="A234">
        <v>2006</v>
      </c>
      <c r="B234" s="5">
        <f>SUM(B87:B98)</f>
        <v>344985670.16000092</v>
      </c>
      <c r="K234" s="5">
        <f>SUM(K87:K98)</f>
        <v>348847526.23245072</v>
      </c>
      <c r="L234" s="25">
        <f>K234-B234</f>
        <v>3861856.0724498034</v>
      </c>
      <c r="M234" s="4">
        <f>L234/B234</f>
        <v>1.1194250679046213E-2</v>
      </c>
    </row>
    <row r="235" spans="1:13">
      <c r="A235" s="11">
        <v>2007</v>
      </c>
      <c r="B235" s="5">
        <f>SUM(B99:B110)</f>
        <v>347356682.25000095</v>
      </c>
      <c r="K235" s="5">
        <f>SUM(K99:K110)</f>
        <v>343387625.53662926</v>
      </c>
      <c r="L235" s="25">
        <f t="shared" ref="L235:L243" si="134">K235-B235</f>
        <v>-3969056.7133716941</v>
      </c>
      <c r="M235" s="4">
        <f t="shared" ref="M235:M243" si="135">L235/B235</f>
        <v>-1.1426458496960968E-2</v>
      </c>
    </row>
    <row r="236" spans="1:13">
      <c r="A236">
        <v>2008</v>
      </c>
      <c r="B236" s="5">
        <f>SUM(B111:B122)</f>
        <v>349640195.36999899</v>
      </c>
      <c r="K236" s="5">
        <f>SUM(K111:K122)</f>
        <v>340450345.2830534</v>
      </c>
      <c r="L236" s="25">
        <f t="shared" si="134"/>
        <v>-9189850.0869455934</v>
      </c>
      <c r="M236" s="4">
        <f t="shared" si="135"/>
        <v>-2.6283734560955264E-2</v>
      </c>
    </row>
    <row r="237" spans="1:13">
      <c r="A237" s="11">
        <v>2009</v>
      </c>
      <c r="B237" s="5">
        <f>SUM(B123:B134)</f>
        <v>344727820.68999922</v>
      </c>
      <c r="K237" s="5">
        <f>SUM(K123:K134)</f>
        <v>336856325.2909081</v>
      </c>
      <c r="L237" s="25">
        <f t="shared" si="134"/>
        <v>-7871495.3990911245</v>
      </c>
      <c r="M237" s="4">
        <f t="shared" si="135"/>
        <v>-2.2833942973722637E-2</v>
      </c>
    </row>
    <row r="238" spans="1:13">
      <c r="A238">
        <v>2010</v>
      </c>
      <c r="B238" s="5">
        <f>SUM(B135:B146)</f>
        <v>335588529.46999955</v>
      </c>
      <c r="K238" s="5">
        <f>SUM(K135:K146)</f>
        <v>339664102.66105872</v>
      </c>
      <c r="L238" s="25">
        <f t="shared" si="134"/>
        <v>4075573.1910591722</v>
      </c>
      <c r="M238" s="4">
        <f t="shared" si="135"/>
        <v>1.2144554515900146E-2</v>
      </c>
    </row>
    <row r="239" spans="1:13">
      <c r="A239">
        <v>2011</v>
      </c>
      <c r="B239" s="5">
        <f>SUM(B147:B158)</f>
        <v>337212306.49999964</v>
      </c>
      <c r="K239" s="5">
        <f>SUM(K147:K158)</f>
        <v>338664333.79074228</v>
      </c>
      <c r="L239" s="25">
        <f t="shared" si="134"/>
        <v>1452027.2907426357</v>
      </c>
      <c r="M239" s="4">
        <f t="shared" si="135"/>
        <v>4.3059736040287049E-3</v>
      </c>
    </row>
    <row r="240" spans="1:13">
      <c r="A240">
        <v>2012</v>
      </c>
      <c r="B240" s="5">
        <f>SUM(B159:B170)</f>
        <v>331142424.8599996</v>
      </c>
      <c r="K240" s="5">
        <f>SUM(K159:K170)</f>
        <v>338639424.21826762</v>
      </c>
      <c r="L240" s="25">
        <f t="shared" si="134"/>
        <v>7496999.3582680225</v>
      </c>
      <c r="M240" s="4">
        <f t="shared" si="135"/>
        <v>2.2639803285361592E-2</v>
      </c>
    </row>
    <row r="241" spans="1:13">
      <c r="A241">
        <v>2013</v>
      </c>
      <c r="B241" s="5">
        <f>SUM(B171:B182)</f>
        <v>341035888.63527828</v>
      </c>
      <c r="K241" s="5">
        <f>SUM(K171:K182)</f>
        <v>336873260.34088057</v>
      </c>
      <c r="L241" s="25">
        <f t="shared" si="134"/>
        <v>-4162628.2943977118</v>
      </c>
      <c r="M241" s="4">
        <f t="shared" si="135"/>
        <v>-1.2205836491447519E-2</v>
      </c>
    </row>
    <row r="242" spans="1:13">
      <c r="A242">
        <v>2014</v>
      </c>
      <c r="B242" s="5">
        <f>SUM(B183:B194)</f>
        <v>340024795.88802838</v>
      </c>
      <c r="K242" s="5">
        <f>SUM(K183:K194)</f>
        <v>336389173.95387119</v>
      </c>
      <c r="L242" s="25">
        <f t="shared" si="134"/>
        <v>-3635621.9341571927</v>
      </c>
      <c r="M242" s="4">
        <f t="shared" si="135"/>
        <v>-1.069222591447248E-2</v>
      </c>
    </row>
    <row r="243" spans="1:13">
      <c r="A243" s="11">
        <v>2015</v>
      </c>
      <c r="B243" s="5">
        <f>SUM(B195:B206)</f>
        <v>324673269.19699794</v>
      </c>
      <c r="K243" s="5">
        <f>SUM(K195:K206)</f>
        <v>336615465.71243966</v>
      </c>
      <c r="L243" s="25">
        <f t="shared" si="134"/>
        <v>11942196.515441716</v>
      </c>
      <c r="M243" s="4">
        <f t="shared" si="135"/>
        <v>3.6782198130994571E-2</v>
      </c>
    </row>
    <row r="244" spans="1:13">
      <c r="A244">
        <v>2016</v>
      </c>
      <c r="K244" s="5">
        <f>SUM(K207:K218)</f>
        <v>337654654.64752167</v>
      </c>
    </row>
    <row r="245" spans="1:13">
      <c r="A245" s="11">
        <v>2017</v>
      </c>
      <c r="K245" s="5">
        <f>SUM(K219:K230)</f>
        <v>338086124.62590814</v>
      </c>
    </row>
    <row r="246" spans="1:13" ht="13.5" thickBot="1">
      <c r="K246" s="5"/>
    </row>
    <row r="247" spans="1:13" ht="16.5" thickTop="1" thickBot="1">
      <c r="A247" s="48" t="s">
        <v>261</v>
      </c>
      <c r="B247" s="5">
        <f>SUM(B234:B243)</f>
        <v>3396387583.0203042</v>
      </c>
      <c r="K247" s="5">
        <f>SUM(K234:K243)</f>
        <v>3396387583.0203009</v>
      </c>
      <c r="L247" s="256">
        <f>K247-B247</f>
        <v>0</v>
      </c>
    </row>
    <row r="248" spans="1:13" ht="14.25" thickTop="1" thickBot="1"/>
    <row r="249" spans="1:13" ht="16.5" thickTop="1" thickBot="1">
      <c r="K249" s="5">
        <f>SUM(K234:K245)</f>
        <v>4072128362.2937307</v>
      </c>
      <c r="L249" s="257">
        <f>K232-K249</f>
        <v>4.76837158203125E-6</v>
      </c>
    </row>
    <row r="250" spans="1:13" ht="13.5" thickTop="1">
      <c r="K250" s="258"/>
      <c r="L250" s="258" t="s">
        <v>47</v>
      </c>
      <c r="M250" s="258"/>
    </row>
    <row r="254" spans="1:13">
      <c r="B254" s="60" t="s">
        <v>143</v>
      </c>
    </row>
    <row r="255" spans="1:13">
      <c r="A255" s="2">
        <v>42736</v>
      </c>
      <c r="C255" s="41">
        <f>'Weather Analysis - Thunder Bay'!AA8</f>
        <v>981.22443609022571</v>
      </c>
      <c r="D255" s="41">
        <f>'Weather Analysis - Thunder Bay'!AA28</f>
        <v>0</v>
      </c>
      <c r="E255" s="6">
        <f>E219</f>
        <v>31</v>
      </c>
      <c r="F255" s="6">
        <f t="shared" ref="F255:G255" si="136">F219</f>
        <v>0</v>
      </c>
      <c r="G255" s="6">
        <f t="shared" si="136"/>
        <v>641175.3474576677</v>
      </c>
      <c r="H255" s="12" t="e">
        <f>#REF!</f>
        <v>#REF!</v>
      </c>
      <c r="I255" s="22">
        <v>143.1291789570798</v>
      </c>
      <c r="J255" s="6">
        <v>352</v>
      </c>
      <c r="K255" s="12">
        <f t="shared" ref="K255:K266" si="137">$O$103+C255*$O$104+D255*$O$105+E255*$O$106+F255*$O$107+G255*$O$108</f>
        <v>35982472.639125586</v>
      </c>
    </row>
    <row r="256" spans="1:13">
      <c r="A256" s="2">
        <v>42767</v>
      </c>
      <c r="C256" s="41">
        <f>'Weather Analysis - Thunder Bay'!AA9</f>
        <v>920.49842105263269</v>
      </c>
      <c r="D256" s="41">
        <f>'Weather Analysis - Thunder Bay'!AA29</f>
        <v>0</v>
      </c>
      <c r="E256" s="6">
        <f t="shared" ref="E256:G266" si="138">E220</f>
        <v>28</v>
      </c>
      <c r="F256" s="6">
        <f t="shared" si="138"/>
        <v>0</v>
      </c>
      <c r="G256" s="6">
        <f t="shared" si="138"/>
        <v>639469.27651147312</v>
      </c>
      <c r="H256" s="12" t="e">
        <f>#REF!</f>
        <v>#REF!</v>
      </c>
      <c r="I256" s="22">
        <v>143.42400163116841</v>
      </c>
      <c r="J256" s="6">
        <v>304</v>
      </c>
      <c r="K256" s="12">
        <f t="shared" si="137"/>
        <v>32225972.492258534</v>
      </c>
    </row>
    <row r="257" spans="1:12">
      <c r="A257" s="2">
        <v>42795</v>
      </c>
      <c r="C257" s="41">
        <f>'Weather Analysis - Thunder Bay'!AA10</f>
        <v>728.65676691729323</v>
      </c>
      <c r="D257" s="41">
        <f>'Weather Analysis - Thunder Bay'!AA30</f>
        <v>0</v>
      </c>
      <c r="E257" s="6">
        <f t="shared" si="138"/>
        <v>31</v>
      </c>
      <c r="F257" s="6">
        <f t="shared" si="138"/>
        <v>1</v>
      </c>
      <c r="G257" s="6">
        <f t="shared" si="138"/>
        <v>637763.20556527853</v>
      </c>
      <c r="H257" s="12" t="e">
        <f>#REF!</f>
        <v>#REF!</v>
      </c>
      <c r="I257" s="22">
        <v>143.71943159169427</v>
      </c>
      <c r="J257" s="6">
        <v>320</v>
      </c>
      <c r="K257" s="12">
        <f t="shared" si="137"/>
        <v>31672016.495077983</v>
      </c>
    </row>
    <row r="258" spans="1:12">
      <c r="A258" s="2">
        <v>42826</v>
      </c>
      <c r="C258" s="41">
        <f>'Weather Analysis - Thunder Bay'!AA11</f>
        <v>457.84511278195487</v>
      </c>
      <c r="D258" s="41">
        <f>'Weather Analysis - Thunder Bay'!AA31</f>
        <v>0</v>
      </c>
      <c r="E258" s="6">
        <f t="shared" si="138"/>
        <v>30</v>
      </c>
      <c r="F258" s="6">
        <f t="shared" si="138"/>
        <v>1</v>
      </c>
      <c r="G258" s="6">
        <f t="shared" si="138"/>
        <v>636057.13461908395</v>
      </c>
      <c r="H258" s="12" t="e">
        <f>#REF!</f>
        <v>#REF!</v>
      </c>
      <c r="I258" s="22">
        <v>144.01547008956803</v>
      </c>
      <c r="J258" s="6">
        <v>352</v>
      </c>
      <c r="K258" s="12">
        <f t="shared" si="137"/>
        <v>27063341.772835083</v>
      </c>
    </row>
    <row r="259" spans="1:12">
      <c r="A259" s="2">
        <v>42856</v>
      </c>
      <c r="C259" s="41">
        <f>'Weather Analysis - Thunder Bay'!AA12</f>
        <v>271.64563909774438</v>
      </c>
      <c r="D259" s="41">
        <f>'Weather Analysis - Thunder Bay'!AA32</f>
        <v>0.20857142857142463</v>
      </c>
      <c r="E259" s="6">
        <f t="shared" si="138"/>
        <v>31</v>
      </c>
      <c r="F259" s="6">
        <f t="shared" si="138"/>
        <v>1</v>
      </c>
      <c r="G259" s="6">
        <f t="shared" si="138"/>
        <v>634351.06367288937</v>
      </c>
      <c r="H259" s="12" t="e">
        <f>#REF!</f>
        <v>#REF!</v>
      </c>
      <c r="I259" s="22">
        <v>144.31211837827698</v>
      </c>
      <c r="J259" s="6">
        <v>352</v>
      </c>
      <c r="K259" s="12">
        <f t="shared" si="137"/>
        <v>25561663.961178783</v>
      </c>
    </row>
    <row r="260" spans="1:12">
      <c r="A260" s="2">
        <v>42887</v>
      </c>
      <c r="C260" s="41">
        <f>'Weather Analysis - Thunder Bay'!AA13</f>
        <v>115.80518796992476</v>
      </c>
      <c r="D260" s="41">
        <f>'Weather Analysis - Thunder Bay'!AA33</f>
        <v>4.1052631578947967</v>
      </c>
      <c r="E260" s="6">
        <f t="shared" si="138"/>
        <v>30</v>
      </c>
      <c r="F260" s="6">
        <f t="shared" si="138"/>
        <v>0</v>
      </c>
      <c r="G260" s="6">
        <f t="shared" si="138"/>
        <v>632644.99272669479</v>
      </c>
      <c r="H260" s="12" t="e">
        <f>#REF!</f>
        <v>#REF!</v>
      </c>
      <c r="I260" s="22">
        <v>144.60937771389038</v>
      </c>
      <c r="J260" s="6">
        <v>320</v>
      </c>
      <c r="K260" s="12">
        <f t="shared" si="137"/>
        <v>23595844.809297975</v>
      </c>
    </row>
    <row r="261" spans="1:12">
      <c r="A261" s="2">
        <v>42917</v>
      </c>
      <c r="C261" s="41">
        <f>'Weather Analysis - Thunder Bay'!AA14</f>
        <v>34.996616541353319</v>
      </c>
      <c r="D261" s="41">
        <f>'Weather Analysis - Thunder Bay'!AA34</f>
        <v>41.516616541353415</v>
      </c>
      <c r="E261" s="6">
        <f t="shared" si="138"/>
        <v>31</v>
      </c>
      <c r="F261" s="6">
        <f t="shared" si="138"/>
        <v>0</v>
      </c>
      <c r="G261" s="6">
        <f t="shared" si="138"/>
        <v>630938.92178050021</v>
      </c>
      <c r="H261" s="12" t="e">
        <f>#REF!</f>
        <v>#REF!</v>
      </c>
      <c r="I261" s="22">
        <v>144.90724935506483</v>
      </c>
      <c r="J261" s="6">
        <v>352</v>
      </c>
      <c r="K261" s="12">
        <f t="shared" si="137"/>
        <v>25134983.0496305</v>
      </c>
    </row>
    <row r="262" spans="1:12">
      <c r="A262" s="2">
        <v>42948</v>
      </c>
      <c r="C262" s="41">
        <f>'Weather Analysis - Thunder Bay'!AA15</f>
        <v>48.162481203007474</v>
      </c>
      <c r="D262" s="41">
        <f>'Weather Analysis - Thunder Bay'!AA35</f>
        <v>33.181729323308446</v>
      </c>
      <c r="E262" s="6">
        <f t="shared" si="138"/>
        <v>31</v>
      </c>
      <c r="F262" s="6">
        <f t="shared" si="138"/>
        <v>0</v>
      </c>
      <c r="G262" s="6">
        <f t="shared" si="138"/>
        <v>629232.85083430563</v>
      </c>
      <c r="H262" s="12" t="e">
        <f>#REF!</f>
        <v>#REF!</v>
      </c>
      <c r="I262" s="22">
        <v>145.20573456304953</v>
      </c>
      <c r="J262" s="6">
        <v>336</v>
      </c>
      <c r="K262" s="12">
        <f t="shared" si="137"/>
        <v>24949757.770903416</v>
      </c>
    </row>
    <row r="263" spans="1:12">
      <c r="A263" s="2">
        <v>42979</v>
      </c>
      <c r="C263" s="41">
        <f>'Weather Analysis - Thunder Bay'!AA16</f>
        <v>175.57706766917295</v>
      </c>
      <c r="D263" s="41">
        <f>'Weather Analysis - Thunder Bay'!AA36</f>
        <v>5.6842857142857071</v>
      </c>
      <c r="E263" s="6">
        <f t="shared" si="138"/>
        <v>30</v>
      </c>
      <c r="F263" s="6">
        <f t="shared" si="138"/>
        <v>1</v>
      </c>
      <c r="G263" s="6">
        <f t="shared" si="138"/>
        <v>627526.77988811105</v>
      </c>
      <c r="H263" s="12" t="e">
        <f>#REF!</f>
        <v>#REF!</v>
      </c>
      <c r="I263" s="22">
        <v>145.50483460169167</v>
      </c>
      <c r="J263" s="6">
        <v>320</v>
      </c>
      <c r="K263" s="12">
        <f t="shared" si="137"/>
        <v>23544084.139978088</v>
      </c>
    </row>
    <row r="264" spans="1:12">
      <c r="A264" s="2">
        <v>43009</v>
      </c>
      <c r="C264" s="41">
        <f>'Weather Analysis - Thunder Bay'!AA17</f>
        <v>357.9927819548875</v>
      </c>
      <c r="D264" s="41">
        <f>'Weather Analysis - Thunder Bay'!AA37</f>
        <v>0.78360902255639076</v>
      </c>
      <c r="E264" s="6">
        <f t="shared" si="138"/>
        <v>31</v>
      </c>
      <c r="F264" s="6">
        <f t="shared" si="138"/>
        <v>1</v>
      </c>
      <c r="G264" s="6">
        <f t="shared" si="138"/>
        <v>625820.70894191647</v>
      </c>
      <c r="H264" s="12" t="e">
        <f>#REF!</f>
        <v>#REF!</v>
      </c>
      <c r="I264" s="22">
        <v>145.8045507374417</v>
      </c>
      <c r="J264" s="6">
        <v>352</v>
      </c>
      <c r="K264" s="12">
        <f t="shared" si="137"/>
        <v>26759609.141312569</v>
      </c>
    </row>
    <row r="265" spans="1:12">
      <c r="A265" s="2">
        <v>43040</v>
      </c>
      <c r="C265" s="41">
        <f>'Weather Analysis - Thunder Bay'!AA18</f>
        <v>558.62721804511284</v>
      </c>
      <c r="D265" s="41">
        <f>'Weather Analysis - Thunder Bay'!AA38</f>
        <v>0</v>
      </c>
      <c r="E265" s="6">
        <f t="shared" si="138"/>
        <v>30</v>
      </c>
      <c r="F265" s="6">
        <f t="shared" si="138"/>
        <v>1</v>
      </c>
      <c r="G265" s="6">
        <f t="shared" si="138"/>
        <v>624114.63799572189</v>
      </c>
      <c r="H265" s="12" t="e">
        <f>#REF!</f>
        <v>#REF!</v>
      </c>
      <c r="I265" s="22">
        <v>146.1048842393588</v>
      </c>
      <c r="J265" s="6">
        <v>336</v>
      </c>
      <c r="K265" s="12">
        <f t="shared" si="137"/>
        <v>28435765.013783723</v>
      </c>
    </row>
    <row r="266" spans="1:12">
      <c r="A266" s="2">
        <v>43070</v>
      </c>
      <c r="C266" s="41">
        <f>'Weather Analysis - Thunder Bay'!AA19</f>
        <v>843.2869924812029</v>
      </c>
      <c r="D266" s="41">
        <f>'Weather Analysis - Thunder Bay'!AA39</f>
        <v>0</v>
      </c>
      <c r="E266" s="6">
        <f t="shared" si="138"/>
        <v>31</v>
      </c>
      <c r="F266" s="6">
        <f t="shared" si="138"/>
        <v>0</v>
      </c>
      <c r="G266" s="6">
        <f t="shared" si="138"/>
        <v>622408.56704952731</v>
      </c>
      <c r="H266" s="12" t="e">
        <f>#REF!</f>
        <v>#REF!</v>
      </c>
      <c r="I266" s="22">
        <v>146.40583637911641</v>
      </c>
      <c r="J266" s="6">
        <v>320</v>
      </c>
      <c r="K266" s="12">
        <f t="shared" si="137"/>
        <v>34167494.291961439</v>
      </c>
      <c r="L266" s="29">
        <f>SUM(K255:K266)</f>
        <v>339093005.57734358</v>
      </c>
    </row>
  </sheetData>
  <mergeCells count="1">
    <mergeCell ref="H1:J1"/>
  </mergeCells>
  <pageMargins left="0.38" right="0.75" top="0.73" bottom="0.74" header="0.5" footer="0.5"/>
  <pageSetup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opLeftCell="A222" workbookViewId="0">
      <selection activeCell="A222" sqref="A1:XFD1048576"/>
    </sheetView>
  </sheetViews>
  <sheetFormatPr defaultRowHeight="12.75"/>
  <cols>
    <col min="1" max="1" width="11.85546875" customWidth="1"/>
    <col min="2" max="2" width="18" style="5" customWidth="1"/>
    <col min="3" max="3" width="11.7109375" style="177" customWidth="1"/>
    <col min="4" max="4" width="13.42578125" style="1" customWidth="1"/>
    <col min="5" max="5" width="10.140625" style="1" customWidth="1"/>
    <col min="6" max="7" width="12.42578125" style="1" customWidth="1"/>
    <col min="8" max="8" width="14.42578125" style="23"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D1" s="198"/>
      <c r="E1" s="198"/>
      <c r="F1" s="198"/>
      <c r="G1"/>
      <c r="I1" s="283" t="s">
        <v>76</v>
      </c>
      <c r="J1" s="283"/>
      <c r="K1" s="198"/>
      <c r="L1" s="198"/>
      <c r="M1" s="198"/>
    </row>
    <row r="2" spans="1:13" ht="42" customHeight="1">
      <c r="A2" s="181"/>
      <c r="B2" s="261" t="s">
        <v>77</v>
      </c>
      <c r="C2" s="262" t="s">
        <v>1</v>
      </c>
      <c r="D2" s="262" t="s">
        <v>2</v>
      </c>
      <c r="E2" s="262" t="s">
        <v>3</v>
      </c>
      <c r="F2" s="262" t="s">
        <v>14</v>
      </c>
      <c r="G2" s="262" t="s">
        <v>56</v>
      </c>
      <c r="H2" s="263" t="s">
        <v>4</v>
      </c>
      <c r="I2" s="262" t="s">
        <v>49</v>
      </c>
      <c r="J2" s="262" t="s">
        <v>58</v>
      </c>
      <c r="K2" s="262" t="s">
        <v>78</v>
      </c>
      <c r="L2" s="262" t="s">
        <v>7</v>
      </c>
      <c r="M2" s="262" t="s">
        <v>311</v>
      </c>
    </row>
    <row r="3" spans="1:13" ht="12.75" hidden="1" customHeight="1">
      <c r="A3" s="191">
        <v>36161</v>
      </c>
      <c r="B3" s="284">
        <v>11167128.489999978</v>
      </c>
      <c r="C3" s="194">
        <f>'Weather Data'!B99</f>
        <v>994.7</v>
      </c>
      <c r="D3" s="194">
        <f>'Weather Data'!C99</f>
        <v>0</v>
      </c>
      <c r="E3" s="194">
        <v>31</v>
      </c>
      <c r="F3" s="194">
        <v>0</v>
      </c>
      <c r="G3" s="184">
        <v>0</v>
      </c>
      <c r="H3" s="195">
        <v>105.44819844915847</v>
      </c>
      <c r="I3" s="184">
        <v>4330</v>
      </c>
      <c r="J3" s="194">
        <v>319.87200000000001</v>
      </c>
      <c r="K3" s="194"/>
      <c r="L3" s="194"/>
      <c r="M3" s="285"/>
    </row>
    <row r="4" spans="1:13" ht="12.75" hidden="1" customHeight="1">
      <c r="A4" s="191">
        <v>36192</v>
      </c>
      <c r="B4" s="284">
        <v>17327915.790000074</v>
      </c>
      <c r="C4" s="194">
        <f>'Weather Data'!B100</f>
        <v>718.7</v>
      </c>
      <c r="D4" s="194">
        <f>'Weather Data'!C100</f>
        <v>0</v>
      </c>
      <c r="E4" s="194">
        <v>28</v>
      </c>
      <c r="F4" s="194">
        <v>0</v>
      </c>
      <c r="G4" s="184">
        <v>0</v>
      </c>
      <c r="H4" s="195">
        <v>106.08666118100913</v>
      </c>
      <c r="I4" s="184">
        <v>4397</v>
      </c>
      <c r="J4" s="194">
        <v>319.87200000000001</v>
      </c>
      <c r="K4" s="194"/>
      <c r="L4" s="194"/>
      <c r="M4" s="285"/>
    </row>
    <row r="5" spans="1:13" ht="12.75" hidden="1" customHeight="1">
      <c r="A5" s="191">
        <v>36220</v>
      </c>
      <c r="B5" s="284">
        <v>17359594.600000046</v>
      </c>
      <c r="C5" s="194">
        <f>'Weather Data'!B101</f>
        <v>710.1</v>
      </c>
      <c r="D5" s="194">
        <f>'Weather Data'!C101</f>
        <v>0</v>
      </c>
      <c r="E5" s="194">
        <v>31</v>
      </c>
      <c r="F5" s="194">
        <v>1</v>
      </c>
      <c r="G5" s="184">
        <v>0</v>
      </c>
      <c r="H5" s="195">
        <v>106.72898964661303</v>
      </c>
      <c r="I5" s="184">
        <v>4397</v>
      </c>
      <c r="J5" s="194">
        <v>368.28</v>
      </c>
      <c r="K5" s="194"/>
      <c r="L5" s="194"/>
      <c r="M5" s="285"/>
    </row>
    <row r="6" spans="1:13" ht="12.75" hidden="1" customHeight="1">
      <c r="A6" s="191">
        <v>36251</v>
      </c>
      <c r="B6" s="284">
        <v>15664134.650000088</v>
      </c>
      <c r="C6" s="194">
        <f>'Weather Data'!B102</f>
        <v>407.7</v>
      </c>
      <c r="D6" s="194">
        <f>'Weather Data'!C102</f>
        <v>0</v>
      </c>
      <c r="E6" s="194">
        <v>30</v>
      </c>
      <c r="F6" s="194">
        <v>1</v>
      </c>
      <c r="G6" s="184">
        <v>0</v>
      </c>
      <c r="H6" s="195">
        <v>107.37520725203085</v>
      </c>
      <c r="I6" s="184">
        <v>4373</v>
      </c>
      <c r="J6" s="194">
        <v>336.24</v>
      </c>
      <c r="K6" s="194"/>
      <c r="L6" s="194"/>
      <c r="M6" s="285"/>
    </row>
    <row r="7" spans="1:13" ht="12.75" hidden="1" customHeight="1">
      <c r="A7" s="191">
        <v>36281</v>
      </c>
      <c r="B7" s="284">
        <v>13519280.619999945</v>
      </c>
      <c r="C7" s="194">
        <f>'Weather Data'!B103</f>
        <v>224.7</v>
      </c>
      <c r="D7" s="194">
        <f>'Weather Data'!C103</f>
        <v>2.6</v>
      </c>
      <c r="E7" s="194">
        <v>31</v>
      </c>
      <c r="F7" s="194">
        <v>1</v>
      </c>
      <c r="G7" s="184">
        <v>0</v>
      </c>
      <c r="H7" s="195">
        <v>108.02533754504118</v>
      </c>
      <c r="I7" s="184">
        <v>4345</v>
      </c>
      <c r="J7" s="194">
        <v>319.92</v>
      </c>
      <c r="K7" s="194"/>
      <c r="L7" s="194"/>
      <c r="M7" s="285"/>
    </row>
    <row r="8" spans="1:13" ht="12.75" hidden="1" customHeight="1">
      <c r="A8" s="191">
        <v>36312</v>
      </c>
      <c r="B8" s="284">
        <v>11067497.459999962</v>
      </c>
      <c r="C8" s="194">
        <f>'Weather Data'!B104</f>
        <v>91.9</v>
      </c>
      <c r="D8" s="194">
        <f>'Weather Data'!C104</f>
        <v>11.4</v>
      </c>
      <c r="E8" s="194">
        <v>30</v>
      </c>
      <c r="F8" s="194">
        <v>0</v>
      </c>
      <c r="G8" s="184">
        <v>0</v>
      </c>
      <c r="H8" s="195">
        <v>108.6794042159986</v>
      </c>
      <c r="I8" s="184">
        <v>4345</v>
      </c>
      <c r="J8" s="194">
        <v>352.08</v>
      </c>
      <c r="K8" s="194"/>
      <c r="L8" s="194"/>
      <c r="M8" s="285"/>
    </row>
    <row r="9" spans="1:13" ht="12.75" hidden="1" customHeight="1">
      <c r="A9" s="191">
        <v>36342</v>
      </c>
      <c r="B9" s="284">
        <v>11931407.94000005</v>
      </c>
      <c r="C9" s="194">
        <f>'Weather Data'!B105</f>
        <v>24.2</v>
      </c>
      <c r="D9" s="194">
        <f>'Weather Data'!C105</f>
        <v>59.3</v>
      </c>
      <c r="E9" s="194">
        <v>31</v>
      </c>
      <c r="F9" s="194">
        <v>0</v>
      </c>
      <c r="G9" s="184">
        <v>0</v>
      </c>
      <c r="H9" s="195">
        <v>109.33743109869688</v>
      </c>
      <c r="I9" s="184">
        <v>4331</v>
      </c>
      <c r="J9" s="194">
        <v>336.28800000000001</v>
      </c>
      <c r="K9" s="194"/>
      <c r="L9" s="194"/>
      <c r="M9" s="285"/>
    </row>
    <row r="10" spans="1:13" ht="12.75" hidden="1" customHeight="1">
      <c r="A10" s="191">
        <v>36373</v>
      </c>
      <c r="B10" s="284">
        <v>11870804.780000113</v>
      </c>
      <c r="C10" s="194">
        <f>'Weather Data'!B106</f>
        <v>74</v>
      </c>
      <c r="D10" s="194">
        <f>'Weather Data'!C106</f>
        <v>12.2</v>
      </c>
      <c r="E10" s="194">
        <v>31</v>
      </c>
      <c r="F10" s="194">
        <v>0</v>
      </c>
      <c r="G10" s="184">
        <v>0</v>
      </c>
      <c r="H10" s="195">
        <v>109.99944217123755</v>
      </c>
      <c r="I10" s="184">
        <v>4354</v>
      </c>
      <c r="J10" s="194">
        <v>336.28800000000001</v>
      </c>
      <c r="K10" s="194"/>
      <c r="L10" s="194"/>
      <c r="M10" s="285"/>
    </row>
    <row r="11" spans="1:13" ht="12.75" hidden="1" customHeight="1">
      <c r="A11" s="191">
        <v>36404</v>
      </c>
      <c r="B11" s="284">
        <v>10678451.039999977</v>
      </c>
      <c r="C11" s="194">
        <f>'Weather Data'!B107</f>
        <v>194</v>
      </c>
      <c r="D11" s="194">
        <f>'Weather Data'!C107</f>
        <v>5.7</v>
      </c>
      <c r="E11" s="194">
        <v>30</v>
      </c>
      <c r="F11" s="194">
        <v>1</v>
      </c>
      <c r="G11" s="184">
        <v>0</v>
      </c>
      <c r="H11" s="195">
        <v>110.66546155690358</v>
      </c>
      <c r="I11" s="184">
        <v>4342</v>
      </c>
      <c r="J11" s="194">
        <v>336.24</v>
      </c>
      <c r="K11" s="194"/>
      <c r="L11" s="194"/>
      <c r="M11" s="285"/>
    </row>
    <row r="12" spans="1:13" ht="12.75" hidden="1" customHeight="1">
      <c r="A12" s="191">
        <v>36434</v>
      </c>
      <c r="B12" s="284">
        <v>11511565.809999987</v>
      </c>
      <c r="C12" s="194">
        <f>'Weather Data'!B108</f>
        <v>423.1</v>
      </c>
      <c r="D12" s="194">
        <f>'Weather Data'!C108</f>
        <v>0</v>
      </c>
      <c r="E12" s="194">
        <v>31</v>
      </c>
      <c r="F12" s="194">
        <v>1</v>
      </c>
      <c r="G12" s="184">
        <v>0</v>
      </c>
      <c r="H12" s="195">
        <v>111.33551352503846</v>
      </c>
      <c r="I12" s="184">
        <v>4301</v>
      </c>
      <c r="J12" s="194">
        <v>319.92</v>
      </c>
      <c r="K12" s="194"/>
      <c r="L12" s="194"/>
      <c r="M12" s="285"/>
    </row>
    <row r="13" spans="1:13" ht="12.75" hidden="1" customHeight="1">
      <c r="A13" s="191">
        <v>36465</v>
      </c>
      <c r="B13" s="284">
        <v>11957903.960000059</v>
      </c>
      <c r="C13" s="194">
        <f>'Weather Data'!B109</f>
        <v>500.7</v>
      </c>
      <c r="D13" s="194">
        <f>'Weather Data'!C109</f>
        <v>0</v>
      </c>
      <c r="E13" s="194">
        <v>30</v>
      </c>
      <c r="F13" s="194">
        <v>1</v>
      </c>
      <c r="G13" s="184">
        <v>0</v>
      </c>
      <c r="H13" s="195">
        <v>112.00962249193054</v>
      </c>
      <c r="I13" s="184">
        <v>4300</v>
      </c>
      <c r="J13" s="194">
        <v>352.08</v>
      </c>
      <c r="K13" s="194"/>
      <c r="L13" s="194"/>
      <c r="M13" s="285"/>
    </row>
    <row r="14" spans="1:13" ht="12.75" hidden="1" customHeight="1">
      <c r="A14" s="191">
        <v>36495</v>
      </c>
      <c r="B14" s="284">
        <v>13635988.280000184</v>
      </c>
      <c r="C14" s="194">
        <f>'Weather Data'!B110</f>
        <v>817.1</v>
      </c>
      <c r="D14" s="194">
        <f>'Weather Data'!C110</f>
        <v>0</v>
      </c>
      <c r="E14" s="194">
        <v>31</v>
      </c>
      <c r="F14" s="194">
        <v>0</v>
      </c>
      <c r="G14" s="184">
        <v>0</v>
      </c>
      <c r="H14" s="195">
        <v>112.68781302170287</v>
      </c>
      <c r="I14" s="184">
        <v>4280</v>
      </c>
      <c r="J14" s="194">
        <v>336.28800000000001</v>
      </c>
      <c r="K14" s="194"/>
      <c r="L14" s="194"/>
      <c r="M14" s="285"/>
    </row>
    <row r="15" spans="1:13" ht="12.75" hidden="1" customHeight="1">
      <c r="A15" s="191">
        <v>36526</v>
      </c>
      <c r="B15" s="284">
        <v>15330630.270000041</v>
      </c>
      <c r="C15" s="194">
        <f>'Weather Data'!B111</f>
        <v>963.5</v>
      </c>
      <c r="D15" s="194">
        <f>'Weather Data'!C111</f>
        <v>0</v>
      </c>
      <c r="E15" s="194">
        <v>31</v>
      </c>
      <c r="F15" s="194">
        <v>0</v>
      </c>
      <c r="G15" s="184">
        <v>0</v>
      </c>
      <c r="H15" s="195">
        <v>113.20550742744629</v>
      </c>
      <c r="I15" s="184">
        <v>4363</v>
      </c>
      <c r="J15" s="194">
        <v>319.92</v>
      </c>
      <c r="K15" s="194"/>
      <c r="L15" s="194"/>
      <c r="M15" s="285"/>
    </row>
    <row r="16" spans="1:13" ht="12.75" hidden="1" customHeight="1">
      <c r="A16" s="191">
        <v>36557</v>
      </c>
      <c r="B16" s="284">
        <v>13820223.840000024</v>
      </c>
      <c r="C16" s="194">
        <f>'Weather Data'!B112</f>
        <v>711.5</v>
      </c>
      <c r="D16" s="194">
        <f>'Weather Data'!C112</f>
        <v>0</v>
      </c>
      <c r="E16" s="194">
        <v>29</v>
      </c>
      <c r="F16" s="194">
        <v>0</v>
      </c>
      <c r="G16" s="184">
        <v>0</v>
      </c>
      <c r="H16" s="195">
        <v>113.72558015157706</v>
      </c>
      <c r="I16" s="184">
        <v>4394</v>
      </c>
      <c r="J16" s="194">
        <v>336.16799999999995</v>
      </c>
      <c r="K16" s="194"/>
      <c r="L16" s="194"/>
      <c r="M16" s="285"/>
    </row>
    <row r="17" spans="1:13" ht="12.75" hidden="1" customHeight="1">
      <c r="A17" s="191">
        <v>36586</v>
      </c>
      <c r="B17" s="284">
        <v>13391804.699999955</v>
      </c>
      <c r="C17" s="194">
        <f>'Weather Data'!B113</f>
        <v>574.6</v>
      </c>
      <c r="D17" s="194">
        <f>'Weather Data'!C113</f>
        <v>0</v>
      </c>
      <c r="E17" s="194">
        <v>31</v>
      </c>
      <c r="F17" s="194">
        <v>1</v>
      </c>
      <c r="G17" s="184">
        <v>0</v>
      </c>
      <c r="H17" s="195">
        <v>114.24804212022897</v>
      </c>
      <c r="I17" s="184">
        <v>4420</v>
      </c>
      <c r="J17" s="194">
        <v>368.28</v>
      </c>
      <c r="K17" s="194"/>
      <c r="L17" s="194"/>
      <c r="M17" s="285"/>
    </row>
    <row r="18" spans="1:13" ht="15" hidden="1" customHeight="1">
      <c r="A18" s="191">
        <v>36617</v>
      </c>
      <c r="B18" s="284">
        <v>12031969.870000001</v>
      </c>
      <c r="C18" s="194">
        <f>'Weather Data'!B114</f>
        <v>485.6</v>
      </c>
      <c r="D18" s="194">
        <f>'Weather Data'!C114</f>
        <v>0</v>
      </c>
      <c r="E18" s="194">
        <v>30</v>
      </c>
      <c r="F18" s="194">
        <v>1</v>
      </c>
      <c r="G18" s="184">
        <v>0</v>
      </c>
      <c r="H18" s="195">
        <v>114.77290430973115</v>
      </c>
      <c r="I18" s="184">
        <v>4465</v>
      </c>
      <c r="J18" s="194">
        <v>303.83999999999997</v>
      </c>
      <c r="K18" s="194"/>
      <c r="L18" s="194"/>
      <c r="M18" s="285"/>
    </row>
    <row r="19" spans="1:13" ht="12.75" hidden="1" customHeight="1">
      <c r="A19" s="191">
        <v>36647</v>
      </c>
      <c r="B19" s="284">
        <v>11503053.680000041</v>
      </c>
      <c r="C19" s="194">
        <f>'Weather Data'!B115</f>
        <v>260.5</v>
      </c>
      <c r="D19" s="194">
        <f>'Weather Data'!C115</f>
        <v>0</v>
      </c>
      <c r="E19" s="194">
        <v>31</v>
      </c>
      <c r="F19" s="194">
        <v>1</v>
      </c>
      <c r="G19" s="184">
        <v>0</v>
      </c>
      <c r="H19" s="195">
        <v>115.30017774683859</v>
      </c>
      <c r="I19" s="184">
        <v>4459</v>
      </c>
      <c r="J19" s="194">
        <v>351.91199999999998</v>
      </c>
      <c r="K19" s="194"/>
      <c r="L19" s="194"/>
      <c r="M19" s="285"/>
    </row>
    <row r="20" spans="1:13" ht="12.75" hidden="1" customHeight="1">
      <c r="A20" s="191">
        <v>36678</v>
      </c>
      <c r="B20" s="284">
        <v>11209215.519999966</v>
      </c>
      <c r="C20" s="194">
        <f>'Weather Data'!B116</f>
        <v>155.69999999999999</v>
      </c>
      <c r="D20" s="194">
        <f>'Weather Data'!C116</f>
        <v>2.2999999999999998</v>
      </c>
      <c r="E20" s="194">
        <v>30</v>
      </c>
      <c r="F20" s="194">
        <v>0</v>
      </c>
      <c r="G20" s="184">
        <v>0</v>
      </c>
      <c r="H20" s="195">
        <v>115.82987350896386</v>
      </c>
      <c r="I20" s="184">
        <v>4438</v>
      </c>
      <c r="J20" s="194">
        <v>352.08</v>
      </c>
      <c r="K20" s="194"/>
      <c r="L20" s="194"/>
      <c r="M20" s="285"/>
    </row>
    <row r="21" spans="1:13" ht="12.75" hidden="1" customHeight="1">
      <c r="A21" s="191">
        <v>36708</v>
      </c>
      <c r="B21" s="284">
        <v>11730066.360000063</v>
      </c>
      <c r="C21" s="194">
        <f>'Weather Data'!B117</f>
        <v>55.7</v>
      </c>
      <c r="D21" s="194">
        <f>'Weather Data'!C117</f>
        <v>20.8</v>
      </c>
      <c r="E21" s="194">
        <v>31</v>
      </c>
      <c r="F21" s="194">
        <v>0</v>
      </c>
      <c r="G21" s="184">
        <v>0</v>
      </c>
      <c r="H21" s="195">
        <v>116.36200272440982</v>
      </c>
      <c r="I21" s="184">
        <v>4493</v>
      </c>
      <c r="J21" s="194">
        <v>319.92</v>
      </c>
      <c r="K21" s="194"/>
      <c r="L21" s="194"/>
      <c r="M21" s="285"/>
    </row>
    <row r="22" spans="1:13" ht="12.75" hidden="1" customHeight="1">
      <c r="A22" s="191">
        <v>36739</v>
      </c>
      <c r="B22" s="284">
        <v>11661961.490000008</v>
      </c>
      <c r="C22" s="194">
        <f>'Weather Data'!B118</f>
        <v>63.4</v>
      </c>
      <c r="D22" s="194">
        <f>'Weather Data'!C118</f>
        <v>9.8000000000000007</v>
      </c>
      <c r="E22" s="194">
        <v>31</v>
      </c>
      <c r="F22" s="194">
        <v>0</v>
      </c>
      <c r="G22" s="184">
        <v>0</v>
      </c>
      <c r="H22" s="195">
        <v>116.89657657260338</v>
      </c>
      <c r="I22" s="184">
        <v>4491</v>
      </c>
      <c r="J22" s="194">
        <v>351.91199999999998</v>
      </c>
      <c r="K22" s="194"/>
      <c r="L22" s="194"/>
      <c r="M22" s="285"/>
    </row>
    <row r="23" spans="1:13" ht="12.75" hidden="1" customHeight="1">
      <c r="A23" s="191">
        <v>36770</v>
      </c>
      <c r="B23" s="284">
        <v>10980046.939999988</v>
      </c>
      <c r="C23" s="194">
        <f>'Weather Data'!B119</f>
        <v>223.3</v>
      </c>
      <c r="D23" s="194">
        <f>'Weather Data'!C119</f>
        <v>0</v>
      </c>
      <c r="E23" s="194">
        <v>30</v>
      </c>
      <c r="F23" s="194">
        <v>1</v>
      </c>
      <c r="G23" s="184">
        <v>0</v>
      </c>
      <c r="H23" s="195">
        <v>117.43360628433041</v>
      </c>
      <c r="I23" s="184">
        <v>4492</v>
      </c>
      <c r="J23" s="194">
        <v>319.68</v>
      </c>
      <c r="K23" s="194"/>
      <c r="L23" s="194"/>
      <c r="M23" s="285"/>
    </row>
    <row r="24" spans="1:13" ht="12.75" hidden="1" customHeight="1">
      <c r="A24" s="191">
        <v>36800</v>
      </c>
      <c r="B24" s="284">
        <v>11662354.17</v>
      </c>
      <c r="C24" s="194">
        <f>'Weather Data'!B120</f>
        <v>372.2</v>
      </c>
      <c r="D24" s="194">
        <f>'Weather Data'!C120</f>
        <v>0</v>
      </c>
      <c r="E24" s="194">
        <v>31</v>
      </c>
      <c r="F24" s="194">
        <v>1</v>
      </c>
      <c r="G24" s="184">
        <v>0</v>
      </c>
      <c r="H24" s="195">
        <v>117.97310314197166</v>
      </c>
      <c r="I24" s="184">
        <v>4507</v>
      </c>
      <c r="J24" s="194">
        <v>336.28800000000001</v>
      </c>
      <c r="K24" s="194"/>
      <c r="L24" s="194"/>
      <c r="M24" s="285"/>
    </row>
    <row r="25" spans="1:13" ht="12.75" hidden="1" customHeight="1">
      <c r="A25" s="191">
        <v>36831</v>
      </c>
      <c r="B25" s="284">
        <v>12675809.860000007</v>
      </c>
      <c r="C25" s="194">
        <f>'Weather Data'!B121</f>
        <v>561.6</v>
      </c>
      <c r="D25" s="194">
        <f>'Weather Data'!C121</f>
        <v>0</v>
      </c>
      <c r="E25" s="194">
        <v>30</v>
      </c>
      <c r="F25" s="194">
        <v>1</v>
      </c>
      <c r="G25" s="184">
        <v>0</v>
      </c>
      <c r="H25" s="195">
        <v>118.51507847973981</v>
      </c>
      <c r="I25" s="184">
        <v>4517</v>
      </c>
      <c r="J25" s="194">
        <v>352.08</v>
      </c>
      <c r="K25" s="194"/>
      <c r="L25" s="194"/>
      <c r="M25" s="285"/>
    </row>
    <row r="26" spans="1:13" ht="12.75" hidden="1" customHeight="1">
      <c r="A26" s="191">
        <v>36861</v>
      </c>
      <c r="B26" s="284">
        <v>15116274.879999993</v>
      </c>
      <c r="C26" s="194">
        <f>'Weather Data'!B122</f>
        <v>1041.3</v>
      </c>
      <c r="D26" s="194">
        <f>'Weather Data'!C122</f>
        <v>0</v>
      </c>
      <c r="E26" s="194">
        <v>31</v>
      </c>
      <c r="F26" s="194">
        <v>0</v>
      </c>
      <c r="G26" s="184">
        <v>0</v>
      </c>
      <c r="H26" s="195">
        <v>119.05954368391765</v>
      </c>
      <c r="I26" s="184">
        <v>4526</v>
      </c>
      <c r="J26" s="194">
        <v>304.29599999999999</v>
      </c>
      <c r="K26" s="194"/>
      <c r="L26" s="194"/>
      <c r="M26" s="285"/>
    </row>
    <row r="27" spans="1:13" ht="12.75" hidden="1" customHeight="1">
      <c r="A27" s="191">
        <v>36892</v>
      </c>
      <c r="B27" s="284">
        <v>15154298.049999971</v>
      </c>
      <c r="C27" s="194">
        <f>'Weather Data'!B123</f>
        <v>898.8</v>
      </c>
      <c r="D27" s="194">
        <f>'Weather Data'!C123</f>
        <v>0</v>
      </c>
      <c r="E27" s="194">
        <v>31</v>
      </c>
      <c r="F27" s="194">
        <v>0</v>
      </c>
      <c r="G27" s="184">
        <v>0</v>
      </c>
      <c r="H27" s="195">
        <v>119.23206305749976</v>
      </c>
      <c r="I27" s="184">
        <v>4498</v>
      </c>
      <c r="J27" s="194">
        <v>351.91199999999998</v>
      </c>
      <c r="K27" s="194"/>
      <c r="L27" s="194"/>
      <c r="M27" s="285"/>
    </row>
    <row r="28" spans="1:13" ht="12.75" hidden="1" customHeight="1">
      <c r="A28" s="191">
        <v>36925</v>
      </c>
      <c r="B28" s="284">
        <v>13641936.870000023</v>
      </c>
      <c r="C28" s="194">
        <f>'Weather Data'!B124</f>
        <v>918.9</v>
      </c>
      <c r="D28" s="194">
        <f>'Weather Data'!C124</f>
        <v>0</v>
      </c>
      <c r="E28" s="194">
        <v>28</v>
      </c>
      <c r="F28" s="194">
        <v>0</v>
      </c>
      <c r="G28" s="184">
        <v>0</v>
      </c>
      <c r="H28" s="195">
        <v>119.40483241468957</v>
      </c>
      <c r="I28" s="184">
        <v>4491</v>
      </c>
      <c r="J28" s="194">
        <v>319.87200000000001</v>
      </c>
      <c r="K28" s="194"/>
      <c r="L28" s="194"/>
      <c r="M28" s="285"/>
    </row>
    <row r="29" spans="1:13" ht="12.75" hidden="1" customHeight="1">
      <c r="A29" s="191">
        <v>36958</v>
      </c>
      <c r="B29" s="284">
        <v>13648088.129999986</v>
      </c>
      <c r="C29" s="194">
        <f>'Weather Data'!B125</f>
        <v>702.7</v>
      </c>
      <c r="D29" s="194">
        <f>'Weather Data'!C125</f>
        <v>0</v>
      </c>
      <c r="E29" s="194">
        <v>31</v>
      </c>
      <c r="F29" s="194">
        <v>1</v>
      </c>
      <c r="G29" s="184">
        <v>0</v>
      </c>
      <c r="H29" s="195">
        <v>119.57785211771773</v>
      </c>
      <c r="I29" s="184">
        <v>4480</v>
      </c>
      <c r="J29" s="194">
        <v>351.91199999999998</v>
      </c>
      <c r="K29" s="194"/>
      <c r="L29" s="194"/>
      <c r="M29" s="285"/>
    </row>
    <row r="30" spans="1:13" ht="12.75" hidden="1" customHeight="1">
      <c r="A30" s="191">
        <v>36991</v>
      </c>
      <c r="B30" s="284">
        <v>11856071.629999984</v>
      </c>
      <c r="C30" s="194">
        <f>'Weather Data'!B126</f>
        <v>430.7</v>
      </c>
      <c r="D30" s="194">
        <f>'Weather Data'!C126</f>
        <v>0</v>
      </c>
      <c r="E30" s="194">
        <v>30</v>
      </c>
      <c r="F30" s="194">
        <v>1</v>
      </c>
      <c r="G30" s="184">
        <v>0</v>
      </c>
      <c r="H30" s="195">
        <v>119.75112252933975</v>
      </c>
      <c r="I30" s="184">
        <v>4472</v>
      </c>
      <c r="J30" s="194">
        <v>319.68</v>
      </c>
      <c r="K30" s="194"/>
      <c r="L30" s="194"/>
      <c r="M30" s="285"/>
    </row>
    <row r="31" spans="1:13" ht="12.75" hidden="1" customHeight="1">
      <c r="A31" s="191">
        <v>37024</v>
      </c>
      <c r="B31" s="284">
        <v>11342214.670000011</v>
      </c>
      <c r="C31" s="194">
        <f>'Weather Data'!B127</f>
        <v>239.9</v>
      </c>
      <c r="D31" s="194">
        <f>'Weather Data'!C127</f>
        <v>0</v>
      </c>
      <c r="E31" s="194">
        <v>31</v>
      </c>
      <c r="F31" s="194">
        <v>1</v>
      </c>
      <c r="G31" s="184">
        <v>0</v>
      </c>
      <c r="H31" s="195">
        <v>119.92464401283681</v>
      </c>
      <c r="I31" s="184">
        <v>4445</v>
      </c>
      <c r="J31" s="194">
        <v>351.91199999999998</v>
      </c>
      <c r="K31" s="194"/>
      <c r="L31" s="194"/>
      <c r="M31" s="285"/>
    </row>
    <row r="32" spans="1:13" ht="12.75" hidden="1" customHeight="1">
      <c r="A32" s="191">
        <v>37057</v>
      </c>
      <c r="B32" s="284">
        <v>11131037.810000004</v>
      </c>
      <c r="C32" s="194">
        <f>'Weather Data'!B128</f>
        <v>114</v>
      </c>
      <c r="D32" s="194">
        <f>'Weather Data'!C128</f>
        <v>15.2</v>
      </c>
      <c r="E32" s="194">
        <v>30</v>
      </c>
      <c r="F32" s="194">
        <v>0</v>
      </c>
      <c r="G32" s="184">
        <v>0</v>
      </c>
      <c r="H32" s="195">
        <v>120.09841693201646</v>
      </c>
      <c r="I32" s="184">
        <v>4450</v>
      </c>
      <c r="J32" s="194">
        <v>336.24</v>
      </c>
      <c r="K32" s="194"/>
      <c r="L32" s="194"/>
      <c r="M32" s="285"/>
    </row>
    <row r="33" spans="1:13" ht="12.75" hidden="1" customHeight="1">
      <c r="A33" s="191">
        <v>37090</v>
      </c>
      <c r="B33" s="284">
        <v>11725874.649999997</v>
      </c>
      <c r="C33" s="194">
        <f>'Weather Data'!B129</f>
        <v>67.2</v>
      </c>
      <c r="D33" s="194">
        <f>'Weather Data'!C129</f>
        <v>29.7</v>
      </c>
      <c r="E33" s="194">
        <v>31</v>
      </c>
      <c r="F33" s="194">
        <v>0</v>
      </c>
      <c r="G33" s="184">
        <v>0</v>
      </c>
      <c r="H33" s="195">
        <v>120.27244165121344</v>
      </c>
      <c r="I33" s="184">
        <v>4422</v>
      </c>
      <c r="J33" s="194">
        <v>336.28800000000001</v>
      </c>
      <c r="K33" s="194"/>
      <c r="L33" s="194"/>
      <c r="M33" s="285"/>
    </row>
    <row r="34" spans="1:13" ht="12.75" hidden="1" customHeight="1">
      <c r="A34" s="191">
        <v>37123</v>
      </c>
      <c r="B34" s="284">
        <v>11877642.739999982</v>
      </c>
      <c r="C34" s="194">
        <f>'Weather Data'!B130</f>
        <v>40.200000000000003</v>
      </c>
      <c r="D34" s="194">
        <f>'Weather Data'!C130</f>
        <v>56.1</v>
      </c>
      <c r="E34" s="194">
        <v>31</v>
      </c>
      <c r="F34" s="194">
        <v>0</v>
      </c>
      <c r="G34" s="184">
        <v>0</v>
      </c>
      <c r="H34" s="195">
        <v>120.4467185352904</v>
      </c>
      <c r="I34" s="184">
        <v>4435</v>
      </c>
      <c r="J34" s="194">
        <v>351.91199999999998</v>
      </c>
      <c r="K34" s="194"/>
      <c r="L34" s="194"/>
      <c r="M34" s="285"/>
    </row>
    <row r="35" spans="1:13" ht="12.75" hidden="1" customHeight="1">
      <c r="A35" s="191">
        <v>37156</v>
      </c>
      <c r="B35" s="284">
        <v>11035991.490000013</v>
      </c>
      <c r="C35" s="194">
        <f>'Weather Data'!B131</f>
        <v>187.7</v>
      </c>
      <c r="D35" s="194">
        <f>'Weather Data'!C131</f>
        <v>6.8</v>
      </c>
      <c r="E35" s="194">
        <v>30</v>
      </c>
      <c r="F35" s="194">
        <v>1</v>
      </c>
      <c r="G35" s="184">
        <v>0</v>
      </c>
      <c r="H35" s="195">
        <v>120.62124794963869</v>
      </c>
      <c r="I35" s="184">
        <v>4439</v>
      </c>
      <c r="J35" s="194">
        <v>303.83999999999997</v>
      </c>
      <c r="K35" s="194"/>
      <c r="L35" s="194"/>
      <c r="M35" s="285"/>
    </row>
    <row r="36" spans="1:13" ht="12.75" hidden="1" customHeight="1">
      <c r="A36" s="191">
        <v>37189</v>
      </c>
      <c r="B36" s="284">
        <v>11725611.659999957</v>
      </c>
      <c r="C36" s="194">
        <f>'Weather Data'!B132</f>
        <v>408.6</v>
      </c>
      <c r="D36" s="194">
        <f>'Weather Data'!C132</f>
        <v>0</v>
      </c>
      <c r="E36" s="194">
        <v>31</v>
      </c>
      <c r="F36" s="194">
        <v>1</v>
      </c>
      <c r="G36" s="184">
        <v>0</v>
      </c>
      <c r="H36" s="195">
        <v>120.79603026017911</v>
      </c>
      <c r="I36" s="184">
        <v>4440</v>
      </c>
      <c r="J36" s="194">
        <v>351.91199999999998</v>
      </c>
      <c r="K36" s="194"/>
      <c r="L36" s="194"/>
      <c r="M36" s="285"/>
    </row>
    <row r="37" spans="1:13" ht="12.75" hidden="1" customHeight="1">
      <c r="A37" s="191">
        <v>37222</v>
      </c>
      <c r="B37" s="284">
        <v>12317932.960000003</v>
      </c>
      <c r="C37" s="194">
        <f>'Weather Data'!B133</f>
        <v>458.8</v>
      </c>
      <c r="D37" s="194">
        <f>'Weather Data'!C133</f>
        <v>0</v>
      </c>
      <c r="E37" s="194">
        <v>30</v>
      </c>
      <c r="F37" s="194">
        <v>1</v>
      </c>
      <c r="G37" s="184">
        <v>0</v>
      </c>
      <c r="H37" s="195">
        <v>120.9710658333627</v>
      </c>
      <c r="I37" s="184">
        <v>4465</v>
      </c>
      <c r="J37" s="194">
        <v>352.08</v>
      </c>
      <c r="K37" s="194"/>
      <c r="L37" s="194"/>
      <c r="M37" s="285"/>
    </row>
    <row r="38" spans="1:13" ht="12.75" hidden="1" customHeight="1">
      <c r="A38" s="191">
        <v>37255</v>
      </c>
      <c r="B38" s="284">
        <v>13753116.740000051</v>
      </c>
      <c r="C38" s="194">
        <f>'Weather Data'!B134</f>
        <v>716.4</v>
      </c>
      <c r="D38" s="194">
        <f>'Weather Data'!C134</f>
        <v>0</v>
      </c>
      <c r="E38" s="194">
        <v>31</v>
      </c>
      <c r="F38" s="194">
        <v>0</v>
      </c>
      <c r="G38" s="184">
        <v>0</v>
      </c>
      <c r="H38" s="195">
        <v>121.1463550361714</v>
      </c>
      <c r="I38" s="184">
        <v>4471</v>
      </c>
      <c r="J38" s="194">
        <v>304.29599999999999</v>
      </c>
      <c r="K38" s="194"/>
      <c r="L38" s="194"/>
      <c r="M38" s="285"/>
    </row>
    <row r="39" spans="1:13" ht="12.75" hidden="1" customHeight="1">
      <c r="A39" s="196">
        <v>37275</v>
      </c>
      <c r="B39" s="284">
        <v>14717580.350000001</v>
      </c>
      <c r="C39" s="194">
        <f>'Weather Data'!B135</f>
        <v>873.9</v>
      </c>
      <c r="D39" s="194">
        <f>'Weather Data'!C135</f>
        <v>0</v>
      </c>
      <c r="E39" s="194">
        <v>31</v>
      </c>
      <c r="F39" s="194">
        <v>0</v>
      </c>
      <c r="G39" s="184">
        <v>0</v>
      </c>
      <c r="H39" s="195">
        <v>121.50450639216388</v>
      </c>
      <c r="I39" s="184">
        <v>4441</v>
      </c>
      <c r="J39" s="194">
        <v>351.91199999999998</v>
      </c>
      <c r="K39" s="194"/>
      <c r="L39" s="194"/>
      <c r="M39" s="285"/>
    </row>
    <row r="40" spans="1:13" ht="12.75" hidden="1" customHeight="1">
      <c r="A40" s="191">
        <v>37308</v>
      </c>
      <c r="B40" s="284">
        <v>13558641.52</v>
      </c>
      <c r="C40" s="194">
        <f>'Weather Data'!B136</f>
        <v>733</v>
      </c>
      <c r="D40" s="194">
        <f>'Weather Data'!C136</f>
        <v>0</v>
      </c>
      <c r="E40" s="194">
        <v>28</v>
      </c>
      <c r="F40" s="194">
        <v>0</v>
      </c>
      <c r="G40" s="184">
        <v>0</v>
      </c>
      <c r="H40" s="195">
        <v>121.86371656989111</v>
      </c>
      <c r="I40" s="184">
        <v>4426</v>
      </c>
      <c r="J40" s="194">
        <v>319.87200000000001</v>
      </c>
      <c r="K40" s="194"/>
      <c r="L40" s="194"/>
      <c r="M40" s="285"/>
    </row>
    <row r="41" spans="1:13" ht="12.75" hidden="1" customHeight="1">
      <c r="A41" s="191">
        <v>37341</v>
      </c>
      <c r="B41" s="284">
        <v>14209911.489999987</v>
      </c>
      <c r="C41" s="194">
        <f>'Weather Data'!B137</f>
        <v>804.7</v>
      </c>
      <c r="D41" s="194">
        <f>'Weather Data'!C137</f>
        <v>0</v>
      </c>
      <c r="E41" s="194">
        <v>31</v>
      </c>
      <c r="F41" s="194">
        <v>1</v>
      </c>
      <c r="G41" s="184">
        <v>0</v>
      </c>
      <c r="H41" s="195">
        <v>122.22398869960362</v>
      </c>
      <c r="I41" s="184">
        <v>4441</v>
      </c>
      <c r="J41" s="194">
        <v>319.92</v>
      </c>
      <c r="K41" s="194"/>
      <c r="L41" s="194"/>
      <c r="M41" s="285"/>
    </row>
    <row r="42" spans="1:13" ht="12.75" hidden="1" customHeight="1">
      <c r="A42" s="191">
        <v>37374</v>
      </c>
      <c r="B42" s="284">
        <v>12272586.760000007</v>
      </c>
      <c r="C42" s="194">
        <f>'Weather Data'!B138</f>
        <v>462.3</v>
      </c>
      <c r="D42" s="194">
        <f>'Weather Data'!C138</f>
        <v>0</v>
      </c>
      <c r="E42" s="194">
        <v>30</v>
      </c>
      <c r="F42" s="194">
        <v>1</v>
      </c>
      <c r="G42" s="184">
        <v>0</v>
      </c>
      <c r="H42" s="195">
        <v>122.58532592080604</v>
      </c>
      <c r="I42" s="184">
        <v>4442</v>
      </c>
      <c r="J42" s="194">
        <v>352.08</v>
      </c>
      <c r="K42" s="194"/>
      <c r="L42" s="194"/>
      <c r="M42" s="285"/>
    </row>
    <row r="43" spans="1:13" ht="12.75" hidden="1" customHeight="1">
      <c r="A43" s="191">
        <v>37407</v>
      </c>
      <c r="B43" s="284">
        <v>11551602.899999985</v>
      </c>
      <c r="C43" s="194">
        <f>'Weather Data'!B139</f>
        <v>335</v>
      </c>
      <c r="D43" s="194">
        <f>'Weather Data'!C139</f>
        <v>0.5</v>
      </c>
      <c r="E43" s="194">
        <v>31</v>
      </c>
      <c r="F43" s="194">
        <v>1</v>
      </c>
      <c r="G43" s="184">
        <v>0</v>
      </c>
      <c r="H43" s="195">
        <v>122.9477313822845</v>
      </c>
      <c r="I43" s="184">
        <v>4426</v>
      </c>
      <c r="J43" s="194">
        <v>351.91199999999998</v>
      </c>
      <c r="K43" s="194"/>
      <c r="L43" s="194"/>
      <c r="M43" s="285"/>
    </row>
    <row r="44" spans="1:13" ht="12.75" hidden="1" customHeight="1">
      <c r="A44" s="191">
        <v>37408</v>
      </c>
      <c r="B44" s="284">
        <v>11122434.069999963</v>
      </c>
      <c r="C44" s="194">
        <f>'Weather Data'!B140</f>
        <v>114.4</v>
      </c>
      <c r="D44" s="194">
        <f>'Weather Data'!C140</f>
        <v>14.2</v>
      </c>
      <c r="E44" s="194">
        <v>30</v>
      </c>
      <c r="F44" s="194">
        <v>0</v>
      </c>
      <c r="G44" s="184">
        <v>0</v>
      </c>
      <c r="H44" s="195">
        <v>123.31120824213403</v>
      </c>
      <c r="I44" s="184">
        <v>4443</v>
      </c>
      <c r="J44" s="194">
        <v>319.68</v>
      </c>
      <c r="K44" s="194"/>
      <c r="L44" s="194"/>
      <c r="M44" s="285"/>
    </row>
    <row r="45" spans="1:13" ht="12.75" hidden="1" customHeight="1">
      <c r="A45" s="191">
        <v>37440</v>
      </c>
      <c r="B45" s="284">
        <v>12307378.490000024</v>
      </c>
      <c r="C45" s="194">
        <f>'Weather Data'!B141</f>
        <v>17.899999999999999</v>
      </c>
      <c r="D45" s="194">
        <f>'Weather Data'!C141</f>
        <v>79.3</v>
      </c>
      <c r="E45" s="194">
        <v>31</v>
      </c>
      <c r="F45" s="194">
        <v>0</v>
      </c>
      <c r="G45" s="184">
        <v>0</v>
      </c>
      <c r="H45" s="195">
        <v>123.67575966778612</v>
      </c>
      <c r="I45" s="184">
        <v>4432</v>
      </c>
      <c r="J45" s="194">
        <v>351.91199999999998</v>
      </c>
      <c r="K45" s="194"/>
      <c r="L45" s="194"/>
      <c r="M45" s="285"/>
    </row>
    <row r="46" spans="1:13" ht="12.75" hidden="1" customHeight="1">
      <c r="A46" s="191">
        <v>37473</v>
      </c>
      <c r="B46" s="284">
        <v>11929052.770000022</v>
      </c>
      <c r="C46" s="194">
        <f>'Weather Data'!B142</f>
        <v>49.7</v>
      </c>
      <c r="D46" s="194">
        <f>'Weather Data'!C142</f>
        <v>15.5</v>
      </c>
      <c r="E46" s="194">
        <v>31</v>
      </c>
      <c r="F46" s="194">
        <v>0</v>
      </c>
      <c r="G46" s="184">
        <v>0</v>
      </c>
      <c r="H46" s="195">
        <v>124.04138883603632</v>
      </c>
      <c r="I46" s="184">
        <v>4437</v>
      </c>
      <c r="J46" s="194">
        <v>336.28800000000001</v>
      </c>
      <c r="K46" s="194"/>
      <c r="L46" s="194"/>
      <c r="M46" s="285"/>
    </row>
    <row r="47" spans="1:13" ht="12.75" hidden="1" customHeight="1">
      <c r="A47" s="191">
        <v>37506</v>
      </c>
      <c r="B47" s="284">
        <v>11239412.900000025</v>
      </c>
      <c r="C47" s="194">
        <f>'Weather Data'!B143</f>
        <v>143.5</v>
      </c>
      <c r="D47" s="194">
        <f>'Weather Data'!C143</f>
        <v>20.9</v>
      </c>
      <c r="E47" s="194">
        <v>30</v>
      </c>
      <c r="F47" s="194">
        <v>1</v>
      </c>
      <c r="G47" s="184">
        <v>0</v>
      </c>
      <c r="H47" s="195">
        <v>124.40809893307186</v>
      </c>
      <c r="I47" s="184">
        <v>4403</v>
      </c>
      <c r="J47" s="194">
        <v>319.68</v>
      </c>
      <c r="K47" s="194"/>
      <c r="L47" s="194"/>
      <c r="M47" s="285"/>
    </row>
    <row r="48" spans="1:13" ht="12.75" hidden="1" customHeight="1">
      <c r="A48" s="191">
        <v>37539</v>
      </c>
      <c r="B48" s="284">
        <v>11801421.799999995</v>
      </c>
      <c r="C48" s="194">
        <f>'Weather Data'!B144</f>
        <v>510.1</v>
      </c>
      <c r="D48" s="194">
        <f>'Weather Data'!C144</f>
        <v>0</v>
      </c>
      <c r="E48" s="194">
        <v>31</v>
      </c>
      <c r="F48" s="194">
        <v>1</v>
      </c>
      <c r="G48" s="184">
        <v>0</v>
      </c>
      <c r="H48" s="195">
        <v>124.7758931544995</v>
      </c>
      <c r="I48" s="184">
        <v>4432</v>
      </c>
      <c r="J48" s="194">
        <v>351.91199999999998</v>
      </c>
      <c r="K48" s="194"/>
      <c r="L48" s="194"/>
      <c r="M48" s="285"/>
    </row>
    <row r="49" spans="1:13" ht="12.75" hidden="1" customHeight="1">
      <c r="A49" s="191">
        <v>37572</v>
      </c>
      <c r="B49" s="284">
        <v>12822028.619999986</v>
      </c>
      <c r="C49" s="194">
        <f>'Weather Data'!B145</f>
        <v>668</v>
      </c>
      <c r="D49" s="194">
        <f>'Weather Data'!C145</f>
        <v>0</v>
      </c>
      <c r="E49" s="194">
        <v>30</v>
      </c>
      <c r="F49" s="194">
        <v>1</v>
      </c>
      <c r="G49" s="184">
        <v>0</v>
      </c>
      <c r="H49" s="195">
        <v>125.14477470537335</v>
      </c>
      <c r="I49" s="184">
        <v>4430</v>
      </c>
      <c r="J49" s="194">
        <v>336.24</v>
      </c>
      <c r="K49" s="194"/>
      <c r="L49" s="194"/>
      <c r="M49" s="285"/>
    </row>
    <row r="50" spans="1:13" ht="12.75" hidden="1" customHeight="1">
      <c r="A50" s="183">
        <v>37605</v>
      </c>
      <c r="B50" s="284">
        <v>14078380.420000011</v>
      </c>
      <c r="C50" s="194">
        <f>'Weather Data'!B146</f>
        <v>785.6</v>
      </c>
      <c r="D50" s="194">
        <f>'Weather Data'!C146</f>
        <v>0</v>
      </c>
      <c r="E50" s="184">
        <v>31</v>
      </c>
      <c r="F50" s="184">
        <v>0</v>
      </c>
      <c r="G50" s="184">
        <v>0</v>
      </c>
      <c r="H50" s="185">
        <v>125.51474680022261</v>
      </c>
      <c r="I50" s="184">
        <v>4411</v>
      </c>
      <c r="J50" s="194">
        <v>319.92</v>
      </c>
      <c r="K50" s="194"/>
      <c r="L50" s="194"/>
      <c r="M50" s="286"/>
    </row>
    <row r="51" spans="1:13" ht="12.75" hidden="1" customHeight="1">
      <c r="A51" s="191">
        <v>37622</v>
      </c>
      <c r="B51" s="284">
        <v>14832051.379999967</v>
      </c>
      <c r="C51" s="194">
        <f>'Weather Data'!B147</f>
        <v>907.4</v>
      </c>
      <c r="D51" s="194">
        <f>'Weather Data'!C147</f>
        <v>0</v>
      </c>
      <c r="E51" s="194">
        <v>31</v>
      </c>
      <c r="F51" s="194">
        <v>0</v>
      </c>
      <c r="G51" s="184">
        <v>0</v>
      </c>
      <c r="H51" s="195">
        <v>125.66024937363977</v>
      </c>
      <c r="I51" s="184">
        <v>4415</v>
      </c>
      <c r="J51" s="194">
        <v>351.91199999999998</v>
      </c>
      <c r="K51" s="194"/>
      <c r="L51" s="194"/>
      <c r="M51" s="285"/>
    </row>
    <row r="52" spans="1:13" ht="12.75" hidden="1" customHeight="1">
      <c r="A52" s="191">
        <v>37653</v>
      </c>
      <c r="B52" s="284">
        <v>13779215.899999993</v>
      </c>
      <c r="C52" s="194">
        <f>'Weather Data'!B148</f>
        <v>969.6</v>
      </c>
      <c r="D52" s="194">
        <f>'Weather Data'!C148</f>
        <v>0</v>
      </c>
      <c r="E52" s="194">
        <v>28</v>
      </c>
      <c r="F52" s="194">
        <v>0</v>
      </c>
      <c r="G52" s="184">
        <v>0</v>
      </c>
      <c r="H52" s="195">
        <v>125.80592062045517</v>
      </c>
      <c r="I52" s="184">
        <v>4377</v>
      </c>
      <c r="J52" s="194">
        <v>319.87200000000001</v>
      </c>
      <c r="K52" s="194"/>
      <c r="L52" s="194"/>
      <c r="M52" s="285"/>
    </row>
    <row r="53" spans="1:13" ht="12.75" hidden="1" customHeight="1">
      <c r="A53" s="191">
        <v>37681</v>
      </c>
      <c r="B53" s="284">
        <v>13829301.070000036</v>
      </c>
      <c r="C53" s="194">
        <f>'Weather Data'!B149</f>
        <v>765.1</v>
      </c>
      <c r="D53" s="194">
        <f>'Weather Data'!C149</f>
        <v>0</v>
      </c>
      <c r="E53" s="194">
        <v>31</v>
      </c>
      <c r="F53" s="194">
        <v>1</v>
      </c>
      <c r="G53" s="184">
        <v>0</v>
      </c>
      <c r="H53" s="195">
        <v>125.9517607362029</v>
      </c>
      <c r="I53" s="184">
        <v>4394</v>
      </c>
      <c r="J53" s="194">
        <v>336.28800000000001</v>
      </c>
      <c r="K53" s="194"/>
      <c r="L53" s="194"/>
      <c r="M53" s="285"/>
    </row>
    <row r="54" spans="1:13" ht="12.75" hidden="1" customHeight="1">
      <c r="A54" s="191">
        <v>37712</v>
      </c>
      <c r="B54" s="284">
        <v>11430988.720000001</v>
      </c>
      <c r="C54" s="194">
        <f>'Weather Data'!B150</f>
        <v>499.3</v>
      </c>
      <c r="D54" s="194">
        <f>'Weather Data'!C150</f>
        <v>0</v>
      </c>
      <c r="E54" s="194">
        <v>30</v>
      </c>
      <c r="F54" s="194">
        <v>1</v>
      </c>
      <c r="G54" s="184">
        <v>0</v>
      </c>
      <c r="H54" s="195">
        <v>126.09776991664374</v>
      </c>
      <c r="I54" s="184">
        <v>4387</v>
      </c>
      <c r="J54" s="194">
        <v>336.24</v>
      </c>
      <c r="K54" s="194"/>
      <c r="L54" s="194"/>
      <c r="M54" s="285"/>
    </row>
    <row r="55" spans="1:13" ht="12.75" hidden="1" customHeight="1">
      <c r="A55" s="191">
        <v>37742</v>
      </c>
      <c r="B55" s="284">
        <v>10893804.240000037</v>
      </c>
      <c r="C55" s="194">
        <f>'Weather Data'!B151</f>
        <v>276.39999999999998</v>
      </c>
      <c r="D55" s="194">
        <f>'Weather Data'!C151</f>
        <v>0</v>
      </c>
      <c r="E55" s="194">
        <v>31</v>
      </c>
      <c r="F55" s="194">
        <v>1</v>
      </c>
      <c r="G55" s="184">
        <v>0</v>
      </c>
      <c r="H55" s="195">
        <v>126.2439483577654</v>
      </c>
      <c r="I55" s="184">
        <v>4398</v>
      </c>
      <c r="J55" s="194">
        <v>336.28800000000001</v>
      </c>
      <c r="K55" s="194"/>
      <c r="L55" s="194"/>
      <c r="M55" s="285"/>
    </row>
    <row r="56" spans="1:13" ht="12.75" hidden="1" customHeight="1">
      <c r="A56" s="191">
        <v>37773</v>
      </c>
      <c r="B56" s="284">
        <v>10521914.630000027</v>
      </c>
      <c r="C56" s="194">
        <f>'Weather Data'!B152</f>
        <v>129.30000000000001</v>
      </c>
      <c r="D56" s="194">
        <f>'Weather Data'!C152</f>
        <v>0</v>
      </c>
      <c r="E56" s="194">
        <v>30</v>
      </c>
      <c r="F56" s="194">
        <v>0</v>
      </c>
      <c r="G56" s="184">
        <v>0</v>
      </c>
      <c r="H56" s="195">
        <v>126.3902962557828</v>
      </c>
      <c r="I56" s="184">
        <v>4361</v>
      </c>
      <c r="J56" s="194">
        <v>336.24</v>
      </c>
      <c r="K56" s="194"/>
      <c r="L56" s="194"/>
      <c r="M56" s="285"/>
    </row>
    <row r="57" spans="1:13" ht="12.75" hidden="1" customHeight="1">
      <c r="A57" s="191">
        <v>37803</v>
      </c>
      <c r="B57" s="284">
        <v>11128406.430000007</v>
      </c>
      <c r="C57" s="194">
        <f>'Weather Data'!B153</f>
        <v>29.9</v>
      </c>
      <c r="D57" s="194">
        <f>'Weather Data'!C153</f>
        <v>18.2</v>
      </c>
      <c r="E57" s="194">
        <v>31</v>
      </c>
      <c r="F57" s="194">
        <v>0</v>
      </c>
      <c r="G57" s="184">
        <v>0</v>
      </c>
      <c r="H57" s="195">
        <v>126.5368138071383</v>
      </c>
      <c r="I57" s="184">
        <v>4354</v>
      </c>
      <c r="J57" s="194">
        <v>351.91199999999998</v>
      </c>
      <c r="K57" s="194"/>
      <c r="L57" s="194"/>
      <c r="M57" s="285"/>
    </row>
    <row r="58" spans="1:13" ht="12.75" hidden="1" customHeight="1">
      <c r="A58" s="191">
        <v>37834</v>
      </c>
      <c r="B58" s="284">
        <v>11424088.600000011</v>
      </c>
      <c r="C58" s="194">
        <f>'Weather Data'!B154</f>
        <v>35.6</v>
      </c>
      <c r="D58" s="194">
        <f>'Weather Data'!C154</f>
        <v>50.9</v>
      </c>
      <c r="E58" s="194">
        <v>31</v>
      </c>
      <c r="F58" s="194">
        <v>0</v>
      </c>
      <c r="G58" s="184">
        <v>0</v>
      </c>
      <c r="H58" s="195">
        <v>126.68350120850199</v>
      </c>
      <c r="I58" s="184">
        <v>4366</v>
      </c>
      <c r="J58" s="194">
        <v>319.92</v>
      </c>
      <c r="K58" s="194"/>
      <c r="L58" s="194"/>
      <c r="M58" s="285"/>
    </row>
    <row r="59" spans="1:13" ht="12.75" hidden="1" customHeight="1">
      <c r="A59" s="191">
        <v>37865</v>
      </c>
      <c r="B59" s="284">
        <v>10536500.330000013</v>
      </c>
      <c r="C59" s="194">
        <f>'Weather Data'!B155</f>
        <v>164</v>
      </c>
      <c r="D59" s="194">
        <f>'Weather Data'!C155</f>
        <v>6.7</v>
      </c>
      <c r="E59" s="194">
        <v>30</v>
      </c>
      <c r="F59" s="194">
        <v>1</v>
      </c>
      <c r="G59" s="184">
        <v>0</v>
      </c>
      <c r="H59" s="195">
        <v>126.83035865677196</v>
      </c>
      <c r="I59" s="184">
        <v>4384</v>
      </c>
      <c r="J59" s="194">
        <v>336.24</v>
      </c>
      <c r="K59" s="194"/>
      <c r="L59" s="194"/>
      <c r="M59" s="285"/>
    </row>
    <row r="60" spans="1:13" ht="12.75" hidden="1" customHeight="1">
      <c r="A60" s="191">
        <v>37895</v>
      </c>
      <c r="B60" s="284">
        <v>11282977.670000009</v>
      </c>
      <c r="C60" s="194">
        <f>'Weather Data'!B156</f>
        <v>414.2</v>
      </c>
      <c r="D60" s="194">
        <f>'Weather Data'!C156</f>
        <v>0</v>
      </c>
      <c r="E60" s="194">
        <v>31</v>
      </c>
      <c r="F60" s="194">
        <v>1</v>
      </c>
      <c r="G60" s="184">
        <v>0</v>
      </c>
      <c r="H60" s="195">
        <v>126.97738634907456</v>
      </c>
      <c r="I60" s="184">
        <v>4391</v>
      </c>
      <c r="J60" s="194">
        <v>351.91199999999998</v>
      </c>
      <c r="K60" s="194"/>
      <c r="L60" s="194"/>
      <c r="M60" s="285"/>
    </row>
    <row r="61" spans="1:13" ht="12.75" hidden="1" customHeight="1">
      <c r="A61" s="191">
        <v>37926</v>
      </c>
      <c r="B61" s="284">
        <v>12256111.299999986</v>
      </c>
      <c r="C61" s="194">
        <f>'Weather Data'!B157</f>
        <v>632.9</v>
      </c>
      <c r="D61" s="194">
        <f>'Weather Data'!C157</f>
        <v>0</v>
      </c>
      <c r="E61" s="194">
        <v>30</v>
      </c>
      <c r="F61" s="194">
        <v>1</v>
      </c>
      <c r="G61" s="184">
        <v>0</v>
      </c>
      <c r="H61" s="195">
        <v>127.12458448276465</v>
      </c>
      <c r="I61" s="184">
        <v>4392</v>
      </c>
      <c r="J61" s="194">
        <v>319.68</v>
      </c>
      <c r="K61" s="194"/>
      <c r="L61" s="194"/>
      <c r="M61" s="285"/>
    </row>
    <row r="62" spans="1:13" ht="12.75" hidden="1" customHeight="1">
      <c r="A62" s="191">
        <v>37956</v>
      </c>
      <c r="B62" s="284">
        <v>13505417.100000024</v>
      </c>
      <c r="C62" s="194">
        <f>'Weather Data'!B158</f>
        <v>785.9</v>
      </c>
      <c r="D62" s="194">
        <f>'Weather Data'!C158</f>
        <v>0</v>
      </c>
      <c r="E62" s="194">
        <v>31</v>
      </c>
      <c r="F62" s="194">
        <v>0</v>
      </c>
      <c r="G62" s="184">
        <v>0</v>
      </c>
      <c r="H62" s="195">
        <v>127.27195325542573</v>
      </c>
      <c r="I62" s="184">
        <v>4385</v>
      </c>
      <c r="J62" s="194">
        <v>336.28800000000001</v>
      </c>
      <c r="K62" s="194"/>
      <c r="L62" s="194"/>
      <c r="M62" s="285"/>
    </row>
    <row r="63" spans="1:13" ht="12.75" hidden="1" customHeight="1">
      <c r="A63" s="191">
        <v>37987</v>
      </c>
      <c r="B63" s="284">
        <v>14816217.600000024</v>
      </c>
      <c r="C63" s="194">
        <f>'Weather Data'!B159</f>
        <v>1140.5999999999999</v>
      </c>
      <c r="D63" s="194">
        <f>'Weather Data'!C159</f>
        <v>0</v>
      </c>
      <c r="E63" s="194">
        <v>31</v>
      </c>
      <c r="F63" s="194">
        <v>0</v>
      </c>
      <c r="G63" s="184">
        <v>0</v>
      </c>
      <c r="H63" s="195">
        <v>127.53411264087498</v>
      </c>
      <c r="I63" s="184">
        <v>4415</v>
      </c>
      <c r="J63" s="194">
        <v>336.28800000000001</v>
      </c>
      <c r="K63" s="194"/>
      <c r="L63" s="194"/>
      <c r="M63" s="285"/>
    </row>
    <row r="64" spans="1:13" ht="12.75" hidden="1" customHeight="1">
      <c r="A64" s="191">
        <v>38018</v>
      </c>
      <c r="B64" s="284">
        <v>13887023.500000006</v>
      </c>
      <c r="C64" s="194">
        <f>'Weather Data'!B160</f>
        <v>778.3</v>
      </c>
      <c r="D64" s="194">
        <f>'Weather Data'!C160</f>
        <v>0</v>
      </c>
      <c r="E64" s="194">
        <v>29</v>
      </c>
      <c r="F64" s="194">
        <v>0</v>
      </c>
      <c r="G64" s="184">
        <v>0</v>
      </c>
      <c r="H64" s="195">
        <v>127.79681203173486</v>
      </c>
      <c r="I64" s="184">
        <v>4423</v>
      </c>
      <c r="J64" s="194">
        <v>320.16000000000003</v>
      </c>
      <c r="K64" s="194"/>
      <c r="L64" s="194"/>
      <c r="M64" s="285"/>
    </row>
    <row r="65" spans="1:41" ht="12.75" hidden="1" customHeight="1">
      <c r="A65" s="191">
        <v>38047</v>
      </c>
      <c r="B65" s="284">
        <v>13418396.62999998</v>
      </c>
      <c r="C65" s="194">
        <f>'Weather Data'!B161</f>
        <v>684.3</v>
      </c>
      <c r="D65" s="194">
        <f>'Weather Data'!C161</f>
        <v>0</v>
      </c>
      <c r="E65" s="194">
        <v>31</v>
      </c>
      <c r="F65" s="194">
        <v>1</v>
      </c>
      <c r="G65" s="184">
        <v>0</v>
      </c>
      <c r="H65" s="195">
        <v>128.06005254032812</v>
      </c>
      <c r="I65" s="184">
        <v>4412</v>
      </c>
      <c r="J65" s="194">
        <v>368.28</v>
      </c>
      <c r="K65" s="194"/>
      <c r="L65" s="194"/>
      <c r="M65" s="285"/>
    </row>
    <row r="66" spans="1:41" ht="12.75" hidden="1" customHeight="1">
      <c r="A66" s="191">
        <v>38078</v>
      </c>
      <c r="B66" s="284">
        <v>11743989.460000006</v>
      </c>
      <c r="C66" s="194">
        <f>'Weather Data'!B162</f>
        <v>472.4</v>
      </c>
      <c r="D66" s="194">
        <f>'Weather Data'!C162</f>
        <v>0</v>
      </c>
      <c r="E66" s="194">
        <v>30</v>
      </c>
      <c r="F66" s="194">
        <v>1</v>
      </c>
      <c r="G66" s="184">
        <v>0</v>
      </c>
      <c r="H66" s="195">
        <v>128.32383528126866</v>
      </c>
      <c r="I66" s="184">
        <v>4398</v>
      </c>
      <c r="J66" s="194">
        <v>336.24</v>
      </c>
      <c r="K66" s="194"/>
      <c r="L66" s="194"/>
      <c r="M66" s="285"/>
    </row>
    <row r="67" spans="1:41" ht="12.75" hidden="1" customHeight="1">
      <c r="A67" s="191">
        <v>38108</v>
      </c>
      <c r="B67" s="284">
        <v>11392997.179999998</v>
      </c>
      <c r="C67" s="194">
        <f>'Weather Data'!B163</f>
        <v>333.2</v>
      </c>
      <c r="D67" s="194">
        <f>'Weather Data'!C163</f>
        <v>0</v>
      </c>
      <c r="E67" s="194">
        <v>31</v>
      </c>
      <c r="F67" s="194">
        <v>1</v>
      </c>
      <c r="G67" s="184">
        <v>0</v>
      </c>
      <c r="H67" s="195">
        <v>128.58816137146633</v>
      </c>
      <c r="I67" s="184">
        <v>4405</v>
      </c>
      <c r="J67" s="194">
        <v>319.92</v>
      </c>
      <c r="K67" s="194"/>
      <c r="L67" s="194"/>
      <c r="M67" s="285"/>
    </row>
    <row r="68" spans="1:41" ht="12.75" hidden="1" customHeight="1">
      <c r="A68" s="191">
        <v>38139</v>
      </c>
      <c r="B68" s="284">
        <v>10739165.880000006</v>
      </c>
      <c r="C68" s="194">
        <f>'Weather Data'!B164</f>
        <v>145.80000000000001</v>
      </c>
      <c r="D68" s="194">
        <f>'Weather Data'!C164</f>
        <v>3.1</v>
      </c>
      <c r="E68" s="194">
        <v>30</v>
      </c>
      <c r="F68" s="194">
        <v>0</v>
      </c>
      <c r="G68" s="184">
        <v>0</v>
      </c>
      <c r="H68" s="195">
        <v>128.85303193013166</v>
      </c>
      <c r="I68" s="184">
        <v>4421</v>
      </c>
      <c r="J68" s="194">
        <v>352.08</v>
      </c>
      <c r="K68" s="194"/>
      <c r="L68" s="194"/>
      <c r="M68" s="285"/>
    </row>
    <row r="69" spans="1:41" ht="12.75" hidden="1" customHeight="1">
      <c r="A69" s="191">
        <v>38169</v>
      </c>
      <c r="B69" s="284">
        <v>11518786.739999982</v>
      </c>
      <c r="C69" s="194">
        <f>'Weather Data'!B165</f>
        <v>67.400000000000006</v>
      </c>
      <c r="D69" s="194">
        <f>'Weather Data'!C165</f>
        <v>22</v>
      </c>
      <c r="E69" s="194">
        <v>31</v>
      </c>
      <c r="F69" s="194">
        <v>0</v>
      </c>
      <c r="G69" s="184">
        <v>0</v>
      </c>
      <c r="H69" s="195">
        <v>129.11844807878055</v>
      </c>
      <c r="I69" s="184">
        <v>4428</v>
      </c>
      <c r="J69" s="194">
        <v>336.28800000000001</v>
      </c>
      <c r="K69" s="194"/>
      <c r="L69" s="194"/>
      <c r="M69" s="285"/>
    </row>
    <row r="70" spans="1:41" ht="12.75" hidden="1" customHeight="1">
      <c r="A70" s="191">
        <v>38200</v>
      </c>
      <c r="B70" s="284">
        <v>11273129.019999975</v>
      </c>
      <c r="C70" s="194">
        <f>'Weather Data'!B166</f>
        <v>123</v>
      </c>
      <c r="D70" s="194">
        <f>'Weather Data'!C166</f>
        <v>1.8</v>
      </c>
      <c r="E70" s="194">
        <v>31</v>
      </c>
      <c r="F70" s="194">
        <v>0</v>
      </c>
      <c r="G70" s="184">
        <v>0</v>
      </c>
      <c r="H70" s="195">
        <v>129.38441094123903</v>
      </c>
      <c r="I70" s="184">
        <v>4394</v>
      </c>
      <c r="J70" s="194">
        <v>336.28800000000001</v>
      </c>
      <c r="K70" s="194"/>
      <c r="L70" s="194"/>
      <c r="M70" s="285"/>
    </row>
    <row r="71" spans="1:41" ht="12.75" hidden="1" customHeight="1">
      <c r="A71" s="191">
        <v>38231</v>
      </c>
      <c r="B71" s="284">
        <v>10874645.45999998</v>
      </c>
      <c r="C71" s="194">
        <f>'Weather Data'!B167</f>
        <v>132.9</v>
      </c>
      <c r="D71" s="194">
        <f>'Weather Data'!C167</f>
        <v>4.7</v>
      </c>
      <c r="E71" s="194">
        <v>30</v>
      </c>
      <c r="F71" s="194">
        <v>1</v>
      </c>
      <c r="G71" s="184">
        <v>0</v>
      </c>
      <c r="H71" s="195">
        <v>129.65092164364802</v>
      </c>
      <c r="I71" s="184">
        <v>4392</v>
      </c>
      <c r="J71" s="194">
        <v>336.24</v>
      </c>
      <c r="K71" s="194"/>
      <c r="L71" s="194"/>
      <c r="M71" s="285"/>
    </row>
    <row r="72" spans="1:41" ht="12.75" hidden="1" customHeight="1">
      <c r="A72" s="191">
        <v>38261</v>
      </c>
      <c r="B72" s="284">
        <v>11638624.420000004</v>
      </c>
      <c r="C72" s="194">
        <f>'Weather Data'!B168</f>
        <v>372.7</v>
      </c>
      <c r="D72" s="194">
        <f>'Weather Data'!C168</f>
        <v>0</v>
      </c>
      <c r="E72" s="194">
        <v>31</v>
      </c>
      <c r="F72" s="194">
        <v>1</v>
      </c>
      <c r="G72" s="184">
        <v>0</v>
      </c>
      <c r="H72" s="195">
        <v>129.91798131446814</v>
      </c>
      <c r="I72" s="184">
        <v>4412</v>
      </c>
      <c r="J72" s="194">
        <v>319.92</v>
      </c>
      <c r="K72" s="194"/>
      <c r="L72" s="194"/>
      <c r="M72" s="285"/>
    </row>
    <row r="73" spans="1:41" ht="12.75" hidden="1" customHeight="1">
      <c r="A73" s="191">
        <v>38292</v>
      </c>
      <c r="B73" s="284">
        <v>12406564.950000012</v>
      </c>
      <c r="C73" s="194">
        <f>'Weather Data'!B169</f>
        <v>554.9</v>
      </c>
      <c r="D73" s="194">
        <f>'Weather Data'!C169</f>
        <v>0</v>
      </c>
      <c r="E73" s="194">
        <v>30</v>
      </c>
      <c r="F73" s="194">
        <v>1</v>
      </c>
      <c r="G73" s="184">
        <v>0</v>
      </c>
      <c r="H73" s="195">
        <v>130.18559108448443</v>
      </c>
      <c r="I73" s="184">
        <v>4454</v>
      </c>
      <c r="J73" s="194">
        <v>352.08</v>
      </c>
      <c r="K73" s="194"/>
      <c r="L73" s="194"/>
      <c r="M73" s="285"/>
    </row>
    <row r="74" spans="1:41" ht="12.75" hidden="1" customHeight="1">
      <c r="A74" s="191">
        <v>38322</v>
      </c>
      <c r="B74" s="284">
        <v>14682121.650000013</v>
      </c>
      <c r="C74" s="194">
        <f>'Weather Data'!B170</f>
        <v>926.6</v>
      </c>
      <c r="D74" s="194">
        <f>'Weather Data'!C170</f>
        <v>0</v>
      </c>
      <c r="E74" s="194">
        <v>31</v>
      </c>
      <c r="F74" s="194">
        <v>0</v>
      </c>
      <c r="G74" s="184">
        <v>0</v>
      </c>
      <c r="H74" s="195">
        <v>130.45375208681136</v>
      </c>
      <c r="I74" s="184">
        <v>4439</v>
      </c>
      <c r="J74" s="194">
        <v>336.28800000000001</v>
      </c>
      <c r="K74" s="194"/>
      <c r="L74" s="194"/>
      <c r="M74" s="285"/>
    </row>
    <row r="75" spans="1:41" ht="12.75" hidden="1" customHeight="1">
      <c r="A75" s="191">
        <v>38353</v>
      </c>
      <c r="B75" s="284">
        <v>15490461.069999997</v>
      </c>
      <c r="C75" s="194">
        <f>'Weather Data'!B171</f>
        <v>1084.3</v>
      </c>
      <c r="D75" s="194">
        <f>'Weather Data'!C171</f>
        <v>0</v>
      </c>
      <c r="E75" s="194">
        <v>31</v>
      </c>
      <c r="F75" s="194">
        <v>0</v>
      </c>
      <c r="G75" s="184">
        <v>0</v>
      </c>
      <c r="H75" s="195">
        <v>130.74370215685079</v>
      </c>
      <c r="I75" s="184">
        <v>4449</v>
      </c>
      <c r="J75" s="194">
        <v>319.92</v>
      </c>
      <c r="K75" s="194"/>
      <c r="L75" s="194"/>
      <c r="M75" s="285"/>
    </row>
    <row r="76" spans="1:41" s="9" customFormat="1" ht="12.75" hidden="1" customHeight="1">
      <c r="A76" s="191">
        <v>38384</v>
      </c>
      <c r="B76" s="284">
        <v>13456927.609999986</v>
      </c>
      <c r="C76" s="194">
        <f>'Weather Data'!B172</f>
        <v>755.9</v>
      </c>
      <c r="D76" s="194">
        <f>'Weather Data'!C172</f>
        <v>0</v>
      </c>
      <c r="E76" s="194">
        <v>28</v>
      </c>
      <c r="F76" s="194">
        <v>0</v>
      </c>
      <c r="G76" s="184">
        <v>0</v>
      </c>
      <c r="H76" s="195">
        <v>131.0342966778299</v>
      </c>
      <c r="I76" s="184">
        <v>4434</v>
      </c>
      <c r="J76" s="194">
        <v>319.87200000000001</v>
      </c>
      <c r="K76" s="194"/>
      <c r="L76" s="194"/>
      <c r="M76" s="285"/>
      <c r="N76"/>
      <c r="O76"/>
      <c r="P76"/>
      <c r="Q76"/>
      <c r="R76"/>
      <c r="S76"/>
      <c r="T76"/>
      <c r="U76"/>
      <c r="V76"/>
      <c r="W76"/>
      <c r="X76"/>
      <c r="Y76"/>
      <c r="Z76"/>
      <c r="AA76"/>
      <c r="AB76"/>
      <c r="AC76"/>
      <c r="AD76"/>
      <c r="AE76"/>
      <c r="AF76"/>
      <c r="AG76"/>
      <c r="AH76"/>
      <c r="AI76"/>
      <c r="AJ76"/>
      <c r="AK76"/>
      <c r="AL76"/>
      <c r="AM76"/>
      <c r="AN76"/>
      <c r="AO76"/>
    </row>
    <row r="77" spans="1:41" ht="12.75" hidden="1" customHeight="1">
      <c r="A77" s="191">
        <v>38412</v>
      </c>
      <c r="B77" s="284">
        <v>13345813.870000025</v>
      </c>
      <c r="C77" s="194">
        <f>'Weather Data'!B173</f>
        <v>814.1</v>
      </c>
      <c r="D77" s="194">
        <f>'Weather Data'!C173</f>
        <v>0</v>
      </c>
      <c r="E77" s="194">
        <v>31</v>
      </c>
      <c r="F77" s="194">
        <v>1</v>
      </c>
      <c r="G77" s="184">
        <v>0</v>
      </c>
      <c r="H77" s="195">
        <v>131.32553708212293</v>
      </c>
      <c r="I77" s="184">
        <v>4422</v>
      </c>
      <c r="J77" s="194">
        <v>351.91199999999998</v>
      </c>
      <c r="K77" s="194"/>
      <c r="L77" s="194"/>
      <c r="M77" s="285"/>
    </row>
    <row r="78" spans="1:41" ht="12.75" hidden="1" customHeight="1">
      <c r="A78" s="191">
        <v>38443</v>
      </c>
      <c r="B78" s="284">
        <v>11242470.140000001</v>
      </c>
      <c r="C78" s="194">
        <f>'Weather Data'!B174</f>
        <v>408.1</v>
      </c>
      <c r="D78" s="194">
        <f>'Weather Data'!C174</f>
        <v>0</v>
      </c>
      <c r="E78" s="194">
        <v>30</v>
      </c>
      <c r="F78" s="194">
        <v>1</v>
      </c>
      <c r="G78" s="184">
        <v>0</v>
      </c>
      <c r="H78" s="195">
        <v>131.61742480528775</v>
      </c>
      <c r="I78" s="184">
        <v>4429</v>
      </c>
      <c r="J78" s="194">
        <v>336.24</v>
      </c>
      <c r="K78" s="194"/>
      <c r="L78" s="194"/>
      <c r="M78" s="285"/>
    </row>
    <row r="79" spans="1:41" ht="12.75" hidden="1" customHeight="1">
      <c r="A79" s="191">
        <v>38473</v>
      </c>
      <c r="B79" s="284">
        <v>11077309.790000007</v>
      </c>
      <c r="C79" s="194">
        <f>'Weather Data'!B175</f>
        <v>306.2</v>
      </c>
      <c r="D79" s="194">
        <f>'Weather Data'!C175</f>
        <v>0</v>
      </c>
      <c r="E79" s="194">
        <v>31</v>
      </c>
      <c r="F79" s="194">
        <v>1</v>
      </c>
      <c r="G79" s="184">
        <v>0</v>
      </c>
      <c r="H79" s="195">
        <v>131.90996128607298</v>
      </c>
      <c r="I79" s="184">
        <v>4381</v>
      </c>
      <c r="J79" s="194">
        <v>336.28800000000001</v>
      </c>
      <c r="K79" s="194"/>
      <c r="L79" s="194"/>
      <c r="M79" s="285"/>
    </row>
    <row r="80" spans="1:41" ht="12.75" hidden="1" customHeight="1">
      <c r="A80" s="191">
        <v>38504</v>
      </c>
      <c r="B80" s="284">
        <v>10921396.540000018</v>
      </c>
      <c r="C80" s="194">
        <f>'Weather Data'!B176</f>
        <v>72.599999999999994</v>
      </c>
      <c r="D80" s="194">
        <f>'Weather Data'!C176</f>
        <v>16.8</v>
      </c>
      <c r="E80" s="194">
        <v>30</v>
      </c>
      <c r="F80" s="194">
        <v>0</v>
      </c>
      <c r="G80" s="184">
        <v>0</v>
      </c>
      <c r="H80" s="195">
        <v>132.20314796642501</v>
      </c>
      <c r="I80" s="184">
        <v>4385</v>
      </c>
      <c r="J80" s="194">
        <v>352.08</v>
      </c>
      <c r="K80" s="194"/>
      <c r="L80" s="194"/>
      <c r="M80" s="285"/>
    </row>
    <row r="81" spans="1:41" ht="12.75" hidden="1" customHeight="1">
      <c r="A81" s="191">
        <v>38534</v>
      </c>
      <c r="B81" s="284">
        <v>11811198.419999963</v>
      </c>
      <c r="C81" s="194">
        <f>'Weather Data'!B177</f>
        <v>45.3</v>
      </c>
      <c r="D81" s="194">
        <f>'Weather Data'!C177</f>
        <v>53</v>
      </c>
      <c r="E81" s="194">
        <v>31</v>
      </c>
      <c r="F81" s="194">
        <v>0</v>
      </c>
      <c r="G81" s="184">
        <v>0</v>
      </c>
      <c r="H81" s="195">
        <v>132.49698629149512</v>
      </c>
      <c r="I81" s="184">
        <v>4385</v>
      </c>
      <c r="J81" s="194">
        <v>319.92</v>
      </c>
      <c r="K81" s="194"/>
      <c r="L81" s="194"/>
      <c r="M81" s="285"/>
    </row>
    <row r="82" spans="1:41" ht="12.75" hidden="1" customHeight="1">
      <c r="A82" s="191">
        <v>38565</v>
      </c>
      <c r="B82" s="284">
        <v>11621455.870000014</v>
      </c>
      <c r="C82" s="194">
        <f>'Weather Data'!B178</f>
        <v>46.3</v>
      </c>
      <c r="D82" s="194">
        <f>'Weather Data'!C178</f>
        <v>29.6</v>
      </c>
      <c r="E82" s="194">
        <v>31</v>
      </c>
      <c r="F82" s="194">
        <v>0</v>
      </c>
      <c r="G82" s="184">
        <v>0</v>
      </c>
      <c r="H82" s="195">
        <v>132.79147770964664</v>
      </c>
      <c r="I82" s="184">
        <v>4374</v>
      </c>
      <c r="J82" s="194">
        <v>351.91199999999998</v>
      </c>
      <c r="K82" s="194"/>
      <c r="L82" s="194"/>
      <c r="M82" s="285"/>
    </row>
    <row r="83" spans="1:41" ht="12.75" hidden="1" customHeight="1">
      <c r="A83" s="191">
        <v>38596</v>
      </c>
      <c r="B83" s="284">
        <v>10756551.00999997</v>
      </c>
      <c r="C83" s="194">
        <f>'Weather Data'!B179</f>
        <v>148.80000000000001</v>
      </c>
      <c r="D83" s="194">
        <f>'Weather Data'!C179</f>
        <v>15.2</v>
      </c>
      <c r="E83" s="194">
        <v>30</v>
      </c>
      <c r="F83" s="194">
        <v>1</v>
      </c>
      <c r="G83" s="184">
        <v>0</v>
      </c>
      <c r="H83" s="195">
        <v>133.08662367246211</v>
      </c>
      <c r="I83" s="184">
        <v>4400</v>
      </c>
      <c r="J83" s="194">
        <v>336.24</v>
      </c>
      <c r="K83" s="194"/>
      <c r="L83" s="194"/>
      <c r="M83" s="285"/>
    </row>
    <row r="84" spans="1:41" ht="12.75" hidden="1" customHeight="1">
      <c r="A84" s="191">
        <v>38626</v>
      </c>
      <c r="B84" s="284">
        <v>11210250.469999989</v>
      </c>
      <c r="C84" s="194">
        <f>'Weather Data'!B180</f>
        <v>347.3</v>
      </c>
      <c r="D84" s="194">
        <f>'Weather Data'!C180</f>
        <v>0</v>
      </c>
      <c r="E84" s="194">
        <v>31</v>
      </c>
      <c r="F84" s="194">
        <v>1</v>
      </c>
      <c r="G84" s="184">
        <v>0</v>
      </c>
      <c r="H84" s="195">
        <v>133.38242563475035</v>
      </c>
      <c r="I84" s="184">
        <v>4427</v>
      </c>
      <c r="J84" s="194">
        <v>319.92</v>
      </c>
      <c r="K84" s="194"/>
      <c r="L84" s="194"/>
      <c r="M84" s="285"/>
    </row>
    <row r="85" spans="1:41" ht="12.75" hidden="1" customHeight="1">
      <c r="A85" s="191">
        <v>38657</v>
      </c>
      <c r="B85" s="284">
        <v>12421436.97000001</v>
      </c>
      <c r="C85" s="194">
        <f>'Weather Data'!B181</f>
        <v>606.9</v>
      </c>
      <c r="D85" s="194">
        <f>'Weather Data'!C181</f>
        <v>0</v>
      </c>
      <c r="E85" s="194">
        <v>30</v>
      </c>
      <c r="F85" s="194">
        <v>1</v>
      </c>
      <c r="G85" s="184">
        <v>0</v>
      </c>
      <c r="H85" s="195">
        <v>133.67888505455369</v>
      </c>
      <c r="I85" s="184">
        <v>4431</v>
      </c>
      <c r="J85" s="194">
        <v>352.08</v>
      </c>
      <c r="K85" s="194"/>
      <c r="L85" s="194"/>
      <c r="M85" s="285"/>
    </row>
    <row r="86" spans="1:41" ht="12.75" hidden="1" customHeight="1">
      <c r="A86" s="191">
        <v>38687</v>
      </c>
      <c r="B86" s="284">
        <v>14062601.490000019</v>
      </c>
      <c r="C86" s="194">
        <f>'Weather Data'!B182</f>
        <v>833.4</v>
      </c>
      <c r="D86" s="194">
        <f>'Weather Data'!C182</f>
        <v>0</v>
      </c>
      <c r="E86" s="194">
        <v>31</v>
      </c>
      <c r="F86" s="194">
        <v>0</v>
      </c>
      <c r="G86" s="184">
        <v>0</v>
      </c>
      <c r="H86" s="195">
        <v>133.97600339315525</v>
      </c>
      <c r="I86" s="184">
        <v>4434</v>
      </c>
      <c r="J86" s="194">
        <v>319.92</v>
      </c>
      <c r="K86" s="194"/>
      <c r="L86" s="194"/>
      <c r="M86" s="285"/>
    </row>
    <row r="87" spans="1:41" s="21" customFormat="1" ht="15">
      <c r="A87" s="191">
        <v>38718</v>
      </c>
      <c r="B87" s="284">
        <v>14009855.030000025</v>
      </c>
      <c r="C87" s="194">
        <f>'Weather Data'!B183</f>
        <v>797</v>
      </c>
      <c r="D87" s="194">
        <f>'Weather Data'!C183</f>
        <v>0</v>
      </c>
      <c r="E87" s="194">
        <v>31</v>
      </c>
      <c r="F87" s="194">
        <v>0</v>
      </c>
      <c r="G87" s="184">
        <f>'CDM Activity'!O19</f>
        <v>0</v>
      </c>
      <c r="H87" s="195">
        <v>134.25197202423305</v>
      </c>
      <c r="I87" s="184">
        <v>4433</v>
      </c>
      <c r="J87" s="194">
        <v>336.28800000000001</v>
      </c>
      <c r="K87" s="194">
        <f>$O$103+C87*$O$104+D87*$O$105+E87*$O$106+F87*$O$107+G87*$O$108+H87*$O$109</f>
        <v>13236612.901272178</v>
      </c>
      <c r="L87" s="194">
        <f>K87-B87</f>
        <v>-773242.12872784771</v>
      </c>
      <c r="M87" s="285">
        <f>ABS(L87/B87)</f>
        <v>5.5192728766433663E-2</v>
      </c>
      <c r="N87" s="260" t="s">
        <v>15</v>
      </c>
      <c r="O87"/>
      <c r="P87"/>
      <c r="Q87"/>
      <c r="R87"/>
      <c r="S87"/>
      <c r="T87"/>
      <c r="U87"/>
      <c r="V87"/>
      <c r="W87"/>
      <c r="X87"/>
      <c r="Y87"/>
      <c r="Z87"/>
      <c r="AA87"/>
      <c r="AB87"/>
      <c r="AC87"/>
      <c r="AD87"/>
      <c r="AE87"/>
      <c r="AF87"/>
      <c r="AG87"/>
      <c r="AH87"/>
      <c r="AI87"/>
      <c r="AJ87"/>
      <c r="AK87"/>
      <c r="AL87"/>
      <c r="AM87"/>
      <c r="AN87"/>
      <c r="AO87"/>
    </row>
    <row r="88" spans="1:41" ht="13.5" thickBot="1">
      <c r="A88" s="191">
        <v>38749</v>
      </c>
      <c r="B88" s="284">
        <v>12948095.099999985</v>
      </c>
      <c r="C88" s="194">
        <f>'Weather Data'!B184</f>
        <v>873.4</v>
      </c>
      <c r="D88" s="194">
        <f>'Weather Data'!C184</f>
        <v>0</v>
      </c>
      <c r="E88" s="194">
        <v>28</v>
      </c>
      <c r="F88" s="194">
        <v>0</v>
      </c>
      <c r="G88" s="184">
        <f>'CDM Activity'!O20</f>
        <v>0</v>
      </c>
      <c r="H88" s="195">
        <v>134.52850910550649</v>
      </c>
      <c r="I88" s="184">
        <v>4414</v>
      </c>
      <c r="J88" s="194">
        <v>319.87200000000001</v>
      </c>
      <c r="K88" s="194">
        <f t="shared" ref="K88:K151" si="0">$O$103+C88*$O$104+D88*$O$105+E88*$O$106+F88*$O$107+G88*$O$108+H88*$O$109</f>
        <v>12737684.059525359</v>
      </c>
      <c r="L88" s="194">
        <f t="shared" ref="L88:L151" si="1">K88-B88</f>
        <v>-210411.0404746253</v>
      </c>
      <c r="M88" s="285">
        <f t="shared" ref="M88:M151" si="2">ABS(L88/B88)</f>
        <v>1.6250347163006669E-2</v>
      </c>
    </row>
    <row r="89" spans="1:41">
      <c r="A89" s="191">
        <v>38777</v>
      </c>
      <c r="B89" s="284">
        <v>13054109.160000017</v>
      </c>
      <c r="C89" s="194">
        <f>'Weather Data'!B185</f>
        <v>659</v>
      </c>
      <c r="D89" s="194">
        <f>'Weather Data'!C185</f>
        <v>0</v>
      </c>
      <c r="E89" s="194">
        <v>31</v>
      </c>
      <c r="F89" s="194">
        <v>1</v>
      </c>
      <c r="G89" s="184">
        <f>'CDM Activity'!O21</f>
        <v>0</v>
      </c>
      <c r="H89" s="195">
        <v>134.80561580788986</v>
      </c>
      <c r="I89" s="184">
        <v>4391</v>
      </c>
      <c r="J89" s="194">
        <v>368.28</v>
      </c>
      <c r="K89" s="194">
        <f t="shared" si="0"/>
        <v>12143058.156464083</v>
      </c>
      <c r="L89" s="194">
        <f t="shared" si="1"/>
        <v>-911051.00353593379</v>
      </c>
      <c r="M89" s="285">
        <f t="shared" si="2"/>
        <v>6.9790361974875093E-2</v>
      </c>
      <c r="N89" s="33" t="s">
        <v>16</v>
      </c>
      <c r="O89" s="33"/>
    </row>
    <row r="90" spans="1:41">
      <c r="A90" s="191">
        <v>38808</v>
      </c>
      <c r="B90" s="284">
        <v>10956512.820000019</v>
      </c>
      <c r="C90" s="194">
        <f>'Weather Data'!B186</f>
        <v>366</v>
      </c>
      <c r="D90" s="194">
        <f>'Weather Data'!C186</f>
        <v>0</v>
      </c>
      <c r="E90" s="194">
        <v>30</v>
      </c>
      <c r="F90" s="194">
        <v>1</v>
      </c>
      <c r="G90" s="184">
        <f>'CDM Activity'!O22</f>
        <v>0</v>
      </c>
      <c r="H90" s="195">
        <v>135.08329330470943</v>
      </c>
      <c r="I90" s="184">
        <v>4406</v>
      </c>
      <c r="J90" s="194">
        <v>303.83999999999997</v>
      </c>
      <c r="K90" s="194">
        <f t="shared" si="0"/>
        <v>10592365.802199356</v>
      </c>
      <c r="L90" s="194">
        <f t="shared" si="1"/>
        <v>-364147.01780066267</v>
      </c>
      <c r="M90" s="285">
        <f t="shared" si="2"/>
        <v>3.3235667568968542E-2</v>
      </c>
      <c r="N90" s="24" t="s">
        <v>17</v>
      </c>
      <c r="O90" s="36">
        <v>0.97280302708607735</v>
      </c>
    </row>
    <row r="91" spans="1:41">
      <c r="A91" s="191">
        <v>38838</v>
      </c>
      <c r="B91" s="284">
        <v>10855268.19999999</v>
      </c>
      <c r="C91" s="194">
        <f>'Weather Data'!B187</f>
        <v>241.5</v>
      </c>
      <c r="D91" s="194">
        <f>'Weather Data'!C187</f>
        <v>2.4</v>
      </c>
      <c r="E91" s="194">
        <v>31</v>
      </c>
      <c r="F91" s="194">
        <v>1</v>
      </c>
      <c r="G91" s="184">
        <f>'CDM Activity'!O23</f>
        <v>0</v>
      </c>
      <c r="H91" s="195">
        <v>135.36154277170829</v>
      </c>
      <c r="I91" s="184">
        <v>4345</v>
      </c>
      <c r="J91" s="194">
        <v>351.91199999999998</v>
      </c>
      <c r="K91" s="194">
        <f t="shared" si="0"/>
        <v>10392744.527350936</v>
      </c>
      <c r="L91" s="194">
        <f t="shared" si="1"/>
        <v>-462523.67264905386</v>
      </c>
      <c r="M91" s="285">
        <f t="shared" si="2"/>
        <v>4.2608221568312267E-2</v>
      </c>
      <c r="N91" s="24" t="s">
        <v>18</v>
      </c>
      <c r="O91" s="36">
        <v>0.94634572950783524</v>
      </c>
    </row>
    <row r="92" spans="1:41">
      <c r="A92" s="191">
        <v>38869</v>
      </c>
      <c r="B92" s="284">
        <v>10708123.620000008</v>
      </c>
      <c r="C92" s="194">
        <f>'Weather Data'!B188</f>
        <v>81.5</v>
      </c>
      <c r="D92" s="194">
        <f>'Weather Data'!C188</f>
        <v>9.3000000000000007</v>
      </c>
      <c r="E92" s="194">
        <v>30</v>
      </c>
      <c r="F92" s="194">
        <v>0</v>
      </c>
      <c r="G92" s="184">
        <f>'CDM Activity'!O24</f>
        <v>0</v>
      </c>
      <c r="H92" s="195">
        <v>135.64036538705133</v>
      </c>
      <c r="I92" s="184">
        <v>4313</v>
      </c>
      <c r="J92" s="194">
        <v>352.08</v>
      </c>
      <c r="K92" s="194">
        <f t="shared" si="0"/>
        <v>10083445.835381426</v>
      </c>
      <c r="L92" s="194">
        <f t="shared" si="1"/>
        <v>-624677.78461858258</v>
      </c>
      <c r="M92" s="285">
        <f t="shared" si="2"/>
        <v>5.8336811077885381E-2</v>
      </c>
      <c r="N92" s="24" t="s">
        <v>19</v>
      </c>
      <c r="O92" s="36">
        <v>0.94349683018966723</v>
      </c>
    </row>
    <row r="93" spans="1:41">
      <c r="A93" s="191">
        <v>38899</v>
      </c>
      <c r="B93" s="284">
        <v>11588558.24</v>
      </c>
      <c r="C93" s="194">
        <f>'Weather Data'!B189</f>
        <v>23.2</v>
      </c>
      <c r="D93" s="194">
        <f>'Weather Data'!C189</f>
        <v>70.099999999999994</v>
      </c>
      <c r="E93" s="194">
        <v>31</v>
      </c>
      <c r="F93" s="194">
        <v>0</v>
      </c>
      <c r="G93" s="184">
        <f>'CDM Activity'!O25</f>
        <v>0</v>
      </c>
      <c r="H93" s="195">
        <v>135.9197623313303</v>
      </c>
      <c r="I93" s="184">
        <v>4283</v>
      </c>
      <c r="J93" s="194">
        <v>319.92</v>
      </c>
      <c r="K93" s="194">
        <f t="shared" si="0"/>
        <v>11392604.806806752</v>
      </c>
      <c r="L93" s="194">
        <f t="shared" si="1"/>
        <v>-195953.43319324777</v>
      </c>
      <c r="M93" s="285">
        <f t="shared" si="2"/>
        <v>1.6909215895112743E-2</v>
      </c>
      <c r="N93" s="24" t="s">
        <v>20</v>
      </c>
      <c r="O93" s="42">
        <v>332059.29802626238</v>
      </c>
    </row>
    <row r="94" spans="1:41" ht="13.5" thickBot="1">
      <c r="A94" s="191">
        <v>38930</v>
      </c>
      <c r="B94" s="284">
        <v>11264379.980000004</v>
      </c>
      <c r="C94" s="194">
        <f>'Weather Data'!B190</f>
        <v>57.7</v>
      </c>
      <c r="D94" s="194">
        <f>'Weather Data'!C190</f>
        <v>31.7</v>
      </c>
      <c r="E94" s="194">
        <v>31</v>
      </c>
      <c r="F94" s="194">
        <v>0</v>
      </c>
      <c r="G94" s="184">
        <f>'CDM Activity'!O26</f>
        <v>0</v>
      </c>
      <c r="H94" s="195">
        <v>136.19973478756879</v>
      </c>
      <c r="I94" s="184">
        <v>4211</v>
      </c>
      <c r="J94" s="194">
        <v>351.91199999999998</v>
      </c>
      <c r="K94" s="194">
        <f t="shared" si="0"/>
        <v>10754811.167069303</v>
      </c>
      <c r="L94" s="194">
        <f t="shared" si="1"/>
        <v>-509568.8129307013</v>
      </c>
      <c r="M94" s="285">
        <f t="shared" si="2"/>
        <v>4.5237182502316571E-2</v>
      </c>
      <c r="N94" s="31" t="s">
        <v>21</v>
      </c>
      <c r="O94" s="31">
        <v>120</v>
      </c>
    </row>
    <row r="95" spans="1:41">
      <c r="A95" s="191">
        <v>38961</v>
      </c>
      <c r="B95" s="284">
        <v>10343203.63999998</v>
      </c>
      <c r="C95" s="194">
        <f>'Weather Data'!B191</f>
        <v>210.5</v>
      </c>
      <c r="D95" s="194">
        <f>'Weather Data'!C191</f>
        <v>1.2</v>
      </c>
      <c r="E95" s="194">
        <v>30</v>
      </c>
      <c r="F95" s="194">
        <v>1</v>
      </c>
      <c r="G95" s="184">
        <f>'CDM Activity'!O27</f>
        <v>0</v>
      </c>
      <c r="H95" s="195">
        <v>136.48028394122719</v>
      </c>
      <c r="I95" s="184">
        <v>4237</v>
      </c>
      <c r="J95" s="194">
        <v>319.68</v>
      </c>
      <c r="K95" s="194">
        <f t="shared" si="0"/>
        <v>10001885.831457453</v>
      </c>
      <c r="L95" s="194">
        <f t="shared" si="1"/>
        <v>-341317.80854252726</v>
      </c>
      <c r="M95" s="285">
        <f t="shared" si="2"/>
        <v>3.2999235094101652E-2</v>
      </c>
    </row>
    <row r="96" spans="1:41" ht="13.5" thickBot="1">
      <c r="A96" s="191">
        <v>38991</v>
      </c>
      <c r="B96" s="284">
        <v>11071073.29999999</v>
      </c>
      <c r="C96" s="194">
        <f>'Weather Data'!B192</f>
        <v>440.9</v>
      </c>
      <c r="D96" s="194">
        <f>'Weather Data'!C192</f>
        <v>0</v>
      </c>
      <c r="E96" s="194">
        <v>31</v>
      </c>
      <c r="F96" s="194">
        <v>1</v>
      </c>
      <c r="G96" s="184">
        <f>'CDM Activity'!O28</f>
        <v>0</v>
      </c>
      <c r="H96" s="195">
        <v>136.76141098020776</v>
      </c>
      <c r="I96" s="184">
        <v>4240</v>
      </c>
      <c r="J96" s="194">
        <v>336.28800000000001</v>
      </c>
      <c r="K96" s="194">
        <f t="shared" si="0"/>
        <v>11279564.967314091</v>
      </c>
      <c r="L96" s="194">
        <f t="shared" si="1"/>
        <v>208491.66731410101</v>
      </c>
      <c r="M96" s="285">
        <f t="shared" si="2"/>
        <v>1.8832109738998945E-2</v>
      </c>
      <c r="N96" t="s">
        <v>22</v>
      </c>
    </row>
    <row r="97" spans="1:20">
      <c r="A97" s="191">
        <v>39022</v>
      </c>
      <c r="B97" s="284">
        <v>11834500.279999968</v>
      </c>
      <c r="C97" s="194">
        <f>'Weather Data'!B193</f>
        <v>540.4</v>
      </c>
      <c r="D97" s="194">
        <f>'Weather Data'!C193</f>
        <v>0</v>
      </c>
      <c r="E97" s="194">
        <v>30</v>
      </c>
      <c r="F97" s="194">
        <v>1</v>
      </c>
      <c r="G97" s="184">
        <f>'CDM Activity'!O29</f>
        <v>0</v>
      </c>
      <c r="H97" s="195">
        <v>137.04311709485967</v>
      </c>
      <c r="I97" s="184">
        <v>4239</v>
      </c>
      <c r="J97" s="194">
        <v>352.08</v>
      </c>
      <c r="K97" s="194">
        <f t="shared" si="0"/>
        <v>11445841.84739117</v>
      </c>
      <c r="L97" s="194">
        <f t="shared" si="1"/>
        <v>-388658.43260879815</v>
      </c>
      <c r="M97" s="285">
        <f t="shared" si="2"/>
        <v>3.2841135951099006E-2</v>
      </c>
      <c r="N97" s="32"/>
      <c r="O97" s="32" t="s">
        <v>26</v>
      </c>
      <c r="P97" s="32" t="s">
        <v>27</v>
      </c>
      <c r="Q97" s="32" t="s">
        <v>28</v>
      </c>
      <c r="R97" s="32" t="s">
        <v>29</v>
      </c>
      <c r="S97" s="32" t="s">
        <v>30</v>
      </c>
    </row>
    <row r="98" spans="1:20">
      <c r="A98" s="191">
        <v>39052</v>
      </c>
      <c r="B98" s="284">
        <v>12997339.17999999</v>
      </c>
      <c r="C98" s="194">
        <f>'Weather Data'!B194</f>
        <v>747.4</v>
      </c>
      <c r="D98" s="194">
        <f>'Weather Data'!C194</f>
        <v>0</v>
      </c>
      <c r="E98" s="194">
        <v>31</v>
      </c>
      <c r="F98" s="194">
        <v>0</v>
      </c>
      <c r="G98" s="184">
        <f>'CDM Activity'!O30</f>
        <v>0</v>
      </c>
      <c r="H98" s="195">
        <v>137.32540347798411</v>
      </c>
      <c r="I98" s="184">
        <v>4254</v>
      </c>
      <c r="J98" s="194">
        <v>304.29599999999999</v>
      </c>
      <c r="K98" s="194">
        <f t="shared" si="0"/>
        <v>13161832.15992537</v>
      </c>
      <c r="L98" s="194">
        <f t="shared" si="1"/>
        <v>164492.97992537916</v>
      </c>
      <c r="M98" s="285">
        <f t="shared" si="2"/>
        <v>1.2655896537538791E-2</v>
      </c>
      <c r="N98" s="24" t="s">
        <v>23</v>
      </c>
      <c r="O98" s="24">
        <v>6</v>
      </c>
      <c r="P98" s="24">
        <v>219763350000214.66</v>
      </c>
      <c r="Q98" s="24">
        <v>36627225000035.773</v>
      </c>
      <c r="R98" s="24">
        <v>332.17942223257432</v>
      </c>
      <c r="S98" s="24">
        <v>2.5199529595052889E-69</v>
      </c>
    </row>
    <row r="99" spans="1:20">
      <c r="A99" s="191">
        <v>39083</v>
      </c>
      <c r="B99" s="284">
        <v>14031526.530000027</v>
      </c>
      <c r="C99" s="194">
        <f>'Weather Data'!B195</f>
        <v>913.4</v>
      </c>
      <c r="D99" s="194">
        <f>'Weather Data'!C195</f>
        <v>0</v>
      </c>
      <c r="E99" s="194">
        <v>31</v>
      </c>
      <c r="F99" s="194">
        <v>0</v>
      </c>
      <c r="G99" s="184">
        <f>'CDM Activity'!O31</f>
        <v>0</v>
      </c>
      <c r="H99" s="195">
        <v>137.552207546647</v>
      </c>
      <c r="I99" s="184">
        <v>4297</v>
      </c>
      <c r="J99" s="194">
        <v>351.91199999999998</v>
      </c>
      <c r="K99" s="194">
        <f t="shared" si="0"/>
        <v>13898402.340827173</v>
      </c>
      <c r="L99" s="194">
        <f t="shared" si="1"/>
        <v>-133124.18917285465</v>
      </c>
      <c r="M99" s="285">
        <f t="shared" si="2"/>
        <v>9.4875057883566129E-3</v>
      </c>
      <c r="N99" s="24" t="s">
        <v>24</v>
      </c>
      <c r="O99" s="24">
        <v>113</v>
      </c>
      <c r="P99" s="24">
        <v>12459761646843.439</v>
      </c>
      <c r="Q99" s="24">
        <v>110263377405.69415</v>
      </c>
      <c r="R99" s="24"/>
      <c r="S99" s="24"/>
    </row>
    <row r="100" spans="1:20" ht="13.5" thickBot="1">
      <c r="A100" s="191">
        <v>39114</v>
      </c>
      <c r="B100" s="284">
        <v>13413294.690000024</v>
      </c>
      <c r="C100" s="194">
        <f>'Weather Data'!B196</f>
        <v>924.7</v>
      </c>
      <c r="D100" s="194">
        <f>'Weather Data'!C196</f>
        <v>0</v>
      </c>
      <c r="E100" s="194">
        <v>28</v>
      </c>
      <c r="F100" s="194">
        <v>0</v>
      </c>
      <c r="G100" s="184">
        <f>'CDM Activity'!O32</f>
        <v>0</v>
      </c>
      <c r="H100" s="195">
        <v>137.77938620066888</v>
      </c>
      <c r="I100" s="184">
        <v>4295</v>
      </c>
      <c r="J100" s="194">
        <v>319.87200000000001</v>
      </c>
      <c r="K100" s="194">
        <f t="shared" si="0"/>
        <v>13112444.929634443</v>
      </c>
      <c r="L100" s="194">
        <f t="shared" si="1"/>
        <v>-300849.76036558114</v>
      </c>
      <c r="M100" s="285">
        <f t="shared" si="2"/>
        <v>2.242922170269418E-2</v>
      </c>
      <c r="N100" s="31" t="s">
        <v>5</v>
      </c>
      <c r="O100" s="31">
        <v>119</v>
      </c>
      <c r="P100" s="31">
        <v>232223111647058.09</v>
      </c>
      <c r="Q100" s="31"/>
      <c r="R100" s="31"/>
      <c r="S100" s="31"/>
    </row>
    <row r="101" spans="1:20" ht="13.5" thickBot="1">
      <c r="A101" s="191">
        <v>39142</v>
      </c>
      <c r="B101" s="284">
        <v>13148947.050000003</v>
      </c>
      <c r="C101" s="194">
        <f>'Weather Data'!B197</f>
        <v>665</v>
      </c>
      <c r="D101" s="194">
        <f>'Weather Data'!C197</f>
        <v>0</v>
      </c>
      <c r="E101" s="194">
        <v>31</v>
      </c>
      <c r="F101" s="194">
        <v>1</v>
      </c>
      <c r="G101" s="184">
        <f>'CDM Activity'!O33</f>
        <v>0</v>
      </c>
      <c r="H101" s="195">
        <v>138.00694005870795</v>
      </c>
      <c r="I101" s="184">
        <v>4289</v>
      </c>
      <c r="J101" s="194">
        <v>351.91199999999998</v>
      </c>
      <c r="K101" s="194">
        <f t="shared" si="0"/>
        <v>12317386.052648596</v>
      </c>
      <c r="L101" s="194">
        <f t="shared" si="1"/>
        <v>-831560.99735140614</v>
      </c>
      <c r="M101" s="285">
        <f t="shared" si="2"/>
        <v>6.3241641645473509E-2</v>
      </c>
    </row>
    <row r="102" spans="1:20">
      <c r="A102" s="191">
        <v>39173</v>
      </c>
      <c r="B102" s="284">
        <v>11132064.210000025</v>
      </c>
      <c r="C102" s="194">
        <f>'Weather Data'!B198</f>
        <v>474.1</v>
      </c>
      <c r="D102" s="194">
        <f>'Weather Data'!C198</f>
        <v>0</v>
      </c>
      <c r="E102" s="194">
        <v>30</v>
      </c>
      <c r="F102" s="194">
        <v>1</v>
      </c>
      <c r="G102" s="184">
        <f>'CDM Activity'!O34</f>
        <v>0</v>
      </c>
      <c r="H102" s="195">
        <v>138.23486974044414</v>
      </c>
      <c r="I102" s="184">
        <v>4308</v>
      </c>
      <c r="J102" s="194">
        <v>319.68</v>
      </c>
      <c r="K102" s="194">
        <f t="shared" si="0"/>
        <v>11210974.754872922</v>
      </c>
      <c r="L102" s="194">
        <f t="shared" si="1"/>
        <v>78910.544872896746</v>
      </c>
      <c r="M102" s="285">
        <f t="shared" si="2"/>
        <v>7.0885815410596312E-3</v>
      </c>
      <c r="N102" s="32"/>
      <c r="O102" s="32" t="s">
        <v>31</v>
      </c>
      <c r="P102" s="32" t="s">
        <v>20</v>
      </c>
      <c r="Q102" s="32" t="s">
        <v>32</v>
      </c>
      <c r="R102" s="32" t="s">
        <v>33</v>
      </c>
      <c r="S102" s="32" t="s">
        <v>34</v>
      </c>
      <c r="T102" s="32" t="s">
        <v>35</v>
      </c>
    </row>
    <row r="103" spans="1:20">
      <c r="A103" s="191">
        <v>39203</v>
      </c>
      <c r="B103" s="284">
        <v>10476503.350000001</v>
      </c>
      <c r="C103" s="194">
        <f>'Weather Data'!B199</f>
        <v>250.9</v>
      </c>
      <c r="D103" s="194">
        <f>'Weather Data'!C199</f>
        <v>0.6</v>
      </c>
      <c r="E103" s="194">
        <v>31</v>
      </c>
      <c r="F103" s="194">
        <v>1</v>
      </c>
      <c r="G103" s="184">
        <f>'CDM Activity'!O35</f>
        <v>0</v>
      </c>
      <c r="H103" s="195">
        <v>138.46317586658083</v>
      </c>
      <c r="I103" s="184">
        <v>4288</v>
      </c>
      <c r="J103" s="194">
        <v>351.91199999999998</v>
      </c>
      <c r="K103" s="194">
        <f t="shared" si="0"/>
        <v>10539755.321306365</v>
      </c>
      <c r="L103" s="194">
        <f t="shared" si="1"/>
        <v>63251.971306363121</v>
      </c>
      <c r="M103" s="285">
        <f t="shared" si="2"/>
        <v>6.0375078586084839E-3</v>
      </c>
      <c r="N103" s="24" t="s">
        <v>25</v>
      </c>
      <c r="O103" s="42">
        <v>-5200434.7289060121</v>
      </c>
      <c r="P103" s="42">
        <v>2399851.1334015802</v>
      </c>
      <c r="Q103" s="34">
        <v>-2.1669822167406059</v>
      </c>
      <c r="R103" s="24">
        <v>3.2335499994409739E-2</v>
      </c>
      <c r="S103" s="42">
        <v>-9954972.659920238</v>
      </c>
      <c r="T103" s="42">
        <v>-445896.79789178539</v>
      </c>
    </row>
    <row r="104" spans="1:20">
      <c r="A104" s="191">
        <v>39234</v>
      </c>
      <c r="B104" s="284">
        <v>10397828.820000019</v>
      </c>
      <c r="C104" s="194">
        <f>'Weather Data'!B200</f>
        <v>96.7</v>
      </c>
      <c r="D104" s="194">
        <f>'Weather Data'!C200</f>
        <v>6.5</v>
      </c>
      <c r="E104" s="194">
        <v>30</v>
      </c>
      <c r="F104" s="194">
        <v>0</v>
      </c>
      <c r="G104" s="184">
        <f>'CDM Activity'!O36</f>
        <v>0</v>
      </c>
      <c r="H104" s="195">
        <v>138.69185905884657</v>
      </c>
      <c r="I104" s="184">
        <v>4266</v>
      </c>
      <c r="J104" s="194">
        <v>336.24</v>
      </c>
      <c r="K104" s="194">
        <f t="shared" si="0"/>
        <v>10232630.138640676</v>
      </c>
      <c r="L104" s="194">
        <f t="shared" si="1"/>
        <v>-165198.68135934323</v>
      </c>
      <c r="M104" s="285">
        <f t="shared" si="2"/>
        <v>1.5887805446612741E-2</v>
      </c>
      <c r="N104" s="24" t="s">
        <v>1</v>
      </c>
      <c r="O104" s="42">
        <v>4373.9691261941553</v>
      </c>
      <c r="P104" s="42">
        <v>120.02426318568467</v>
      </c>
      <c r="Q104" s="34">
        <v>36.442374317494163</v>
      </c>
      <c r="R104" s="24">
        <v>2.663633611397995E-64</v>
      </c>
      <c r="S104" s="42">
        <v>4136.1794133174608</v>
      </c>
      <c r="T104" s="42">
        <v>4611.7588390708497</v>
      </c>
    </row>
    <row r="105" spans="1:20">
      <c r="A105" s="191">
        <v>39264</v>
      </c>
      <c r="B105" s="284">
        <v>11107289.329999989</v>
      </c>
      <c r="C105" s="194">
        <f>'Weather Data'!B201</f>
        <v>40.200000000000003</v>
      </c>
      <c r="D105" s="194">
        <f>'Weather Data'!C201</f>
        <v>51.8</v>
      </c>
      <c r="E105" s="194">
        <v>31</v>
      </c>
      <c r="F105" s="194">
        <v>0</v>
      </c>
      <c r="G105" s="184">
        <f>'CDM Activity'!O37</f>
        <v>0</v>
      </c>
      <c r="H105" s="195">
        <v>138.92091993999671</v>
      </c>
      <c r="I105" s="184">
        <v>4253</v>
      </c>
      <c r="J105" s="194">
        <v>336.28800000000001</v>
      </c>
      <c r="K105" s="194">
        <f t="shared" si="0"/>
        <v>11223752.664649362</v>
      </c>
      <c r="L105" s="194">
        <f t="shared" si="1"/>
        <v>116463.33464937285</v>
      </c>
      <c r="M105" s="285">
        <f t="shared" si="2"/>
        <v>1.048530664766369E-2</v>
      </c>
      <c r="N105" s="24" t="s">
        <v>2</v>
      </c>
      <c r="O105" s="42">
        <v>20876.205669702245</v>
      </c>
      <c r="P105" s="42">
        <v>2883.6405633220761</v>
      </c>
      <c r="Q105" s="34">
        <v>7.2395311451895976</v>
      </c>
      <c r="R105" s="24">
        <v>5.8382896961029384E-11</v>
      </c>
      <c r="S105" s="42">
        <v>15163.193622037115</v>
      </c>
      <c r="T105" s="42">
        <v>26589.217717367377</v>
      </c>
    </row>
    <row r="106" spans="1:20">
      <c r="A106" s="191">
        <v>39295</v>
      </c>
      <c r="B106" s="284">
        <v>10981653.73</v>
      </c>
      <c r="C106" s="194">
        <f>'Weather Data'!B202</f>
        <v>62.9</v>
      </c>
      <c r="D106" s="194">
        <f>'Weather Data'!C202</f>
        <v>22.1</v>
      </c>
      <c r="E106" s="194">
        <v>31</v>
      </c>
      <c r="F106" s="194">
        <v>0</v>
      </c>
      <c r="G106" s="184">
        <f>'CDM Activity'!O38</f>
        <v>0</v>
      </c>
      <c r="H106" s="195">
        <v>139.15035913381516</v>
      </c>
      <c r="I106" s="184">
        <v>4241</v>
      </c>
      <c r="J106" s="194">
        <v>351.91199999999998</v>
      </c>
      <c r="K106" s="194">
        <f t="shared" si="0"/>
        <v>10713631.654711999</v>
      </c>
      <c r="L106" s="194">
        <f t="shared" si="1"/>
        <v>-268022.07528800145</v>
      </c>
      <c r="M106" s="285">
        <f t="shared" si="2"/>
        <v>2.4406349159945825E-2</v>
      </c>
      <c r="N106" s="24" t="s">
        <v>3</v>
      </c>
      <c r="O106" s="42">
        <v>281963.96517234802</v>
      </c>
      <c r="P106" s="42">
        <v>38617.201315009785</v>
      </c>
      <c r="Q106" s="34">
        <v>7.3015121648070833</v>
      </c>
      <c r="R106" s="24">
        <v>4.2712522868347384E-11</v>
      </c>
      <c r="S106" s="42">
        <v>205456.32439148857</v>
      </c>
      <c r="T106" s="42">
        <v>358471.60595320747</v>
      </c>
    </row>
    <row r="107" spans="1:20">
      <c r="A107" s="191">
        <v>39326</v>
      </c>
      <c r="B107" s="284">
        <v>10221738.110000003</v>
      </c>
      <c r="C107" s="194">
        <f>'Weather Data'!B203</f>
        <v>164.7</v>
      </c>
      <c r="D107" s="194">
        <f>'Weather Data'!C203</f>
        <v>9.6</v>
      </c>
      <c r="E107" s="194">
        <v>30</v>
      </c>
      <c r="F107" s="194">
        <v>1</v>
      </c>
      <c r="G107" s="184">
        <f>'CDM Activity'!O39</f>
        <v>0</v>
      </c>
      <c r="H107" s="195">
        <v>139.38017726511606</v>
      </c>
      <c r="I107" s="184">
        <v>4242</v>
      </c>
      <c r="J107" s="194">
        <v>303.83999999999997</v>
      </c>
      <c r="K107" s="194">
        <f t="shared" si="0"/>
        <v>10111058.924073938</v>
      </c>
      <c r="L107" s="194">
        <f t="shared" si="1"/>
        <v>-110679.18592606485</v>
      </c>
      <c r="M107" s="285">
        <f t="shared" si="2"/>
        <v>1.0827824459500344E-2</v>
      </c>
      <c r="N107" s="24" t="s">
        <v>14</v>
      </c>
      <c r="O107" s="42">
        <v>-515556.97949068557</v>
      </c>
      <c r="P107" s="42">
        <v>72543.699198209564</v>
      </c>
      <c r="Q107" s="34">
        <v>-7.1068471168259633</v>
      </c>
      <c r="R107" s="24">
        <v>1.1364200007931726E-10</v>
      </c>
      <c r="S107" s="42">
        <v>-659279.13154146355</v>
      </c>
      <c r="T107" s="42">
        <v>-371834.82743990759</v>
      </c>
    </row>
    <row r="108" spans="1:20">
      <c r="A108" s="191">
        <v>39356</v>
      </c>
      <c r="B108" s="284">
        <v>10659311.449999996</v>
      </c>
      <c r="C108" s="194">
        <f>'Weather Data'!B204</f>
        <v>310.60000000000002</v>
      </c>
      <c r="D108" s="194">
        <f>'Weather Data'!C204</f>
        <v>0</v>
      </c>
      <c r="E108" s="194">
        <v>31</v>
      </c>
      <c r="F108" s="194">
        <v>1</v>
      </c>
      <c r="G108" s="184">
        <f>'CDM Activity'!O40</f>
        <v>0</v>
      </c>
      <c r="H108" s="195">
        <v>139.61037495974546</v>
      </c>
      <c r="I108" s="184">
        <v>4267</v>
      </c>
      <c r="J108" s="194">
        <v>351.91199999999998</v>
      </c>
      <c r="K108" s="194">
        <f t="shared" si="0"/>
        <v>10841421.695689898</v>
      </c>
      <c r="L108" s="194">
        <f t="shared" si="1"/>
        <v>182110.24568990245</v>
      </c>
      <c r="M108" s="285">
        <f t="shared" si="2"/>
        <v>1.708461625726327E-2</v>
      </c>
      <c r="N108" s="24" t="s">
        <v>56</v>
      </c>
      <c r="O108" s="34">
        <v>-1.5266401911335441</v>
      </c>
      <c r="P108" s="34">
        <v>0.40082855845894455</v>
      </c>
      <c r="Q108" s="34">
        <v>-3.8087111282763364</v>
      </c>
      <c r="R108" s="24">
        <v>2.2760635569439466E-4</v>
      </c>
      <c r="S108" s="34">
        <v>-2.3207538586448968</v>
      </c>
      <c r="T108" s="34">
        <v>-0.73252652362219139</v>
      </c>
    </row>
    <row r="109" spans="1:20" ht="13.5" thickBot="1">
      <c r="A109" s="191">
        <v>39387</v>
      </c>
      <c r="B109" s="284">
        <v>11710992.839999968</v>
      </c>
      <c r="C109" s="194">
        <f>'Weather Data'!B205</f>
        <v>620.29999999999995</v>
      </c>
      <c r="D109" s="194">
        <f>'Weather Data'!C205</f>
        <v>0</v>
      </c>
      <c r="E109" s="194">
        <v>30</v>
      </c>
      <c r="F109" s="194">
        <v>1</v>
      </c>
      <c r="G109" s="184">
        <f>'CDM Activity'!O41</f>
        <v>0</v>
      </c>
      <c r="H109" s="195">
        <v>139.84095284458306</v>
      </c>
      <c r="I109" s="184">
        <v>4274</v>
      </c>
      <c r="J109" s="194">
        <v>352.08</v>
      </c>
      <c r="K109" s="194">
        <f t="shared" si="0"/>
        <v>11924741.840769909</v>
      </c>
      <c r="L109" s="194">
        <f t="shared" si="1"/>
        <v>213749.00076994114</v>
      </c>
      <c r="M109" s="285">
        <f t="shared" si="2"/>
        <v>1.825199653780522E-2</v>
      </c>
      <c r="N109" s="31" t="s">
        <v>4</v>
      </c>
      <c r="O109" s="35">
        <v>46257.132931631786</v>
      </c>
      <c r="P109" s="35">
        <v>15706.275117956751</v>
      </c>
      <c r="Q109" s="35">
        <v>2.9451370604572369</v>
      </c>
      <c r="R109" s="31">
        <v>3.9202808549096829E-3</v>
      </c>
      <c r="S109" s="35">
        <v>15140.169148372664</v>
      </c>
      <c r="T109" s="35">
        <v>77374.096714890911</v>
      </c>
    </row>
    <row r="110" spans="1:20">
      <c r="A110" s="191">
        <v>39417</v>
      </c>
      <c r="B110" s="284">
        <v>13514465.429999996</v>
      </c>
      <c r="C110" s="194">
        <f>'Weather Data'!B206</f>
        <v>925.8</v>
      </c>
      <c r="D110" s="194">
        <f>'Weather Data'!C206</f>
        <v>0</v>
      </c>
      <c r="E110" s="194">
        <v>31</v>
      </c>
      <c r="F110" s="194">
        <v>0</v>
      </c>
      <c r="G110" s="184">
        <f>'CDM Activity'!O42</f>
        <v>0</v>
      </c>
      <c r="H110" s="195">
        <v>140.07191154754381</v>
      </c>
      <c r="I110" s="184">
        <v>4259</v>
      </c>
      <c r="J110" s="194">
        <v>304.29599999999999</v>
      </c>
      <c r="K110" s="194">
        <f t="shared" si="0"/>
        <v>14069193.840909828</v>
      </c>
      <c r="L110" s="194">
        <f t="shared" si="1"/>
        <v>554728.41090983152</v>
      </c>
      <c r="M110" s="285">
        <f t="shared" si="2"/>
        <v>4.1047010981168475E-2</v>
      </c>
    </row>
    <row r="111" spans="1:20">
      <c r="A111" s="191">
        <v>39448</v>
      </c>
      <c r="B111" s="284">
        <v>14087644.269999996</v>
      </c>
      <c r="C111" s="194">
        <f>'Weather Data'!B207</f>
        <v>934.70000000000016</v>
      </c>
      <c r="D111" s="194">
        <f>'Weather Data'!C207</f>
        <v>0</v>
      </c>
      <c r="E111" s="194">
        <v>31</v>
      </c>
      <c r="F111" s="194">
        <v>0</v>
      </c>
      <c r="G111" s="184">
        <f>'CDM Activity'!O43</f>
        <v>641.43816707100723</v>
      </c>
      <c r="H111" s="187">
        <v>139.96642175819056</v>
      </c>
      <c r="I111" s="184">
        <v>4276</v>
      </c>
      <c r="J111" s="37">
        <v>352</v>
      </c>
      <c r="K111" s="194">
        <f t="shared" si="0"/>
        <v>14102263.265637938</v>
      </c>
      <c r="L111" s="194">
        <f t="shared" si="1"/>
        <v>14618.995637942106</v>
      </c>
      <c r="M111" s="37">
        <f t="shared" si="2"/>
        <v>1.0377175457981741E-3</v>
      </c>
    </row>
    <row r="112" spans="1:20">
      <c r="A112" s="191">
        <v>39479</v>
      </c>
      <c r="B112" s="284">
        <v>13323309.449999977</v>
      </c>
      <c r="C112" s="194">
        <f>'Weather Data'!B208</f>
        <v>921.50000000000011</v>
      </c>
      <c r="D112" s="194">
        <f>'Weather Data'!C208</f>
        <v>0</v>
      </c>
      <c r="E112" s="194">
        <v>29</v>
      </c>
      <c r="F112" s="194">
        <v>0</v>
      </c>
      <c r="G112" s="184">
        <f>'CDM Activity'!O44</f>
        <v>1282.8763341420145</v>
      </c>
      <c r="H112" s="187">
        <v>139.86101141442734</v>
      </c>
      <c r="I112" s="184">
        <v>4253</v>
      </c>
      <c r="J112" s="37">
        <v>320</v>
      </c>
      <c r="K112" s="194">
        <f t="shared" si="0"/>
        <v>13474743.717257675</v>
      </c>
      <c r="L112" s="194">
        <f t="shared" si="1"/>
        <v>151434.26725769788</v>
      </c>
      <c r="M112" s="37">
        <f t="shared" si="2"/>
        <v>1.136611499012343E-2</v>
      </c>
    </row>
    <row r="113" spans="1:13">
      <c r="A113" s="191">
        <v>39508</v>
      </c>
      <c r="B113" s="284">
        <v>12857263.979999973</v>
      </c>
      <c r="C113" s="194">
        <f>'Weather Data'!B209</f>
        <v>791.9</v>
      </c>
      <c r="D113" s="194">
        <f>'Weather Data'!C209</f>
        <v>0</v>
      </c>
      <c r="E113" s="194">
        <v>31</v>
      </c>
      <c r="F113" s="194">
        <v>1</v>
      </c>
      <c r="G113" s="184">
        <f>'CDM Activity'!O45</f>
        <v>1924.3145012130217</v>
      </c>
      <c r="H113" s="187">
        <v>139.75568045642274</v>
      </c>
      <c r="I113" s="184">
        <v>4240</v>
      </c>
      <c r="J113" s="37">
        <v>304</v>
      </c>
      <c r="K113" s="194">
        <f t="shared" si="0"/>
        <v>12950396.715944711</v>
      </c>
      <c r="L113" s="194">
        <f t="shared" si="1"/>
        <v>93132.735944738612</v>
      </c>
      <c r="M113" s="37">
        <f t="shared" si="2"/>
        <v>7.243589000708906E-3</v>
      </c>
    </row>
    <row r="114" spans="1:13">
      <c r="A114" s="191">
        <v>39539</v>
      </c>
      <c r="B114" s="284">
        <v>11209729.860000009</v>
      </c>
      <c r="C114" s="194">
        <f>'Weather Data'!B210</f>
        <v>456.89999999999986</v>
      </c>
      <c r="D114" s="194">
        <f>'Weather Data'!C210</f>
        <v>0</v>
      </c>
      <c r="E114" s="194">
        <v>30</v>
      </c>
      <c r="F114" s="194">
        <v>1</v>
      </c>
      <c r="G114" s="184">
        <f>'CDM Activity'!O46</f>
        <v>2565.7526682840289</v>
      </c>
      <c r="H114" s="187">
        <v>139.65042882439042</v>
      </c>
      <c r="I114" s="184">
        <v>4255</v>
      </c>
      <c r="J114" s="37">
        <v>352</v>
      </c>
      <c r="K114" s="194">
        <f t="shared" si="0"/>
        <v>11197305.209477153</v>
      </c>
      <c r="L114" s="194">
        <f t="shared" si="1"/>
        <v>-12424.650522856042</v>
      </c>
      <c r="M114" s="37">
        <f t="shared" si="2"/>
        <v>1.1083809046274406E-3</v>
      </c>
    </row>
    <row r="115" spans="1:13">
      <c r="A115" s="191">
        <v>39569</v>
      </c>
      <c r="B115" s="284">
        <v>10641515.859999977</v>
      </c>
      <c r="C115" s="194">
        <f>'Weather Data'!B211</f>
        <v>327.7</v>
      </c>
      <c r="D115" s="194">
        <f>'Weather Data'!C211</f>
        <v>0</v>
      </c>
      <c r="E115" s="194">
        <v>31</v>
      </c>
      <c r="F115" s="194">
        <v>1</v>
      </c>
      <c r="G115" s="184">
        <f>'CDM Activity'!O47</f>
        <v>3207.1908353550361</v>
      </c>
      <c r="H115" s="187">
        <v>139.54525645858905</v>
      </c>
      <c r="I115" s="184">
        <v>4261</v>
      </c>
      <c r="J115" s="37">
        <v>336</v>
      </c>
      <c r="K115" s="194">
        <f t="shared" si="0"/>
        <v>10908308.146153631</v>
      </c>
      <c r="L115" s="194">
        <f t="shared" si="1"/>
        <v>266792.28615365364</v>
      </c>
      <c r="M115" s="37">
        <f t="shared" si="2"/>
        <v>2.5070891183509848E-2</v>
      </c>
    </row>
    <row r="116" spans="1:13">
      <c r="A116" s="191">
        <v>39600</v>
      </c>
      <c r="B116" s="284">
        <v>10314120.790000018</v>
      </c>
      <c r="C116" s="194">
        <f>'Weather Data'!B212</f>
        <v>109.89999999999998</v>
      </c>
      <c r="D116" s="194">
        <f>'Weather Data'!C212</f>
        <v>4.5999999999999996</v>
      </c>
      <c r="E116" s="194">
        <v>30</v>
      </c>
      <c r="F116" s="194">
        <v>0</v>
      </c>
      <c r="G116" s="184">
        <f>'CDM Activity'!O48</f>
        <v>3848.6290024260434</v>
      </c>
      <c r="H116" s="187">
        <v>139.44016329932234</v>
      </c>
      <c r="I116" s="184">
        <v>4242</v>
      </c>
      <c r="J116" s="37">
        <v>336</v>
      </c>
      <c r="K116" s="194">
        <f t="shared" si="0"/>
        <v>10279440.67734313</v>
      </c>
      <c r="L116" s="194">
        <f t="shared" si="1"/>
        <v>-34680.112656887621</v>
      </c>
      <c r="M116" s="37">
        <f t="shared" si="2"/>
        <v>3.3623915564874396E-3</v>
      </c>
    </row>
    <row r="117" spans="1:13">
      <c r="A117" s="191">
        <v>39630</v>
      </c>
      <c r="B117" s="284">
        <v>11042847.349999966</v>
      </c>
      <c r="C117" s="194">
        <f>'Weather Data'!B213</f>
        <v>34.700000000000003</v>
      </c>
      <c r="D117" s="194">
        <f>'Weather Data'!C213</f>
        <v>22.1</v>
      </c>
      <c r="E117" s="194">
        <v>31</v>
      </c>
      <c r="F117" s="194">
        <v>0</v>
      </c>
      <c r="G117" s="184">
        <f>'CDM Activity'!O49</f>
        <v>4490.0671694970506</v>
      </c>
      <c r="H117" s="187">
        <v>139.3351492869389</v>
      </c>
      <c r="I117" s="184">
        <v>4223</v>
      </c>
      <c r="J117" s="37">
        <v>352</v>
      </c>
      <c r="K117" s="194">
        <f t="shared" si="0"/>
        <v>10591978.871028982</v>
      </c>
      <c r="L117" s="194">
        <f t="shared" si="1"/>
        <v>-450868.478970984</v>
      </c>
      <c r="M117" s="37">
        <f t="shared" si="2"/>
        <v>4.0829005842499974E-2</v>
      </c>
    </row>
    <row r="118" spans="1:13">
      <c r="A118" s="191">
        <v>39661</v>
      </c>
      <c r="B118" s="284">
        <v>10916451.01</v>
      </c>
      <c r="C118" s="194">
        <f>'Weather Data'!B214</f>
        <v>50.400000000000006</v>
      </c>
      <c r="D118" s="194">
        <f>'Weather Data'!C214</f>
        <v>22.200000000000003</v>
      </c>
      <c r="E118" s="194">
        <v>31</v>
      </c>
      <c r="F118" s="194">
        <v>0</v>
      </c>
      <c r="G118" s="184">
        <f>'CDM Activity'!O50</f>
        <v>5131.5053365680578</v>
      </c>
      <c r="H118" s="187">
        <v>139.23021436183228</v>
      </c>
      <c r="I118" s="184">
        <v>4227</v>
      </c>
      <c r="J118" s="37">
        <v>320</v>
      </c>
      <c r="K118" s="194">
        <f t="shared" si="0"/>
        <v>10656904.572811395</v>
      </c>
      <c r="L118" s="194">
        <f t="shared" si="1"/>
        <v>-259546.43718860485</v>
      </c>
      <c r="M118" s="37">
        <f t="shared" si="2"/>
        <v>2.3775715839410419E-2</v>
      </c>
    </row>
    <row r="119" spans="1:13">
      <c r="A119" s="191">
        <v>39692</v>
      </c>
      <c r="B119" s="284">
        <v>10097320.279999997</v>
      </c>
      <c r="C119" s="194">
        <f>'Weather Data'!B215</f>
        <v>193.29999999999998</v>
      </c>
      <c r="D119" s="194">
        <f>'Weather Data'!C215</f>
        <v>7</v>
      </c>
      <c r="E119" s="194">
        <v>30</v>
      </c>
      <c r="F119" s="194">
        <v>1</v>
      </c>
      <c r="G119" s="184">
        <f>'CDM Activity'!O51</f>
        <v>5772.9435036390651</v>
      </c>
      <c r="H119" s="187">
        <v>139.12535846444095</v>
      </c>
      <c r="I119" s="184">
        <v>4233</v>
      </c>
      <c r="J119" s="37">
        <v>336</v>
      </c>
      <c r="K119" s="194">
        <f t="shared" si="0"/>
        <v>10161275.911631759</v>
      </c>
      <c r="L119" s="194">
        <f t="shared" si="1"/>
        <v>63955.631631761789</v>
      </c>
      <c r="M119" s="37">
        <f t="shared" si="2"/>
        <v>6.3339212640843162E-3</v>
      </c>
    </row>
    <row r="120" spans="1:13">
      <c r="A120" s="191">
        <v>39722</v>
      </c>
      <c r="B120" s="284">
        <v>10600173.260000022</v>
      </c>
      <c r="C120" s="194">
        <f>'Weather Data'!B216</f>
        <v>373.09999999999997</v>
      </c>
      <c r="D120" s="194">
        <f>'Weather Data'!C216</f>
        <v>0</v>
      </c>
      <c r="E120" s="194">
        <v>31</v>
      </c>
      <c r="F120" s="194">
        <v>1</v>
      </c>
      <c r="G120" s="184">
        <f>'CDM Activity'!O52</f>
        <v>6414.3816707100723</v>
      </c>
      <c r="H120" s="187">
        <v>139.02058153524823</v>
      </c>
      <c r="I120" s="184">
        <v>4277</v>
      </c>
      <c r="J120" s="37">
        <v>352</v>
      </c>
      <c r="K120" s="194">
        <f t="shared" si="0"/>
        <v>11077720.160378087</v>
      </c>
      <c r="L120" s="194">
        <f t="shared" si="1"/>
        <v>477546.90037806518</v>
      </c>
      <c r="M120" s="37">
        <f t="shared" si="2"/>
        <v>4.5050858006264717E-2</v>
      </c>
    </row>
    <row r="121" spans="1:13">
      <c r="A121" s="191">
        <v>39753</v>
      </c>
      <c r="B121" s="284">
        <v>11883390.629999967</v>
      </c>
      <c r="C121" s="194">
        <f>'Weather Data'!B217</f>
        <v>591.00000000000011</v>
      </c>
      <c r="D121" s="194">
        <f>'Weather Data'!C217</f>
        <v>0</v>
      </c>
      <c r="E121" s="194">
        <v>30</v>
      </c>
      <c r="F121" s="194">
        <v>1</v>
      </c>
      <c r="G121" s="184">
        <f>'CDM Activity'!O53</f>
        <v>7055.8198377810795</v>
      </c>
      <c r="H121" s="187">
        <v>138.91588351478222</v>
      </c>
      <c r="I121" s="184">
        <v>4304</v>
      </c>
      <c r="J121" s="37">
        <v>304</v>
      </c>
      <c r="K121" s="194">
        <f t="shared" si="0"/>
        <v>11743021.792267095</v>
      </c>
      <c r="L121" s="194">
        <f t="shared" si="1"/>
        <v>-140368.83773287199</v>
      </c>
      <c r="M121" s="37">
        <f t="shared" si="2"/>
        <v>1.1812187455868593E-2</v>
      </c>
    </row>
    <row r="122" spans="1:13">
      <c r="A122" s="191">
        <v>39783</v>
      </c>
      <c r="B122" s="284">
        <v>13928152.380000029</v>
      </c>
      <c r="C122" s="194">
        <f>'Weather Data'!B218</f>
        <v>1033.7999999999997</v>
      </c>
      <c r="D122" s="194">
        <f>'Weather Data'!C218</f>
        <v>0</v>
      </c>
      <c r="E122" s="194">
        <v>31</v>
      </c>
      <c r="F122" s="194">
        <v>0</v>
      </c>
      <c r="G122" s="184">
        <f>'CDM Activity'!O54</f>
        <v>7697.2580048520867</v>
      </c>
      <c r="H122" s="187">
        <v>138.8112643436159</v>
      </c>
      <c r="I122" s="184">
        <v>4292</v>
      </c>
      <c r="J122" s="37">
        <v>336</v>
      </c>
      <c r="K122" s="194">
        <f t="shared" si="0"/>
        <v>14471517.637815081</v>
      </c>
      <c r="L122" s="194">
        <f t="shared" si="1"/>
        <v>543365.25781505182</v>
      </c>
      <c r="M122" s="188">
        <f t="shared" si="2"/>
        <v>3.9012012720028175E-2</v>
      </c>
    </row>
    <row r="123" spans="1:13">
      <c r="A123" s="191">
        <v>39814</v>
      </c>
      <c r="B123" s="284">
        <v>14782282.100000059</v>
      </c>
      <c r="C123" s="194">
        <f>'Weather Data'!B219</f>
        <v>1093.3999999999996</v>
      </c>
      <c r="D123" s="194">
        <f>'Weather Data'!C219</f>
        <v>0</v>
      </c>
      <c r="E123" s="194">
        <v>31</v>
      </c>
      <c r="F123" s="194">
        <v>0</v>
      </c>
      <c r="G123" s="184">
        <f>'CDM Activity'!O55</f>
        <v>15658.760164996896</v>
      </c>
      <c r="H123" s="187">
        <v>138.43555825854429</v>
      </c>
      <c r="I123" s="184">
        <v>4287</v>
      </c>
      <c r="J123" s="37">
        <v>336</v>
      </c>
      <c r="K123" s="194">
        <f t="shared" si="0"/>
        <v>14702672.762236398</v>
      </c>
      <c r="L123" s="194">
        <f t="shared" si="1"/>
        <v>-79609.337763661519</v>
      </c>
      <c r="M123" s="37">
        <f t="shared" si="2"/>
        <v>5.3854565367590437E-3</v>
      </c>
    </row>
    <row r="124" spans="1:13">
      <c r="A124" s="191">
        <v>39845</v>
      </c>
      <c r="B124" s="284">
        <v>12729982.000000009</v>
      </c>
      <c r="C124" s="194">
        <f>'Weather Data'!B220</f>
        <v>838.90000000000009</v>
      </c>
      <c r="D124" s="194">
        <f>'Weather Data'!C220</f>
        <v>0</v>
      </c>
      <c r="E124" s="194">
        <v>28</v>
      </c>
      <c r="F124" s="194">
        <v>0</v>
      </c>
      <c r="G124" s="184">
        <f>'CDM Activity'!O56</f>
        <v>23620.262325141706</v>
      </c>
      <c r="H124" s="187">
        <v>138.06086905825526</v>
      </c>
      <c r="I124" s="184">
        <v>4283</v>
      </c>
      <c r="J124" s="37">
        <v>304</v>
      </c>
      <c r="K124" s="194">
        <f t="shared" si="0"/>
        <v>12714119.326777656</v>
      </c>
      <c r="L124" s="194">
        <f t="shared" si="1"/>
        <v>-15862.673222353682</v>
      </c>
      <c r="M124" s="37">
        <f t="shared" si="2"/>
        <v>1.2460876395861103E-3</v>
      </c>
    </row>
    <row r="125" spans="1:13">
      <c r="A125" s="191">
        <v>39873</v>
      </c>
      <c r="B125" s="284">
        <v>12895508.210000023</v>
      </c>
      <c r="C125" s="194">
        <f>'Weather Data'!B221</f>
        <v>762.3</v>
      </c>
      <c r="D125" s="194">
        <f>'Weather Data'!C221</f>
        <v>0</v>
      </c>
      <c r="E125" s="194">
        <v>31</v>
      </c>
      <c r="F125" s="194">
        <v>1</v>
      </c>
      <c r="G125" s="184">
        <f>'CDM Activity'!O57</f>
        <v>31581.764485286516</v>
      </c>
      <c r="H125" s="187">
        <v>137.68719399045199</v>
      </c>
      <c r="I125" s="184">
        <v>4262</v>
      </c>
      <c r="J125" s="37">
        <v>352</v>
      </c>
      <c r="K125" s="194">
        <f t="shared" si="0"/>
        <v>12679968.721273452</v>
      </c>
      <c r="L125" s="194">
        <f t="shared" si="1"/>
        <v>-215539.4887265712</v>
      </c>
      <c r="M125" s="37">
        <f t="shared" si="2"/>
        <v>1.6714307432988778E-2</v>
      </c>
    </row>
    <row r="126" spans="1:13">
      <c r="A126" s="191">
        <v>39904</v>
      </c>
      <c r="B126" s="284">
        <v>10958049.76999999</v>
      </c>
      <c r="C126" s="194">
        <f>'Weather Data'!B222</f>
        <v>453.2</v>
      </c>
      <c r="D126" s="194">
        <f>'Weather Data'!C222</f>
        <v>0</v>
      </c>
      <c r="E126" s="194">
        <v>30</v>
      </c>
      <c r="F126" s="194">
        <v>1</v>
      </c>
      <c r="G126" s="184">
        <f>'CDM Activity'!O58</f>
        <v>39543.266645431322</v>
      </c>
      <c r="H126" s="187">
        <v>137.31453031028698</v>
      </c>
      <c r="I126" s="184">
        <v>4267</v>
      </c>
      <c r="J126" s="37">
        <v>320</v>
      </c>
      <c r="K126" s="194">
        <f t="shared" si="0"/>
        <v>11016618.196622835</v>
      </c>
      <c r="L126" s="194">
        <f t="shared" si="1"/>
        <v>58568.426622845232</v>
      </c>
      <c r="M126" s="287">
        <f t="shared" si="2"/>
        <v>5.3447856007360775E-3</v>
      </c>
    </row>
    <row r="127" spans="1:13">
      <c r="A127" s="191">
        <v>39934</v>
      </c>
      <c r="B127" s="284">
        <v>10456056.380000023</v>
      </c>
      <c r="C127" s="194">
        <f>'Weather Data'!B223</f>
        <v>319.8</v>
      </c>
      <c r="D127" s="194">
        <f>'Weather Data'!C223</f>
        <v>0</v>
      </c>
      <c r="E127" s="194">
        <v>31</v>
      </c>
      <c r="F127" s="194">
        <v>1</v>
      </c>
      <c r="G127" s="184">
        <f>'CDM Activity'!O59</f>
        <v>47504.768805576132</v>
      </c>
      <c r="H127" s="187">
        <v>136.94287528034204</v>
      </c>
      <c r="I127" s="184">
        <v>4262</v>
      </c>
      <c r="J127" s="37">
        <v>320</v>
      </c>
      <c r="K127" s="194">
        <f t="shared" si="0"/>
        <v>10685748.635056537</v>
      </c>
      <c r="L127" s="194">
        <f t="shared" si="1"/>
        <v>229692.25505651347</v>
      </c>
      <c r="M127" s="37">
        <f t="shared" si="2"/>
        <v>2.196738872753792E-2</v>
      </c>
    </row>
    <row r="128" spans="1:13">
      <c r="A128" s="191">
        <v>39965</v>
      </c>
      <c r="B128" s="284">
        <v>9998205.9600000195</v>
      </c>
      <c r="C128" s="194">
        <f>'Weather Data'!B224</f>
        <v>141.80000000000001</v>
      </c>
      <c r="D128" s="194">
        <f>'Weather Data'!C224</f>
        <v>13.7</v>
      </c>
      <c r="E128" s="194">
        <v>30</v>
      </c>
      <c r="F128" s="194">
        <v>0</v>
      </c>
      <c r="G128" s="184">
        <f>'CDM Activity'!O60</f>
        <v>55466.270965720942</v>
      </c>
      <c r="H128" s="187">
        <v>136.57222617060793</v>
      </c>
      <c r="I128" s="184">
        <v>4231</v>
      </c>
      <c r="J128" s="37">
        <v>352</v>
      </c>
      <c r="K128" s="194">
        <f t="shared" si="0"/>
        <v>10397479.648267802</v>
      </c>
      <c r="L128" s="194">
        <f t="shared" si="1"/>
        <v>399273.68826778233</v>
      </c>
      <c r="M128" s="37">
        <f t="shared" si="2"/>
        <v>3.9934533241779861E-2</v>
      </c>
    </row>
    <row r="129" spans="1:13">
      <c r="A129" s="191">
        <v>39995</v>
      </c>
      <c r="B129" s="284">
        <v>10339691.300000004</v>
      </c>
      <c r="C129" s="194">
        <f>'Weather Data'!B225</f>
        <v>74.5</v>
      </c>
      <c r="D129" s="194">
        <f>'Weather Data'!C225</f>
        <v>2</v>
      </c>
      <c r="E129" s="194">
        <v>31</v>
      </c>
      <c r="F129" s="194">
        <v>0</v>
      </c>
      <c r="G129" s="184">
        <f>'CDM Activity'!O61</f>
        <v>63427.773125865751</v>
      </c>
      <c r="H129" s="187">
        <v>136.20258025846454</v>
      </c>
      <c r="I129" s="184">
        <v>4236</v>
      </c>
      <c r="J129" s="37">
        <v>352</v>
      </c>
      <c r="K129" s="194">
        <f t="shared" si="0"/>
        <v>10111570.775636639</v>
      </c>
      <c r="L129" s="194">
        <f t="shared" si="1"/>
        <v>-228120.52436336502</v>
      </c>
      <c r="M129" s="37">
        <f t="shared" si="2"/>
        <v>2.2062604940958432E-2</v>
      </c>
    </row>
    <row r="130" spans="1:13">
      <c r="A130" s="191">
        <v>40026</v>
      </c>
      <c r="B130" s="284">
        <v>10369728.639999986</v>
      </c>
      <c r="C130" s="194">
        <f>'Weather Data'!B226</f>
        <v>84.2</v>
      </c>
      <c r="D130" s="194">
        <f>'Weather Data'!C226</f>
        <v>14.2</v>
      </c>
      <c r="E130" s="194">
        <v>31</v>
      </c>
      <c r="F130" s="194">
        <v>0</v>
      </c>
      <c r="G130" s="184">
        <f>'CDM Activity'!O62</f>
        <v>71389.275286010554</v>
      </c>
      <c r="H130" s="187">
        <v>135.83393482866074</v>
      </c>
      <c r="I130" s="184">
        <v>4236</v>
      </c>
      <c r="J130" s="37">
        <v>320</v>
      </c>
      <c r="K130" s="194">
        <f t="shared" si="0"/>
        <v>10379481.155500544</v>
      </c>
      <c r="L130" s="194">
        <f t="shared" si="1"/>
        <v>9752.5155005585402</v>
      </c>
      <c r="M130" s="37">
        <f t="shared" si="2"/>
        <v>9.4047933548997416E-4</v>
      </c>
    </row>
    <row r="131" spans="1:13">
      <c r="A131" s="191">
        <v>40057</v>
      </c>
      <c r="B131" s="284">
        <v>10093112.910000011</v>
      </c>
      <c r="C131" s="194">
        <f>'Weather Data'!B227</f>
        <v>102.8</v>
      </c>
      <c r="D131" s="194">
        <f>'Weather Data'!C227</f>
        <v>3.5</v>
      </c>
      <c r="E131" s="194">
        <v>30</v>
      </c>
      <c r="F131" s="194">
        <v>1</v>
      </c>
      <c r="G131" s="184">
        <f>'CDM Activity'!O63</f>
        <v>79350.777446155364</v>
      </c>
      <c r="H131" s="187">
        <v>135.46628717329455</v>
      </c>
      <c r="I131" s="184">
        <v>4245</v>
      </c>
      <c r="J131" s="37">
        <v>336</v>
      </c>
      <c r="K131" s="194">
        <f t="shared" si="0"/>
        <v>9410779.9602731578</v>
      </c>
      <c r="L131" s="194">
        <f t="shared" si="1"/>
        <v>-682332.94972685352</v>
      </c>
      <c r="M131" s="37">
        <f t="shared" si="2"/>
        <v>6.7603816167637901E-2</v>
      </c>
    </row>
    <row r="132" spans="1:13">
      <c r="A132" s="191">
        <v>40087</v>
      </c>
      <c r="B132" s="284">
        <v>10535420.810000017</v>
      </c>
      <c r="C132" s="194">
        <f>'Weather Data'!B228</f>
        <v>451.40000000000003</v>
      </c>
      <c r="D132" s="194">
        <f>'Weather Data'!C228</f>
        <v>0</v>
      </c>
      <c r="E132" s="194">
        <v>31</v>
      </c>
      <c r="F132" s="194">
        <v>1</v>
      </c>
      <c r="G132" s="184">
        <f>'CDM Activity'!O64</f>
        <v>87312.279606300173</v>
      </c>
      <c r="H132" s="187">
        <v>135.09963459179312</v>
      </c>
      <c r="I132" s="184">
        <v>4272</v>
      </c>
      <c r="J132" s="37">
        <v>336</v>
      </c>
      <c r="K132" s="194">
        <f t="shared" si="0"/>
        <v>11115328.196611119</v>
      </c>
      <c r="L132" s="194">
        <f t="shared" si="1"/>
        <v>579907.38661110215</v>
      </c>
      <c r="M132" s="37">
        <f t="shared" si="2"/>
        <v>5.5043590291207478E-2</v>
      </c>
    </row>
    <row r="133" spans="1:13">
      <c r="A133" s="191">
        <v>40118</v>
      </c>
      <c r="B133" s="284">
        <v>11117076.040000018</v>
      </c>
      <c r="C133" s="194">
        <f>'Weather Data'!B229</f>
        <v>473.49999999999994</v>
      </c>
      <c r="D133" s="194">
        <f>'Weather Data'!C229</f>
        <v>0</v>
      </c>
      <c r="E133" s="194">
        <v>30</v>
      </c>
      <c r="F133" s="194">
        <v>1</v>
      </c>
      <c r="G133" s="184">
        <f>'CDM Activity'!O65</f>
        <v>95273.781766444983</v>
      </c>
      <c r="H133" s="187">
        <v>134.733974390893</v>
      </c>
      <c r="I133" s="184">
        <v>4285</v>
      </c>
      <c r="J133" s="37">
        <v>320</v>
      </c>
      <c r="K133" s="194">
        <f t="shared" si="0"/>
        <v>10900960.207427345</v>
      </c>
      <c r="L133" s="194">
        <f t="shared" si="1"/>
        <v>-216115.83257267252</v>
      </c>
      <c r="M133" s="37">
        <f t="shared" si="2"/>
        <v>1.943998869802389E-2</v>
      </c>
    </row>
    <row r="134" spans="1:13">
      <c r="A134" s="191">
        <v>40148</v>
      </c>
      <c r="B134" s="284">
        <v>13231701.560000025</v>
      </c>
      <c r="C134" s="194">
        <f>'Weather Data'!B230</f>
        <v>914.89999999999986</v>
      </c>
      <c r="D134" s="194">
        <f>'Weather Data'!C230</f>
        <v>0</v>
      </c>
      <c r="E134" s="194">
        <v>31</v>
      </c>
      <c r="F134" s="194">
        <v>0</v>
      </c>
      <c r="G134" s="184">
        <f>'CDM Activity'!O66</f>
        <v>103235.28392658979</v>
      </c>
      <c r="H134" s="187">
        <v>134.36930388462019</v>
      </c>
      <c r="I134" s="184">
        <v>4313</v>
      </c>
      <c r="J134" s="37">
        <v>352</v>
      </c>
      <c r="K134" s="194">
        <f t="shared" si="0"/>
        <v>13600128.163128097</v>
      </c>
      <c r="L134" s="194">
        <f t="shared" si="1"/>
        <v>368426.60312807187</v>
      </c>
      <c r="M134" s="37">
        <f t="shared" si="2"/>
        <v>2.7844234655491368E-2</v>
      </c>
    </row>
    <row r="135" spans="1:13">
      <c r="A135" s="191">
        <v>40179</v>
      </c>
      <c r="B135" s="284">
        <v>13822668.869999984</v>
      </c>
      <c r="C135" s="194">
        <f>'Weather Data'!B231</f>
        <v>900.20000000000027</v>
      </c>
      <c r="D135" s="194">
        <f>'Weather Data'!C231</f>
        <v>0</v>
      </c>
      <c r="E135" s="194">
        <v>31</v>
      </c>
      <c r="F135" s="194">
        <v>0</v>
      </c>
      <c r="G135" s="184">
        <f>'CDM Activity'!O67</f>
        <v>110872.31839091858</v>
      </c>
      <c r="H135" s="187">
        <v>134.73334561620703</v>
      </c>
      <c r="I135" s="184">
        <v>4306</v>
      </c>
      <c r="J135" s="194">
        <v>320</v>
      </c>
      <c r="K135" s="194">
        <f t="shared" si="0"/>
        <v>13541011.339989401</v>
      </c>
      <c r="L135" s="194">
        <f t="shared" si="1"/>
        <v>-281657.53001058288</v>
      </c>
      <c r="M135" s="37">
        <f t="shared" si="2"/>
        <v>2.0376494051874312E-2</v>
      </c>
    </row>
    <row r="136" spans="1:13">
      <c r="A136" s="191">
        <v>40210</v>
      </c>
      <c r="B136" s="284">
        <v>11978631.199999979</v>
      </c>
      <c r="C136" s="194">
        <f>'Weather Data'!B232</f>
        <v>778.39999999999975</v>
      </c>
      <c r="D136" s="194">
        <f>'Weather Data'!C232</f>
        <v>0</v>
      </c>
      <c r="E136" s="194">
        <v>28</v>
      </c>
      <c r="F136" s="194">
        <v>0</v>
      </c>
      <c r="G136" s="184">
        <f>'CDM Activity'!O68</f>
        <v>118509.35285524736</v>
      </c>
      <c r="H136" s="187">
        <v>135.09837363244745</v>
      </c>
      <c r="I136" s="184">
        <v>4306</v>
      </c>
      <c r="J136" s="194">
        <v>304</v>
      </c>
      <c r="K136" s="194">
        <f t="shared" si="0"/>
        <v>12167596.150618594</v>
      </c>
      <c r="L136" s="194">
        <f t="shared" si="1"/>
        <v>188964.95061861537</v>
      </c>
      <c r="M136" s="37">
        <f t="shared" si="2"/>
        <v>1.5775170590327191E-2</v>
      </c>
    </row>
    <row r="137" spans="1:13">
      <c r="A137" s="191">
        <v>40238</v>
      </c>
      <c r="B137" s="284">
        <v>11476632.719999976</v>
      </c>
      <c r="C137" s="194">
        <f>'Weather Data'!B233</f>
        <v>514.4</v>
      </c>
      <c r="D137" s="194">
        <f>'Weather Data'!C233</f>
        <v>0</v>
      </c>
      <c r="E137" s="194">
        <v>31</v>
      </c>
      <c r="F137" s="194">
        <v>1</v>
      </c>
      <c r="G137" s="184">
        <f>'CDM Activity'!O69</f>
        <v>126146.38731957614</v>
      </c>
      <c r="H137" s="187">
        <v>135.46439060544563</v>
      </c>
      <c r="I137" s="184">
        <v>4314</v>
      </c>
      <c r="J137" s="194">
        <v>368</v>
      </c>
      <c r="K137" s="194">
        <f t="shared" si="0"/>
        <v>11348475.109350592</v>
      </c>
      <c r="L137" s="194">
        <f t="shared" si="1"/>
        <v>-128157.61064938456</v>
      </c>
      <c r="M137" s="37">
        <f t="shared" si="2"/>
        <v>1.1166830356612199E-2</v>
      </c>
    </row>
    <row r="138" spans="1:13">
      <c r="A138" s="191">
        <v>40269</v>
      </c>
      <c r="B138" s="284">
        <v>10116363.230000025</v>
      </c>
      <c r="C138" s="194">
        <f>'Weather Data'!B234</f>
        <v>358.00000000000011</v>
      </c>
      <c r="D138" s="194">
        <f>'Weather Data'!C234</f>
        <v>0</v>
      </c>
      <c r="E138" s="194">
        <v>30</v>
      </c>
      <c r="F138" s="194">
        <v>1</v>
      </c>
      <c r="G138" s="184">
        <f>'CDM Activity'!O70</f>
        <v>133783.42178390492</v>
      </c>
      <c r="H138" s="187">
        <v>135.83139921454512</v>
      </c>
      <c r="I138" s="184">
        <v>4307</v>
      </c>
      <c r="J138" s="194">
        <v>320</v>
      </c>
      <c r="K138" s="194">
        <f t="shared" si="0"/>
        <v>10387740.13510533</v>
      </c>
      <c r="L138" s="194">
        <f t="shared" si="1"/>
        <v>271376.90510530584</v>
      </c>
      <c r="M138" s="37">
        <f t="shared" si="2"/>
        <v>2.6825539864023366E-2</v>
      </c>
    </row>
    <row r="139" spans="1:13">
      <c r="A139" s="191">
        <v>40299</v>
      </c>
      <c r="B139" s="284">
        <v>10174879.319999982</v>
      </c>
      <c r="C139" s="194">
        <f>'Weather Data'!B235</f>
        <v>212.40000000000003</v>
      </c>
      <c r="D139" s="194">
        <f>'Weather Data'!C235</f>
        <v>0.6</v>
      </c>
      <c r="E139" s="194">
        <v>31</v>
      </c>
      <c r="F139" s="194">
        <v>1</v>
      </c>
      <c r="G139" s="184">
        <f>'CDM Activity'!O71</f>
        <v>141420.45624823371</v>
      </c>
      <c r="H139" s="187">
        <v>136.19940214634852</v>
      </c>
      <c r="I139" s="184">
        <v>4279</v>
      </c>
      <c r="J139" s="194">
        <v>320</v>
      </c>
      <c r="K139" s="194">
        <f t="shared" si="0"/>
        <v>10050743.675686972</v>
      </c>
      <c r="L139" s="194">
        <f t="shared" si="1"/>
        <v>-124135.64431300946</v>
      </c>
      <c r="M139" s="37">
        <f t="shared" si="2"/>
        <v>1.2200208023008736E-2</v>
      </c>
    </row>
    <row r="140" spans="1:13">
      <c r="A140" s="191">
        <v>40330</v>
      </c>
      <c r="B140" s="284">
        <v>9916902.6700000148</v>
      </c>
      <c r="C140" s="194">
        <f>'Weather Data'!B236</f>
        <v>106.30000000000003</v>
      </c>
      <c r="D140" s="194">
        <f>'Weather Data'!C236</f>
        <v>3.0000000000000004</v>
      </c>
      <c r="E140" s="194">
        <v>30</v>
      </c>
      <c r="F140" s="194">
        <v>0</v>
      </c>
      <c r="G140" s="184">
        <f>'CDM Activity'!O72</f>
        <v>149057.49071256249</v>
      </c>
      <c r="H140" s="187">
        <v>136.56840209473719</v>
      </c>
      <c r="I140" s="184">
        <v>4287</v>
      </c>
      <c r="J140" s="194">
        <v>352</v>
      </c>
      <c r="K140" s="194">
        <f t="shared" si="0"/>
        <v>9875771.3352334611</v>
      </c>
      <c r="L140" s="194">
        <f t="shared" si="1"/>
        <v>-41131.334766553715</v>
      </c>
      <c r="M140" s="37">
        <f t="shared" si="2"/>
        <v>4.1475989162404123E-3</v>
      </c>
    </row>
    <row r="141" spans="1:13">
      <c r="A141" s="191">
        <v>40360</v>
      </c>
      <c r="B141" s="284">
        <v>10687565.209999999</v>
      </c>
      <c r="C141" s="194">
        <f>'Weather Data'!B237</f>
        <v>14.5</v>
      </c>
      <c r="D141" s="194">
        <f>'Weather Data'!C237</f>
        <v>52</v>
      </c>
      <c r="E141" s="194">
        <v>31</v>
      </c>
      <c r="F141" s="194">
        <v>0</v>
      </c>
      <c r="G141" s="184">
        <f>'CDM Activity'!O73</f>
        <v>156694.52517689127</v>
      </c>
      <c r="H141" s="187">
        <v>136.93840176089088</v>
      </c>
      <c r="I141" s="184">
        <v>4285</v>
      </c>
      <c r="J141" s="194">
        <v>336</v>
      </c>
      <c r="K141" s="194">
        <f t="shared" si="0"/>
        <v>10784595.132424209</v>
      </c>
      <c r="L141" s="194">
        <f t="shared" si="1"/>
        <v>97029.922424210235</v>
      </c>
      <c r="M141" s="37">
        <f t="shared" si="2"/>
        <v>9.0787677565160093E-3</v>
      </c>
    </row>
    <row r="142" spans="1:13">
      <c r="A142" s="191">
        <v>40391</v>
      </c>
      <c r="B142" s="284">
        <v>10774421.849999988</v>
      </c>
      <c r="C142" s="194">
        <f>'Weather Data'!B238</f>
        <v>37.9</v>
      </c>
      <c r="D142" s="194">
        <f>'Weather Data'!C238</f>
        <v>55.8</v>
      </c>
      <c r="E142" s="194">
        <v>31</v>
      </c>
      <c r="F142" s="194">
        <v>0</v>
      </c>
      <c r="G142" s="184">
        <f>'CDM Activity'!O74</f>
        <v>164331.55964122005</v>
      </c>
      <c r="H142" s="187">
        <v>137.30940385330757</v>
      </c>
      <c r="I142" s="184">
        <v>4286</v>
      </c>
      <c r="J142" s="194">
        <v>336</v>
      </c>
      <c r="K142" s="194">
        <f t="shared" si="0"/>
        <v>10971778.080874536</v>
      </c>
      <c r="L142" s="194">
        <f t="shared" si="1"/>
        <v>197356.23087454773</v>
      </c>
      <c r="M142" s="37">
        <f t="shared" si="2"/>
        <v>1.831710634891727E-2</v>
      </c>
    </row>
    <row r="143" spans="1:13">
      <c r="A143" s="191">
        <v>40422</v>
      </c>
      <c r="B143" s="284">
        <v>9491235.3699999973</v>
      </c>
      <c r="C143" s="194">
        <f>'Weather Data'!B239</f>
        <v>231.1</v>
      </c>
      <c r="D143" s="194">
        <f>'Weather Data'!C239</f>
        <v>0</v>
      </c>
      <c r="E143" s="194">
        <v>30</v>
      </c>
      <c r="F143" s="194">
        <v>1</v>
      </c>
      <c r="G143" s="184">
        <f>'CDM Activity'!O75</f>
        <v>171968.59410554884</v>
      </c>
      <c r="H143" s="187">
        <v>137.68141108782325</v>
      </c>
      <c r="I143" s="184">
        <v>4302</v>
      </c>
      <c r="J143" s="194">
        <v>336</v>
      </c>
      <c r="K143" s="194">
        <f t="shared" si="0"/>
        <v>9859964.6793670319</v>
      </c>
      <c r="L143" s="194">
        <f t="shared" si="1"/>
        <v>368729.30936703458</v>
      </c>
      <c r="M143" s="37">
        <f t="shared" si="2"/>
        <v>3.8849453732073519E-2</v>
      </c>
    </row>
    <row r="144" spans="1:13">
      <c r="A144" s="191">
        <v>40452</v>
      </c>
      <c r="B144" s="284">
        <v>10047653.200000029</v>
      </c>
      <c r="C144" s="194">
        <f>'Weather Data'!B240</f>
        <v>355.49999999999989</v>
      </c>
      <c r="D144" s="194">
        <f>'Weather Data'!C240</f>
        <v>0</v>
      </c>
      <c r="E144" s="194">
        <v>31</v>
      </c>
      <c r="F144" s="194">
        <v>1</v>
      </c>
      <c r="G144" s="184">
        <f>'CDM Activity'!O76</f>
        <v>179605.62856987762</v>
      </c>
      <c r="H144" s="187">
        <v>138.0544261876318</v>
      </c>
      <c r="I144" s="184">
        <v>4331</v>
      </c>
      <c r="J144" s="194">
        <v>320</v>
      </c>
      <c r="K144" s="194">
        <f t="shared" si="0"/>
        <v>10691646.009140966</v>
      </c>
      <c r="L144" s="194">
        <f t="shared" si="1"/>
        <v>643992.8091409374</v>
      </c>
      <c r="M144" s="37">
        <f t="shared" si="2"/>
        <v>6.4093853193593064E-2</v>
      </c>
    </row>
    <row r="145" spans="1:13">
      <c r="A145" s="191">
        <v>40483</v>
      </c>
      <c r="B145" s="284">
        <v>11121846.869999992</v>
      </c>
      <c r="C145" s="194">
        <f>'Weather Data'!B241</f>
        <v>549.40000000000009</v>
      </c>
      <c r="D145" s="194">
        <f>'Weather Data'!C241</f>
        <v>0</v>
      </c>
      <c r="E145" s="194">
        <v>30</v>
      </c>
      <c r="F145" s="194">
        <v>1</v>
      </c>
      <c r="G145" s="184">
        <f>'CDM Activity'!O77</f>
        <v>187242.6630342064</v>
      </c>
      <c r="H145" s="187">
        <v>138.42845188330503</v>
      </c>
      <c r="I145" s="184">
        <v>4335</v>
      </c>
      <c r="J145" s="194">
        <v>336</v>
      </c>
      <c r="K145" s="194">
        <f t="shared" si="0"/>
        <v>11263437.010107953</v>
      </c>
      <c r="L145" s="194">
        <f t="shared" si="1"/>
        <v>141590.14010796137</v>
      </c>
      <c r="M145" s="37">
        <f t="shared" si="2"/>
        <v>1.273081186631744E-2</v>
      </c>
    </row>
    <row r="146" spans="1:13">
      <c r="A146" s="191">
        <v>40513</v>
      </c>
      <c r="B146" s="284">
        <v>13156983.93999997</v>
      </c>
      <c r="C146" s="194">
        <f>'Weather Data'!B242</f>
        <v>879.0999999999998</v>
      </c>
      <c r="D146" s="194">
        <f>'Weather Data'!C242</f>
        <v>0</v>
      </c>
      <c r="E146" s="194">
        <v>31</v>
      </c>
      <c r="F146" s="194">
        <v>0</v>
      </c>
      <c r="G146" s="184">
        <f>'CDM Activity'!O78</f>
        <v>194879.69749853518</v>
      </c>
      <c r="H146" s="187">
        <v>138.80349091281266</v>
      </c>
      <c r="I146" s="184">
        <v>4331</v>
      </c>
      <c r="J146" s="194">
        <v>368</v>
      </c>
      <c r="K146" s="194">
        <f t="shared" si="0"/>
        <v>13508744.802165367</v>
      </c>
      <c r="L146" s="194">
        <f t="shared" si="1"/>
        <v>351760.86216539703</v>
      </c>
      <c r="M146" s="37">
        <f t="shared" si="2"/>
        <v>2.6735676183047605E-2</v>
      </c>
    </row>
    <row r="147" spans="1:13">
      <c r="A147" s="183">
        <v>40544</v>
      </c>
      <c r="B147" s="284">
        <v>14302277.350000005</v>
      </c>
      <c r="C147" s="194">
        <f>'Weather Data'!B243</f>
        <v>1077.9000000000003</v>
      </c>
      <c r="D147" s="194">
        <f>'Weather Data'!C243</f>
        <v>0</v>
      </c>
      <c r="E147" s="287">
        <v>31</v>
      </c>
      <c r="F147" s="194">
        <v>0</v>
      </c>
      <c r="G147" s="184">
        <f>'CDM Activity'!O79</f>
        <v>197957.69787198218</v>
      </c>
      <c r="H147" s="187">
        <v>139.10070640604135</v>
      </c>
      <c r="I147" s="184">
        <v>4329</v>
      </c>
      <c r="J147" s="194">
        <v>336</v>
      </c>
      <c r="K147" s="194">
        <f t="shared" si="0"/>
        <v>14387339.201953959</v>
      </c>
      <c r="L147" s="194">
        <f t="shared" si="1"/>
        <v>85061.851953953505</v>
      </c>
      <c r="M147" s="37">
        <f t="shared" si="2"/>
        <v>5.947434095448686E-3</v>
      </c>
    </row>
    <row r="148" spans="1:13">
      <c r="A148" s="183">
        <v>40575</v>
      </c>
      <c r="B148" s="284">
        <v>12447595.389999971</v>
      </c>
      <c r="C148" s="194">
        <f>'Weather Data'!B244</f>
        <v>826.9</v>
      </c>
      <c r="D148" s="194">
        <f>'Weather Data'!C244</f>
        <v>0</v>
      </c>
      <c r="E148" s="287">
        <v>28</v>
      </c>
      <c r="F148" s="194">
        <v>0</v>
      </c>
      <c r="G148" s="184">
        <f>'CDM Activity'!O80</f>
        <v>201035.69824542917</v>
      </c>
      <c r="H148" s="187">
        <v>139.39855831733732</v>
      </c>
      <c r="I148" s="184">
        <v>4324</v>
      </c>
      <c r="J148" s="194">
        <v>304</v>
      </c>
      <c r="K148" s="194">
        <f t="shared" si="0"/>
        <v>12452659.83213851</v>
      </c>
      <c r="L148" s="194">
        <f t="shared" si="1"/>
        <v>5064.4421385396272</v>
      </c>
      <c r="M148" s="37">
        <f t="shared" si="2"/>
        <v>4.0686108279260508E-4</v>
      </c>
    </row>
    <row r="149" spans="1:13">
      <c r="A149" s="183">
        <v>40603</v>
      </c>
      <c r="B149" s="284">
        <v>12509940.990000015</v>
      </c>
      <c r="C149" s="194">
        <f>'Weather Data'!B245</f>
        <v>749.9</v>
      </c>
      <c r="D149" s="194">
        <f>'Weather Data'!C245</f>
        <v>0</v>
      </c>
      <c r="E149" s="287">
        <v>31</v>
      </c>
      <c r="F149" s="194">
        <v>1</v>
      </c>
      <c r="G149" s="184">
        <f>'CDM Activity'!O81</f>
        <v>204113.69861887617</v>
      </c>
      <c r="H149" s="187">
        <v>139.69704800944226</v>
      </c>
      <c r="I149" s="184">
        <v>4331</v>
      </c>
      <c r="J149" s="194">
        <v>368</v>
      </c>
      <c r="K149" s="194">
        <f t="shared" si="0"/>
        <v>12455307.40373591</v>
      </c>
      <c r="L149" s="194">
        <f t="shared" si="1"/>
        <v>-54633.586264105514</v>
      </c>
      <c r="M149" s="37">
        <f t="shared" si="2"/>
        <v>4.3672137468735934E-3</v>
      </c>
    </row>
    <row r="150" spans="1:13">
      <c r="A150" s="183">
        <v>40634</v>
      </c>
      <c r="B150" s="284">
        <v>10791805.250000004</v>
      </c>
      <c r="C150" s="194">
        <f>'Weather Data'!B246</f>
        <v>482.30000000000007</v>
      </c>
      <c r="D150" s="194">
        <f>'Weather Data'!C246</f>
        <v>0</v>
      </c>
      <c r="E150" s="287">
        <v>30</v>
      </c>
      <c r="F150" s="194">
        <v>1</v>
      </c>
      <c r="G150" s="184">
        <f>'CDM Activity'!O82</f>
        <v>207191.69899232316</v>
      </c>
      <c r="H150" s="187">
        <v>139.99617684801592</v>
      </c>
      <c r="I150" s="184">
        <v>4324</v>
      </c>
      <c r="J150" s="194">
        <v>320</v>
      </c>
      <c r="K150" s="194">
        <f t="shared" si="0"/>
        <v>11012007.143765166</v>
      </c>
      <c r="L150" s="194">
        <f t="shared" si="1"/>
        <v>220201.89376516268</v>
      </c>
      <c r="M150" s="37">
        <f t="shared" si="2"/>
        <v>2.040454665962051E-2</v>
      </c>
    </row>
    <row r="151" spans="1:13">
      <c r="A151" s="183">
        <v>40664</v>
      </c>
      <c r="B151" s="284">
        <v>10114377.919999992</v>
      </c>
      <c r="C151" s="194">
        <f>'Weather Data'!B247</f>
        <v>266.99999999999994</v>
      </c>
      <c r="D151" s="194">
        <f>'Weather Data'!C247</f>
        <v>0</v>
      </c>
      <c r="E151" s="287">
        <v>31</v>
      </c>
      <c r="F151" s="194">
        <v>1</v>
      </c>
      <c r="G151" s="184">
        <f>'CDM Activity'!O83</f>
        <v>210269.69936577015</v>
      </c>
      <c r="H151" s="187">
        <v>140.29594620164227</v>
      </c>
      <c r="I151" s="184">
        <v>4319</v>
      </c>
      <c r="J151" s="194">
        <v>336</v>
      </c>
      <c r="K151" s="194">
        <f t="shared" si="0"/>
        <v>10361423.027829004</v>
      </c>
      <c r="L151" s="194">
        <f t="shared" si="1"/>
        <v>247045.10782901198</v>
      </c>
      <c r="M151" s="37">
        <f t="shared" si="2"/>
        <v>2.4425141099435225E-2</v>
      </c>
    </row>
    <row r="152" spans="1:13">
      <c r="A152" s="183">
        <v>40695</v>
      </c>
      <c r="B152" s="284">
        <v>9658664.0399999935</v>
      </c>
      <c r="C152" s="194">
        <f>'Weather Data'!B248</f>
        <v>110.1</v>
      </c>
      <c r="D152" s="194">
        <f>'Weather Data'!C248</f>
        <v>0</v>
      </c>
      <c r="E152" s="287">
        <v>30</v>
      </c>
      <c r="F152" s="194">
        <v>0</v>
      </c>
      <c r="G152" s="184">
        <f>'CDM Activity'!O84</f>
        <v>213347.69973921715</v>
      </c>
      <c r="H152" s="187">
        <v>140.59635744183578</v>
      </c>
      <c r="I152" s="184">
        <v>4331</v>
      </c>
      <c r="J152" s="194">
        <v>352</v>
      </c>
      <c r="K152" s="194">
        <f t="shared" ref="K152:K215" si="3">$O$103+C152*$O$104+D152*$O$105+E152*$O$106+F152*$O$107+G152*$O$108+H152*$O$109</f>
        <v>9917937.44984084</v>
      </c>
      <c r="L152" s="194">
        <f t="shared" ref="L152:L206" si="4">K152-B152</f>
        <v>259273.40984084643</v>
      </c>
      <c r="M152" s="37">
        <f t="shared" ref="M152:M206" si="5">ABS(L152/B152)</f>
        <v>2.6843609920285269E-2</v>
      </c>
    </row>
    <row r="153" spans="1:13">
      <c r="A153" s="183">
        <v>40725</v>
      </c>
      <c r="B153" s="284">
        <v>10695218.369999992</v>
      </c>
      <c r="C153" s="194">
        <f>'Weather Data'!B249</f>
        <v>29.8</v>
      </c>
      <c r="D153" s="194">
        <f>'Weather Data'!C249</f>
        <v>63.7</v>
      </c>
      <c r="E153" s="287">
        <v>31</v>
      </c>
      <c r="F153" s="194">
        <v>0</v>
      </c>
      <c r="G153" s="184">
        <f>'CDM Activity'!O85</f>
        <v>216425.70011266414</v>
      </c>
      <c r="H153" s="187">
        <v>140.89741194304773</v>
      </c>
      <c r="I153" s="184">
        <v>4334</v>
      </c>
      <c r="J153" s="194">
        <v>320</v>
      </c>
      <c r="K153" s="194">
        <f t="shared" si="3"/>
        <v>11187712.914343629</v>
      </c>
      <c r="L153" s="194">
        <f t="shared" si="4"/>
        <v>492494.5443436373</v>
      </c>
      <c r="M153" s="37">
        <f t="shared" si="5"/>
        <v>4.6048105546407619E-2</v>
      </c>
    </row>
    <row r="154" spans="1:13">
      <c r="A154" s="183">
        <v>40756</v>
      </c>
      <c r="B154" s="284">
        <v>10770620.640000014</v>
      </c>
      <c r="C154" s="194">
        <f>'Weather Data'!B250</f>
        <v>22.2</v>
      </c>
      <c r="D154" s="194">
        <f>'Weather Data'!C250</f>
        <v>35.699999999999996</v>
      </c>
      <c r="E154" s="287">
        <v>31</v>
      </c>
      <c r="F154" s="194">
        <v>0</v>
      </c>
      <c r="G154" s="184">
        <f>'CDM Activity'!O86</f>
        <v>219503.70048611113</v>
      </c>
      <c r="H154" s="187">
        <v>141.19911108267243</v>
      </c>
      <c r="I154" s="184">
        <v>4330</v>
      </c>
      <c r="J154" s="194">
        <v>352</v>
      </c>
      <c r="K154" s="194">
        <f t="shared" si="3"/>
        <v>10579193.728361441</v>
      </c>
      <c r="L154" s="194">
        <f t="shared" si="4"/>
        <v>-191426.91163857281</v>
      </c>
      <c r="M154" s="37">
        <f t="shared" si="5"/>
        <v>1.7773062299460261E-2</v>
      </c>
    </row>
    <row r="155" spans="1:13">
      <c r="A155" s="183">
        <v>40787</v>
      </c>
      <c r="B155" s="284">
        <v>9905090.3899999876</v>
      </c>
      <c r="C155" s="194">
        <f>'Weather Data'!B251</f>
        <v>172.3</v>
      </c>
      <c r="D155" s="194">
        <f>'Weather Data'!C251</f>
        <v>9.4</v>
      </c>
      <c r="E155" s="287">
        <v>30</v>
      </c>
      <c r="F155" s="194">
        <v>1</v>
      </c>
      <c r="G155" s="184">
        <f>'CDM Activity'!O87</f>
        <v>222581.70085955813</v>
      </c>
      <c r="H155" s="187">
        <v>141.50145624105357</v>
      </c>
      <c r="I155" s="184">
        <v>4340</v>
      </c>
      <c r="J155" s="194">
        <v>336</v>
      </c>
      <c r="K155" s="194">
        <f t="shared" si="3"/>
        <v>9898447.9615310244</v>
      </c>
      <c r="L155" s="194">
        <f t="shared" si="4"/>
        <v>-6642.4284689631313</v>
      </c>
      <c r="M155" s="37">
        <f t="shared" si="5"/>
        <v>6.7060755706673967E-4</v>
      </c>
    </row>
    <row r="156" spans="1:13">
      <c r="A156" s="183">
        <v>40817</v>
      </c>
      <c r="B156" s="284">
        <v>10394269.490000017</v>
      </c>
      <c r="C156" s="194">
        <f>'Weather Data'!B252</f>
        <v>337.20000000000005</v>
      </c>
      <c r="D156" s="194">
        <f>'Weather Data'!C252</f>
        <v>5.4</v>
      </c>
      <c r="E156" s="287">
        <v>31</v>
      </c>
      <c r="F156" s="194">
        <v>1</v>
      </c>
      <c r="G156" s="184">
        <f>'CDM Activity'!O88</f>
        <v>225659.70123300512</v>
      </c>
      <c r="H156" s="187">
        <v>141.80444880149057</v>
      </c>
      <c r="I156" s="184">
        <v>4365</v>
      </c>
      <c r="J156" s="194">
        <v>320</v>
      </c>
      <c r="K156" s="194">
        <f t="shared" si="3"/>
        <v>10827491.181000981</v>
      </c>
      <c r="L156" s="194">
        <f t="shared" si="4"/>
        <v>433221.69100096449</v>
      </c>
      <c r="M156" s="37">
        <f t="shared" si="5"/>
        <v>4.1678897340284737E-2</v>
      </c>
    </row>
    <row r="157" spans="1:13">
      <c r="A157" s="183">
        <v>40848</v>
      </c>
      <c r="B157" s="284">
        <v>11396702.920000002</v>
      </c>
      <c r="C157" s="194">
        <f>'Weather Data'!B253</f>
        <v>563.20000000000005</v>
      </c>
      <c r="D157" s="194">
        <f>'Weather Data'!C253</f>
        <v>0</v>
      </c>
      <c r="E157" s="287">
        <v>30</v>
      </c>
      <c r="F157" s="194">
        <v>1</v>
      </c>
      <c r="G157" s="184">
        <f>'CDM Activity'!O89</f>
        <v>228737.70160645212</v>
      </c>
      <c r="H157" s="187">
        <v>142.10809015024478</v>
      </c>
      <c r="I157" s="184">
        <v>4380</v>
      </c>
      <c r="J157" s="194">
        <v>352</v>
      </c>
      <c r="K157" s="194">
        <f t="shared" si="3"/>
        <v>11430659.306886557</v>
      </c>
      <c r="L157" s="194">
        <f t="shared" si="4"/>
        <v>33956.386886555701</v>
      </c>
      <c r="M157" s="37">
        <f t="shared" si="5"/>
        <v>2.979492150046822E-3</v>
      </c>
    </row>
    <row r="158" spans="1:13">
      <c r="A158" s="183">
        <v>40878</v>
      </c>
      <c r="B158" s="284">
        <v>12702124.479999989</v>
      </c>
      <c r="C158" s="194">
        <f>'Weather Data'!B254</f>
        <v>769.8</v>
      </c>
      <c r="D158" s="194">
        <f>'Weather Data'!C254</f>
        <v>0</v>
      </c>
      <c r="E158" s="287">
        <v>31</v>
      </c>
      <c r="F158" s="194">
        <v>0</v>
      </c>
      <c r="G158" s="184">
        <f>'CDM Activity'!O90</f>
        <v>231815.70197989911</v>
      </c>
      <c r="H158" s="187">
        <v>142.41238167654581</v>
      </c>
      <c r="I158" s="184">
        <v>4369</v>
      </c>
      <c r="J158" s="194">
        <v>336</v>
      </c>
      <c r="K158" s="194">
        <f t="shared" si="3"/>
        <v>13141218.92752495</v>
      </c>
      <c r="L158" s="194">
        <f t="shared" si="4"/>
        <v>439094.44752496108</v>
      </c>
      <c r="M158" s="37">
        <f t="shared" si="5"/>
        <v>3.456858324891502E-2</v>
      </c>
    </row>
    <row r="159" spans="1:13">
      <c r="A159" s="183">
        <v>40909</v>
      </c>
      <c r="B159" s="284">
        <v>13282492.840000024</v>
      </c>
      <c r="C159" s="194">
        <f>'Weather Data'!B255</f>
        <v>865.69999999999993</v>
      </c>
      <c r="D159" s="194">
        <f>'Weather Data'!C255</f>
        <v>0</v>
      </c>
      <c r="E159" s="194">
        <v>31</v>
      </c>
      <c r="F159" s="194">
        <v>0</v>
      </c>
      <c r="G159" s="184">
        <f>'CDM Activity'!O91</f>
        <v>239932.8643304155</v>
      </c>
      <c r="H159" s="187">
        <v>142.61257743956915</v>
      </c>
      <c r="I159" s="184">
        <v>4474</v>
      </c>
      <c r="J159" s="194">
        <v>336</v>
      </c>
      <c r="K159" s="194">
        <f t="shared" si="3"/>
        <v>13557551.062467234</v>
      </c>
      <c r="L159" s="194">
        <f t="shared" si="4"/>
        <v>275058.22246721014</v>
      </c>
      <c r="M159" s="37">
        <f t="shared" si="5"/>
        <v>2.070832830708378E-2</v>
      </c>
    </row>
    <row r="160" spans="1:13">
      <c r="A160" s="183">
        <v>40940</v>
      </c>
      <c r="B160" s="284">
        <v>11892077.770000001</v>
      </c>
      <c r="C160" s="194">
        <f>'Weather Data'!B256</f>
        <v>693.8</v>
      </c>
      <c r="D160" s="194">
        <f>'Weather Data'!C256</f>
        <v>0</v>
      </c>
      <c r="E160" s="194">
        <v>29</v>
      </c>
      <c r="F160" s="194">
        <v>0</v>
      </c>
      <c r="G160" s="184">
        <f>'CDM Activity'!O92</f>
        <v>248050.02668093189</v>
      </c>
      <c r="H160" s="187">
        <v>142.81305462716429</v>
      </c>
      <c r="I160" s="184">
        <v>4484</v>
      </c>
      <c r="J160" s="194">
        <v>320</v>
      </c>
      <c r="K160" s="194">
        <f t="shared" si="3"/>
        <v>12238619.352963857</v>
      </c>
      <c r="L160" s="194">
        <f t="shared" si="4"/>
        <v>346541.58296385594</v>
      </c>
      <c r="M160" s="37">
        <f t="shared" si="5"/>
        <v>2.9140541263367126E-2</v>
      </c>
    </row>
    <row r="161" spans="1:13">
      <c r="A161" s="183">
        <v>40969</v>
      </c>
      <c r="B161" s="284">
        <v>11479099.71000001</v>
      </c>
      <c r="C161" s="194">
        <f>'Weather Data'!B257</f>
        <v>525.4</v>
      </c>
      <c r="D161" s="194">
        <f>'Weather Data'!C257</f>
        <v>0</v>
      </c>
      <c r="E161" s="194">
        <v>31</v>
      </c>
      <c r="F161" s="194">
        <v>1</v>
      </c>
      <c r="G161" s="184">
        <f>'CDM Activity'!O93</f>
        <v>256167.18903144827</v>
      </c>
      <c r="H161" s="187">
        <v>143.01381363494295</v>
      </c>
      <c r="I161" s="184">
        <v>4484</v>
      </c>
      <c r="J161" s="194">
        <v>352</v>
      </c>
      <c r="K161" s="194">
        <f t="shared" si="3"/>
        <v>11547308.452794557</v>
      </c>
      <c r="L161" s="194">
        <f t="shared" si="4"/>
        <v>68208.74279454723</v>
      </c>
      <c r="M161" s="37">
        <f t="shared" si="5"/>
        <v>5.9419941038692456E-3</v>
      </c>
    </row>
    <row r="162" spans="1:13">
      <c r="A162" s="183">
        <v>41000</v>
      </c>
      <c r="B162" s="284">
        <v>10218124.679999998</v>
      </c>
      <c r="C162" s="194">
        <f>'Weather Data'!B258</f>
        <v>434.89999999999986</v>
      </c>
      <c r="D162" s="194">
        <f>'Weather Data'!C258</f>
        <v>0</v>
      </c>
      <c r="E162" s="194">
        <v>30</v>
      </c>
      <c r="F162" s="194">
        <v>1</v>
      </c>
      <c r="G162" s="184">
        <f>'CDM Activity'!O94</f>
        <v>264284.35138196469</v>
      </c>
      <c r="H162" s="187">
        <v>143.21485485907297</v>
      </c>
      <c r="I162" s="184">
        <v>4484</v>
      </c>
      <c r="J162" s="194">
        <v>320</v>
      </c>
      <c r="K162" s="194">
        <f t="shared" si="3"/>
        <v>10866407.886048704</v>
      </c>
      <c r="L162" s="194">
        <f t="shared" si="4"/>
        <v>648283.20604870655</v>
      </c>
      <c r="M162" s="37">
        <f t="shared" si="5"/>
        <v>6.3444440770780125E-2</v>
      </c>
    </row>
    <row r="163" spans="1:13">
      <c r="A163" s="183">
        <v>41030</v>
      </c>
      <c r="B163" s="284">
        <v>10124589.529999997</v>
      </c>
      <c r="C163" s="194">
        <f>'Weather Data'!B259</f>
        <v>227.10000000000002</v>
      </c>
      <c r="D163" s="194">
        <f>'Weather Data'!C259</f>
        <v>0</v>
      </c>
      <c r="E163" s="194">
        <v>31</v>
      </c>
      <c r="F163" s="194">
        <v>1</v>
      </c>
      <c r="G163" s="184">
        <f>'CDM Activity'!O95</f>
        <v>272401.51373248111</v>
      </c>
      <c r="H163" s="187">
        <v>143.41617869627913</v>
      </c>
      <c r="I163" s="184">
        <v>4488</v>
      </c>
      <c r="J163" s="194">
        <v>352</v>
      </c>
      <c r="K163" s="194">
        <f t="shared" si="3"/>
        <v>10236381.744015602</v>
      </c>
      <c r="L163" s="194">
        <f t="shared" si="4"/>
        <v>111792.21401560493</v>
      </c>
      <c r="M163" s="37">
        <f t="shared" si="5"/>
        <v>1.104165395390651E-2</v>
      </c>
    </row>
    <row r="164" spans="1:13">
      <c r="A164" s="183">
        <v>41061</v>
      </c>
      <c r="B164" s="284">
        <v>10192835.750000022</v>
      </c>
      <c r="C164" s="194">
        <f>'Weather Data'!B260</f>
        <v>64.900000000000006</v>
      </c>
      <c r="D164" s="194">
        <f>'Weather Data'!C260</f>
        <v>18.399999999999999</v>
      </c>
      <c r="E164" s="194">
        <v>30</v>
      </c>
      <c r="F164" s="194">
        <v>0</v>
      </c>
      <c r="G164" s="184">
        <f>'CDM Activity'!O96</f>
        <v>280518.67608299752</v>
      </c>
      <c r="H164" s="187">
        <v>143.61778554384387</v>
      </c>
      <c r="I164" s="184">
        <v>4490</v>
      </c>
      <c r="J164" s="194">
        <v>336</v>
      </c>
      <c r="K164" s="194">
        <f t="shared" si="3"/>
        <v>10141572.918853246</v>
      </c>
      <c r="L164" s="194">
        <f t="shared" si="4"/>
        <v>-51262.831146776676</v>
      </c>
      <c r="M164" s="37">
        <f t="shared" si="5"/>
        <v>5.0293002265612459E-3</v>
      </c>
    </row>
    <row r="165" spans="1:13">
      <c r="A165" s="183">
        <v>41091</v>
      </c>
      <c r="B165" s="284">
        <v>11177893.739999993</v>
      </c>
      <c r="C165" s="194">
        <f>'Weather Data'!B261</f>
        <v>6.8</v>
      </c>
      <c r="D165" s="194">
        <f>'Weather Data'!C261</f>
        <v>66.5</v>
      </c>
      <c r="E165" s="194">
        <v>31</v>
      </c>
      <c r="F165" s="194">
        <v>0</v>
      </c>
      <c r="G165" s="184">
        <f>'CDM Activity'!O97</f>
        <v>288635.83843351394</v>
      </c>
      <c r="H165" s="187">
        <v>143.81967579960809</v>
      </c>
      <c r="I165" s="184">
        <v>4504</v>
      </c>
      <c r="J165" s="194">
        <v>336</v>
      </c>
      <c r="K165" s="194">
        <f t="shared" si="3"/>
        <v>11170501.648622625</v>
      </c>
      <c r="L165" s="194">
        <f t="shared" si="4"/>
        <v>-7392.0913773681968</v>
      </c>
      <c r="M165" s="37">
        <f t="shared" si="5"/>
        <v>6.613134414505717E-4</v>
      </c>
    </row>
    <row r="166" spans="1:13">
      <c r="A166" s="183">
        <v>41122</v>
      </c>
      <c r="B166" s="284">
        <v>10815121.590000007</v>
      </c>
      <c r="C166" s="194">
        <f>'Weather Data'!B262</f>
        <v>38.499999999999986</v>
      </c>
      <c r="D166" s="194">
        <f>'Weather Data'!C262</f>
        <v>27.7</v>
      </c>
      <c r="E166" s="194">
        <v>31</v>
      </c>
      <c r="F166" s="194">
        <v>0</v>
      </c>
      <c r="G166" s="184">
        <f>'CDM Activity'!O98</f>
        <v>296753.00078403036</v>
      </c>
      <c r="H166" s="187">
        <v>144.02184986197204</v>
      </c>
      <c r="I166" s="184">
        <v>4503</v>
      </c>
      <c r="J166" s="194">
        <v>352</v>
      </c>
      <c r="K166" s="194">
        <f t="shared" si="3"/>
        <v>10496119.696134374</v>
      </c>
      <c r="L166" s="194">
        <f t="shared" si="4"/>
        <v>-319001.89386563376</v>
      </c>
      <c r="M166" s="37">
        <f t="shared" si="5"/>
        <v>2.9495913773229576E-2</v>
      </c>
    </row>
    <row r="167" spans="1:13">
      <c r="A167" s="183">
        <v>41153</v>
      </c>
      <c r="B167" s="284">
        <v>9852554.6300000139</v>
      </c>
      <c r="C167" s="194">
        <f>'Weather Data'!B263</f>
        <v>213.49999999999997</v>
      </c>
      <c r="D167" s="194">
        <f>'Weather Data'!C263</f>
        <v>4</v>
      </c>
      <c r="E167" s="194">
        <v>30</v>
      </c>
      <c r="F167" s="194">
        <v>1</v>
      </c>
      <c r="G167" s="184">
        <f>'CDM Activity'!O99</f>
        <v>304870.16313454678</v>
      </c>
      <c r="H167" s="187">
        <v>144.22430812989595</v>
      </c>
      <c r="I167" s="184">
        <v>4504</v>
      </c>
      <c r="J167" s="194">
        <v>304</v>
      </c>
      <c r="K167" s="194">
        <f t="shared" si="3"/>
        <v>9966250.4269135855</v>
      </c>
      <c r="L167" s="194">
        <f t="shared" si="4"/>
        <v>113695.79691357166</v>
      </c>
      <c r="M167" s="37">
        <f t="shared" si="5"/>
        <v>1.1539727632403039E-2</v>
      </c>
    </row>
    <row r="168" spans="1:13">
      <c r="A168" s="183">
        <v>41183</v>
      </c>
      <c r="B168" s="284">
        <v>10546419.660000006</v>
      </c>
      <c r="C168" s="194">
        <f>'Weather Data'!B264</f>
        <v>395.80000000000007</v>
      </c>
      <c r="D168" s="194">
        <f>'Weather Data'!C264</f>
        <v>0</v>
      </c>
      <c r="E168" s="194">
        <v>31</v>
      </c>
      <c r="F168" s="194">
        <v>1</v>
      </c>
      <c r="G168" s="184">
        <f>'CDM Activity'!O100</f>
        <v>312987.32548506319</v>
      </c>
      <c r="H168" s="187">
        <v>144.42705100290087</v>
      </c>
      <c r="I168" s="184">
        <v>4509</v>
      </c>
      <c r="J168" s="194">
        <v>352</v>
      </c>
      <c r="K168" s="194">
        <f t="shared" si="3"/>
        <v>10959070.458857592</v>
      </c>
      <c r="L168" s="194">
        <f t="shared" si="4"/>
        <v>412650.79885758646</v>
      </c>
      <c r="M168" s="37">
        <f t="shared" si="5"/>
        <v>3.9127098310213292E-2</v>
      </c>
    </row>
    <row r="169" spans="1:13">
      <c r="A169" s="183">
        <v>41214</v>
      </c>
      <c r="B169" s="284">
        <v>11363637.410000011</v>
      </c>
      <c r="C169" s="194">
        <f>'Weather Data'!B265</f>
        <v>600.80000000000007</v>
      </c>
      <c r="D169" s="194">
        <f>'Weather Data'!C265</f>
        <v>0</v>
      </c>
      <c r="E169" s="194">
        <v>30</v>
      </c>
      <c r="F169" s="194">
        <v>1</v>
      </c>
      <c r="G169" s="184">
        <f>'CDM Activity'!O101</f>
        <v>321104.48783557961</v>
      </c>
      <c r="H169" s="187">
        <v>144.63007888106955</v>
      </c>
      <c r="I169" s="184">
        <v>4522</v>
      </c>
      <c r="J169" s="194">
        <v>352</v>
      </c>
      <c r="K169" s="194">
        <f t="shared" si="3"/>
        <v>11570769.66582207</v>
      </c>
      <c r="L169" s="194">
        <f t="shared" si="4"/>
        <v>207132.25582205877</v>
      </c>
      <c r="M169" s="37">
        <f t="shared" si="5"/>
        <v>1.8227636833940353E-2</v>
      </c>
    </row>
    <row r="170" spans="1:13">
      <c r="A170" s="183">
        <v>41244</v>
      </c>
      <c r="B170" s="284">
        <v>12733993.179999996</v>
      </c>
      <c r="C170" s="194">
        <f>'Weather Data'!B266</f>
        <v>793.69999999999993</v>
      </c>
      <c r="D170" s="194">
        <f>'Weather Data'!C266</f>
        <v>0</v>
      </c>
      <c r="E170" s="194">
        <v>31</v>
      </c>
      <c r="F170" s="194">
        <v>0</v>
      </c>
      <c r="G170" s="184">
        <f>'CDM Activity'!O102</f>
        <v>329221.65018609603</v>
      </c>
      <c r="H170" s="187">
        <v>144.83339216504706</v>
      </c>
      <c r="I170" s="184">
        <v>4517</v>
      </c>
      <c r="J170" s="194">
        <v>304</v>
      </c>
      <c r="K170" s="194">
        <f t="shared" si="3"/>
        <v>13209041.958249412</v>
      </c>
      <c r="L170" s="194">
        <f t="shared" si="4"/>
        <v>475048.7782494165</v>
      </c>
      <c r="M170" s="37">
        <f t="shared" si="5"/>
        <v>3.730556248416466E-2</v>
      </c>
    </row>
    <row r="171" spans="1:13">
      <c r="A171" s="183">
        <v>41275</v>
      </c>
      <c r="B171" s="284">
        <v>13858539.170000002</v>
      </c>
      <c r="C171" s="194">
        <f>'Weather Data'!B267</f>
        <v>928.40000000000009</v>
      </c>
      <c r="D171" s="194">
        <f>'Weather Data'!C267</f>
        <v>0</v>
      </c>
      <c r="E171" s="194">
        <v>31</v>
      </c>
      <c r="F171" s="194">
        <v>0</v>
      </c>
      <c r="G171" s="184">
        <f>'CDM Activity'!O103</f>
        <v>339519.55542353931</v>
      </c>
      <c r="H171" s="187">
        <v>144.98936781896037</v>
      </c>
      <c r="I171" s="184">
        <v>4521</v>
      </c>
      <c r="J171" s="194">
        <v>352</v>
      </c>
      <c r="K171" s="194">
        <f t="shared" si="3"/>
        <v>13789709.390084967</v>
      </c>
      <c r="L171" s="194">
        <f t="shared" si="4"/>
        <v>-68829.779915034771</v>
      </c>
      <c r="M171" s="37">
        <f t="shared" si="5"/>
        <v>4.966597061256837E-3</v>
      </c>
    </row>
    <row r="172" spans="1:13">
      <c r="A172" s="183">
        <v>41306</v>
      </c>
      <c r="B172" s="284">
        <v>12389058.759999994</v>
      </c>
      <c r="C172" s="194">
        <f>'Weather Data'!B268</f>
        <v>866.59999999999991</v>
      </c>
      <c r="D172" s="194">
        <f>'Weather Data'!C268</f>
        <v>0</v>
      </c>
      <c r="E172" s="194">
        <v>28</v>
      </c>
      <c r="F172" s="194">
        <v>0</v>
      </c>
      <c r="G172" s="184">
        <f>'CDM Activity'!O104</f>
        <v>349817.46066098259</v>
      </c>
      <c r="H172" s="187">
        <v>145.14551144798114</v>
      </c>
      <c r="I172" s="184">
        <v>4521</v>
      </c>
      <c r="J172" s="194">
        <v>304</v>
      </c>
      <c r="K172" s="194">
        <f t="shared" si="3"/>
        <v>12665007.763153201</v>
      </c>
      <c r="L172" s="194">
        <f t="shared" si="4"/>
        <v>275949.00315320678</v>
      </c>
      <c r="M172" s="37">
        <f t="shared" si="5"/>
        <v>2.2273605162334939E-2</v>
      </c>
    </row>
    <row r="173" spans="1:13">
      <c r="A173" s="183">
        <v>41334</v>
      </c>
      <c r="B173" s="284">
        <v>12426306.059999997</v>
      </c>
      <c r="C173" s="194">
        <f>'Weather Data'!B269</f>
        <v>767.3</v>
      </c>
      <c r="D173" s="194">
        <f>'Weather Data'!C269</f>
        <v>0</v>
      </c>
      <c r="E173" s="194">
        <v>31</v>
      </c>
      <c r="F173" s="194">
        <v>1</v>
      </c>
      <c r="G173" s="184">
        <f>'CDM Activity'!O105</f>
        <v>360115.36589842587</v>
      </c>
      <c r="H173" s="187">
        <v>145.30182323300707</v>
      </c>
      <c r="I173" s="184">
        <v>4519</v>
      </c>
      <c r="J173" s="194">
        <v>320</v>
      </c>
      <c r="K173" s="194">
        <f t="shared" si="3"/>
        <v>12552516.883947238</v>
      </c>
      <c r="L173" s="194">
        <f t="shared" si="4"/>
        <v>126210.82394724153</v>
      </c>
      <c r="M173" s="37">
        <f t="shared" si="5"/>
        <v>1.0156745161260061E-2</v>
      </c>
    </row>
    <row r="174" spans="1:13">
      <c r="A174" s="183">
        <v>41365</v>
      </c>
      <c r="B174" s="284">
        <v>11024965.649999976</v>
      </c>
      <c r="C174" s="194">
        <f>'Weather Data'!B270</f>
        <v>524.79999999999995</v>
      </c>
      <c r="D174" s="194">
        <f>'Weather Data'!C270</f>
        <v>0</v>
      </c>
      <c r="E174" s="194">
        <v>30</v>
      </c>
      <c r="F174" s="194">
        <v>1</v>
      </c>
      <c r="G174" s="184">
        <f>'CDM Activity'!O106</f>
        <v>370413.27113586914</v>
      </c>
      <c r="H174" s="187">
        <v>145.45830335513068</v>
      </c>
      <c r="I174" s="184">
        <v>4518</v>
      </c>
      <c r="J174" s="194">
        <v>352</v>
      </c>
      <c r="K174" s="194">
        <f t="shared" si="3"/>
        <v>11201382.531463074</v>
      </c>
      <c r="L174" s="194">
        <f t="shared" si="4"/>
        <v>176416.88146309741</v>
      </c>
      <c r="M174" s="37">
        <f t="shared" si="5"/>
        <v>1.6001581053733061E-2</v>
      </c>
    </row>
    <row r="175" spans="1:13">
      <c r="A175" s="183">
        <v>41395</v>
      </c>
      <c r="B175" s="284">
        <v>10309404.160000015</v>
      </c>
      <c r="C175" s="194">
        <f>'Weather Data'!B271</f>
        <v>325.3</v>
      </c>
      <c r="D175" s="194">
        <f>'Weather Data'!C271</f>
        <v>0</v>
      </c>
      <c r="E175" s="194">
        <v>31</v>
      </c>
      <c r="F175" s="194">
        <v>1</v>
      </c>
      <c r="G175" s="184">
        <f>'CDM Activity'!O107</f>
        <v>380711.17637331242</v>
      </c>
      <c r="H175" s="187">
        <v>145.6149519956395</v>
      </c>
      <c r="I175" s="184">
        <v>4520</v>
      </c>
      <c r="J175" s="194">
        <v>352</v>
      </c>
      <c r="K175" s="194">
        <f t="shared" si="3"/>
        <v>10602264.576927297</v>
      </c>
      <c r="L175" s="194">
        <f t="shared" si="4"/>
        <v>292860.41692728177</v>
      </c>
      <c r="M175" s="37">
        <f t="shared" si="5"/>
        <v>2.8407113775165194E-2</v>
      </c>
    </row>
    <row r="176" spans="1:13">
      <c r="A176" s="183">
        <v>41426</v>
      </c>
      <c r="B176" s="284">
        <v>9706763.5499999914</v>
      </c>
      <c r="C176" s="194">
        <f>'Weather Data'!B272</f>
        <v>130.9</v>
      </c>
      <c r="D176" s="194">
        <f>'Weather Data'!C272</f>
        <v>5.5</v>
      </c>
      <c r="E176" s="194">
        <v>30</v>
      </c>
      <c r="F176" s="194">
        <v>0</v>
      </c>
      <c r="G176" s="184">
        <f>'CDM Activity'!O108</f>
        <v>391009.0816107557</v>
      </c>
      <c r="H176" s="187">
        <v>145.77176933601632</v>
      </c>
      <c r="I176" s="184">
        <v>4519</v>
      </c>
      <c r="J176" s="194">
        <v>320</v>
      </c>
      <c r="K176" s="194">
        <f t="shared" si="3"/>
        <v>10091909.848836685</v>
      </c>
      <c r="L176" s="194">
        <f t="shared" si="4"/>
        <v>385146.29883669317</v>
      </c>
      <c r="M176" s="37">
        <f t="shared" si="5"/>
        <v>3.967813750204037E-2</v>
      </c>
    </row>
    <row r="177" spans="1:13">
      <c r="A177" s="183">
        <v>41456</v>
      </c>
      <c r="B177" s="284">
        <v>10209088.470000006</v>
      </c>
      <c r="C177" s="194">
        <f>'Weather Data'!B273</f>
        <v>60.7</v>
      </c>
      <c r="D177" s="194">
        <f>'Weather Data'!C273</f>
        <v>28.000000000000007</v>
      </c>
      <c r="E177" s="194">
        <v>31</v>
      </c>
      <c r="F177" s="194">
        <v>0</v>
      </c>
      <c r="G177" s="184">
        <f>'CDM Activity'!O109</f>
        <v>401306.98684819898</v>
      </c>
      <c r="H177" s="187">
        <v>145.92875555793933</v>
      </c>
      <c r="I177" s="184">
        <v>4527</v>
      </c>
      <c r="J177" s="194">
        <v>352</v>
      </c>
      <c r="K177" s="194">
        <f t="shared" si="3"/>
        <v>10528076.345434463</v>
      </c>
      <c r="L177" s="194">
        <f t="shared" si="4"/>
        <v>318987.87543445639</v>
      </c>
      <c r="M177" s="37">
        <f t="shared" si="5"/>
        <v>3.1245480570750328E-2</v>
      </c>
    </row>
    <row r="178" spans="1:13">
      <c r="A178" s="183">
        <v>41487</v>
      </c>
      <c r="B178" s="284">
        <v>10283952.329999983</v>
      </c>
      <c r="C178" s="194">
        <f>'Weather Data'!B274</f>
        <v>45.8</v>
      </c>
      <c r="D178" s="194">
        <f>'Weather Data'!C274</f>
        <v>41.8</v>
      </c>
      <c r="E178" s="194">
        <v>31</v>
      </c>
      <c r="F178" s="194">
        <v>0</v>
      </c>
      <c r="G178" s="184">
        <f>'CDM Activity'!O110</f>
        <v>411604.89208564226</v>
      </c>
      <c r="H178" s="187">
        <v>146.08591084328242</v>
      </c>
      <c r="I178" s="184">
        <v>4534</v>
      </c>
      <c r="J178" s="194">
        <v>336</v>
      </c>
      <c r="K178" s="194">
        <f t="shared" si="3"/>
        <v>10742544.20060112</v>
      </c>
      <c r="L178" s="194">
        <f t="shared" si="4"/>
        <v>458591.87060113624</v>
      </c>
      <c r="M178" s="37">
        <f t="shared" si="5"/>
        <v>4.459295958260602E-2</v>
      </c>
    </row>
    <row r="179" spans="1:13">
      <c r="A179" s="183">
        <v>41518</v>
      </c>
      <c r="B179" s="284">
        <v>9712165.490000017</v>
      </c>
      <c r="C179" s="194">
        <f>'Weather Data'!B275</f>
        <v>178.79999999999995</v>
      </c>
      <c r="D179" s="194">
        <f>'Weather Data'!C275</f>
        <v>0</v>
      </c>
      <c r="E179" s="194">
        <v>30</v>
      </c>
      <c r="F179" s="194">
        <v>1</v>
      </c>
      <c r="G179" s="184">
        <f>'CDM Activity'!O111</f>
        <v>421902.79732308554</v>
      </c>
      <c r="H179" s="187">
        <v>146.2432353741153</v>
      </c>
      <c r="I179" s="184">
        <v>4529</v>
      </c>
      <c r="J179" s="194">
        <v>320</v>
      </c>
      <c r="K179" s="194">
        <f t="shared" si="3"/>
        <v>9645691.9384445325</v>
      </c>
      <c r="L179" s="194">
        <f t="shared" si="4"/>
        <v>-66473.551555484533</v>
      </c>
      <c r="M179" s="37">
        <f t="shared" si="5"/>
        <v>6.8443594401195089E-3</v>
      </c>
    </row>
    <row r="180" spans="1:13">
      <c r="A180" s="183">
        <v>41548</v>
      </c>
      <c r="B180" s="284">
        <v>10365605.60761201</v>
      </c>
      <c r="C180" s="194">
        <f>'Weather Data'!B276</f>
        <v>328.50000000000006</v>
      </c>
      <c r="D180" s="194">
        <f>'Weather Data'!C276</f>
        <v>0</v>
      </c>
      <c r="E180" s="194">
        <v>31</v>
      </c>
      <c r="F180" s="194">
        <v>1</v>
      </c>
      <c r="G180" s="184">
        <f>'CDM Activity'!O112</f>
        <v>432200.70256052882</v>
      </c>
      <c r="H180" s="187">
        <v>146.4007293327038</v>
      </c>
      <c r="I180" s="184">
        <v>4526</v>
      </c>
      <c r="J180" s="194">
        <v>352</v>
      </c>
      <c r="K180" s="194">
        <f t="shared" si="3"/>
        <v>10574003.104766538</v>
      </c>
      <c r="L180" s="194">
        <f t="shared" si="4"/>
        <v>208397.49715452828</v>
      </c>
      <c r="M180" s="37">
        <f t="shared" si="5"/>
        <v>2.0104710235308493E-2</v>
      </c>
    </row>
    <row r="181" spans="1:13">
      <c r="A181" s="183">
        <v>41579</v>
      </c>
      <c r="B181" s="284">
        <v>11761751.932388004</v>
      </c>
      <c r="C181" s="194">
        <f>'Weather Data'!B277</f>
        <v>620.6</v>
      </c>
      <c r="D181" s="194">
        <f>'Weather Data'!C277</f>
        <v>0</v>
      </c>
      <c r="E181" s="194">
        <v>30</v>
      </c>
      <c r="F181" s="194">
        <v>1</v>
      </c>
      <c r="G181" s="184">
        <f>'CDM Activity'!O113</f>
        <v>442498.6077979721</v>
      </c>
      <c r="H181" s="187">
        <v>146.55839290151005</v>
      </c>
      <c r="I181" s="184">
        <v>4547</v>
      </c>
      <c r="J181" s="194">
        <v>336</v>
      </c>
      <c r="K181" s="194">
        <f t="shared" si="3"/>
        <v>11561247.389996285</v>
      </c>
      <c r="L181" s="194">
        <f t="shared" si="4"/>
        <v>-200504.5423917193</v>
      </c>
      <c r="M181" s="37">
        <f t="shared" si="5"/>
        <v>1.7047166403807209E-2</v>
      </c>
    </row>
    <row r="182" spans="1:13">
      <c r="A182" s="183">
        <v>41609</v>
      </c>
      <c r="B182" s="284">
        <v>14283584.430000007</v>
      </c>
      <c r="C182" s="194">
        <f>'Weather Data'!B278</f>
        <v>1112.8999999999999</v>
      </c>
      <c r="D182" s="194">
        <f>'Weather Data'!C278</f>
        <v>0</v>
      </c>
      <c r="E182" s="194">
        <v>31</v>
      </c>
      <c r="F182" s="194">
        <v>0</v>
      </c>
      <c r="G182" s="184">
        <f>'CDM Activity'!O114</f>
        <v>452796.51303541538</v>
      </c>
      <c r="H182" s="187">
        <v>146.71622626319265</v>
      </c>
      <c r="I182" s="184">
        <v>4552</v>
      </c>
      <c r="J182" s="194">
        <v>320</v>
      </c>
      <c r="K182" s="194">
        <f t="shared" si="3"/>
        <v>14503653.058257133</v>
      </c>
      <c r="L182" s="194">
        <f t="shared" si="4"/>
        <v>220068.62825712562</v>
      </c>
      <c r="M182" s="37">
        <f t="shared" si="5"/>
        <v>1.5407101021149318E-2</v>
      </c>
    </row>
    <row r="183" spans="1:13">
      <c r="A183" s="183">
        <v>41640</v>
      </c>
      <c r="B183" s="284">
        <v>15069643.829999994</v>
      </c>
      <c r="C183" s="194">
        <f>'Weather Data'!B279</f>
        <v>1119.5999999999997</v>
      </c>
      <c r="D183" s="194">
        <f>'Weather Data'!C279</f>
        <v>0</v>
      </c>
      <c r="E183" s="184">
        <v>31</v>
      </c>
      <c r="F183" s="194">
        <v>0</v>
      </c>
      <c r="G183" s="184">
        <f>'CDM Activity'!O115</f>
        <v>463725.89236614667</v>
      </c>
      <c r="H183" s="187">
        <v>147.04232175221028</v>
      </c>
      <c r="I183" s="184">
        <v>4555</v>
      </c>
      <c r="J183" s="197">
        <v>352</v>
      </c>
      <c r="K183" s="194">
        <f t="shared" si="3"/>
        <v>14531357.664036086</v>
      </c>
      <c r="L183" s="194">
        <f t="shared" si="4"/>
        <v>-538286.16596390866</v>
      </c>
      <c r="M183" s="37">
        <f t="shared" si="5"/>
        <v>3.5719899689487807E-2</v>
      </c>
    </row>
    <row r="184" spans="1:13">
      <c r="A184" s="183">
        <v>41671</v>
      </c>
      <c r="B184" s="284">
        <v>13186660.869999997</v>
      </c>
      <c r="C184" s="194">
        <f>'Weather Data'!B280</f>
        <v>978.39999999999986</v>
      </c>
      <c r="D184" s="194">
        <f>'Weather Data'!C280</f>
        <v>0</v>
      </c>
      <c r="E184" s="184">
        <v>28</v>
      </c>
      <c r="F184" s="194">
        <v>0</v>
      </c>
      <c r="G184" s="184">
        <f>'CDM Activity'!O116</f>
        <v>474655.27169687796</v>
      </c>
      <c r="H184" s="187">
        <v>147.36914202996238</v>
      </c>
      <c r="I184" s="184">
        <v>4563</v>
      </c>
      <c r="J184" s="197">
        <v>304</v>
      </c>
      <c r="K184" s="194">
        <f t="shared" si="3"/>
        <v>13066293.86718272</v>
      </c>
      <c r="L184" s="194">
        <f t="shared" si="4"/>
        <v>-120367.00281727687</v>
      </c>
      <c r="M184" s="37">
        <f t="shared" si="5"/>
        <v>9.1279364809566752E-3</v>
      </c>
    </row>
    <row r="185" spans="1:13">
      <c r="A185" s="183">
        <v>41699</v>
      </c>
      <c r="B185" s="284">
        <v>13248227.95999999</v>
      </c>
      <c r="C185" s="194">
        <f>'Weather Data'!B281</f>
        <v>883.5</v>
      </c>
      <c r="D185" s="194">
        <f>'Weather Data'!C281</f>
        <v>0</v>
      </c>
      <c r="E185" s="184">
        <v>31</v>
      </c>
      <c r="F185" s="194">
        <v>1</v>
      </c>
      <c r="G185" s="184">
        <f>'CDM Activity'!O117</f>
        <v>485584.65102760924</v>
      </c>
      <c r="H185" s="187">
        <v>147.69668870738414</v>
      </c>
      <c r="I185" s="184">
        <v>4567.5</v>
      </c>
      <c r="J185" s="197">
        <v>336</v>
      </c>
      <c r="K185" s="194">
        <f t="shared" si="3"/>
        <v>12980005.25358163</v>
      </c>
      <c r="L185" s="194">
        <f t="shared" si="4"/>
        <v>-268222.70641835965</v>
      </c>
      <c r="M185" s="37">
        <f t="shared" si="5"/>
        <v>2.0245930793778389E-2</v>
      </c>
    </row>
    <row r="186" spans="1:13">
      <c r="A186" s="183">
        <v>41730</v>
      </c>
      <c r="B186" s="284">
        <v>11070615.160000008</v>
      </c>
      <c r="C186" s="194">
        <f>'Weather Data'!B282</f>
        <v>522.9</v>
      </c>
      <c r="D186" s="194">
        <f>'Weather Data'!C282</f>
        <v>0</v>
      </c>
      <c r="E186" s="184">
        <v>30</v>
      </c>
      <c r="F186" s="194">
        <v>1</v>
      </c>
      <c r="G186" s="184">
        <f>'CDM Activity'!O118</f>
        <v>496514.03035834053</v>
      </c>
      <c r="H186" s="187">
        <v>148.02496339899133</v>
      </c>
      <c r="I186" s="184">
        <v>4568.75</v>
      </c>
      <c r="J186" s="197">
        <v>320</v>
      </c>
      <c r="K186" s="194">
        <f t="shared" si="3"/>
        <v>11119287.837800995</v>
      </c>
      <c r="L186" s="194">
        <f t="shared" si="4"/>
        <v>48672.677800986916</v>
      </c>
      <c r="M186" s="37">
        <f t="shared" si="5"/>
        <v>4.3965648789644025E-3</v>
      </c>
    </row>
    <row r="187" spans="1:13">
      <c r="A187" s="183">
        <v>41760</v>
      </c>
      <c r="B187" s="284">
        <v>10484312.049999984</v>
      </c>
      <c r="C187" s="194">
        <f>'Weather Data'!B283</f>
        <v>266.90000000000003</v>
      </c>
      <c r="D187" s="194">
        <f>'Weather Data'!C283</f>
        <v>1.1000000000000001</v>
      </c>
      <c r="E187" s="184">
        <v>31</v>
      </c>
      <c r="F187" s="194">
        <v>1</v>
      </c>
      <c r="G187" s="184">
        <f>'CDM Activity'!O119</f>
        <v>507443.40968907182</v>
      </c>
      <c r="H187" s="187">
        <v>148.35396772288814</v>
      </c>
      <c r="I187" s="184">
        <v>4576.875</v>
      </c>
      <c r="J187" s="197">
        <v>336</v>
      </c>
      <c r="K187" s="194">
        <f t="shared" si="3"/>
        <v>10303013.099899448</v>
      </c>
      <c r="L187" s="194">
        <f t="shared" si="4"/>
        <v>-181298.95010053553</v>
      </c>
      <c r="M187" s="37">
        <f t="shared" si="5"/>
        <v>1.7292403091010232E-2</v>
      </c>
    </row>
    <row r="188" spans="1:13">
      <c r="A188" s="183">
        <v>41791</v>
      </c>
      <c r="B188" s="284">
        <v>9725922.30999998</v>
      </c>
      <c r="C188" s="194">
        <f>'Weather Data'!B284</f>
        <v>135.19999999999999</v>
      </c>
      <c r="D188" s="194">
        <f>'Weather Data'!C284</f>
        <v>6</v>
      </c>
      <c r="E188" s="184">
        <v>30</v>
      </c>
      <c r="F188" s="194">
        <v>0</v>
      </c>
      <c r="G188" s="184">
        <f>'CDM Activity'!O120</f>
        <v>518372.78901980311</v>
      </c>
      <c r="H188" s="187">
        <v>148.68370330077519</v>
      </c>
      <c r="I188" s="184">
        <v>4582.4375</v>
      </c>
      <c r="J188" s="197">
        <v>336</v>
      </c>
      <c r="K188" s="194">
        <f t="shared" si="3"/>
        <v>10061415.180787731</v>
      </c>
      <c r="L188" s="194">
        <f t="shared" si="4"/>
        <v>335492.87078775093</v>
      </c>
      <c r="M188" s="37">
        <f t="shared" si="5"/>
        <v>3.4494710125620116E-2</v>
      </c>
    </row>
    <row r="189" spans="1:13">
      <c r="A189" s="183">
        <v>41821</v>
      </c>
      <c r="B189" s="284">
        <v>10271386.640000001</v>
      </c>
      <c r="C189" s="194">
        <f>'Weather Data'!B285</f>
        <v>47.199999999999989</v>
      </c>
      <c r="D189" s="194">
        <f>'Weather Data'!C285</f>
        <v>9.5</v>
      </c>
      <c r="E189" s="184">
        <v>31</v>
      </c>
      <c r="F189" s="194">
        <v>0</v>
      </c>
      <c r="G189" s="184">
        <f>'CDM Activity'!O121</f>
        <v>529302.1683505344</v>
      </c>
      <c r="H189" s="187">
        <v>149.0141717579576</v>
      </c>
      <c r="I189" s="184">
        <v>4583.21875</v>
      </c>
      <c r="J189" s="197">
        <v>352</v>
      </c>
      <c r="K189" s="194">
        <f t="shared" si="3"/>
        <v>10030137.876302108</v>
      </c>
      <c r="L189" s="194">
        <f t="shared" si="4"/>
        <v>-241248.76369789243</v>
      </c>
      <c r="M189" s="37">
        <f t="shared" si="5"/>
        <v>2.348745813524282E-2</v>
      </c>
    </row>
    <row r="190" spans="1:13">
      <c r="A190" s="183">
        <v>41852</v>
      </c>
      <c r="B190" s="284">
        <v>10274818.47361199</v>
      </c>
      <c r="C190" s="194">
        <f>'Weather Data'!B286</f>
        <v>65.200000000000017</v>
      </c>
      <c r="D190" s="194">
        <f>'Weather Data'!C286</f>
        <v>10.099999999999998</v>
      </c>
      <c r="E190" s="184">
        <v>31</v>
      </c>
      <c r="F190" s="194">
        <v>0</v>
      </c>
      <c r="G190" s="184">
        <f>'CDM Activity'!O122</f>
        <v>540231.54768126563</v>
      </c>
      <c r="H190" s="187">
        <v>149.34537472335285</v>
      </c>
      <c r="I190" s="184">
        <v>4584.109375</v>
      </c>
      <c r="J190" s="197">
        <v>320</v>
      </c>
      <c r="K190" s="194">
        <f t="shared" si="3"/>
        <v>10120030.313822623</v>
      </c>
      <c r="L190" s="194">
        <f t="shared" si="4"/>
        <v>-154788.15978936665</v>
      </c>
      <c r="M190" s="37">
        <f t="shared" si="5"/>
        <v>1.5064807245684868E-2</v>
      </c>
    </row>
    <row r="191" spans="1:13">
      <c r="A191" s="183">
        <v>41883</v>
      </c>
      <c r="B191" s="284">
        <v>9762010.9039999936</v>
      </c>
      <c r="C191" s="194">
        <f>'Weather Data'!B287</f>
        <v>196.5</v>
      </c>
      <c r="D191" s="194">
        <f>'Weather Data'!C287</f>
        <v>0</v>
      </c>
      <c r="E191" s="184">
        <v>30</v>
      </c>
      <c r="F191" s="194">
        <v>1</v>
      </c>
      <c r="G191" s="184">
        <f>'CDM Activity'!O123</f>
        <v>551160.92701199686</v>
      </c>
      <c r="H191" s="187">
        <v>149.67731382949896</v>
      </c>
      <c r="I191" s="184">
        <v>4584.0546875</v>
      </c>
      <c r="J191" s="197">
        <v>336</v>
      </c>
      <c r="K191" s="194">
        <f t="shared" si="3"/>
        <v>9684631.1597726606</v>
      </c>
      <c r="L191" s="194">
        <f t="shared" si="4"/>
        <v>-77379.744227332994</v>
      </c>
      <c r="M191" s="37">
        <f t="shared" si="5"/>
        <v>7.9266193193480838E-3</v>
      </c>
    </row>
    <row r="192" spans="1:13">
      <c r="A192" s="183">
        <v>41913</v>
      </c>
      <c r="B192" s="284">
        <v>10634292.331000013</v>
      </c>
      <c r="C192" s="194">
        <f>'Weather Data'!B288</f>
        <v>382.59999999999997</v>
      </c>
      <c r="D192" s="194">
        <f>'Weather Data'!C288</f>
        <v>0</v>
      </c>
      <c r="E192" s="184">
        <v>31</v>
      </c>
      <c r="F192" s="194">
        <v>1</v>
      </c>
      <c r="G192" s="184">
        <f>'CDM Activity'!O124</f>
        <v>562090.30634272809</v>
      </c>
      <c r="H192" s="187">
        <v>150.00999071256246</v>
      </c>
      <c r="I192" s="184">
        <v>4587.02734375</v>
      </c>
      <c r="J192" s="197">
        <v>352</v>
      </c>
      <c r="K192" s="194">
        <f t="shared" si="3"/>
        <v>10779294.228382451</v>
      </c>
      <c r="L192" s="194">
        <f t="shared" si="4"/>
        <v>145001.89738243818</v>
      </c>
      <c r="M192" s="37">
        <f t="shared" si="5"/>
        <v>1.3635312333829993E-2</v>
      </c>
    </row>
    <row r="193" spans="1:13">
      <c r="A193" s="183">
        <v>41944</v>
      </c>
      <c r="B193" s="284">
        <v>12234413.660000009</v>
      </c>
      <c r="C193" s="194">
        <f>'Weather Data'!B289</f>
        <v>647.79999999999995</v>
      </c>
      <c r="D193" s="194">
        <f>'Weather Data'!C289</f>
        <v>0</v>
      </c>
      <c r="E193" s="184">
        <v>30</v>
      </c>
      <c r="F193" s="194">
        <v>1</v>
      </c>
      <c r="G193" s="184">
        <f>'CDM Activity'!O125</f>
        <v>573019.68567345932</v>
      </c>
      <c r="H193" s="187">
        <v>150.34340701234646</v>
      </c>
      <c r="I193" s="184">
        <v>4588.513671875</v>
      </c>
      <c r="J193" s="197">
        <v>304</v>
      </c>
      <c r="K193" s="194">
        <f t="shared" si="3"/>
        <v>11656044.527827036</v>
      </c>
      <c r="L193" s="194">
        <f t="shared" si="4"/>
        <v>-578369.13217297383</v>
      </c>
      <c r="M193" s="37">
        <f t="shared" si="5"/>
        <v>4.727395592842603E-2</v>
      </c>
    </row>
    <row r="194" spans="1:13">
      <c r="A194" s="183">
        <v>41974</v>
      </c>
      <c r="B194" s="284">
        <v>13323531.779999984</v>
      </c>
      <c r="C194" s="194">
        <f>'Weather Data'!B290</f>
        <v>780.59999999999991</v>
      </c>
      <c r="D194" s="194">
        <f>'Weather Data'!C290</f>
        <v>0</v>
      </c>
      <c r="E194" s="184">
        <v>31</v>
      </c>
      <c r="F194" s="194">
        <v>0</v>
      </c>
      <c r="G194" s="184">
        <f>'CDM Activity'!O126</f>
        <v>583949.06500419055</v>
      </c>
      <c r="H194" s="187">
        <v>150.67756437229883</v>
      </c>
      <c r="I194" s="184">
        <v>4594.2568359375</v>
      </c>
      <c r="J194" s="197">
        <v>336</v>
      </c>
      <c r="K194" s="194">
        <f t="shared" si="3"/>
        <v>13033200.504117614</v>
      </c>
      <c r="L194" s="194">
        <f t="shared" si="4"/>
        <v>-290331.27588237077</v>
      </c>
      <c r="M194" s="37">
        <f t="shared" si="5"/>
        <v>2.1790864515232246E-2</v>
      </c>
    </row>
    <row r="195" spans="1:13">
      <c r="A195" s="183">
        <v>42005</v>
      </c>
      <c r="B195" s="284">
        <v>14647867.091999978</v>
      </c>
      <c r="C195" s="194">
        <f>'Weather Data'!B291</f>
        <v>979.49999999999989</v>
      </c>
      <c r="D195" s="194">
        <f>'Weather Data'!C291</f>
        <v>0</v>
      </c>
      <c r="E195" s="184">
        <v>31</v>
      </c>
      <c r="F195" s="194">
        <v>0</v>
      </c>
      <c r="G195" s="184">
        <f>'CDM Activity'!O127</f>
        <v>589767.61750594352</v>
      </c>
      <c r="H195" s="187">
        <v>150.98793548444445</v>
      </c>
      <c r="I195" s="184">
        <v>4598.62841796875</v>
      </c>
      <c r="J195" s="197">
        <v>336</v>
      </c>
      <c r="K195" s="194">
        <f t="shared" si="3"/>
        <v>13908657.005006893</v>
      </c>
      <c r="L195" s="194">
        <f t="shared" si="4"/>
        <v>-739210.08699308522</v>
      </c>
      <c r="M195" s="37">
        <f t="shared" si="5"/>
        <v>5.0465373719618831E-2</v>
      </c>
    </row>
    <row r="196" spans="1:13">
      <c r="A196" s="183">
        <v>42036</v>
      </c>
      <c r="B196" s="284">
        <v>13318489.569999987</v>
      </c>
      <c r="C196" s="194">
        <f>'Weather Data'!B292</f>
        <v>1053.3</v>
      </c>
      <c r="D196" s="194">
        <f>'Weather Data'!C292</f>
        <v>0</v>
      </c>
      <c r="E196" s="184">
        <v>28</v>
      </c>
      <c r="F196" s="194">
        <v>0</v>
      </c>
      <c r="G196" s="184">
        <f>'CDM Activity'!O128</f>
        <v>595586.17000769649</v>
      </c>
      <c r="H196" s="187">
        <v>151.298945910264</v>
      </c>
      <c r="I196" s="184">
        <v>4596.814208984375</v>
      </c>
      <c r="J196" s="197">
        <v>304</v>
      </c>
      <c r="K196" s="194">
        <f t="shared" si="3"/>
        <v>13391067.645509839</v>
      </c>
      <c r="L196" s="194">
        <f t="shared" si="4"/>
        <v>72578.075509851798</v>
      </c>
      <c r="M196" s="37">
        <f t="shared" si="5"/>
        <v>5.4494224084790021E-3</v>
      </c>
    </row>
    <row r="197" spans="1:13">
      <c r="A197" s="183">
        <v>42064</v>
      </c>
      <c r="B197" s="284">
        <v>12867283.112000031</v>
      </c>
      <c r="C197" s="194">
        <f>'Weather Data'!B293</f>
        <v>710.39999999999986</v>
      </c>
      <c r="D197" s="194">
        <f>'Weather Data'!C293</f>
        <v>0</v>
      </c>
      <c r="E197" s="184">
        <v>31</v>
      </c>
      <c r="F197" s="194">
        <v>1</v>
      </c>
      <c r="G197" s="184">
        <f>'CDM Activity'!O129</f>
        <v>601404.72250944946</v>
      </c>
      <c r="H197" s="187">
        <v>151.61059696663892</v>
      </c>
      <c r="I197" s="184">
        <v>4593.9071044921875</v>
      </c>
      <c r="J197" s="197">
        <v>352</v>
      </c>
      <c r="K197" s="194">
        <f t="shared" si="3"/>
        <v>12227101.796403844</v>
      </c>
      <c r="L197" s="194">
        <f t="shared" si="4"/>
        <v>-640181.31559618749</v>
      </c>
      <c r="M197" s="37">
        <f t="shared" si="5"/>
        <v>4.9752640866287792E-2</v>
      </c>
    </row>
    <row r="198" spans="1:13">
      <c r="A198" s="183">
        <v>42095</v>
      </c>
      <c r="B198" s="284">
        <v>10749956.162999995</v>
      </c>
      <c r="C198" s="194">
        <f>'Weather Data'!B294</f>
        <v>432.09999999999997</v>
      </c>
      <c r="D198" s="194">
        <f>'Weather Data'!C294</f>
        <v>0</v>
      </c>
      <c r="E198" s="184">
        <v>30</v>
      </c>
      <c r="F198" s="194">
        <v>1</v>
      </c>
      <c r="G198" s="184">
        <f>'CDM Activity'!O130</f>
        <v>607223.27501120244</v>
      </c>
      <c r="H198" s="187">
        <v>151.92288997316331</v>
      </c>
      <c r="I198" s="184">
        <v>4593.4535522460937</v>
      </c>
      <c r="J198" s="197">
        <v>336</v>
      </c>
      <c r="K198" s="194">
        <f t="shared" si="3"/>
        <v>10733425.166424684</v>
      </c>
      <c r="L198" s="194">
        <f t="shared" si="4"/>
        <v>-16530.996575310826</v>
      </c>
      <c r="M198" s="37">
        <f t="shared" si="5"/>
        <v>1.537773394110057E-3</v>
      </c>
    </row>
    <row r="199" spans="1:13">
      <c r="A199" s="183">
        <v>42125</v>
      </c>
      <c r="B199" s="284">
        <v>10401377.499999981</v>
      </c>
      <c r="C199" s="194">
        <f>'Weather Data'!B295</f>
        <v>276</v>
      </c>
      <c r="D199" s="194">
        <f>'Weather Data'!C295</f>
        <v>0</v>
      </c>
      <c r="E199" s="184">
        <v>31</v>
      </c>
      <c r="F199" s="194">
        <v>1</v>
      </c>
      <c r="G199" s="184">
        <f>'CDM Activity'!O131</f>
        <v>613041.82751295541</v>
      </c>
      <c r="H199" s="187">
        <v>152.23582625214937</v>
      </c>
      <c r="I199" s="184">
        <v>4596.2267761230469</v>
      </c>
      <c r="J199" s="197">
        <v>320</v>
      </c>
      <c r="K199" s="194">
        <f t="shared" si="3"/>
        <v>10338205.249950916</v>
      </c>
      <c r="L199" s="194">
        <f t="shared" si="4"/>
        <v>-63172.250049065799</v>
      </c>
      <c r="M199" s="37">
        <f t="shared" si="5"/>
        <v>6.07345037222867E-3</v>
      </c>
    </row>
    <row r="200" spans="1:13">
      <c r="A200" s="183">
        <v>42156</v>
      </c>
      <c r="B200" s="284">
        <v>9938325.0499999654</v>
      </c>
      <c r="C200" s="194">
        <f>'Weather Data'!B296</f>
        <v>118.60000000000004</v>
      </c>
      <c r="D200" s="194">
        <f>'Weather Data'!C296</f>
        <v>0</v>
      </c>
      <c r="E200" s="184">
        <v>30</v>
      </c>
      <c r="F200" s="194">
        <v>0</v>
      </c>
      <c r="G200" s="184">
        <f>'CDM Activity'!O132</f>
        <v>618860.38001470838</v>
      </c>
      <c r="H200" s="187">
        <v>152.54940712863302</v>
      </c>
      <c r="I200" s="184">
        <v>4605.6133880615234</v>
      </c>
      <c r="J200" s="197">
        <v>352</v>
      </c>
      <c r="K200" s="194">
        <f t="shared" si="3"/>
        <v>9888958.0399912186</v>
      </c>
      <c r="L200" s="194">
        <f t="shared" si="4"/>
        <v>-49367.010008746758</v>
      </c>
      <c r="M200" s="37">
        <f t="shared" si="5"/>
        <v>4.9673370271529739E-3</v>
      </c>
    </row>
    <row r="201" spans="1:13">
      <c r="A201" s="183">
        <v>42186</v>
      </c>
      <c r="B201" s="284">
        <v>10626013.119000008</v>
      </c>
      <c r="C201" s="194">
        <f>'Weather Data'!B297</f>
        <v>31.7</v>
      </c>
      <c r="D201" s="194">
        <f>'Weather Data'!C297</f>
        <v>38.000000000000007</v>
      </c>
      <c r="E201" s="184">
        <v>31</v>
      </c>
      <c r="F201" s="194">
        <v>0</v>
      </c>
      <c r="G201" s="184">
        <f>'CDM Activity'!O133</f>
        <v>624678.93251646135</v>
      </c>
      <c r="H201" s="187">
        <v>152.86363393037959</v>
      </c>
      <c r="I201" s="184">
        <v>4610.8066940307617</v>
      </c>
      <c r="J201" s="197">
        <v>352</v>
      </c>
      <c r="K201" s="194">
        <f t="shared" si="3"/>
        <v>10589772.298381656</v>
      </c>
      <c r="L201" s="194">
        <f t="shared" si="4"/>
        <v>-36240.820618351921</v>
      </c>
      <c r="M201" s="37">
        <f t="shared" si="5"/>
        <v>3.4105755575956288E-3</v>
      </c>
    </row>
    <row r="202" spans="1:13">
      <c r="A202" s="183">
        <v>42217</v>
      </c>
      <c r="B202" s="284">
        <v>10677243.822999977</v>
      </c>
      <c r="C202" s="194">
        <f>'Weather Data'!B298</f>
        <v>50.7</v>
      </c>
      <c r="D202" s="194">
        <f>'Weather Data'!C298</f>
        <v>35.4</v>
      </c>
      <c r="E202" s="184">
        <v>31</v>
      </c>
      <c r="F202" s="194">
        <v>0</v>
      </c>
      <c r="G202" s="184">
        <f>'CDM Activity'!O134</f>
        <v>630497.48501821433</v>
      </c>
      <c r="H202" s="187">
        <v>153.17850798788936</v>
      </c>
      <c r="I202" s="184">
        <v>4611.9033470153809</v>
      </c>
      <c r="J202" s="197">
        <v>320</v>
      </c>
      <c r="K202" s="194">
        <f t="shared" si="3"/>
        <v>10624281.912069673</v>
      </c>
      <c r="L202" s="194">
        <f t="shared" si="4"/>
        <v>-52961.910930303857</v>
      </c>
      <c r="M202" s="37">
        <f t="shared" si="5"/>
        <v>4.9602605136934291E-3</v>
      </c>
    </row>
    <row r="203" spans="1:13">
      <c r="A203" s="183">
        <v>42248</v>
      </c>
      <c r="B203" s="284">
        <v>10039638.211999971</v>
      </c>
      <c r="C203" s="194">
        <f>'Weather Data'!B299</f>
        <v>106.20000000000002</v>
      </c>
      <c r="D203" s="194">
        <f>'Weather Data'!C299</f>
        <v>15.8</v>
      </c>
      <c r="E203" s="184">
        <v>30</v>
      </c>
      <c r="F203" s="194">
        <v>1</v>
      </c>
      <c r="G203" s="184">
        <f>'CDM Activity'!O135</f>
        <v>636316.0375199673</v>
      </c>
      <c r="H203" s="187">
        <v>153.4940306344032</v>
      </c>
      <c r="I203" s="184">
        <v>4612.4516735076904</v>
      </c>
      <c r="J203" s="197">
        <v>336</v>
      </c>
      <c r="K203" s="194">
        <f t="shared" si="3"/>
        <v>9666054.9596835859</v>
      </c>
      <c r="L203" s="194">
        <f t="shared" si="4"/>
        <v>-373583.25231638551</v>
      </c>
      <c r="M203" s="37">
        <f t="shared" si="5"/>
        <v>3.7210828162100168E-2</v>
      </c>
    </row>
    <row r="204" spans="1:13">
      <c r="A204" s="183">
        <v>42278</v>
      </c>
      <c r="B204" s="284">
        <v>10488169.699999997</v>
      </c>
      <c r="C204" s="194">
        <f>'Weather Data'!B300</f>
        <v>345.9</v>
      </c>
      <c r="D204" s="194">
        <f>'Weather Data'!C300</f>
        <v>0</v>
      </c>
      <c r="E204" s="184">
        <v>31</v>
      </c>
      <c r="F204" s="194">
        <v>1</v>
      </c>
      <c r="G204" s="184">
        <f>'CDM Activity'!O136</f>
        <v>642134.59002172027</v>
      </c>
      <c r="H204" s="187">
        <v>153.81020320590829</v>
      </c>
      <c r="I204" s="184">
        <v>4615.7258367538452</v>
      </c>
      <c r="J204" s="197">
        <v>336</v>
      </c>
      <c r="K204" s="194">
        <f t="shared" si="3"/>
        <v>10672357.675389428</v>
      </c>
      <c r="L204" s="194">
        <f t="shared" si="4"/>
        <v>184187.9753894303</v>
      </c>
      <c r="M204" s="37">
        <f t="shared" si="5"/>
        <v>1.7561498398469884E-2</v>
      </c>
    </row>
    <row r="205" spans="1:13">
      <c r="A205" s="183">
        <v>42309</v>
      </c>
      <c r="B205" s="284">
        <v>11098768.123999968</v>
      </c>
      <c r="C205" s="194">
        <f>'Weather Data'!B301</f>
        <v>469.10000000000008</v>
      </c>
      <c r="D205" s="194">
        <f>'Weather Data'!C301</f>
        <v>0</v>
      </c>
      <c r="E205" s="184">
        <v>30</v>
      </c>
      <c r="F205" s="194">
        <v>1</v>
      </c>
      <c r="G205" s="184">
        <f>'CDM Activity'!O137</f>
        <v>647953.14252347325</v>
      </c>
      <c r="H205" s="187">
        <v>154.12702704114372</v>
      </c>
      <c r="I205" s="184">
        <v>4617.3629183769226</v>
      </c>
      <c r="J205" s="197">
        <v>320</v>
      </c>
      <c r="K205" s="194">
        <f t="shared" si="3"/>
        <v>10935039.232723199</v>
      </c>
      <c r="L205" s="194">
        <f t="shared" si="4"/>
        <v>-163728.89127676934</v>
      </c>
      <c r="M205" s="37">
        <f t="shared" si="5"/>
        <v>1.4751987738415951E-2</v>
      </c>
    </row>
    <row r="206" spans="1:13">
      <c r="A206" s="183">
        <v>42339</v>
      </c>
      <c r="B206" s="284">
        <v>12326270.015000014</v>
      </c>
      <c r="C206" s="194">
        <f>'Weather Data'!B302</f>
        <v>564.90000000000009</v>
      </c>
      <c r="D206" s="194">
        <f>'Weather Data'!C302</f>
        <v>0</v>
      </c>
      <c r="E206" s="184">
        <v>31</v>
      </c>
      <c r="F206" s="194">
        <v>0</v>
      </c>
      <c r="G206" s="184">
        <f>'CDM Activity'!O138</f>
        <v>653771.69502522622</v>
      </c>
      <c r="H206" s="187">
        <v>154.44450348160629</v>
      </c>
      <c r="I206" s="184">
        <v>4625.1814591884613</v>
      </c>
      <c r="J206" s="197">
        <v>352</v>
      </c>
      <c r="K206" s="194">
        <f t="shared" si="3"/>
        <v>12157389.133481372</v>
      </c>
      <c r="L206" s="194">
        <f t="shared" si="4"/>
        <v>-168880.88151864149</v>
      </c>
      <c r="M206" s="37">
        <f t="shared" si="5"/>
        <v>1.3700890968081011E-2</v>
      </c>
    </row>
    <row r="207" spans="1:13">
      <c r="A207" s="183">
        <v>42370</v>
      </c>
      <c r="B207" s="189"/>
      <c r="C207" s="192">
        <f>'Weather Analysis - Thunder Bay'!Z8</f>
        <v>960.98000000000013</v>
      </c>
      <c r="D207" s="190">
        <f>'Weather Analysis - Thunder Bay'!Z28</f>
        <v>0</v>
      </c>
      <c r="E207" s="184">
        <v>31</v>
      </c>
      <c r="F207" s="184">
        <v>0</v>
      </c>
      <c r="G207" s="184">
        <f>'CDM Activity'!O139</f>
        <v>652277.15233657532</v>
      </c>
      <c r="H207" s="187">
        <v>154.72483615659849</v>
      </c>
      <c r="I207" s="193"/>
      <c r="J207" s="197">
        <v>320</v>
      </c>
      <c r="K207" s="194">
        <f t="shared" si="3"/>
        <v>13905079.839732407</v>
      </c>
      <c r="L207" s="194"/>
      <c r="M207" s="300">
        <f>AVERAGE(M87:M206)</f>
        <v>2.2131608140049275E-2</v>
      </c>
    </row>
    <row r="208" spans="1:13">
      <c r="A208" s="183">
        <v>42401</v>
      </c>
      <c r="B208" s="189"/>
      <c r="C208" s="192">
        <f>'Weather Analysis - Thunder Bay'!Z9</f>
        <v>875.5899999999998</v>
      </c>
      <c r="D208" s="190">
        <f>'Weather Analysis - Thunder Bay'!Z29</f>
        <v>0</v>
      </c>
      <c r="E208" s="184">
        <v>29</v>
      </c>
      <c r="F208" s="184">
        <v>0</v>
      </c>
      <c r="G208" s="184">
        <f>'CDM Activity'!O140</f>
        <v>650782.60964792443</v>
      </c>
      <c r="H208" s="187">
        <v>155.00567766425806</v>
      </c>
      <c r="I208" s="184"/>
      <c r="J208" s="197">
        <v>320</v>
      </c>
      <c r="K208" s="194">
        <f t="shared" si="3"/>
        <v>12982931.23759038</v>
      </c>
      <c r="L208" s="316"/>
      <c r="M208" s="37"/>
    </row>
    <row r="209" spans="1:13">
      <c r="A209" s="183">
        <v>42430</v>
      </c>
      <c r="B209" s="189"/>
      <c r="C209" s="192">
        <f>'Weather Analysis - Thunder Bay'!Z10</f>
        <v>702.91</v>
      </c>
      <c r="D209" s="190">
        <f>'Weather Analysis - Thunder Bay'!Z30</f>
        <v>0</v>
      </c>
      <c r="E209" s="184">
        <v>31</v>
      </c>
      <c r="F209" s="184">
        <v>1</v>
      </c>
      <c r="G209" s="184">
        <f>'CDM Activity'!O141</f>
        <v>649288.06695927354</v>
      </c>
      <c r="H209" s="187">
        <v>155.2870289281687</v>
      </c>
      <c r="I209" s="184"/>
      <c r="J209" s="197">
        <v>352</v>
      </c>
      <c r="K209" s="194">
        <f t="shared" si="3"/>
        <v>12291301.33148424</v>
      </c>
      <c r="L209" s="316"/>
      <c r="M209" s="37"/>
    </row>
    <row r="210" spans="1:13">
      <c r="A210" s="183">
        <v>42461</v>
      </c>
      <c r="B210" s="189"/>
      <c r="C210" s="192">
        <f>'Weather Analysis - Thunder Bay'!Z11</f>
        <v>450.5200000000001</v>
      </c>
      <c r="D210" s="190">
        <f>'Weather Analysis - Thunder Bay'!Z31</f>
        <v>0</v>
      </c>
      <c r="E210" s="184">
        <v>30</v>
      </c>
      <c r="F210" s="184">
        <v>1</v>
      </c>
      <c r="G210" s="184">
        <f>'CDM Activity'!O142</f>
        <v>647793.52427062264</v>
      </c>
      <c r="H210" s="187">
        <v>155.56889087359048</v>
      </c>
      <c r="I210" s="184"/>
      <c r="J210" s="197">
        <v>336</v>
      </c>
      <c r="K210" s="194">
        <f t="shared" si="3"/>
        <v>10920711.052965354</v>
      </c>
      <c r="L210" s="316"/>
      <c r="M210" s="37"/>
    </row>
    <row r="211" spans="1:13">
      <c r="A211" s="183">
        <v>42491</v>
      </c>
      <c r="B211" s="189"/>
      <c r="C211" s="192">
        <f>'Weather Analysis - Thunder Bay'!Z12</f>
        <v>271.46000000000004</v>
      </c>
      <c r="D211" s="190">
        <f>'Weather Analysis - Thunder Bay'!Z32</f>
        <v>0.47000000000000003</v>
      </c>
      <c r="E211" s="184">
        <v>31</v>
      </c>
      <c r="F211" s="184">
        <v>1</v>
      </c>
      <c r="G211" s="184">
        <f>'CDM Activity'!O143</f>
        <v>646298.98158197175</v>
      </c>
      <c r="H211" s="187">
        <v>155.85126442746289</v>
      </c>
      <c r="I211" s="184"/>
      <c r="J211" s="197">
        <v>336</v>
      </c>
      <c r="K211" s="194">
        <f t="shared" si="3"/>
        <v>10444627.343019847</v>
      </c>
      <c r="L211" s="316"/>
      <c r="M211" s="37"/>
    </row>
    <row r="212" spans="1:13">
      <c r="A212" s="183">
        <v>42522</v>
      </c>
      <c r="B212" s="189"/>
      <c r="C212" s="192">
        <f>'Weather Analysis - Thunder Bay'!Z13</f>
        <v>109.59</v>
      </c>
      <c r="D212" s="190">
        <f>'Weather Analysis - Thunder Bay'!Z33</f>
        <v>6.7</v>
      </c>
      <c r="E212" s="184">
        <v>30</v>
      </c>
      <c r="F212" s="184">
        <v>0</v>
      </c>
      <c r="G212" s="184">
        <f>'CDM Activity'!O144</f>
        <v>644804.43889332085</v>
      </c>
      <c r="H212" s="187">
        <v>156.13415051840798</v>
      </c>
      <c r="I212" s="184"/>
      <c r="J212" s="197">
        <v>352</v>
      </c>
      <c r="K212" s="194">
        <f t="shared" si="3"/>
        <v>10115631.864652598</v>
      </c>
      <c r="L212" s="316"/>
      <c r="M212" s="37"/>
    </row>
    <row r="213" spans="1:13">
      <c r="A213" s="183">
        <v>42552</v>
      </c>
      <c r="B213" s="189"/>
      <c r="C213" s="192">
        <f>'Weather Analysis - Thunder Bay'!Z14</f>
        <v>36.33</v>
      </c>
      <c r="D213" s="190">
        <f>'Weather Analysis - Thunder Bay'!Z34</f>
        <v>40.369999999999997</v>
      </c>
      <c r="E213" s="184">
        <v>31</v>
      </c>
      <c r="F213" s="184">
        <v>0</v>
      </c>
      <c r="G213" s="184">
        <f>'CDM Activity'!O145</f>
        <v>643309.89620466996</v>
      </c>
      <c r="H213" s="187">
        <v>156.41755007673331</v>
      </c>
      <c r="I213" s="184"/>
      <c r="J213" s="197">
        <v>320</v>
      </c>
      <c r="K213" s="194">
        <f t="shared" si="3"/>
        <v>10795451.576516917</v>
      </c>
      <c r="L213" s="316"/>
      <c r="M213" s="37"/>
    </row>
    <row r="214" spans="1:13">
      <c r="A214" s="183">
        <v>42583</v>
      </c>
      <c r="B214" s="189"/>
      <c r="C214" s="192">
        <f>'Weather Analysis - Thunder Bay'!Z15</f>
        <v>51.55</v>
      </c>
      <c r="D214" s="190">
        <f>'Weather Analysis - Thunder Bay'!Z35</f>
        <v>29.669999999999998</v>
      </c>
      <c r="E214" s="184">
        <v>31</v>
      </c>
      <c r="F214" s="184">
        <v>0</v>
      </c>
      <c r="G214" s="184">
        <f>'CDM Activity'!O146</f>
        <v>641815.35351601907</v>
      </c>
      <c r="H214" s="187">
        <v>156.70146403443502</v>
      </c>
      <c r="I214" s="184"/>
      <c r="J214" s="197">
        <v>352</v>
      </c>
      <c r="K214" s="194">
        <f t="shared" si="3"/>
        <v>10654062.660570189</v>
      </c>
      <c r="L214" s="316"/>
      <c r="M214" s="37"/>
    </row>
    <row r="215" spans="1:13">
      <c r="A215" s="183">
        <v>42614</v>
      </c>
      <c r="B215" s="189"/>
      <c r="C215" s="192">
        <f>'Weather Analysis - Thunder Bay'!Z16</f>
        <v>176.97</v>
      </c>
      <c r="D215" s="190">
        <f>'Weather Analysis - Thunder Bay'!Z36</f>
        <v>5.05</v>
      </c>
      <c r="E215" s="184">
        <v>30</v>
      </c>
      <c r="F215" s="184">
        <v>1</v>
      </c>
      <c r="G215" s="184">
        <f>'CDM Activity'!O147</f>
        <v>640320.81082736817</v>
      </c>
      <c r="H215" s="187">
        <v>156.98589332520095</v>
      </c>
      <c r="I215" s="184"/>
      <c r="J215" s="197">
        <v>336</v>
      </c>
      <c r="K215" s="194">
        <f t="shared" si="3"/>
        <v>9906591.2525748275</v>
      </c>
      <c r="L215" s="316"/>
      <c r="M215" s="37"/>
    </row>
    <row r="216" spans="1:13">
      <c r="A216" s="183">
        <v>42644</v>
      </c>
      <c r="B216" s="189"/>
      <c r="C216" s="192">
        <f>'Weather Analysis - Thunder Bay'!Z17</f>
        <v>372.15</v>
      </c>
      <c r="D216" s="190">
        <f>'Weather Analysis - Thunder Bay'!Z37</f>
        <v>0.54</v>
      </c>
      <c r="E216" s="184">
        <v>31</v>
      </c>
      <c r="F216" s="184">
        <v>1</v>
      </c>
      <c r="G216" s="184">
        <f>'CDM Activity'!O148</f>
        <v>638826.26813871728</v>
      </c>
      <c r="H216" s="187">
        <v>157.27083888441365</v>
      </c>
      <c r="I216" s="184"/>
      <c r="J216" s="197">
        <v>320</v>
      </c>
      <c r="K216" s="194">
        <f t="shared" ref="K216:K230" si="6">$O$103+C216*$O$104+D216*$O$105+E216*$O$106+F216*$O$107+G216*$O$108+H216*$O$109</f>
        <v>10963577.217774032</v>
      </c>
      <c r="L216" s="316"/>
      <c r="M216" s="37"/>
    </row>
    <row r="217" spans="1:13">
      <c r="A217" s="183">
        <v>42675</v>
      </c>
      <c r="B217" s="189"/>
      <c r="C217" s="192">
        <f>'Weather Analysis - Thunder Bay'!Z18</f>
        <v>567.61000000000013</v>
      </c>
      <c r="D217" s="190">
        <f>'Weather Analysis - Thunder Bay'!Z38</f>
        <v>0</v>
      </c>
      <c r="E217" s="184">
        <v>30</v>
      </c>
      <c r="F217" s="184">
        <v>1</v>
      </c>
      <c r="G217" s="184">
        <f>'CDM Activity'!O149</f>
        <v>637331.72545006638</v>
      </c>
      <c r="H217" s="187">
        <v>157.55630164915351</v>
      </c>
      <c r="I217" s="184"/>
      <c r="J217" s="197">
        <v>336</v>
      </c>
      <c r="K217" s="194">
        <f t="shared" si="6"/>
        <v>11540762.42493742</v>
      </c>
      <c r="L217" s="316"/>
      <c r="M217" s="37"/>
    </row>
    <row r="218" spans="1:13">
      <c r="A218" s="183">
        <v>42705</v>
      </c>
      <c r="B218" s="189"/>
      <c r="C218" s="192">
        <f>'Weather Analysis - Thunder Bay'!Z19</f>
        <v>852.28999999999974</v>
      </c>
      <c r="D218" s="190">
        <f>'Weather Analysis - Thunder Bay'!Z39</f>
        <v>0</v>
      </c>
      <c r="E218" s="184">
        <v>31</v>
      </c>
      <c r="F218" s="184">
        <v>0</v>
      </c>
      <c r="G218" s="184">
        <f>'CDM Activity'!O150</f>
        <v>635837.18276141549</v>
      </c>
      <c r="H218" s="187">
        <v>157.84228255820162</v>
      </c>
      <c r="I218" s="184"/>
      <c r="J218" s="197">
        <v>336</v>
      </c>
      <c r="K218" s="194">
        <f t="shared" si="6"/>
        <v>13598975.186307007</v>
      </c>
      <c r="L218" s="316"/>
      <c r="M218" s="37"/>
    </row>
    <row r="219" spans="1:13">
      <c r="A219" s="183">
        <v>42736</v>
      </c>
      <c r="B219" s="189"/>
      <c r="C219" s="190">
        <f>C207</f>
        <v>960.98000000000013</v>
      </c>
      <c r="D219" s="190">
        <f>D207</f>
        <v>0</v>
      </c>
      <c r="E219" s="184">
        <v>31</v>
      </c>
      <c r="F219" s="184">
        <v>0</v>
      </c>
      <c r="G219" s="184">
        <f>'CDM Activity'!O151</f>
        <v>628843.05115952424</v>
      </c>
      <c r="H219" s="187">
        <v>158.15454692394951</v>
      </c>
      <c r="I219" s="184"/>
      <c r="J219" s="184"/>
      <c r="K219" s="194">
        <f t="shared" si="6"/>
        <v>14099503.867314788</v>
      </c>
      <c r="L219" s="316"/>
      <c r="M219" s="37"/>
    </row>
    <row r="220" spans="1:13">
      <c r="A220" s="183">
        <v>42767</v>
      </c>
      <c r="B220" s="189"/>
      <c r="C220" s="190">
        <f t="shared" ref="C220:D230" si="7">C208</f>
        <v>875.5899999999998</v>
      </c>
      <c r="D220" s="190">
        <f t="shared" si="7"/>
        <v>0</v>
      </c>
      <c r="E220" s="184">
        <v>28</v>
      </c>
      <c r="F220" s="184">
        <v>0</v>
      </c>
      <c r="G220" s="184">
        <f>'CDM Activity'!O152</f>
        <v>621848.91955763299</v>
      </c>
      <c r="H220" s="187">
        <v>158.46742905214063</v>
      </c>
      <c r="I220" s="184"/>
      <c r="J220" s="184"/>
      <c r="K220" s="194">
        <f t="shared" si="6"/>
        <v>12905269.300713215</v>
      </c>
      <c r="L220" s="316"/>
      <c r="M220" s="37"/>
    </row>
    <row r="221" spans="1:13">
      <c r="A221" s="183">
        <v>42795</v>
      </c>
      <c r="B221" s="189"/>
      <c r="C221" s="190">
        <f t="shared" si="7"/>
        <v>702.91</v>
      </c>
      <c r="D221" s="190">
        <f t="shared" si="7"/>
        <v>0</v>
      </c>
      <c r="E221" s="184">
        <v>31</v>
      </c>
      <c r="F221" s="184">
        <v>1</v>
      </c>
      <c r="G221" s="184">
        <f>'CDM Activity'!O153</f>
        <v>614854.78795574175</v>
      </c>
      <c r="H221" s="187">
        <v>158.78093016491388</v>
      </c>
      <c r="I221" s="184"/>
      <c r="J221" s="184"/>
      <c r="K221" s="194">
        <f t="shared" si="6"/>
        <v>12505486.413081661</v>
      </c>
      <c r="L221" s="316"/>
      <c r="M221" s="37"/>
    </row>
    <row r="222" spans="1:13">
      <c r="A222" s="183">
        <v>42826</v>
      </c>
      <c r="B222" s="189"/>
      <c r="C222" s="190">
        <f t="shared" si="7"/>
        <v>450.5200000000001</v>
      </c>
      <c r="D222" s="190">
        <f t="shared" si="7"/>
        <v>0</v>
      </c>
      <c r="E222" s="184">
        <v>30</v>
      </c>
      <c r="F222" s="184">
        <v>1</v>
      </c>
      <c r="G222" s="184">
        <f>'CDM Activity'!O154</f>
        <v>607860.6563538505</v>
      </c>
      <c r="H222" s="187">
        <v>159.09505148682601</v>
      </c>
      <c r="I222" s="184"/>
      <c r="J222" s="184"/>
      <c r="K222" s="194">
        <f t="shared" si="6"/>
        <v>11144784.254299045</v>
      </c>
      <c r="L222" s="316"/>
      <c r="M222" s="37"/>
    </row>
    <row r="223" spans="1:13">
      <c r="A223" s="183">
        <v>42856</v>
      </c>
      <c r="B223" s="189"/>
      <c r="C223" s="190">
        <f t="shared" si="7"/>
        <v>271.46000000000004</v>
      </c>
      <c r="D223" s="190">
        <f t="shared" si="7"/>
        <v>0.47000000000000003</v>
      </c>
      <c r="E223" s="184">
        <v>31</v>
      </c>
      <c r="F223" s="184">
        <v>1</v>
      </c>
      <c r="G223" s="184">
        <f>'CDM Activity'!O155</f>
        <v>600866.52475195925</v>
      </c>
      <c r="H223" s="187">
        <v>159.4097942448563</v>
      </c>
      <c r="I223" s="184"/>
      <c r="J223" s="184"/>
      <c r="K223" s="194">
        <f t="shared" si="6"/>
        <v>10678593.744402826</v>
      </c>
      <c r="L223" s="316"/>
      <c r="M223" s="37"/>
    </row>
    <row r="224" spans="1:13">
      <c r="A224" s="183">
        <v>42887</v>
      </c>
      <c r="B224" s="189"/>
      <c r="C224" s="190">
        <f t="shared" si="7"/>
        <v>109.59</v>
      </c>
      <c r="D224" s="190">
        <f t="shared" si="7"/>
        <v>6.7</v>
      </c>
      <c r="E224" s="184">
        <v>30</v>
      </c>
      <c r="F224" s="184">
        <v>0</v>
      </c>
      <c r="G224" s="184">
        <f>'CDM Activity'!O156</f>
        <v>593872.393150068</v>
      </c>
      <c r="H224" s="187">
        <v>159.72515966841141</v>
      </c>
      <c r="I224" s="184"/>
      <c r="J224" s="184"/>
      <c r="K224" s="194">
        <f t="shared" si="6"/>
        <v>10359496.560311316</v>
      </c>
      <c r="L224" s="316"/>
      <c r="M224" s="37"/>
    </row>
    <row r="225" spans="1:16">
      <c r="A225" s="183">
        <v>42917</v>
      </c>
      <c r="B225" s="189"/>
      <c r="C225" s="190">
        <f t="shared" si="7"/>
        <v>36.33</v>
      </c>
      <c r="D225" s="190">
        <f t="shared" si="7"/>
        <v>40.369999999999997</v>
      </c>
      <c r="E225" s="184">
        <v>31</v>
      </c>
      <c r="F225" s="184">
        <v>0</v>
      </c>
      <c r="G225" s="184">
        <f>'CDM Activity'!O157</f>
        <v>586878.26154817676</v>
      </c>
      <c r="H225" s="187">
        <v>160.0411489893302</v>
      </c>
      <c r="I225" s="184"/>
      <c r="J225" s="184"/>
      <c r="K225" s="194">
        <f t="shared" si="6"/>
        <v>11049219.674625793</v>
      </c>
      <c r="L225" s="316"/>
      <c r="M225" s="37"/>
    </row>
    <row r="226" spans="1:16">
      <c r="A226" s="183">
        <v>42948</v>
      </c>
      <c r="B226" s="189"/>
      <c r="C226" s="190">
        <f t="shared" si="7"/>
        <v>51.55</v>
      </c>
      <c r="D226" s="190">
        <f t="shared" si="7"/>
        <v>29.669999999999998</v>
      </c>
      <c r="E226" s="184">
        <v>31</v>
      </c>
      <c r="F226" s="184">
        <v>0</v>
      </c>
      <c r="G226" s="184">
        <f>'CDM Activity'!O158</f>
        <v>579884.12994628551</v>
      </c>
      <c r="H226" s="187">
        <v>160.35776344188849</v>
      </c>
      <c r="I226" s="184"/>
      <c r="J226" s="184"/>
      <c r="K226" s="194">
        <f t="shared" si="6"/>
        <v>10917739.283286244</v>
      </c>
      <c r="L226" s="316"/>
      <c r="M226" s="37"/>
    </row>
    <row r="227" spans="1:16">
      <c r="A227" s="183">
        <v>42979</v>
      </c>
      <c r="B227" s="189"/>
      <c r="C227" s="190">
        <f t="shared" si="7"/>
        <v>176.97</v>
      </c>
      <c r="D227" s="190">
        <f t="shared" si="7"/>
        <v>5.05</v>
      </c>
      <c r="E227" s="184">
        <v>30</v>
      </c>
      <c r="F227" s="184">
        <v>1</v>
      </c>
      <c r="G227" s="184">
        <f>'CDM Activity'!O159</f>
        <v>572889.99834439426</v>
      </c>
      <c r="H227" s="187">
        <v>160.67500426280395</v>
      </c>
      <c r="I227" s="184"/>
      <c r="J227" s="184"/>
      <c r="K227" s="194">
        <f t="shared" si="6"/>
        <v>10180181.536072362</v>
      </c>
      <c r="L227" s="316"/>
      <c r="M227" s="37"/>
    </row>
    <row r="228" spans="1:16">
      <c r="A228" s="183">
        <v>43009</v>
      </c>
      <c r="B228" s="189"/>
      <c r="C228" s="190">
        <f t="shared" si="7"/>
        <v>372.15</v>
      </c>
      <c r="D228" s="190">
        <f t="shared" si="7"/>
        <v>0.54</v>
      </c>
      <c r="E228" s="184">
        <v>31</v>
      </c>
      <c r="F228" s="184">
        <v>1</v>
      </c>
      <c r="G228" s="184">
        <f>'CDM Activity'!O160</f>
        <v>565895.86674250301</v>
      </c>
      <c r="H228" s="187">
        <v>160.99287269124085</v>
      </c>
      <c r="I228" s="184"/>
      <c r="J228" s="184"/>
      <c r="K228" s="194">
        <f t="shared" si="6"/>
        <v>11247086.312279427</v>
      </c>
      <c r="L228" s="316"/>
      <c r="M228" s="37"/>
    </row>
    <row r="229" spans="1:16">
      <c r="A229" s="183">
        <v>43040</v>
      </c>
      <c r="B229" s="189"/>
      <c r="C229" s="190">
        <f t="shared" si="7"/>
        <v>567.61000000000013</v>
      </c>
      <c r="D229" s="190">
        <f t="shared" si="7"/>
        <v>0</v>
      </c>
      <c r="E229" s="184">
        <v>30</v>
      </c>
      <c r="F229" s="184">
        <v>1</v>
      </c>
      <c r="G229" s="184">
        <f>'CDM Activity'!O161</f>
        <v>558901.73514061177</v>
      </c>
      <c r="H229" s="187">
        <v>161.31136996881492</v>
      </c>
      <c r="I229" s="184"/>
      <c r="J229" s="184"/>
      <c r="K229" s="194">
        <f t="shared" si="6"/>
        <v>11834195.494763983</v>
      </c>
      <c r="L229" s="316"/>
      <c r="M229" s="37"/>
    </row>
    <row r="230" spans="1:16">
      <c r="A230" s="183">
        <v>43070</v>
      </c>
      <c r="B230" s="189"/>
      <c r="C230" s="190">
        <f t="shared" si="7"/>
        <v>852.28999999999974</v>
      </c>
      <c r="D230" s="190">
        <f t="shared" si="7"/>
        <v>0</v>
      </c>
      <c r="E230" s="184">
        <v>31</v>
      </c>
      <c r="F230" s="184">
        <v>0</v>
      </c>
      <c r="G230" s="184">
        <f>'CDM Activity'!O162</f>
        <v>551907.60353872052</v>
      </c>
      <c r="H230" s="187">
        <v>161.63049733959846</v>
      </c>
      <c r="I230" s="184"/>
      <c r="J230" s="184"/>
      <c r="K230" s="194">
        <f t="shared" si="6"/>
        <v>13902337.409889948</v>
      </c>
      <c r="L230" s="316"/>
      <c r="M230" s="37"/>
    </row>
    <row r="231" spans="1:16">
      <c r="A231" s="2"/>
      <c r="G231" s="12"/>
      <c r="L231" s="43"/>
    </row>
    <row r="232" spans="1:16">
      <c r="A232" s="2"/>
      <c r="C232" s="11"/>
      <c r="D232"/>
      <c r="G232" s="287">
        <f>SUM(G87:G230)</f>
        <v>41905847.99206835</v>
      </c>
      <c r="H232" s="195"/>
      <c r="I232" s="37"/>
      <c r="J232" s="37"/>
      <c r="K232" s="287">
        <f>SUM(K87:K230)</f>
        <v>1654708700.9577775</v>
      </c>
    </row>
    <row r="233" spans="1:16">
      <c r="A233" s="2"/>
      <c r="N233" s="179" t="s">
        <v>309</v>
      </c>
      <c r="O233" s="201" t="s">
        <v>310</v>
      </c>
      <c r="P233" s="201"/>
    </row>
    <row r="234" spans="1:16">
      <c r="A234" s="318">
        <v>2006</v>
      </c>
      <c r="B234" s="180">
        <f>SUM(B87:B98)</f>
        <v>141631018.54999995</v>
      </c>
      <c r="C234" s="37"/>
      <c r="D234" s="37"/>
      <c r="E234" s="37"/>
      <c r="F234" s="37"/>
      <c r="G234" s="37"/>
      <c r="H234" s="37"/>
      <c r="I234" s="195"/>
      <c r="J234" s="37"/>
      <c r="K234" s="180">
        <f>SUM(K87:K98)</f>
        <v>137222452.06215748</v>
      </c>
      <c r="L234" s="290">
        <f>K234-B234</f>
        <v>-4408566.4878424704</v>
      </c>
      <c r="M234" s="300">
        <f>L234/B234</f>
        <v>-3.112712549113043E-2</v>
      </c>
      <c r="N234" s="180">
        <f>'GS &lt; 50 kW WN'!K234</f>
        <v>138259943.37749028</v>
      </c>
      <c r="O234" s="317">
        <f>N234/K234</f>
        <v>1.0075606527921745</v>
      </c>
    </row>
    <row r="235" spans="1:16">
      <c r="A235" s="319">
        <v>2007</v>
      </c>
      <c r="B235" s="180">
        <f>SUM(B99:B110)</f>
        <v>140795615.54000005</v>
      </c>
      <c r="C235" s="37"/>
      <c r="D235" s="37"/>
      <c r="E235" s="37"/>
      <c r="F235" s="37"/>
      <c r="G235" s="37"/>
      <c r="H235" s="37"/>
      <c r="I235" s="195"/>
      <c r="J235" s="37"/>
      <c r="K235" s="180">
        <f>SUM(K99:K110)</f>
        <v>140195394.1587351</v>
      </c>
      <c r="L235" s="290">
        <f t="shared" ref="L235:L243" si="8">K235-B235</f>
        <v>-600221.38126495481</v>
      </c>
      <c r="M235" s="300">
        <f t="shared" ref="M235:M243" si="9">L235/B235</f>
        <v>-4.2630686968688439E-3</v>
      </c>
      <c r="N235" s="180">
        <f>'GS &lt; 50 kW WN'!K235</f>
        <v>139939175.51366717</v>
      </c>
      <c r="O235" s="317">
        <f t="shared" ref="O235:O243" si="10">N235/K235</f>
        <v>0.99817241752765551</v>
      </c>
    </row>
    <row r="236" spans="1:16">
      <c r="A236" s="318">
        <v>2008</v>
      </c>
      <c r="B236" s="180">
        <f>SUM(B111:B122)</f>
        <v>140901919.11999995</v>
      </c>
      <c r="C236" s="37"/>
      <c r="D236" s="37"/>
      <c r="E236" s="37"/>
      <c r="F236" s="37"/>
      <c r="G236" s="37"/>
      <c r="H236" s="37"/>
      <c r="I236" s="195"/>
      <c r="J236" s="37"/>
      <c r="K236" s="180">
        <f>SUM(K111:K122)</f>
        <v>141614876.67774665</v>
      </c>
      <c r="L236" s="290">
        <f t="shared" si="8"/>
        <v>712957.55774670839</v>
      </c>
      <c r="M236" s="300">
        <f t="shared" si="9"/>
        <v>5.0599563313223142E-3</v>
      </c>
      <c r="N236" s="180">
        <f>'GS &lt; 50 kW WN'!K236</f>
        <v>140466443.38037604</v>
      </c>
      <c r="O236" s="317">
        <f t="shared" si="10"/>
        <v>0.9918904473575616</v>
      </c>
    </row>
    <row r="237" spans="1:16">
      <c r="A237" s="319">
        <v>2009</v>
      </c>
      <c r="B237" s="180">
        <f>SUM(B123:B134)</f>
        <v>137506815.68000019</v>
      </c>
      <c r="C237" s="37"/>
      <c r="D237" s="37"/>
      <c r="E237" s="37"/>
      <c r="F237" s="37"/>
      <c r="G237" s="37"/>
      <c r="H237" s="37"/>
      <c r="I237" s="195"/>
      <c r="J237" s="37"/>
      <c r="K237" s="180">
        <f>SUM(K123:K134)</f>
        <v>137714855.7488116</v>
      </c>
      <c r="L237" s="290">
        <f t="shared" si="8"/>
        <v>208040.06881141663</v>
      </c>
      <c r="M237" s="300">
        <f t="shared" si="9"/>
        <v>1.5129436877918715E-3</v>
      </c>
      <c r="N237" s="180">
        <f>'GS &lt; 50 kW WN'!K237</f>
        <v>137509400.53846347</v>
      </c>
      <c r="O237" s="317">
        <f t="shared" si="10"/>
        <v>0.99850811149435559</v>
      </c>
    </row>
    <row r="238" spans="1:16">
      <c r="A238" s="318">
        <v>2010</v>
      </c>
      <c r="B238" s="180">
        <f>SUM(B135:B146)</f>
        <v>132765784.44999993</v>
      </c>
      <c r="C238" s="37"/>
      <c r="D238" s="37"/>
      <c r="E238" s="37"/>
      <c r="F238" s="37"/>
      <c r="G238" s="37"/>
      <c r="H238" s="37"/>
      <c r="I238" s="195"/>
      <c r="J238" s="37"/>
      <c r="K238" s="180">
        <f>SUM(K135:K146)</f>
        <v>134451503.46006441</v>
      </c>
      <c r="L238" s="290">
        <f t="shared" si="8"/>
        <v>1685719.0100644827</v>
      </c>
      <c r="M238" s="300">
        <f t="shared" si="9"/>
        <v>1.2696938575309895E-2</v>
      </c>
      <c r="N238" s="180">
        <f>'GS &lt; 50 kW WN'!K238</f>
        <v>136000969.32659072</v>
      </c>
      <c r="O238" s="317">
        <f t="shared" si="10"/>
        <v>1.0115243476394933</v>
      </c>
    </row>
    <row r="239" spans="1:16">
      <c r="A239" s="318">
        <v>2011</v>
      </c>
      <c r="B239" s="180">
        <f>SUM(B147:B158)</f>
        <v>135688687.22999996</v>
      </c>
      <c r="C239" s="37"/>
      <c r="D239" s="37"/>
      <c r="E239" s="37"/>
      <c r="F239" s="37"/>
      <c r="G239" s="37"/>
      <c r="H239" s="37"/>
      <c r="I239" s="195"/>
      <c r="J239" s="37"/>
      <c r="K239" s="180">
        <f>SUM(K147:K158)</f>
        <v>137651398.07891196</v>
      </c>
      <c r="L239" s="290">
        <f t="shared" si="8"/>
        <v>1962710.8489120007</v>
      </c>
      <c r="M239" s="300">
        <f t="shared" si="9"/>
        <v>1.4464808297430834E-2</v>
      </c>
      <c r="N239" s="180">
        <f>'GS &lt; 50 kW WN'!K239</f>
        <v>137080521.5234752</v>
      </c>
      <c r="O239" s="317">
        <f t="shared" si="10"/>
        <v>0.99585273696159993</v>
      </c>
    </row>
    <row r="240" spans="1:16">
      <c r="A240" s="318">
        <v>2012</v>
      </c>
      <c r="B240" s="180">
        <f>SUM(B159:B170)</f>
        <v>133678840.49000008</v>
      </c>
      <c r="C240" s="37"/>
      <c r="D240" s="37"/>
      <c r="E240" s="37"/>
      <c r="F240" s="37"/>
      <c r="G240" s="37"/>
      <c r="H240" s="37"/>
      <c r="I240" s="195"/>
      <c r="J240" s="37"/>
      <c r="K240" s="180">
        <f>SUM(K159:K170)</f>
        <v>135959595.27174288</v>
      </c>
      <c r="L240" s="290">
        <f t="shared" si="8"/>
        <v>2280754.7817427963</v>
      </c>
      <c r="M240" s="300">
        <f t="shared" si="9"/>
        <v>1.7061449466367937E-2</v>
      </c>
      <c r="N240" s="180">
        <f>'GS &lt; 50 kW WN'!K240</f>
        <v>137734238.71311533</v>
      </c>
      <c r="O240" s="317">
        <f t="shared" si="10"/>
        <v>1.0130527267150617</v>
      </c>
    </row>
    <row r="241" spans="1:15">
      <c r="A241" s="318">
        <v>2013</v>
      </c>
      <c r="B241" s="180">
        <f>SUM(B171:B182)</f>
        <v>136331185.61000001</v>
      </c>
      <c r="C241" s="37"/>
      <c r="D241" s="37"/>
      <c r="E241" s="37"/>
      <c r="F241" s="37"/>
      <c r="G241" s="37"/>
      <c r="H241" s="37"/>
      <c r="I241" s="195"/>
      <c r="J241" s="37"/>
      <c r="K241" s="180">
        <f>SUM(K171:K182)</f>
        <v>138458007.03191251</v>
      </c>
      <c r="L241" s="290">
        <f t="shared" si="8"/>
        <v>2126821.4219124913</v>
      </c>
      <c r="M241" s="300">
        <f t="shared" si="9"/>
        <v>1.5600402889450754E-2</v>
      </c>
      <c r="N241" s="180">
        <f>'GS &lt; 50 kW WN'!K241</f>
        <v>136590961.75820157</v>
      </c>
      <c r="O241" s="317">
        <f t="shared" si="10"/>
        <v>0.98651544021372051</v>
      </c>
    </row>
    <row r="242" spans="1:15">
      <c r="A242" s="318">
        <v>2014</v>
      </c>
      <c r="B242" s="180">
        <f>SUM(B183:B194)</f>
        <v>139285835.96861196</v>
      </c>
      <c r="C242" s="37"/>
      <c r="D242" s="37"/>
      <c r="E242" s="37"/>
      <c r="F242" s="37"/>
      <c r="G242" s="37"/>
      <c r="H242" s="37"/>
      <c r="I242" s="195"/>
      <c r="J242" s="37"/>
      <c r="K242" s="180">
        <f>SUM(K183:K194)</f>
        <v>137364711.51351312</v>
      </c>
      <c r="L242" s="290">
        <f t="shared" si="8"/>
        <v>-1921124.4550988376</v>
      </c>
      <c r="M242" s="300">
        <f t="shared" si="9"/>
        <v>-1.3792676346012403E-2</v>
      </c>
      <c r="N242" s="180">
        <f>'GS &lt; 50 kW WN'!K242</f>
        <v>135918264.82801253</v>
      </c>
      <c r="O242" s="317">
        <f t="shared" si="10"/>
        <v>0.98947002713023358</v>
      </c>
    </row>
    <row r="243" spans="1:15">
      <c r="A243" s="319">
        <v>2015</v>
      </c>
      <c r="B243" s="180">
        <f>SUM(B195:B206)</f>
        <v>137179401.47999987</v>
      </c>
      <c r="C243" s="37"/>
      <c r="D243" s="37"/>
      <c r="E243" s="37"/>
      <c r="F243" s="37"/>
      <c r="G243" s="37"/>
      <c r="H243" s="37"/>
      <c r="I243" s="195"/>
      <c r="J243" s="37"/>
      <c r="K243" s="180">
        <f>SUM(K195:K206)</f>
        <v>135132310.11501631</v>
      </c>
      <c r="L243" s="290">
        <f t="shared" si="8"/>
        <v>-2047091.3649835587</v>
      </c>
      <c r="M243" s="300">
        <f t="shared" si="9"/>
        <v>-1.4922731422487037E-2</v>
      </c>
      <c r="N243" s="180">
        <f>'GS &lt; 50 kW WN'!K243</f>
        <v>136265185.15921974</v>
      </c>
      <c r="O243" s="317">
        <f t="shared" si="10"/>
        <v>1.0083834505843881</v>
      </c>
    </row>
    <row r="244" spans="1:15">
      <c r="A244" s="318">
        <v>2016</v>
      </c>
      <c r="B244" s="180"/>
      <c r="C244" s="37"/>
      <c r="D244" s="37"/>
      <c r="E244" s="37"/>
      <c r="F244" s="37"/>
      <c r="G244" s="37"/>
      <c r="H244" s="37"/>
      <c r="I244" s="195"/>
      <c r="J244" s="37"/>
      <c r="K244" s="180">
        <f>SUM(K207:K218)</f>
        <v>138119702.98812523</v>
      </c>
      <c r="L244" s="37"/>
      <c r="M244" s="37"/>
      <c r="N244" s="180">
        <f>'GS &lt; 50 kW WN'!K244</f>
        <v>138119702.98812523</v>
      </c>
      <c r="O244" s="317"/>
    </row>
    <row r="245" spans="1:15">
      <c r="A245" s="319">
        <v>2017</v>
      </c>
      <c r="B245" s="180"/>
      <c r="C245" s="37"/>
      <c r="D245" s="37"/>
      <c r="E245" s="37"/>
      <c r="F245" s="37"/>
      <c r="G245" s="37"/>
      <c r="H245" s="37"/>
      <c r="I245" s="195"/>
      <c r="J245" s="37"/>
      <c r="K245" s="180">
        <f>SUM(K219:K230)</f>
        <v>140823893.8510406</v>
      </c>
      <c r="L245" s="37"/>
      <c r="M245" s="37"/>
      <c r="N245" s="180">
        <f>'GS &lt; 50 kW WN'!K245</f>
        <v>140823893.8510406</v>
      </c>
      <c r="O245" s="317"/>
    </row>
    <row r="246" spans="1:15" ht="13.5" thickBot="1">
      <c r="C246" s="63"/>
      <c r="D246" s="63"/>
      <c r="E246" s="63"/>
      <c r="F246" s="63"/>
      <c r="G246" s="63"/>
      <c r="H246" s="63"/>
      <c r="I246" s="23"/>
      <c r="J246" s="63"/>
      <c r="K246" s="5"/>
      <c r="L246" s="63"/>
      <c r="M246" s="63"/>
    </row>
    <row r="247" spans="1:15" ht="16.5" thickTop="1" thickBot="1">
      <c r="A247" s="260" t="s">
        <v>261</v>
      </c>
      <c r="B247" s="320">
        <f>SUM(B234:B243)</f>
        <v>1375765104.1186118</v>
      </c>
      <c r="C247" s="63"/>
      <c r="D247" s="63"/>
      <c r="E247" s="63"/>
      <c r="F247" s="63"/>
      <c r="G247" s="63"/>
      <c r="H247" s="63"/>
      <c r="I247" s="23"/>
      <c r="J247" s="63"/>
      <c r="K247" s="320">
        <f>SUM(K234:K243)</f>
        <v>1375765104.1186118</v>
      </c>
      <c r="L247" s="256">
        <f>K247-B247</f>
        <v>0</v>
      </c>
      <c r="M247" s="63"/>
    </row>
    <row r="248" spans="1:15" ht="14.25" thickTop="1" thickBot="1">
      <c r="C248" s="63"/>
      <c r="D248" s="63"/>
      <c r="E248" s="63"/>
      <c r="F248" s="63"/>
      <c r="G248" s="63"/>
      <c r="H248" s="63"/>
      <c r="I248" s="23"/>
      <c r="J248" s="63"/>
      <c r="K248" s="63"/>
      <c r="L248" s="63"/>
      <c r="M248" s="63"/>
    </row>
    <row r="249" spans="1:15" ht="16.5" thickTop="1" thickBot="1">
      <c r="C249" s="63"/>
      <c r="D249" s="63"/>
      <c r="E249" s="63"/>
      <c r="F249" s="63"/>
      <c r="G249" s="63"/>
      <c r="H249" s="63"/>
      <c r="I249" s="23"/>
      <c r="J249" s="63"/>
      <c r="K249" s="320">
        <f>SUM(K234:K245)</f>
        <v>1654708700.9577777</v>
      </c>
      <c r="L249" s="257">
        <f>K232-K249</f>
        <v>0</v>
      </c>
      <c r="M249" s="63"/>
    </row>
    <row r="250" spans="1:15" ht="13.5" thickTop="1">
      <c r="C250" s="63"/>
      <c r="D250" s="63"/>
      <c r="E250" s="63"/>
      <c r="F250" s="63"/>
      <c r="G250" s="63"/>
      <c r="H250" s="63"/>
      <c r="I250" s="23"/>
      <c r="J250" s="63"/>
      <c r="K250" s="258"/>
      <c r="L250" s="258" t="s">
        <v>47</v>
      </c>
      <c r="M250" s="258"/>
    </row>
    <row r="253" spans="1:15">
      <c r="H253" s="1"/>
      <c r="I253" s="23"/>
    </row>
    <row r="254" spans="1:15" ht="15">
      <c r="B254" s="259" t="s">
        <v>143</v>
      </c>
      <c r="C254" s="63"/>
      <c r="D254" s="63"/>
      <c r="E254" s="63"/>
      <c r="F254" s="63"/>
      <c r="G254" s="63"/>
      <c r="H254" s="63"/>
      <c r="I254" s="23"/>
      <c r="J254" s="63"/>
      <c r="K254" s="63"/>
      <c r="L254" s="63"/>
    </row>
    <row r="255" spans="1:15" ht="15">
      <c r="A255" s="321">
        <v>42736</v>
      </c>
      <c r="B255" s="180"/>
      <c r="C255" s="190">
        <f>'Weather Analysis - Thunder Bay'!AA8</f>
        <v>981.22443609022571</v>
      </c>
      <c r="D255" s="190">
        <f>'Weather Analysis - Thunder Bay'!AA28</f>
        <v>0</v>
      </c>
      <c r="E255" s="194">
        <f>E219</f>
        <v>31</v>
      </c>
      <c r="F255" s="194">
        <f t="shared" ref="F255:G255" si="11">F219</f>
        <v>0</v>
      </c>
      <c r="G255" s="194">
        <f t="shared" si="11"/>
        <v>628843.05115952424</v>
      </c>
      <c r="H255" s="187">
        <f>H219</f>
        <v>158.15454692394951</v>
      </c>
      <c r="I255" s="187">
        <v>143.1291789570798</v>
      </c>
      <c r="J255" s="194">
        <v>352</v>
      </c>
      <c r="K255" s="194">
        <f t="shared" ref="K255:K266" si="12">$O$103+C255*$O$104+D255*$O$105+E255*$O$106+F255*$O$107+G255*$O$108+H255*$O$109</f>
        <v>14188052.405750645</v>
      </c>
      <c r="L255" s="37"/>
    </row>
    <row r="256" spans="1:15" ht="15">
      <c r="A256" s="321">
        <v>42767</v>
      </c>
      <c r="B256" s="180"/>
      <c r="C256" s="190">
        <f>'Weather Analysis - Thunder Bay'!AA9</f>
        <v>920.49842105263269</v>
      </c>
      <c r="D256" s="190">
        <f>'Weather Analysis - Thunder Bay'!AA29</f>
        <v>0</v>
      </c>
      <c r="E256" s="194">
        <f t="shared" ref="E256:H266" si="13">E220</f>
        <v>28</v>
      </c>
      <c r="F256" s="194">
        <f t="shared" si="13"/>
        <v>0</v>
      </c>
      <c r="G256" s="194">
        <f t="shared" si="13"/>
        <v>621848.91955763299</v>
      </c>
      <c r="H256" s="187">
        <f t="shared" si="13"/>
        <v>158.46742905214063</v>
      </c>
      <c r="I256" s="187">
        <v>143.42400163116841</v>
      </c>
      <c r="J256" s="194">
        <v>304</v>
      </c>
      <c r="K256" s="194">
        <f t="shared" si="12"/>
        <v>13101697.347903561</v>
      </c>
      <c r="L256" s="37"/>
    </row>
    <row r="257" spans="1:12" customFormat="1" ht="15">
      <c r="A257" s="321">
        <v>42795</v>
      </c>
      <c r="B257" s="180"/>
      <c r="C257" s="190">
        <f>'Weather Analysis - Thunder Bay'!AA10</f>
        <v>728.65676691729323</v>
      </c>
      <c r="D257" s="190">
        <f>'Weather Analysis - Thunder Bay'!AA30</f>
        <v>0</v>
      </c>
      <c r="E257" s="194">
        <f t="shared" si="13"/>
        <v>31</v>
      </c>
      <c r="F257" s="194">
        <f t="shared" si="13"/>
        <v>1</v>
      </c>
      <c r="G257" s="194">
        <f t="shared" si="13"/>
        <v>614854.78795574175</v>
      </c>
      <c r="H257" s="187">
        <f t="shared" si="13"/>
        <v>158.78093016491388</v>
      </c>
      <c r="I257" s="187">
        <v>143.71943159169427</v>
      </c>
      <c r="J257" s="194">
        <v>320</v>
      </c>
      <c r="K257" s="194">
        <f t="shared" si="12"/>
        <v>12618101.976677218</v>
      </c>
      <c r="L257" s="37"/>
    </row>
    <row r="258" spans="1:12" customFormat="1" ht="15">
      <c r="A258" s="321">
        <v>42826</v>
      </c>
      <c r="B258" s="180"/>
      <c r="C258" s="190">
        <f>'Weather Analysis - Thunder Bay'!AA11</f>
        <v>457.84511278195487</v>
      </c>
      <c r="D258" s="190">
        <f>'Weather Analysis - Thunder Bay'!AA31</f>
        <v>0</v>
      </c>
      <c r="E258" s="194">
        <f t="shared" si="13"/>
        <v>30</v>
      </c>
      <c r="F258" s="194">
        <f t="shared" si="13"/>
        <v>1</v>
      </c>
      <c r="G258" s="194">
        <f t="shared" si="13"/>
        <v>607860.6563538505</v>
      </c>
      <c r="H258" s="187">
        <f t="shared" si="13"/>
        <v>159.09505148682601</v>
      </c>
      <c r="I258" s="187">
        <v>144.01547008956803</v>
      </c>
      <c r="J258" s="194">
        <v>352</v>
      </c>
      <c r="K258" s="194">
        <f t="shared" si="12"/>
        <v>11176824.071453206</v>
      </c>
      <c r="L258" s="37"/>
    </row>
    <row r="259" spans="1:12" customFormat="1" ht="15">
      <c r="A259" s="321">
        <v>42856</v>
      </c>
      <c r="B259" s="180"/>
      <c r="C259" s="190">
        <f>'Weather Analysis - Thunder Bay'!AA12</f>
        <v>271.64563909774438</v>
      </c>
      <c r="D259" s="190">
        <f>'Weather Analysis - Thunder Bay'!AA32</f>
        <v>0.20857142857142463</v>
      </c>
      <c r="E259" s="194">
        <f t="shared" si="13"/>
        <v>31</v>
      </c>
      <c r="F259" s="194">
        <f t="shared" si="13"/>
        <v>1</v>
      </c>
      <c r="G259" s="194">
        <f t="shared" si="13"/>
        <v>600866.52475195925</v>
      </c>
      <c r="H259" s="187">
        <f t="shared" si="13"/>
        <v>159.4097942448563</v>
      </c>
      <c r="I259" s="187">
        <v>144.31211837827698</v>
      </c>
      <c r="J259" s="194">
        <v>352</v>
      </c>
      <c r="K259" s="194">
        <f t="shared" si="12"/>
        <v>10673948.087459896</v>
      </c>
      <c r="L259" s="37"/>
    </row>
    <row r="260" spans="1:12" customFormat="1" ht="15">
      <c r="A260" s="321">
        <v>42887</v>
      </c>
      <c r="B260" s="180"/>
      <c r="C260" s="190">
        <f>'Weather Analysis - Thunder Bay'!AA13</f>
        <v>115.80518796992476</v>
      </c>
      <c r="D260" s="190">
        <f>'Weather Analysis - Thunder Bay'!AA33</f>
        <v>4.1052631578947967</v>
      </c>
      <c r="E260" s="194">
        <f t="shared" si="13"/>
        <v>30</v>
      </c>
      <c r="F260" s="194">
        <f t="shared" si="13"/>
        <v>0</v>
      </c>
      <c r="G260" s="194">
        <f t="shared" si="13"/>
        <v>593872.393150068</v>
      </c>
      <c r="H260" s="187">
        <f t="shared" si="13"/>
        <v>159.72515966841141</v>
      </c>
      <c r="I260" s="187">
        <v>144.60937771389038</v>
      </c>
      <c r="J260" s="194">
        <v>320</v>
      </c>
      <c r="K260" s="194">
        <f t="shared" si="12"/>
        <v>10332513.340630718</v>
      </c>
      <c r="L260" s="37"/>
    </row>
    <row r="261" spans="1:12" customFormat="1" ht="15">
      <c r="A261" s="321">
        <v>42917</v>
      </c>
      <c r="B261" s="180"/>
      <c r="C261" s="190">
        <f>'Weather Analysis - Thunder Bay'!AA14</f>
        <v>34.996616541353319</v>
      </c>
      <c r="D261" s="190">
        <f>'Weather Analysis - Thunder Bay'!AA34</f>
        <v>41.516616541353415</v>
      </c>
      <c r="E261" s="194">
        <f t="shared" si="13"/>
        <v>31</v>
      </c>
      <c r="F261" s="194">
        <f t="shared" si="13"/>
        <v>0</v>
      </c>
      <c r="G261" s="194">
        <f t="shared" si="13"/>
        <v>586878.26154817676</v>
      </c>
      <c r="H261" s="187">
        <f t="shared" si="13"/>
        <v>160.0411489893302</v>
      </c>
      <c r="I261" s="187">
        <v>144.90724935506483</v>
      </c>
      <c r="J261" s="194">
        <v>352</v>
      </c>
      <c r="K261" s="194">
        <f t="shared" si="12"/>
        <v>11067324.499285871</v>
      </c>
      <c r="L261" s="37"/>
    </row>
    <row r="262" spans="1:12" customFormat="1" ht="15">
      <c r="A262" s="321">
        <v>42948</v>
      </c>
      <c r="B262" s="180"/>
      <c r="C262" s="190">
        <f>'Weather Analysis - Thunder Bay'!AA15</f>
        <v>48.162481203007474</v>
      </c>
      <c r="D262" s="190">
        <f>'Weather Analysis - Thunder Bay'!AA35</f>
        <v>33.181729323308446</v>
      </c>
      <c r="E262" s="194">
        <f t="shared" si="13"/>
        <v>31</v>
      </c>
      <c r="F262" s="194">
        <f t="shared" si="13"/>
        <v>0</v>
      </c>
      <c r="G262" s="194">
        <f t="shared" si="13"/>
        <v>579884.12994628551</v>
      </c>
      <c r="H262" s="187">
        <f t="shared" si="13"/>
        <v>160.35776344188849</v>
      </c>
      <c r="I262" s="187">
        <v>145.20573456304953</v>
      </c>
      <c r="J262" s="194">
        <v>336</v>
      </c>
      <c r="K262" s="194">
        <f t="shared" si="12"/>
        <v>10976233.964263508</v>
      </c>
      <c r="L262" s="37"/>
    </row>
    <row r="263" spans="1:12" customFormat="1" ht="15">
      <c r="A263" s="321">
        <v>42979</v>
      </c>
      <c r="B263" s="180"/>
      <c r="C263" s="190">
        <f>'Weather Analysis - Thunder Bay'!AA16</f>
        <v>175.57706766917295</v>
      </c>
      <c r="D263" s="190">
        <f>'Weather Analysis - Thunder Bay'!AA36</f>
        <v>5.6842857142857071</v>
      </c>
      <c r="E263" s="194">
        <f t="shared" si="13"/>
        <v>30</v>
      </c>
      <c r="F263" s="194">
        <f t="shared" si="13"/>
        <v>1</v>
      </c>
      <c r="G263" s="194">
        <f t="shared" si="13"/>
        <v>572889.99834439426</v>
      </c>
      <c r="H263" s="187">
        <f t="shared" si="13"/>
        <v>160.67500426280395</v>
      </c>
      <c r="I263" s="187">
        <v>145.50483460169167</v>
      </c>
      <c r="J263" s="194">
        <v>320</v>
      </c>
      <c r="K263" s="194">
        <f t="shared" si="12"/>
        <v>10187330.372087231</v>
      </c>
      <c r="L263" s="37"/>
    </row>
    <row r="264" spans="1:12" customFormat="1" ht="15">
      <c r="A264" s="321">
        <v>43009</v>
      </c>
      <c r="B264" s="180"/>
      <c r="C264" s="190">
        <f>'Weather Analysis - Thunder Bay'!AA17</f>
        <v>357.9927819548875</v>
      </c>
      <c r="D264" s="190">
        <f>'Weather Analysis - Thunder Bay'!AA37</f>
        <v>0.78360902255639076</v>
      </c>
      <c r="E264" s="194">
        <f t="shared" si="13"/>
        <v>31</v>
      </c>
      <c r="F264" s="194">
        <f t="shared" si="13"/>
        <v>1</v>
      </c>
      <c r="G264" s="194">
        <f t="shared" si="13"/>
        <v>565895.86674250301</v>
      </c>
      <c r="H264" s="187">
        <f t="shared" si="13"/>
        <v>160.99287269124085</v>
      </c>
      <c r="I264" s="187">
        <v>145.8045507374417</v>
      </c>
      <c r="J264" s="194">
        <v>352</v>
      </c>
      <c r="K264" s="194">
        <f t="shared" si="12"/>
        <v>11190248.70969519</v>
      </c>
      <c r="L264" s="37"/>
    </row>
    <row r="265" spans="1:12" customFormat="1" ht="15">
      <c r="A265" s="321">
        <v>43040</v>
      </c>
      <c r="B265" s="180"/>
      <c r="C265" s="190">
        <f>'Weather Analysis - Thunder Bay'!AA18</f>
        <v>558.62721804511284</v>
      </c>
      <c r="D265" s="190">
        <f>'Weather Analysis - Thunder Bay'!AA38</f>
        <v>0</v>
      </c>
      <c r="E265" s="194">
        <f t="shared" si="13"/>
        <v>30</v>
      </c>
      <c r="F265" s="194">
        <f t="shared" si="13"/>
        <v>1</v>
      </c>
      <c r="G265" s="194">
        <f t="shared" si="13"/>
        <v>558901.73514061177</v>
      </c>
      <c r="H265" s="187">
        <f t="shared" si="13"/>
        <v>161.31136996881492</v>
      </c>
      <c r="I265" s="187">
        <v>146.1048842393588</v>
      </c>
      <c r="J265" s="194">
        <v>336</v>
      </c>
      <c r="K265" s="194">
        <f t="shared" si="12"/>
        <v>11794905.083825972</v>
      </c>
      <c r="L265" s="37"/>
    </row>
    <row r="266" spans="1:12" customFormat="1" ht="15">
      <c r="A266" s="321">
        <v>43070</v>
      </c>
      <c r="B266" s="180"/>
      <c r="C266" s="190">
        <f>'Weather Analysis - Thunder Bay'!AA19</f>
        <v>843.2869924812029</v>
      </c>
      <c r="D266" s="190">
        <f>'Weather Analysis - Thunder Bay'!AA39</f>
        <v>0</v>
      </c>
      <c r="E266" s="194">
        <f t="shared" si="13"/>
        <v>31</v>
      </c>
      <c r="F266" s="194">
        <f t="shared" si="13"/>
        <v>0</v>
      </c>
      <c r="G266" s="194">
        <f t="shared" si="13"/>
        <v>551907.60353872052</v>
      </c>
      <c r="H266" s="187">
        <f t="shared" si="13"/>
        <v>161.63049733959846</v>
      </c>
      <c r="I266" s="187">
        <v>146.40583637911641</v>
      </c>
      <c r="J266" s="194">
        <v>320</v>
      </c>
      <c r="K266" s="194">
        <f t="shared" si="12"/>
        <v>13862958.532959836</v>
      </c>
      <c r="L266" s="287">
        <f>SUM(K255:K266)</f>
        <v>141170138.39199287</v>
      </c>
    </row>
  </sheetData>
  <mergeCells count="2">
    <mergeCell ref="I1:J1"/>
    <mergeCell ref="O233:P233"/>
  </mergeCells>
  <phoneticPr fontId="0" type="noConversion"/>
  <pageMargins left="0.38" right="0.75" top="0.73"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74"/>
  <sheetViews>
    <sheetView topLeftCell="A234" workbookViewId="0">
      <selection activeCell="A213" sqref="A1:XFD1048576"/>
    </sheetView>
  </sheetViews>
  <sheetFormatPr defaultRowHeight="12.75"/>
  <cols>
    <col min="1" max="1" width="11.85546875" customWidth="1"/>
    <col min="2" max="2" width="18" style="5" customWidth="1"/>
    <col min="3" max="3" width="11.7109375" style="177" customWidth="1"/>
    <col min="4" max="4" width="13.42578125" style="198" customWidth="1"/>
    <col min="5" max="5" width="10.140625" style="198" customWidth="1"/>
    <col min="6" max="7" width="12.42578125" style="198" customWidth="1"/>
    <col min="8" max="8" width="14.42578125" style="23" customWidth="1"/>
    <col min="9" max="10" width="12.42578125" style="198" hidden="1" customWidth="1"/>
    <col min="11" max="11" width="15.42578125" style="198" bestFit="1" customWidth="1"/>
    <col min="12" max="12" width="17" style="198" customWidth="1"/>
    <col min="13" max="13" width="12.42578125" style="19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283" t="s">
        <v>76</v>
      </c>
      <c r="J1" s="283"/>
    </row>
    <row r="2" spans="1:13" ht="42" customHeight="1">
      <c r="A2" s="181"/>
      <c r="B2" s="261" t="s">
        <v>77</v>
      </c>
      <c r="C2" s="262" t="s">
        <v>1</v>
      </c>
      <c r="D2" s="262" t="s">
        <v>2</v>
      </c>
      <c r="E2" s="262" t="s">
        <v>3</v>
      </c>
      <c r="F2" s="262" t="s">
        <v>14</v>
      </c>
      <c r="G2" s="262" t="s">
        <v>56</v>
      </c>
      <c r="H2" s="263" t="s">
        <v>4</v>
      </c>
      <c r="I2" s="262" t="s">
        <v>49</v>
      </c>
      <c r="J2" s="262" t="s">
        <v>58</v>
      </c>
      <c r="K2" s="262" t="s">
        <v>78</v>
      </c>
      <c r="L2" s="262" t="s">
        <v>7</v>
      </c>
      <c r="M2" s="262" t="s">
        <v>8</v>
      </c>
    </row>
    <row r="3" spans="1:13" ht="12.75" hidden="1" customHeight="1">
      <c r="A3" s="191">
        <v>36161</v>
      </c>
      <c r="B3" s="284">
        <v>11167128.489999978</v>
      </c>
      <c r="C3" s="194">
        <f>'Weather Data'!B99</f>
        <v>994.7</v>
      </c>
      <c r="D3" s="194">
        <f>'Weather Data'!C99</f>
        <v>0</v>
      </c>
      <c r="E3" s="194">
        <v>31</v>
      </c>
      <c r="F3" s="194">
        <v>0</v>
      </c>
      <c r="G3" s="184">
        <v>0</v>
      </c>
      <c r="H3" s="195">
        <v>105.44819844915847</v>
      </c>
      <c r="I3" s="184">
        <v>4330</v>
      </c>
      <c r="J3" s="194">
        <v>319.87200000000001</v>
      </c>
      <c r="K3" s="194"/>
      <c r="L3" s="194"/>
      <c r="M3" s="285"/>
    </row>
    <row r="4" spans="1:13" ht="12.75" hidden="1" customHeight="1">
      <c r="A4" s="191">
        <v>36192</v>
      </c>
      <c r="B4" s="284">
        <v>17327915.790000074</v>
      </c>
      <c r="C4" s="194">
        <f>'Weather Data'!B100</f>
        <v>718.7</v>
      </c>
      <c r="D4" s="194">
        <f>'Weather Data'!C100</f>
        <v>0</v>
      </c>
      <c r="E4" s="194">
        <v>28</v>
      </c>
      <c r="F4" s="194">
        <v>0</v>
      </c>
      <c r="G4" s="184">
        <v>0</v>
      </c>
      <c r="H4" s="195">
        <v>106.08666118100913</v>
      </c>
      <c r="I4" s="184">
        <v>4397</v>
      </c>
      <c r="J4" s="194">
        <v>319.87200000000001</v>
      </c>
      <c r="K4" s="194"/>
      <c r="L4" s="194"/>
      <c r="M4" s="285"/>
    </row>
    <row r="5" spans="1:13" ht="12.75" hidden="1" customHeight="1">
      <c r="A5" s="191">
        <v>36220</v>
      </c>
      <c r="B5" s="284">
        <v>17359594.600000046</v>
      </c>
      <c r="C5" s="194">
        <f>'Weather Data'!B101</f>
        <v>710.1</v>
      </c>
      <c r="D5" s="194">
        <f>'Weather Data'!C101</f>
        <v>0</v>
      </c>
      <c r="E5" s="194">
        <v>31</v>
      </c>
      <c r="F5" s="194">
        <v>1</v>
      </c>
      <c r="G5" s="184">
        <v>0</v>
      </c>
      <c r="H5" s="195">
        <v>106.72898964661303</v>
      </c>
      <c r="I5" s="184">
        <v>4397</v>
      </c>
      <c r="J5" s="194">
        <v>368.28</v>
      </c>
      <c r="K5" s="194"/>
      <c r="L5" s="194"/>
      <c r="M5" s="285"/>
    </row>
    <row r="6" spans="1:13" ht="12.75" hidden="1" customHeight="1">
      <c r="A6" s="191">
        <v>36251</v>
      </c>
      <c r="B6" s="284">
        <v>15664134.650000088</v>
      </c>
      <c r="C6" s="194">
        <f>'Weather Data'!B102</f>
        <v>407.7</v>
      </c>
      <c r="D6" s="194">
        <f>'Weather Data'!C102</f>
        <v>0</v>
      </c>
      <c r="E6" s="194">
        <v>30</v>
      </c>
      <c r="F6" s="194">
        <v>1</v>
      </c>
      <c r="G6" s="184">
        <v>0</v>
      </c>
      <c r="H6" s="195">
        <v>107.37520725203085</v>
      </c>
      <c r="I6" s="184">
        <v>4373</v>
      </c>
      <c r="J6" s="194">
        <v>336.24</v>
      </c>
      <c r="K6" s="194"/>
      <c r="L6" s="194"/>
      <c r="M6" s="285"/>
    </row>
    <row r="7" spans="1:13" ht="12.75" hidden="1" customHeight="1">
      <c r="A7" s="191">
        <v>36281</v>
      </c>
      <c r="B7" s="284">
        <v>13519280.619999945</v>
      </c>
      <c r="C7" s="194">
        <f>'Weather Data'!B103</f>
        <v>224.7</v>
      </c>
      <c r="D7" s="194">
        <f>'Weather Data'!C103</f>
        <v>2.6</v>
      </c>
      <c r="E7" s="194">
        <v>31</v>
      </c>
      <c r="F7" s="194">
        <v>1</v>
      </c>
      <c r="G7" s="184">
        <v>0</v>
      </c>
      <c r="H7" s="195">
        <v>108.02533754504118</v>
      </c>
      <c r="I7" s="184">
        <v>4345</v>
      </c>
      <c r="J7" s="194">
        <v>319.92</v>
      </c>
      <c r="K7" s="194"/>
      <c r="L7" s="194"/>
      <c r="M7" s="285"/>
    </row>
    <row r="8" spans="1:13" ht="12.75" hidden="1" customHeight="1">
      <c r="A8" s="191">
        <v>36312</v>
      </c>
      <c r="B8" s="284">
        <v>11067497.459999962</v>
      </c>
      <c r="C8" s="194">
        <f>'Weather Data'!B104</f>
        <v>91.9</v>
      </c>
      <c r="D8" s="194">
        <f>'Weather Data'!C104</f>
        <v>11.4</v>
      </c>
      <c r="E8" s="194">
        <v>30</v>
      </c>
      <c r="F8" s="194">
        <v>0</v>
      </c>
      <c r="G8" s="184">
        <v>0</v>
      </c>
      <c r="H8" s="195">
        <v>108.6794042159986</v>
      </c>
      <c r="I8" s="184">
        <v>4345</v>
      </c>
      <c r="J8" s="194">
        <v>352.08</v>
      </c>
      <c r="K8" s="194"/>
      <c r="L8" s="194"/>
      <c r="M8" s="285"/>
    </row>
    <row r="9" spans="1:13" ht="12.75" hidden="1" customHeight="1">
      <c r="A9" s="191">
        <v>36342</v>
      </c>
      <c r="B9" s="284">
        <v>11931407.94000005</v>
      </c>
      <c r="C9" s="194">
        <f>'Weather Data'!B105</f>
        <v>24.2</v>
      </c>
      <c r="D9" s="194">
        <f>'Weather Data'!C105</f>
        <v>59.3</v>
      </c>
      <c r="E9" s="194">
        <v>31</v>
      </c>
      <c r="F9" s="194">
        <v>0</v>
      </c>
      <c r="G9" s="184">
        <v>0</v>
      </c>
      <c r="H9" s="195">
        <v>109.33743109869688</v>
      </c>
      <c r="I9" s="184">
        <v>4331</v>
      </c>
      <c r="J9" s="194">
        <v>336.28800000000001</v>
      </c>
      <c r="K9" s="194"/>
      <c r="L9" s="194"/>
      <c r="M9" s="285"/>
    </row>
    <row r="10" spans="1:13" ht="12.75" hidden="1" customHeight="1">
      <c r="A10" s="191">
        <v>36373</v>
      </c>
      <c r="B10" s="284">
        <v>11870804.780000113</v>
      </c>
      <c r="C10" s="194">
        <f>'Weather Data'!B106</f>
        <v>74</v>
      </c>
      <c r="D10" s="194">
        <f>'Weather Data'!C106</f>
        <v>12.2</v>
      </c>
      <c r="E10" s="194">
        <v>31</v>
      </c>
      <c r="F10" s="194">
        <v>0</v>
      </c>
      <c r="G10" s="184">
        <v>0</v>
      </c>
      <c r="H10" s="195">
        <v>109.99944217123755</v>
      </c>
      <c r="I10" s="184">
        <v>4354</v>
      </c>
      <c r="J10" s="194">
        <v>336.28800000000001</v>
      </c>
      <c r="K10" s="194"/>
      <c r="L10" s="194"/>
      <c r="M10" s="285"/>
    </row>
    <row r="11" spans="1:13" ht="12.75" hidden="1" customHeight="1">
      <c r="A11" s="191">
        <v>36404</v>
      </c>
      <c r="B11" s="284">
        <v>10678451.039999977</v>
      </c>
      <c r="C11" s="194">
        <f>'Weather Data'!B107</f>
        <v>194</v>
      </c>
      <c r="D11" s="194">
        <f>'Weather Data'!C107</f>
        <v>5.7</v>
      </c>
      <c r="E11" s="194">
        <v>30</v>
      </c>
      <c r="F11" s="194">
        <v>1</v>
      </c>
      <c r="G11" s="184">
        <v>0</v>
      </c>
      <c r="H11" s="195">
        <v>110.66546155690358</v>
      </c>
      <c r="I11" s="184">
        <v>4342</v>
      </c>
      <c r="J11" s="194">
        <v>336.24</v>
      </c>
      <c r="K11" s="194"/>
      <c r="L11" s="194"/>
      <c r="M11" s="285"/>
    </row>
    <row r="12" spans="1:13" ht="12.75" hidden="1" customHeight="1">
      <c r="A12" s="191">
        <v>36434</v>
      </c>
      <c r="B12" s="284">
        <v>11511565.809999987</v>
      </c>
      <c r="C12" s="194">
        <f>'Weather Data'!B108</f>
        <v>423.1</v>
      </c>
      <c r="D12" s="194">
        <f>'Weather Data'!C108</f>
        <v>0</v>
      </c>
      <c r="E12" s="194">
        <v>31</v>
      </c>
      <c r="F12" s="194">
        <v>1</v>
      </c>
      <c r="G12" s="184">
        <v>0</v>
      </c>
      <c r="H12" s="195">
        <v>111.33551352503846</v>
      </c>
      <c r="I12" s="184">
        <v>4301</v>
      </c>
      <c r="J12" s="194">
        <v>319.92</v>
      </c>
      <c r="K12" s="194"/>
      <c r="L12" s="194"/>
      <c r="M12" s="285"/>
    </row>
    <row r="13" spans="1:13" ht="12.75" hidden="1" customHeight="1">
      <c r="A13" s="191">
        <v>36465</v>
      </c>
      <c r="B13" s="284">
        <v>11957903.960000059</v>
      </c>
      <c r="C13" s="194">
        <f>'Weather Data'!B109</f>
        <v>500.7</v>
      </c>
      <c r="D13" s="194">
        <f>'Weather Data'!C109</f>
        <v>0</v>
      </c>
      <c r="E13" s="194">
        <v>30</v>
      </c>
      <c r="F13" s="194">
        <v>1</v>
      </c>
      <c r="G13" s="184">
        <v>0</v>
      </c>
      <c r="H13" s="195">
        <v>112.00962249193054</v>
      </c>
      <c r="I13" s="184">
        <v>4300</v>
      </c>
      <c r="J13" s="194">
        <v>352.08</v>
      </c>
      <c r="K13" s="194"/>
      <c r="L13" s="194"/>
      <c r="M13" s="285"/>
    </row>
    <row r="14" spans="1:13" ht="12.75" hidden="1" customHeight="1">
      <c r="A14" s="191">
        <v>36495</v>
      </c>
      <c r="B14" s="284">
        <v>13635988.280000184</v>
      </c>
      <c r="C14" s="194">
        <f>'Weather Data'!B110</f>
        <v>817.1</v>
      </c>
      <c r="D14" s="194">
        <f>'Weather Data'!C110</f>
        <v>0</v>
      </c>
      <c r="E14" s="194">
        <v>31</v>
      </c>
      <c r="F14" s="194">
        <v>0</v>
      </c>
      <c r="G14" s="184">
        <v>0</v>
      </c>
      <c r="H14" s="195">
        <v>112.68781302170287</v>
      </c>
      <c r="I14" s="184">
        <v>4280</v>
      </c>
      <c r="J14" s="194">
        <v>336.28800000000001</v>
      </c>
      <c r="K14" s="194"/>
      <c r="L14" s="194"/>
      <c r="M14" s="285"/>
    </row>
    <row r="15" spans="1:13" ht="12.75" hidden="1" customHeight="1">
      <c r="A15" s="191">
        <v>36526</v>
      </c>
      <c r="B15" s="284">
        <v>15330630.270000041</v>
      </c>
      <c r="C15" s="194">
        <f>'Weather Data'!B111</f>
        <v>963.5</v>
      </c>
      <c r="D15" s="194">
        <f>'Weather Data'!C111</f>
        <v>0</v>
      </c>
      <c r="E15" s="194">
        <v>31</v>
      </c>
      <c r="F15" s="194">
        <v>0</v>
      </c>
      <c r="G15" s="184">
        <v>0</v>
      </c>
      <c r="H15" s="195">
        <v>113.20550742744629</v>
      </c>
      <c r="I15" s="184">
        <v>4363</v>
      </c>
      <c r="J15" s="194">
        <v>319.92</v>
      </c>
      <c r="K15" s="194"/>
      <c r="L15" s="194"/>
      <c r="M15" s="285"/>
    </row>
    <row r="16" spans="1:13" ht="12.75" hidden="1" customHeight="1">
      <c r="A16" s="191">
        <v>36557</v>
      </c>
      <c r="B16" s="284">
        <v>13820223.840000024</v>
      </c>
      <c r="C16" s="194">
        <f>'Weather Data'!B112</f>
        <v>711.5</v>
      </c>
      <c r="D16" s="194">
        <f>'Weather Data'!C112</f>
        <v>0</v>
      </c>
      <c r="E16" s="194">
        <v>29</v>
      </c>
      <c r="F16" s="194">
        <v>0</v>
      </c>
      <c r="G16" s="184">
        <v>0</v>
      </c>
      <c r="H16" s="195">
        <v>113.72558015157706</v>
      </c>
      <c r="I16" s="184">
        <v>4394</v>
      </c>
      <c r="J16" s="194">
        <v>336.16799999999995</v>
      </c>
      <c r="K16" s="194"/>
      <c r="L16" s="194"/>
      <c r="M16" s="285"/>
    </row>
    <row r="17" spans="1:13" ht="12.75" hidden="1" customHeight="1">
      <c r="A17" s="191">
        <v>36586</v>
      </c>
      <c r="B17" s="284">
        <v>13391804.699999955</v>
      </c>
      <c r="C17" s="194">
        <f>'Weather Data'!B113</f>
        <v>574.6</v>
      </c>
      <c r="D17" s="194">
        <f>'Weather Data'!C113</f>
        <v>0</v>
      </c>
      <c r="E17" s="194">
        <v>31</v>
      </c>
      <c r="F17" s="194">
        <v>1</v>
      </c>
      <c r="G17" s="184">
        <v>0</v>
      </c>
      <c r="H17" s="195">
        <v>114.24804212022897</v>
      </c>
      <c r="I17" s="184">
        <v>4420</v>
      </c>
      <c r="J17" s="194">
        <v>368.28</v>
      </c>
      <c r="K17" s="194"/>
      <c r="L17" s="194"/>
      <c r="M17" s="285"/>
    </row>
    <row r="18" spans="1:13" ht="15" hidden="1" customHeight="1">
      <c r="A18" s="191">
        <v>36617</v>
      </c>
      <c r="B18" s="284">
        <v>12031969.870000001</v>
      </c>
      <c r="C18" s="194">
        <f>'Weather Data'!B114</f>
        <v>485.6</v>
      </c>
      <c r="D18" s="194">
        <f>'Weather Data'!C114</f>
        <v>0</v>
      </c>
      <c r="E18" s="194">
        <v>30</v>
      </c>
      <c r="F18" s="194">
        <v>1</v>
      </c>
      <c r="G18" s="184">
        <v>0</v>
      </c>
      <c r="H18" s="195">
        <v>114.77290430973115</v>
      </c>
      <c r="I18" s="184">
        <v>4465</v>
      </c>
      <c r="J18" s="194">
        <v>303.83999999999997</v>
      </c>
      <c r="K18" s="194"/>
      <c r="L18" s="194"/>
      <c r="M18" s="285"/>
    </row>
    <row r="19" spans="1:13" ht="12.75" hidden="1" customHeight="1">
      <c r="A19" s="191">
        <v>36647</v>
      </c>
      <c r="B19" s="284">
        <v>11503053.680000041</v>
      </c>
      <c r="C19" s="194">
        <f>'Weather Data'!B115</f>
        <v>260.5</v>
      </c>
      <c r="D19" s="194">
        <f>'Weather Data'!C115</f>
        <v>0</v>
      </c>
      <c r="E19" s="194">
        <v>31</v>
      </c>
      <c r="F19" s="194">
        <v>1</v>
      </c>
      <c r="G19" s="184">
        <v>0</v>
      </c>
      <c r="H19" s="195">
        <v>115.30017774683859</v>
      </c>
      <c r="I19" s="184">
        <v>4459</v>
      </c>
      <c r="J19" s="194">
        <v>351.91199999999998</v>
      </c>
      <c r="K19" s="194"/>
      <c r="L19" s="194"/>
      <c r="M19" s="285"/>
    </row>
    <row r="20" spans="1:13" ht="12.75" hidden="1" customHeight="1">
      <c r="A20" s="191">
        <v>36678</v>
      </c>
      <c r="B20" s="284">
        <v>11209215.519999966</v>
      </c>
      <c r="C20" s="194">
        <f>'Weather Data'!B116</f>
        <v>155.69999999999999</v>
      </c>
      <c r="D20" s="194">
        <f>'Weather Data'!C116</f>
        <v>2.2999999999999998</v>
      </c>
      <c r="E20" s="194">
        <v>30</v>
      </c>
      <c r="F20" s="194">
        <v>0</v>
      </c>
      <c r="G20" s="184">
        <v>0</v>
      </c>
      <c r="H20" s="195">
        <v>115.82987350896386</v>
      </c>
      <c r="I20" s="184">
        <v>4438</v>
      </c>
      <c r="J20" s="194">
        <v>352.08</v>
      </c>
      <c r="K20" s="194"/>
      <c r="L20" s="194"/>
      <c r="M20" s="285"/>
    </row>
    <row r="21" spans="1:13" ht="12.75" hidden="1" customHeight="1">
      <c r="A21" s="191">
        <v>36708</v>
      </c>
      <c r="B21" s="284">
        <v>11730066.360000063</v>
      </c>
      <c r="C21" s="194">
        <f>'Weather Data'!B117</f>
        <v>55.7</v>
      </c>
      <c r="D21" s="194">
        <f>'Weather Data'!C117</f>
        <v>20.8</v>
      </c>
      <c r="E21" s="194">
        <v>31</v>
      </c>
      <c r="F21" s="194">
        <v>0</v>
      </c>
      <c r="G21" s="184">
        <v>0</v>
      </c>
      <c r="H21" s="195">
        <v>116.36200272440982</v>
      </c>
      <c r="I21" s="184">
        <v>4493</v>
      </c>
      <c r="J21" s="194">
        <v>319.92</v>
      </c>
      <c r="K21" s="194"/>
      <c r="L21" s="194"/>
      <c r="M21" s="285"/>
    </row>
    <row r="22" spans="1:13" ht="12.75" hidden="1" customHeight="1">
      <c r="A22" s="191">
        <v>36739</v>
      </c>
      <c r="B22" s="284">
        <v>11661961.490000008</v>
      </c>
      <c r="C22" s="194">
        <f>'Weather Data'!B118</f>
        <v>63.4</v>
      </c>
      <c r="D22" s="194">
        <f>'Weather Data'!C118</f>
        <v>9.8000000000000007</v>
      </c>
      <c r="E22" s="194">
        <v>31</v>
      </c>
      <c r="F22" s="194">
        <v>0</v>
      </c>
      <c r="G22" s="184">
        <v>0</v>
      </c>
      <c r="H22" s="195">
        <v>116.89657657260338</v>
      </c>
      <c r="I22" s="184">
        <v>4491</v>
      </c>
      <c r="J22" s="194">
        <v>351.91199999999998</v>
      </c>
      <c r="K22" s="194"/>
      <c r="L22" s="194"/>
      <c r="M22" s="285"/>
    </row>
    <row r="23" spans="1:13" ht="12.75" hidden="1" customHeight="1">
      <c r="A23" s="191">
        <v>36770</v>
      </c>
      <c r="B23" s="284">
        <v>10980046.939999988</v>
      </c>
      <c r="C23" s="194">
        <f>'Weather Data'!B119</f>
        <v>223.3</v>
      </c>
      <c r="D23" s="194">
        <f>'Weather Data'!C119</f>
        <v>0</v>
      </c>
      <c r="E23" s="194">
        <v>30</v>
      </c>
      <c r="F23" s="194">
        <v>1</v>
      </c>
      <c r="G23" s="184">
        <v>0</v>
      </c>
      <c r="H23" s="195">
        <v>117.43360628433041</v>
      </c>
      <c r="I23" s="184">
        <v>4492</v>
      </c>
      <c r="J23" s="194">
        <v>319.68</v>
      </c>
      <c r="K23" s="194"/>
      <c r="L23" s="194"/>
      <c r="M23" s="285"/>
    </row>
    <row r="24" spans="1:13" ht="12.75" hidden="1" customHeight="1">
      <c r="A24" s="191">
        <v>36800</v>
      </c>
      <c r="B24" s="284">
        <v>11662354.17</v>
      </c>
      <c r="C24" s="194">
        <f>'Weather Data'!B120</f>
        <v>372.2</v>
      </c>
      <c r="D24" s="194">
        <f>'Weather Data'!C120</f>
        <v>0</v>
      </c>
      <c r="E24" s="194">
        <v>31</v>
      </c>
      <c r="F24" s="194">
        <v>1</v>
      </c>
      <c r="G24" s="184">
        <v>0</v>
      </c>
      <c r="H24" s="195">
        <v>117.97310314197166</v>
      </c>
      <c r="I24" s="184">
        <v>4507</v>
      </c>
      <c r="J24" s="194">
        <v>336.28800000000001</v>
      </c>
      <c r="K24" s="194"/>
      <c r="L24" s="194"/>
      <c r="M24" s="285"/>
    </row>
    <row r="25" spans="1:13" ht="12.75" hidden="1" customHeight="1">
      <c r="A25" s="191">
        <v>36831</v>
      </c>
      <c r="B25" s="284">
        <v>12675809.860000007</v>
      </c>
      <c r="C25" s="194">
        <f>'Weather Data'!B121</f>
        <v>561.6</v>
      </c>
      <c r="D25" s="194">
        <f>'Weather Data'!C121</f>
        <v>0</v>
      </c>
      <c r="E25" s="194">
        <v>30</v>
      </c>
      <c r="F25" s="194">
        <v>1</v>
      </c>
      <c r="G25" s="184">
        <v>0</v>
      </c>
      <c r="H25" s="195">
        <v>118.51507847973981</v>
      </c>
      <c r="I25" s="184">
        <v>4517</v>
      </c>
      <c r="J25" s="194">
        <v>352.08</v>
      </c>
      <c r="K25" s="194"/>
      <c r="L25" s="194"/>
      <c r="M25" s="285"/>
    </row>
    <row r="26" spans="1:13" ht="12.75" hidden="1" customHeight="1">
      <c r="A26" s="191">
        <v>36861</v>
      </c>
      <c r="B26" s="284">
        <v>15116274.879999993</v>
      </c>
      <c r="C26" s="194">
        <f>'Weather Data'!B122</f>
        <v>1041.3</v>
      </c>
      <c r="D26" s="194">
        <f>'Weather Data'!C122</f>
        <v>0</v>
      </c>
      <c r="E26" s="194">
        <v>31</v>
      </c>
      <c r="F26" s="194">
        <v>0</v>
      </c>
      <c r="G26" s="184">
        <v>0</v>
      </c>
      <c r="H26" s="195">
        <v>119.05954368391765</v>
      </c>
      <c r="I26" s="184">
        <v>4526</v>
      </c>
      <c r="J26" s="194">
        <v>304.29599999999999</v>
      </c>
      <c r="K26" s="194"/>
      <c r="L26" s="194"/>
      <c r="M26" s="285"/>
    </row>
    <row r="27" spans="1:13" ht="12.75" hidden="1" customHeight="1">
      <c r="A27" s="191">
        <v>36892</v>
      </c>
      <c r="B27" s="284">
        <v>15154298.049999971</v>
      </c>
      <c r="C27" s="194">
        <f>'Weather Data'!B123</f>
        <v>898.8</v>
      </c>
      <c r="D27" s="194">
        <f>'Weather Data'!C123</f>
        <v>0</v>
      </c>
      <c r="E27" s="194">
        <v>31</v>
      </c>
      <c r="F27" s="194">
        <v>0</v>
      </c>
      <c r="G27" s="184">
        <v>0</v>
      </c>
      <c r="H27" s="195">
        <v>119.23206305749976</v>
      </c>
      <c r="I27" s="184">
        <v>4498</v>
      </c>
      <c r="J27" s="194">
        <v>351.91199999999998</v>
      </c>
      <c r="K27" s="194"/>
      <c r="L27" s="194"/>
      <c r="M27" s="285"/>
    </row>
    <row r="28" spans="1:13" ht="12.75" hidden="1" customHeight="1">
      <c r="A28" s="191">
        <v>36925</v>
      </c>
      <c r="B28" s="284">
        <v>13641936.870000023</v>
      </c>
      <c r="C28" s="194">
        <f>'Weather Data'!B124</f>
        <v>918.9</v>
      </c>
      <c r="D28" s="194">
        <f>'Weather Data'!C124</f>
        <v>0</v>
      </c>
      <c r="E28" s="194">
        <v>28</v>
      </c>
      <c r="F28" s="194">
        <v>0</v>
      </c>
      <c r="G28" s="184">
        <v>0</v>
      </c>
      <c r="H28" s="195">
        <v>119.40483241468957</v>
      </c>
      <c r="I28" s="184">
        <v>4491</v>
      </c>
      <c r="J28" s="194">
        <v>319.87200000000001</v>
      </c>
      <c r="K28" s="194"/>
      <c r="L28" s="194"/>
      <c r="M28" s="285"/>
    </row>
    <row r="29" spans="1:13" ht="12.75" hidden="1" customHeight="1">
      <c r="A29" s="191">
        <v>36958</v>
      </c>
      <c r="B29" s="284">
        <v>13648088.129999986</v>
      </c>
      <c r="C29" s="194">
        <f>'Weather Data'!B125</f>
        <v>702.7</v>
      </c>
      <c r="D29" s="194">
        <f>'Weather Data'!C125</f>
        <v>0</v>
      </c>
      <c r="E29" s="194">
        <v>31</v>
      </c>
      <c r="F29" s="194">
        <v>1</v>
      </c>
      <c r="G29" s="184">
        <v>0</v>
      </c>
      <c r="H29" s="195">
        <v>119.57785211771773</v>
      </c>
      <c r="I29" s="184">
        <v>4480</v>
      </c>
      <c r="J29" s="194">
        <v>351.91199999999998</v>
      </c>
      <c r="K29" s="194"/>
      <c r="L29" s="194"/>
      <c r="M29" s="285"/>
    </row>
    <row r="30" spans="1:13" ht="12.75" hidden="1" customHeight="1">
      <c r="A30" s="191">
        <v>36991</v>
      </c>
      <c r="B30" s="284">
        <v>11856071.629999984</v>
      </c>
      <c r="C30" s="194">
        <f>'Weather Data'!B126</f>
        <v>430.7</v>
      </c>
      <c r="D30" s="194">
        <f>'Weather Data'!C126</f>
        <v>0</v>
      </c>
      <c r="E30" s="194">
        <v>30</v>
      </c>
      <c r="F30" s="194">
        <v>1</v>
      </c>
      <c r="G30" s="184">
        <v>0</v>
      </c>
      <c r="H30" s="195">
        <v>119.75112252933975</v>
      </c>
      <c r="I30" s="184">
        <v>4472</v>
      </c>
      <c r="J30" s="194">
        <v>319.68</v>
      </c>
      <c r="K30" s="194"/>
      <c r="L30" s="194"/>
      <c r="M30" s="285"/>
    </row>
    <row r="31" spans="1:13" ht="12.75" hidden="1" customHeight="1">
      <c r="A31" s="191">
        <v>37024</v>
      </c>
      <c r="B31" s="284">
        <v>11342214.670000011</v>
      </c>
      <c r="C31" s="194">
        <f>'Weather Data'!B127</f>
        <v>239.9</v>
      </c>
      <c r="D31" s="194">
        <f>'Weather Data'!C127</f>
        <v>0</v>
      </c>
      <c r="E31" s="194">
        <v>31</v>
      </c>
      <c r="F31" s="194">
        <v>1</v>
      </c>
      <c r="G31" s="184">
        <v>0</v>
      </c>
      <c r="H31" s="195">
        <v>119.92464401283681</v>
      </c>
      <c r="I31" s="184">
        <v>4445</v>
      </c>
      <c r="J31" s="194">
        <v>351.91199999999998</v>
      </c>
      <c r="K31" s="194"/>
      <c r="L31" s="194"/>
      <c r="M31" s="285"/>
    </row>
    <row r="32" spans="1:13" ht="12.75" hidden="1" customHeight="1">
      <c r="A32" s="191">
        <v>37057</v>
      </c>
      <c r="B32" s="284">
        <v>11131037.810000004</v>
      </c>
      <c r="C32" s="194">
        <f>'Weather Data'!B128</f>
        <v>114</v>
      </c>
      <c r="D32" s="194">
        <f>'Weather Data'!C128</f>
        <v>15.2</v>
      </c>
      <c r="E32" s="194">
        <v>30</v>
      </c>
      <c r="F32" s="194">
        <v>0</v>
      </c>
      <c r="G32" s="184">
        <v>0</v>
      </c>
      <c r="H32" s="195">
        <v>120.09841693201646</v>
      </c>
      <c r="I32" s="184">
        <v>4450</v>
      </c>
      <c r="J32" s="194">
        <v>336.24</v>
      </c>
      <c r="K32" s="194"/>
      <c r="L32" s="194"/>
      <c r="M32" s="285"/>
    </row>
    <row r="33" spans="1:13" ht="12.75" hidden="1" customHeight="1">
      <c r="A33" s="191">
        <v>37090</v>
      </c>
      <c r="B33" s="284">
        <v>11725874.649999997</v>
      </c>
      <c r="C33" s="194">
        <f>'Weather Data'!B129</f>
        <v>67.2</v>
      </c>
      <c r="D33" s="194">
        <f>'Weather Data'!C129</f>
        <v>29.7</v>
      </c>
      <c r="E33" s="194">
        <v>31</v>
      </c>
      <c r="F33" s="194">
        <v>0</v>
      </c>
      <c r="G33" s="184">
        <v>0</v>
      </c>
      <c r="H33" s="195">
        <v>120.27244165121344</v>
      </c>
      <c r="I33" s="184">
        <v>4422</v>
      </c>
      <c r="J33" s="194">
        <v>336.28800000000001</v>
      </c>
      <c r="K33" s="194"/>
      <c r="L33" s="194"/>
      <c r="M33" s="285"/>
    </row>
    <row r="34" spans="1:13" ht="12.75" hidden="1" customHeight="1">
      <c r="A34" s="191">
        <v>37123</v>
      </c>
      <c r="B34" s="284">
        <v>11877642.739999982</v>
      </c>
      <c r="C34" s="194">
        <f>'Weather Data'!B130</f>
        <v>40.200000000000003</v>
      </c>
      <c r="D34" s="194">
        <f>'Weather Data'!C130</f>
        <v>56.1</v>
      </c>
      <c r="E34" s="194">
        <v>31</v>
      </c>
      <c r="F34" s="194">
        <v>0</v>
      </c>
      <c r="G34" s="184">
        <v>0</v>
      </c>
      <c r="H34" s="195">
        <v>120.4467185352904</v>
      </c>
      <c r="I34" s="184">
        <v>4435</v>
      </c>
      <c r="J34" s="194">
        <v>351.91199999999998</v>
      </c>
      <c r="K34" s="194"/>
      <c r="L34" s="194"/>
      <c r="M34" s="285"/>
    </row>
    <row r="35" spans="1:13" ht="12.75" hidden="1" customHeight="1">
      <c r="A35" s="191">
        <v>37156</v>
      </c>
      <c r="B35" s="284">
        <v>11035991.490000013</v>
      </c>
      <c r="C35" s="194">
        <f>'Weather Data'!B131</f>
        <v>187.7</v>
      </c>
      <c r="D35" s="194">
        <f>'Weather Data'!C131</f>
        <v>6.8</v>
      </c>
      <c r="E35" s="194">
        <v>30</v>
      </c>
      <c r="F35" s="194">
        <v>1</v>
      </c>
      <c r="G35" s="184">
        <v>0</v>
      </c>
      <c r="H35" s="195">
        <v>120.62124794963869</v>
      </c>
      <c r="I35" s="184">
        <v>4439</v>
      </c>
      <c r="J35" s="194">
        <v>303.83999999999997</v>
      </c>
      <c r="K35" s="194"/>
      <c r="L35" s="194"/>
      <c r="M35" s="285"/>
    </row>
    <row r="36" spans="1:13" ht="12.75" hidden="1" customHeight="1">
      <c r="A36" s="191">
        <v>37189</v>
      </c>
      <c r="B36" s="284">
        <v>11725611.659999957</v>
      </c>
      <c r="C36" s="194">
        <f>'Weather Data'!B132</f>
        <v>408.6</v>
      </c>
      <c r="D36" s="194">
        <f>'Weather Data'!C132</f>
        <v>0</v>
      </c>
      <c r="E36" s="194">
        <v>31</v>
      </c>
      <c r="F36" s="194">
        <v>1</v>
      </c>
      <c r="G36" s="184">
        <v>0</v>
      </c>
      <c r="H36" s="195">
        <v>120.79603026017911</v>
      </c>
      <c r="I36" s="184">
        <v>4440</v>
      </c>
      <c r="J36" s="194">
        <v>351.91199999999998</v>
      </c>
      <c r="K36" s="194"/>
      <c r="L36" s="194"/>
      <c r="M36" s="285"/>
    </row>
    <row r="37" spans="1:13" ht="12.75" hidden="1" customHeight="1">
      <c r="A37" s="191">
        <v>37222</v>
      </c>
      <c r="B37" s="284">
        <v>12317932.960000003</v>
      </c>
      <c r="C37" s="194">
        <f>'Weather Data'!B133</f>
        <v>458.8</v>
      </c>
      <c r="D37" s="194">
        <f>'Weather Data'!C133</f>
        <v>0</v>
      </c>
      <c r="E37" s="194">
        <v>30</v>
      </c>
      <c r="F37" s="194">
        <v>1</v>
      </c>
      <c r="G37" s="184">
        <v>0</v>
      </c>
      <c r="H37" s="195">
        <v>120.9710658333627</v>
      </c>
      <c r="I37" s="184">
        <v>4465</v>
      </c>
      <c r="J37" s="194">
        <v>352.08</v>
      </c>
      <c r="K37" s="194"/>
      <c r="L37" s="194"/>
      <c r="M37" s="285"/>
    </row>
    <row r="38" spans="1:13" ht="12.75" hidden="1" customHeight="1">
      <c r="A38" s="191">
        <v>37255</v>
      </c>
      <c r="B38" s="284">
        <v>13753116.740000051</v>
      </c>
      <c r="C38" s="194">
        <f>'Weather Data'!B134</f>
        <v>716.4</v>
      </c>
      <c r="D38" s="194">
        <f>'Weather Data'!C134</f>
        <v>0</v>
      </c>
      <c r="E38" s="194">
        <v>31</v>
      </c>
      <c r="F38" s="194">
        <v>0</v>
      </c>
      <c r="G38" s="184">
        <v>0</v>
      </c>
      <c r="H38" s="195">
        <v>121.1463550361714</v>
      </c>
      <c r="I38" s="184">
        <v>4471</v>
      </c>
      <c r="J38" s="194">
        <v>304.29599999999999</v>
      </c>
      <c r="K38" s="194"/>
      <c r="L38" s="194"/>
      <c r="M38" s="285"/>
    </row>
    <row r="39" spans="1:13" ht="12.75" hidden="1" customHeight="1">
      <c r="A39" s="196">
        <v>37275</v>
      </c>
      <c r="B39" s="284">
        <v>14717580.350000001</v>
      </c>
      <c r="C39" s="194">
        <f>'Weather Data'!B135</f>
        <v>873.9</v>
      </c>
      <c r="D39" s="194">
        <f>'Weather Data'!C135</f>
        <v>0</v>
      </c>
      <c r="E39" s="194">
        <v>31</v>
      </c>
      <c r="F39" s="194">
        <v>0</v>
      </c>
      <c r="G39" s="184">
        <v>0</v>
      </c>
      <c r="H39" s="195">
        <v>121.50450639216388</v>
      </c>
      <c r="I39" s="184">
        <v>4441</v>
      </c>
      <c r="J39" s="194">
        <v>351.91199999999998</v>
      </c>
      <c r="K39" s="194"/>
      <c r="L39" s="194"/>
      <c r="M39" s="285"/>
    </row>
    <row r="40" spans="1:13" ht="12.75" hidden="1" customHeight="1">
      <c r="A40" s="191">
        <v>37308</v>
      </c>
      <c r="B40" s="284">
        <v>13558641.52</v>
      </c>
      <c r="C40" s="194">
        <f>'Weather Data'!B136</f>
        <v>733</v>
      </c>
      <c r="D40" s="194">
        <f>'Weather Data'!C136</f>
        <v>0</v>
      </c>
      <c r="E40" s="194">
        <v>28</v>
      </c>
      <c r="F40" s="194">
        <v>0</v>
      </c>
      <c r="G40" s="184">
        <v>0</v>
      </c>
      <c r="H40" s="195">
        <v>121.86371656989111</v>
      </c>
      <c r="I40" s="184">
        <v>4426</v>
      </c>
      <c r="J40" s="194">
        <v>319.87200000000001</v>
      </c>
      <c r="K40" s="194"/>
      <c r="L40" s="194"/>
      <c r="M40" s="285"/>
    </row>
    <row r="41" spans="1:13" ht="12.75" hidden="1" customHeight="1">
      <c r="A41" s="191">
        <v>37341</v>
      </c>
      <c r="B41" s="284">
        <v>14209911.489999987</v>
      </c>
      <c r="C41" s="194">
        <f>'Weather Data'!B137</f>
        <v>804.7</v>
      </c>
      <c r="D41" s="194">
        <f>'Weather Data'!C137</f>
        <v>0</v>
      </c>
      <c r="E41" s="194">
        <v>31</v>
      </c>
      <c r="F41" s="194">
        <v>1</v>
      </c>
      <c r="G41" s="184">
        <v>0</v>
      </c>
      <c r="H41" s="195">
        <v>122.22398869960362</v>
      </c>
      <c r="I41" s="184">
        <v>4441</v>
      </c>
      <c r="J41" s="194">
        <v>319.92</v>
      </c>
      <c r="K41" s="194"/>
      <c r="L41" s="194"/>
      <c r="M41" s="285"/>
    </row>
    <row r="42" spans="1:13" ht="12.75" hidden="1" customHeight="1">
      <c r="A42" s="191">
        <v>37374</v>
      </c>
      <c r="B42" s="284">
        <v>12272586.760000007</v>
      </c>
      <c r="C42" s="194">
        <f>'Weather Data'!B138</f>
        <v>462.3</v>
      </c>
      <c r="D42" s="194">
        <f>'Weather Data'!C138</f>
        <v>0</v>
      </c>
      <c r="E42" s="194">
        <v>30</v>
      </c>
      <c r="F42" s="194">
        <v>1</v>
      </c>
      <c r="G42" s="184">
        <v>0</v>
      </c>
      <c r="H42" s="195">
        <v>122.58532592080604</v>
      </c>
      <c r="I42" s="184">
        <v>4442</v>
      </c>
      <c r="J42" s="194">
        <v>352.08</v>
      </c>
      <c r="K42" s="194"/>
      <c r="L42" s="194"/>
      <c r="M42" s="285"/>
    </row>
    <row r="43" spans="1:13" ht="12.75" hidden="1" customHeight="1">
      <c r="A43" s="191">
        <v>37407</v>
      </c>
      <c r="B43" s="284">
        <v>11551602.899999985</v>
      </c>
      <c r="C43" s="194">
        <f>'Weather Data'!B139</f>
        <v>335</v>
      </c>
      <c r="D43" s="194">
        <f>'Weather Data'!C139</f>
        <v>0.5</v>
      </c>
      <c r="E43" s="194">
        <v>31</v>
      </c>
      <c r="F43" s="194">
        <v>1</v>
      </c>
      <c r="G43" s="184">
        <v>0</v>
      </c>
      <c r="H43" s="195">
        <v>122.9477313822845</v>
      </c>
      <c r="I43" s="184">
        <v>4426</v>
      </c>
      <c r="J43" s="194">
        <v>351.91199999999998</v>
      </c>
      <c r="K43" s="194"/>
      <c r="L43" s="194"/>
      <c r="M43" s="285"/>
    </row>
    <row r="44" spans="1:13" ht="12.75" hidden="1" customHeight="1">
      <c r="A44" s="191">
        <v>37408</v>
      </c>
      <c r="B44" s="284">
        <v>11122434.069999963</v>
      </c>
      <c r="C44" s="194">
        <f>'Weather Data'!B140</f>
        <v>114.4</v>
      </c>
      <c r="D44" s="194">
        <f>'Weather Data'!C140</f>
        <v>14.2</v>
      </c>
      <c r="E44" s="194">
        <v>30</v>
      </c>
      <c r="F44" s="194">
        <v>0</v>
      </c>
      <c r="G44" s="184">
        <v>0</v>
      </c>
      <c r="H44" s="195">
        <v>123.31120824213403</v>
      </c>
      <c r="I44" s="184">
        <v>4443</v>
      </c>
      <c r="J44" s="194">
        <v>319.68</v>
      </c>
      <c r="K44" s="194"/>
      <c r="L44" s="194"/>
      <c r="M44" s="285"/>
    </row>
    <row r="45" spans="1:13" ht="12.75" hidden="1" customHeight="1">
      <c r="A45" s="191">
        <v>37440</v>
      </c>
      <c r="B45" s="284">
        <v>12307378.490000024</v>
      </c>
      <c r="C45" s="194">
        <f>'Weather Data'!B141</f>
        <v>17.899999999999999</v>
      </c>
      <c r="D45" s="194">
        <f>'Weather Data'!C141</f>
        <v>79.3</v>
      </c>
      <c r="E45" s="194">
        <v>31</v>
      </c>
      <c r="F45" s="194">
        <v>0</v>
      </c>
      <c r="G45" s="184">
        <v>0</v>
      </c>
      <c r="H45" s="195">
        <v>123.67575966778612</v>
      </c>
      <c r="I45" s="184">
        <v>4432</v>
      </c>
      <c r="J45" s="194">
        <v>351.91199999999998</v>
      </c>
      <c r="K45" s="194"/>
      <c r="L45" s="194"/>
      <c r="M45" s="285"/>
    </row>
    <row r="46" spans="1:13" ht="12.75" hidden="1" customHeight="1">
      <c r="A46" s="191">
        <v>37473</v>
      </c>
      <c r="B46" s="284">
        <v>11929052.770000022</v>
      </c>
      <c r="C46" s="194">
        <f>'Weather Data'!B142</f>
        <v>49.7</v>
      </c>
      <c r="D46" s="194">
        <f>'Weather Data'!C142</f>
        <v>15.5</v>
      </c>
      <c r="E46" s="194">
        <v>31</v>
      </c>
      <c r="F46" s="194">
        <v>0</v>
      </c>
      <c r="G46" s="184">
        <v>0</v>
      </c>
      <c r="H46" s="195">
        <v>124.04138883603632</v>
      </c>
      <c r="I46" s="184">
        <v>4437</v>
      </c>
      <c r="J46" s="194">
        <v>336.28800000000001</v>
      </c>
      <c r="K46" s="194"/>
      <c r="L46" s="194"/>
      <c r="M46" s="285"/>
    </row>
    <row r="47" spans="1:13" ht="12.75" hidden="1" customHeight="1">
      <c r="A47" s="191">
        <v>37506</v>
      </c>
      <c r="B47" s="284">
        <v>11239412.900000025</v>
      </c>
      <c r="C47" s="194">
        <f>'Weather Data'!B143</f>
        <v>143.5</v>
      </c>
      <c r="D47" s="194">
        <f>'Weather Data'!C143</f>
        <v>20.9</v>
      </c>
      <c r="E47" s="194">
        <v>30</v>
      </c>
      <c r="F47" s="194">
        <v>1</v>
      </c>
      <c r="G47" s="184">
        <v>0</v>
      </c>
      <c r="H47" s="195">
        <v>124.40809893307186</v>
      </c>
      <c r="I47" s="184">
        <v>4403</v>
      </c>
      <c r="J47" s="194">
        <v>319.68</v>
      </c>
      <c r="K47" s="194"/>
      <c r="L47" s="194"/>
      <c r="M47" s="285"/>
    </row>
    <row r="48" spans="1:13" ht="12.75" hidden="1" customHeight="1">
      <c r="A48" s="191">
        <v>37539</v>
      </c>
      <c r="B48" s="284">
        <v>11801421.799999995</v>
      </c>
      <c r="C48" s="194">
        <f>'Weather Data'!B144</f>
        <v>510.1</v>
      </c>
      <c r="D48" s="194">
        <f>'Weather Data'!C144</f>
        <v>0</v>
      </c>
      <c r="E48" s="194">
        <v>31</v>
      </c>
      <c r="F48" s="194">
        <v>1</v>
      </c>
      <c r="G48" s="184">
        <v>0</v>
      </c>
      <c r="H48" s="195">
        <v>124.7758931544995</v>
      </c>
      <c r="I48" s="184">
        <v>4432</v>
      </c>
      <c r="J48" s="194">
        <v>351.91199999999998</v>
      </c>
      <c r="K48" s="194"/>
      <c r="L48" s="194"/>
      <c r="M48" s="285"/>
    </row>
    <row r="49" spans="1:13" ht="12.75" hidden="1" customHeight="1">
      <c r="A49" s="191">
        <v>37572</v>
      </c>
      <c r="B49" s="284">
        <v>12822028.619999986</v>
      </c>
      <c r="C49" s="194">
        <f>'Weather Data'!B145</f>
        <v>668</v>
      </c>
      <c r="D49" s="194">
        <f>'Weather Data'!C145</f>
        <v>0</v>
      </c>
      <c r="E49" s="194">
        <v>30</v>
      </c>
      <c r="F49" s="194">
        <v>1</v>
      </c>
      <c r="G49" s="184">
        <v>0</v>
      </c>
      <c r="H49" s="195">
        <v>125.14477470537335</v>
      </c>
      <c r="I49" s="184">
        <v>4430</v>
      </c>
      <c r="J49" s="194">
        <v>336.24</v>
      </c>
      <c r="K49" s="194"/>
      <c r="L49" s="194"/>
      <c r="M49" s="285"/>
    </row>
    <row r="50" spans="1:13" ht="12.75" hidden="1" customHeight="1">
      <c r="A50" s="183">
        <v>37605</v>
      </c>
      <c r="B50" s="284">
        <v>14078380.420000011</v>
      </c>
      <c r="C50" s="194">
        <f>'Weather Data'!B146</f>
        <v>785.6</v>
      </c>
      <c r="D50" s="194">
        <f>'Weather Data'!C146</f>
        <v>0</v>
      </c>
      <c r="E50" s="184">
        <v>31</v>
      </c>
      <c r="F50" s="184">
        <v>0</v>
      </c>
      <c r="G50" s="184">
        <v>0</v>
      </c>
      <c r="H50" s="185">
        <v>125.51474680022261</v>
      </c>
      <c r="I50" s="184">
        <v>4411</v>
      </c>
      <c r="J50" s="194">
        <v>319.92</v>
      </c>
      <c r="K50" s="194"/>
      <c r="L50" s="194"/>
      <c r="M50" s="286"/>
    </row>
    <row r="51" spans="1:13" ht="12.75" hidden="1" customHeight="1">
      <c r="A51" s="191">
        <v>37622</v>
      </c>
      <c r="B51" s="284">
        <v>14832051.379999967</v>
      </c>
      <c r="C51" s="194">
        <f>'Weather Data'!B147</f>
        <v>907.4</v>
      </c>
      <c r="D51" s="194">
        <f>'Weather Data'!C147</f>
        <v>0</v>
      </c>
      <c r="E51" s="194">
        <v>31</v>
      </c>
      <c r="F51" s="194">
        <v>0</v>
      </c>
      <c r="G51" s="184">
        <v>0</v>
      </c>
      <c r="H51" s="195">
        <v>125.66024937363977</v>
      </c>
      <c r="I51" s="184">
        <v>4415</v>
      </c>
      <c r="J51" s="194">
        <v>351.91199999999998</v>
      </c>
      <c r="K51" s="194"/>
      <c r="L51" s="194"/>
      <c r="M51" s="285"/>
    </row>
    <row r="52" spans="1:13" ht="12.75" hidden="1" customHeight="1">
      <c r="A52" s="191">
        <v>37653</v>
      </c>
      <c r="B52" s="284">
        <v>13779215.899999993</v>
      </c>
      <c r="C52" s="194">
        <f>'Weather Data'!B148</f>
        <v>969.6</v>
      </c>
      <c r="D52" s="194">
        <f>'Weather Data'!C148</f>
        <v>0</v>
      </c>
      <c r="E52" s="194">
        <v>28</v>
      </c>
      <c r="F52" s="194">
        <v>0</v>
      </c>
      <c r="G52" s="184">
        <v>0</v>
      </c>
      <c r="H52" s="195">
        <v>125.80592062045517</v>
      </c>
      <c r="I52" s="184">
        <v>4377</v>
      </c>
      <c r="J52" s="194">
        <v>319.87200000000001</v>
      </c>
      <c r="K52" s="194"/>
      <c r="L52" s="194"/>
      <c r="M52" s="285"/>
    </row>
    <row r="53" spans="1:13" ht="12.75" hidden="1" customHeight="1">
      <c r="A53" s="191">
        <v>37681</v>
      </c>
      <c r="B53" s="284">
        <v>13829301.070000036</v>
      </c>
      <c r="C53" s="194">
        <f>'Weather Data'!B149</f>
        <v>765.1</v>
      </c>
      <c r="D53" s="194">
        <f>'Weather Data'!C149</f>
        <v>0</v>
      </c>
      <c r="E53" s="194">
        <v>31</v>
      </c>
      <c r="F53" s="194">
        <v>1</v>
      </c>
      <c r="G53" s="184">
        <v>0</v>
      </c>
      <c r="H53" s="195">
        <v>125.9517607362029</v>
      </c>
      <c r="I53" s="184">
        <v>4394</v>
      </c>
      <c r="J53" s="194">
        <v>336.28800000000001</v>
      </c>
      <c r="K53" s="194"/>
      <c r="L53" s="194"/>
      <c r="M53" s="285"/>
    </row>
    <row r="54" spans="1:13" ht="12.75" hidden="1" customHeight="1">
      <c r="A54" s="191">
        <v>37712</v>
      </c>
      <c r="B54" s="284">
        <v>11430988.720000001</v>
      </c>
      <c r="C54" s="194">
        <f>'Weather Data'!B150</f>
        <v>499.3</v>
      </c>
      <c r="D54" s="194">
        <f>'Weather Data'!C150</f>
        <v>0</v>
      </c>
      <c r="E54" s="194">
        <v>30</v>
      </c>
      <c r="F54" s="194">
        <v>1</v>
      </c>
      <c r="G54" s="184">
        <v>0</v>
      </c>
      <c r="H54" s="195">
        <v>126.09776991664374</v>
      </c>
      <c r="I54" s="184">
        <v>4387</v>
      </c>
      <c r="J54" s="194">
        <v>336.24</v>
      </c>
      <c r="K54" s="194"/>
      <c r="L54" s="194"/>
      <c r="M54" s="285"/>
    </row>
    <row r="55" spans="1:13" ht="12.75" hidden="1" customHeight="1">
      <c r="A55" s="191">
        <v>37742</v>
      </c>
      <c r="B55" s="284">
        <v>10893804.240000037</v>
      </c>
      <c r="C55" s="194">
        <f>'Weather Data'!B151</f>
        <v>276.39999999999998</v>
      </c>
      <c r="D55" s="194">
        <f>'Weather Data'!C151</f>
        <v>0</v>
      </c>
      <c r="E55" s="194">
        <v>31</v>
      </c>
      <c r="F55" s="194">
        <v>1</v>
      </c>
      <c r="G55" s="184">
        <v>0</v>
      </c>
      <c r="H55" s="195">
        <v>126.2439483577654</v>
      </c>
      <c r="I55" s="184">
        <v>4398</v>
      </c>
      <c r="J55" s="194">
        <v>336.28800000000001</v>
      </c>
      <c r="K55" s="194"/>
      <c r="L55" s="194"/>
      <c r="M55" s="285"/>
    </row>
    <row r="56" spans="1:13" ht="12.75" hidden="1" customHeight="1">
      <c r="A56" s="191">
        <v>37773</v>
      </c>
      <c r="B56" s="284">
        <v>10521914.630000027</v>
      </c>
      <c r="C56" s="194">
        <f>'Weather Data'!B152</f>
        <v>129.30000000000001</v>
      </c>
      <c r="D56" s="194">
        <f>'Weather Data'!C152</f>
        <v>0</v>
      </c>
      <c r="E56" s="194">
        <v>30</v>
      </c>
      <c r="F56" s="194">
        <v>0</v>
      </c>
      <c r="G56" s="184">
        <v>0</v>
      </c>
      <c r="H56" s="195">
        <v>126.3902962557828</v>
      </c>
      <c r="I56" s="184">
        <v>4361</v>
      </c>
      <c r="J56" s="194">
        <v>336.24</v>
      </c>
      <c r="K56" s="194"/>
      <c r="L56" s="194"/>
      <c r="M56" s="285"/>
    </row>
    <row r="57" spans="1:13" ht="12.75" hidden="1" customHeight="1">
      <c r="A57" s="191">
        <v>37803</v>
      </c>
      <c r="B57" s="284">
        <v>11128406.430000007</v>
      </c>
      <c r="C57" s="194">
        <f>'Weather Data'!B153</f>
        <v>29.9</v>
      </c>
      <c r="D57" s="194">
        <f>'Weather Data'!C153</f>
        <v>18.2</v>
      </c>
      <c r="E57" s="194">
        <v>31</v>
      </c>
      <c r="F57" s="194">
        <v>0</v>
      </c>
      <c r="G57" s="184">
        <v>0</v>
      </c>
      <c r="H57" s="195">
        <v>126.5368138071383</v>
      </c>
      <c r="I57" s="184">
        <v>4354</v>
      </c>
      <c r="J57" s="194">
        <v>351.91199999999998</v>
      </c>
      <c r="K57" s="194"/>
      <c r="L57" s="194"/>
      <c r="M57" s="285"/>
    </row>
    <row r="58" spans="1:13" ht="12.75" hidden="1" customHeight="1">
      <c r="A58" s="191">
        <v>37834</v>
      </c>
      <c r="B58" s="284">
        <v>11424088.600000011</v>
      </c>
      <c r="C58" s="194">
        <f>'Weather Data'!B154</f>
        <v>35.6</v>
      </c>
      <c r="D58" s="194">
        <f>'Weather Data'!C154</f>
        <v>50.9</v>
      </c>
      <c r="E58" s="194">
        <v>31</v>
      </c>
      <c r="F58" s="194">
        <v>0</v>
      </c>
      <c r="G58" s="184">
        <v>0</v>
      </c>
      <c r="H58" s="195">
        <v>126.68350120850199</v>
      </c>
      <c r="I58" s="184">
        <v>4366</v>
      </c>
      <c r="J58" s="194">
        <v>319.92</v>
      </c>
      <c r="K58" s="194"/>
      <c r="L58" s="194"/>
      <c r="M58" s="285"/>
    </row>
    <row r="59" spans="1:13" ht="12.75" hidden="1" customHeight="1">
      <c r="A59" s="191">
        <v>37865</v>
      </c>
      <c r="B59" s="284">
        <v>10536500.330000013</v>
      </c>
      <c r="C59" s="194">
        <f>'Weather Data'!B155</f>
        <v>164</v>
      </c>
      <c r="D59" s="194">
        <f>'Weather Data'!C155</f>
        <v>6.7</v>
      </c>
      <c r="E59" s="194">
        <v>30</v>
      </c>
      <c r="F59" s="194">
        <v>1</v>
      </c>
      <c r="G59" s="184">
        <v>0</v>
      </c>
      <c r="H59" s="195">
        <v>126.83035865677196</v>
      </c>
      <c r="I59" s="184">
        <v>4384</v>
      </c>
      <c r="J59" s="194">
        <v>336.24</v>
      </c>
      <c r="K59" s="194"/>
      <c r="L59" s="194"/>
      <c r="M59" s="285"/>
    </row>
    <row r="60" spans="1:13" ht="12.75" hidden="1" customHeight="1">
      <c r="A60" s="191">
        <v>37895</v>
      </c>
      <c r="B60" s="284">
        <v>11282977.670000009</v>
      </c>
      <c r="C60" s="194">
        <f>'Weather Data'!B156</f>
        <v>414.2</v>
      </c>
      <c r="D60" s="194">
        <f>'Weather Data'!C156</f>
        <v>0</v>
      </c>
      <c r="E60" s="194">
        <v>31</v>
      </c>
      <c r="F60" s="194">
        <v>1</v>
      </c>
      <c r="G60" s="184">
        <v>0</v>
      </c>
      <c r="H60" s="195">
        <v>126.97738634907456</v>
      </c>
      <c r="I60" s="184">
        <v>4391</v>
      </c>
      <c r="J60" s="194">
        <v>351.91199999999998</v>
      </c>
      <c r="K60" s="194"/>
      <c r="L60" s="194"/>
      <c r="M60" s="285"/>
    </row>
    <row r="61" spans="1:13" ht="12.75" hidden="1" customHeight="1">
      <c r="A61" s="191">
        <v>37926</v>
      </c>
      <c r="B61" s="284">
        <v>12256111.299999986</v>
      </c>
      <c r="C61" s="194">
        <f>'Weather Data'!B157</f>
        <v>632.9</v>
      </c>
      <c r="D61" s="194">
        <f>'Weather Data'!C157</f>
        <v>0</v>
      </c>
      <c r="E61" s="194">
        <v>30</v>
      </c>
      <c r="F61" s="194">
        <v>1</v>
      </c>
      <c r="G61" s="184">
        <v>0</v>
      </c>
      <c r="H61" s="195">
        <v>127.12458448276465</v>
      </c>
      <c r="I61" s="184">
        <v>4392</v>
      </c>
      <c r="J61" s="194">
        <v>319.68</v>
      </c>
      <c r="K61" s="194"/>
      <c r="L61" s="194"/>
      <c r="M61" s="285"/>
    </row>
    <row r="62" spans="1:13" ht="12.75" hidden="1" customHeight="1">
      <c r="A62" s="191">
        <v>37956</v>
      </c>
      <c r="B62" s="284">
        <v>13505417.100000024</v>
      </c>
      <c r="C62" s="194">
        <f>'Weather Data'!B158</f>
        <v>785.9</v>
      </c>
      <c r="D62" s="194">
        <f>'Weather Data'!C158</f>
        <v>0</v>
      </c>
      <c r="E62" s="194">
        <v>31</v>
      </c>
      <c r="F62" s="194">
        <v>0</v>
      </c>
      <c r="G62" s="184">
        <v>0</v>
      </c>
      <c r="H62" s="195">
        <v>127.27195325542573</v>
      </c>
      <c r="I62" s="184">
        <v>4385</v>
      </c>
      <c r="J62" s="194">
        <v>336.28800000000001</v>
      </c>
      <c r="K62" s="194"/>
      <c r="L62" s="194"/>
      <c r="M62" s="285"/>
    </row>
    <row r="63" spans="1:13" ht="12.75" hidden="1" customHeight="1">
      <c r="A63" s="191">
        <v>37987</v>
      </c>
      <c r="B63" s="284">
        <v>14816217.600000024</v>
      </c>
      <c r="C63" s="194">
        <f>'Weather Data'!B159</f>
        <v>1140.5999999999999</v>
      </c>
      <c r="D63" s="194">
        <f>'Weather Data'!C159</f>
        <v>0</v>
      </c>
      <c r="E63" s="194">
        <v>31</v>
      </c>
      <c r="F63" s="194">
        <v>0</v>
      </c>
      <c r="G63" s="184">
        <v>0</v>
      </c>
      <c r="H63" s="195">
        <v>127.53411264087498</v>
      </c>
      <c r="I63" s="184">
        <v>4415</v>
      </c>
      <c r="J63" s="194">
        <v>336.28800000000001</v>
      </c>
      <c r="K63" s="194"/>
      <c r="L63" s="194"/>
      <c r="M63" s="285"/>
    </row>
    <row r="64" spans="1:13" ht="12.75" hidden="1" customHeight="1">
      <c r="A64" s="191">
        <v>38018</v>
      </c>
      <c r="B64" s="284">
        <v>13887023.500000006</v>
      </c>
      <c r="C64" s="194">
        <f>'Weather Data'!B160</f>
        <v>778.3</v>
      </c>
      <c r="D64" s="194">
        <f>'Weather Data'!C160</f>
        <v>0</v>
      </c>
      <c r="E64" s="194">
        <v>29</v>
      </c>
      <c r="F64" s="194">
        <v>0</v>
      </c>
      <c r="G64" s="184">
        <v>0</v>
      </c>
      <c r="H64" s="195">
        <v>127.79681203173486</v>
      </c>
      <c r="I64" s="184">
        <v>4423</v>
      </c>
      <c r="J64" s="194">
        <v>320.16000000000003</v>
      </c>
      <c r="K64" s="194"/>
      <c r="L64" s="194"/>
      <c r="M64" s="285"/>
    </row>
    <row r="65" spans="1:41" ht="12.75" hidden="1" customHeight="1">
      <c r="A65" s="191">
        <v>38047</v>
      </c>
      <c r="B65" s="284">
        <v>13418396.62999998</v>
      </c>
      <c r="C65" s="194">
        <f>'Weather Data'!B161</f>
        <v>684.3</v>
      </c>
      <c r="D65" s="194">
        <f>'Weather Data'!C161</f>
        <v>0</v>
      </c>
      <c r="E65" s="194">
        <v>31</v>
      </c>
      <c r="F65" s="194">
        <v>1</v>
      </c>
      <c r="G65" s="184">
        <v>0</v>
      </c>
      <c r="H65" s="195">
        <v>128.06005254032812</v>
      </c>
      <c r="I65" s="184">
        <v>4412</v>
      </c>
      <c r="J65" s="194">
        <v>368.28</v>
      </c>
      <c r="K65" s="194"/>
      <c r="L65" s="194"/>
      <c r="M65" s="285"/>
    </row>
    <row r="66" spans="1:41" ht="12.75" hidden="1" customHeight="1">
      <c r="A66" s="191">
        <v>38078</v>
      </c>
      <c r="B66" s="284">
        <v>11743989.460000006</v>
      </c>
      <c r="C66" s="194">
        <f>'Weather Data'!B162</f>
        <v>472.4</v>
      </c>
      <c r="D66" s="194">
        <f>'Weather Data'!C162</f>
        <v>0</v>
      </c>
      <c r="E66" s="194">
        <v>30</v>
      </c>
      <c r="F66" s="194">
        <v>1</v>
      </c>
      <c r="G66" s="184">
        <v>0</v>
      </c>
      <c r="H66" s="195">
        <v>128.32383528126866</v>
      </c>
      <c r="I66" s="184">
        <v>4398</v>
      </c>
      <c r="J66" s="194">
        <v>336.24</v>
      </c>
      <c r="K66" s="194"/>
      <c r="L66" s="194"/>
      <c r="M66" s="285"/>
    </row>
    <row r="67" spans="1:41" ht="12.75" hidden="1" customHeight="1">
      <c r="A67" s="191">
        <v>38108</v>
      </c>
      <c r="B67" s="284">
        <v>11392997.179999998</v>
      </c>
      <c r="C67" s="194">
        <f>'Weather Data'!B163</f>
        <v>333.2</v>
      </c>
      <c r="D67" s="194">
        <f>'Weather Data'!C163</f>
        <v>0</v>
      </c>
      <c r="E67" s="194">
        <v>31</v>
      </c>
      <c r="F67" s="194">
        <v>1</v>
      </c>
      <c r="G67" s="184">
        <v>0</v>
      </c>
      <c r="H67" s="195">
        <v>128.58816137146633</v>
      </c>
      <c r="I67" s="184">
        <v>4405</v>
      </c>
      <c r="J67" s="194">
        <v>319.92</v>
      </c>
      <c r="K67" s="194"/>
      <c r="L67" s="194"/>
      <c r="M67" s="285"/>
    </row>
    <row r="68" spans="1:41" ht="12.75" hidden="1" customHeight="1">
      <c r="A68" s="191">
        <v>38139</v>
      </c>
      <c r="B68" s="284">
        <v>10739165.880000006</v>
      </c>
      <c r="C68" s="194">
        <f>'Weather Data'!B164</f>
        <v>145.80000000000001</v>
      </c>
      <c r="D68" s="194">
        <f>'Weather Data'!C164</f>
        <v>3.1</v>
      </c>
      <c r="E68" s="194">
        <v>30</v>
      </c>
      <c r="F68" s="194">
        <v>0</v>
      </c>
      <c r="G68" s="184">
        <v>0</v>
      </c>
      <c r="H68" s="195">
        <v>128.85303193013166</v>
      </c>
      <c r="I68" s="184">
        <v>4421</v>
      </c>
      <c r="J68" s="194">
        <v>352.08</v>
      </c>
      <c r="K68" s="194"/>
      <c r="L68" s="194"/>
      <c r="M68" s="285"/>
    </row>
    <row r="69" spans="1:41" ht="12.75" hidden="1" customHeight="1">
      <c r="A69" s="191">
        <v>38169</v>
      </c>
      <c r="B69" s="284">
        <v>11518786.739999982</v>
      </c>
      <c r="C69" s="194">
        <f>'Weather Data'!B165</f>
        <v>67.400000000000006</v>
      </c>
      <c r="D69" s="194">
        <f>'Weather Data'!C165</f>
        <v>22</v>
      </c>
      <c r="E69" s="194">
        <v>31</v>
      </c>
      <c r="F69" s="194">
        <v>0</v>
      </c>
      <c r="G69" s="184">
        <v>0</v>
      </c>
      <c r="H69" s="195">
        <v>129.11844807878055</v>
      </c>
      <c r="I69" s="184">
        <v>4428</v>
      </c>
      <c r="J69" s="194">
        <v>336.28800000000001</v>
      </c>
      <c r="K69" s="194"/>
      <c r="L69" s="194"/>
      <c r="M69" s="285"/>
    </row>
    <row r="70" spans="1:41" ht="12.75" hidden="1" customHeight="1">
      <c r="A70" s="191">
        <v>38200</v>
      </c>
      <c r="B70" s="284">
        <v>11273129.019999975</v>
      </c>
      <c r="C70" s="194">
        <f>'Weather Data'!B166</f>
        <v>123</v>
      </c>
      <c r="D70" s="194">
        <f>'Weather Data'!C166</f>
        <v>1.8</v>
      </c>
      <c r="E70" s="194">
        <v>31</v>
      </c>
      <c r="F70" s="194">
        <v>0</v>
      </c>
      <c r="G70" s="184">
        <v>0</v>
      </c>
      <c r="H70" s="195">
        <v>129.38441094123903</v>
      </c>
      <c r="I70" s="184">
        <v>4394</v>
      </c>
      <c r="J70" s="194">
        <v>336.28800000000001</v>
      </c>
      <c r="K70" s="194"/>
      <c r="L70" s="194"/>
      <c r="M70" s="285"/>
    </row>
    <row r="71" spans="1:41" ht="12.75" hidden="1" customHeight="1">
      <c r="A71" s="191">
        <v>38231</v>
      </c>
      <c r="B71" s="284">
        <v>10874645.45999998</v>
      </c>
      <c r="C71" s="194">
        <f>'Weather Data'!B167</f>
        <v>132.9</v>
      </c>
      <c r="D71" s="194">
        <f>'Weather Data'!C167</f>
        <v>4.7</v>
      </c>
      <c r="E71" s="194">
        <v>30</v>
      </c>
      <c r="F71" s="194">
        <v>1</v>
      </c>
      <c r="G71" s="184">
        <v>0</v>
      </c>
      <c r="H71" s="195">
        <v>129.65092164364802</v>
      </c>
      <c r="I71" s="184">
        <v>4392</v>
      </c>
      <c r="J71" s="194">
        <v>336.24</v>
      </c>
      <c r="K71" s="194"/>
      <c r="L71" s="194"/>
      <c r="M71" s="285"/>
    </row>
    <row r="72" spans="1:41" ht="12.75" hidden="1" customHeight="1">
      <c r="A72" s="191">
        <v>38261</v>
      </c>
      <c r="B72" s="284">
        <v>11638624.420000004</v>
      </c>
      <c r="C72" s="194">
        <f>'Weather Data'!B168</f>
        <v>372.7</v>
      </c>
      <c r="D72" s="194">
        <f>'Weather Data'!C168</f>
        <v>0</v>
      </c>
      <c r="E72" s="194">
        <v>31</v>
      </c>
      <c r="F72" s="194">
        <v>1</v>
      </c>
      <c r="G72" s="184">
        <v>0</v>
      </c>
      <c r="H72" s="195">
        <v>129.91798131446814</v>
      </c>
      <c r="I72" s="184">
        <v>4412</v>
      </c>
      <c r="J72" s="194">
        <v>319.92</v>
      </c>
      <c r="K72" s="194"/>
      <c r="L72" s="194"/>
      <c r="M72" s="285"/>
    </row>
    <row r="73" spans="1:41" ht="12.75" hidden="1" customHeight="1">
      <c r="A73" s="191">
        <v>38292</v>
      </c>
      <c r="B73" s="284">
        <v>12406564.950000012</v>
      </c>
      <c r="C73" s="194">
        <f>'Weather Data'!B169</f>
        <v>554.9</v>
      </c>
      <c r="D73" s="194">
        <f>'Weather Data'!C169</f>
        <v>0</v>
      </c>
      <c r="E73" s="194">
        <v>30</v>
      </c>
      <c r="F73" s="194">
        <v>1</v>
      </c>
      <c r="G73" s="184">
        <v>0</v>
      </c>
      <c r="H73" s="195">
        <v>130.18559108448443</v>
      </c>
      <c r="I73" s="184">
        <v>4454</v>
      </c>
      <c r="J73" s="194">
        <v>352.08</v>
      </c>
      <c r="K73" s="194"/>
      <c r="L73" s="194"/>
      <c r="M73" s="285"/>
    </row>
    <row r="74" spans="1:41" ht="12.75" hidden="1" customHeight="1">
      <c r="A74" s="191">
        <v>38322</v>
      </c>
      <c r="B74" s="284">
        <v>14682121.650000013</v>
      </c>
      <c r="C74" s="194">
        <f>'Weather Data'!B170</f>
        <v>926.6</v>
      </c>
      <c r="D74" s="194">
        <f>'Weather Data'!C170</f>
        <v>0</v>
      </c>
      <c r="E74" s="194">
        <v>31</v>
      </c>
      <c r="F74" s="194">
        <v>0</v>
      </c>
      <c r="G74" s="184">
        <v>0</v>
      </c>
      <c r="H74" s="195">
        <v>130.45375208681136</v>
      </c>
      <c r="I74" s="184">
        <v>4439</v>
      </c>
      <c r="J74" s="194">
        <v>336.28800000000001</v>
      </c>
      <c r="K74" s="194"/>
      <c r="L74" s="194"/>
      <c r="M74" s="285"/>
    </row>
    <row r="75" spans="1:41" ht="12.75" hidden="1" customHeight="1">
      <c r="A75" s="191">
        <v>38353</v>
      </c>
      <c r="B75" s="284">
        <v>15490461.069999997</v>
      </c>
      <c r="C75" s="194">
        <f>'Weather Data'!B171</f>
        <v>1084.3</v>
      </c>
      <c r="D75" s="194">
        <f>'Weather Data'!C171</f>
        <v>0</v>
      </c>
      <c r="E75" s="194">
        <v>31</v>
      </c>
      <c r="F75" s="194">
        <v>0</v>
      </c>
      <c r="G75" s="184">
        <v>0</v>
      </c>
      <c r="H75" s="195">
        <v>130.74370215685079</v>
      </c>
      <c r="I75" s="184">
        <v>4449</v>
      </c>
      <c r="J75" s="194">
        <v>319.92</v>
      </c>
      <c r="K75" s="194"/>
      <c r="L75" s="194"/>
      <c r="M75" s="285"/>
    </row>
    <row r="76" spans="1:41" s="9" customFormat="1" ht="12.75" hidden="1" customHeight="1">
      <c r="A76" s="191">
        <v>38384</v>
      </c>
      <c r="B76" s="284">
        <v>13456927.609999986</v>
      </c>
      <c r="C76" s="194">
        <f>'Weather Data'!B172</f>
        <v>755.9</v>
      </c>
      <c r="D76" s="194">
        <f>'Weather Data'!C172</f>
        <v>0</v>
      </c>
      <c r="E76" s="194">
        <v>28</v>
      </c>
      <c r="F76" s="194">
        <v>0</v>
      </c>
      <c r="G76" s="184">
        <v>0</v>
      </c>
      <c r="H76" s="195">
        <v>131.0342966778299</v>
      </c>
      <c r="I76" s="184">
        <v>4434</v>
      </c>
      <c r="J76" s="194">
        <v>319.87200000000001</v>
      </c>
      <c r="K76" s="194"/>
      <c r="L76" s="194"/>
      <c r="M76" s="285"/>
      <c r="N76"/>
      <c r="O76"/>
      <c r="P76"/>
      <c r="Q76"/>
      <c r="R76"/>
      <c r="S76"/>
      <c r="T76"/>
      <c r="U76"/>
      <c r="V76"/>
      <c r="W76"/>
      <c r="X76"/>
      <c r="Y76"/>
      <c r="Z76"/>
      <c r="AA76"/>
      <c r="AB76"/>
      <c r="AC76"/>
      <c r="AD76"/>
      <c r="AE76"/>
      <c r="AF76"/>
      <c r="AG76"/>
      <c r="AH76"/>
      <c r="AI76"/>
      <c r="AJ76"/>
      <c r="AK76"/>
      <c r="AL76"/>
      <c r="AM76"/>
      <c r="AN76"/>
      <c r="AO76"/>
    </row>
    <row r="77" spans="1:41" ht="12.75" hidden="1" customHeight="1">
      <c r="A77" s="191">
        <v>38412</v>
      </c>
      <c r="B77" s="284">
        <v>13345813.870000025</v>
      </c>
      <c r="C77" s="194">
        <f>'Weather Data'!B173</f>
        <v>814.1</v>
      </c>
      <c r="D77" s="194">
        <f>'Weather Data'!C173</f>
        <v>0</v>
      </c>
      <c r="E77" s="194">
        <v>31</v>
      </c>
      <c r="F77" s="194">
        <v>1</v>
      </c>
      <c r="G77" s="184">
        <v>0</v>
      </c>
      <c r="H77" s="195">
        <v>131.32553708212293</v>
      </c>
      <c r="I77" s="184">
        <v>4422</v>
      </c>
      <c r="J77" s="194">
        <v>351.91199999999998</v>
      </c>
      <c r="K77" s="194"/>
      <c r="L77" s="194"/>
      <c r="M77" s="285"/>
    </row>
    <row r="78" spans="1:41" ht="12.75" hidden="1" customHeight="1">
      <c r="A78" s="191">
        <v>38443</v>
      </c>
      <c r="B78" s="284">
        <v>11242470.140000001</v>
      </c>
      <c r="C78" s="194">
        <f>'Weather Data'!B174</f>
        <v>408.1</v>
      </c>
      <c r="D78" s="194">
        <f>'Weather Data'!C174</f>
        <v>0</v>
      </c>
      <c r="E78" s="194">
        <v>30</v>
      </c>
      <c r="F78" s="194">
        <v>1</v>
      </c>
      <c r="G78" s="184">
        <v>0</v>
      </c>
      <c r="H78" s="195">
        <v>131.61742480528775</v>
      </c>
      <c r="I78" s="184">
        <v>4429</v>
      </c>
      <c r="J78" s="194">
        <v>336.24</v>
      </c>
      <c r="K78" s="194"/>
      <c r="L78" s="194"/>
      <c r="M78" s="285"/>
    </row>
    <row r="79" spans="1:41" ht="12.75" hidden="1" customHeight="1">
      <c r="A79" s="191">
        <v>38473</v>
      </c>
      <c r="B79" s="284">
        <v>11077309.790000007</v>
      </c>
      <c r="C79" s="194">
        <f>'Weather Data'!B175</f>
        <v>306.2</v>
      </c>
      <c r="D79" s="194">
        <f>'Weather Data'!C175</f>
        <v>0</v>
      </c>
      <c r="E79" s="194">
        <v>31</v>
      </c>
      <c r="F79" s="194">
        <v>1</v>
      </c>
      <c r="G79" s="184">
        <v>0</v>
      </c>
      <c r="H79" s="195">
        <v>131.90996128607298</v>
      </c>
      <c r="I79" s="184">
        <v>4381</v>
      </c>
      <c r="J79" s="194">
        <v>336.28800000000001</v>
      </c>
      <c r="K79" s="194"/>
      <c r="L79" s="194"/>
      <c r="M79" s="285"/>
    </row>
    <row r="80" spans="1:41" ht="12.75" hidden="1" customHeight="1">
      <c r="A80" s="191">
        <v>38504</v>
      </c>
      <c r="B80" s="284">
        <v>10921396.540000018</v>
      </c>
      <c r="C80" s="194">
        <f>'Weather Data'!B176</f>
        <v>72.599999999999994</v>
      </c>
      <c r="D80" s="194">
        <f>'Weather Data'!C176</f>
        <v>16.8</v>
      </c>
      <c r="E80" s="194">
        <v>30</v>
      </c>
      <c r="F80" s="194">
        <v>0</v>
      </c>
      <c r="G80" s="184">
        <v>0</v>
      </c>
      <c r="H80" s="195">
        <v>132.20314796642501</v>
      </c>
      <c r="I80" s="184">
        <v>4385</v>
      </c>
      <c r="J80" s="194">
        <v>352.08</v>
      </c>
      <c r="K80" s="194"/>
      <c r="L80" s="194"/>
      <c r="M80" s="285"/>
    </row>
    <row r="81" spans="1:41" ht="12.75" hidden="1" customHeight="1">
      <c r="A81" s="191">
        <v>38534</v>
      </c>
      <c r="B81" s="284">
        <v>11811198.419999963</v>
      </c>
      <c r="C81" s="194">
        <f>'Weather Data'!B177</f>
        <v>45.3</v>
      </c>
      <c r="D81" s="194">
        <f>'Weather Data'!C177</f>
        <v>53</v>
      </c>
      <c r="E81" s="194">
        <v>31</v>
      </c>
      <c r="F81" s="194">
        <v>0</v>
      </c>
      <c r="G81" s="184">
        <v>0</v>
      </c>
      <c r="H81" s="195">
        <v>132.49698629149512</v>
      </c>
      <c r="I81" s="184">
        <v>4385</v>
      </c>
      <c r="J81" s="194">
        <v>319.92</v>
      </c>
      <c r="K81" s="194"/>
      <c r="L81" s="194"/>
      <c r="M81" s="285"/>
    </row>
    <row r="82" spans="1:41" ht="12.75" hidden="1" customHeight="1">
      <c r="A82" s="191">
        <v>38565</v>
      </c>
      <c r="B82" s="284">
        <v>11621455.870000014</v>
      </c>
      <c r="C82" s="194">
        <f>'Weather Data'!B178</f>
        <v>46.3</v>
      </c>
      <c r="D82" s="194">
        <f>'Weather Data'!C178</f>
        <v>29.6</v>
      </c>
      <c r="E82" s="194">
        <v>31</v>
      </c>
      <c r="F82" s="194">
        <v>0</v>
      </c>
      <c r="G82" s="184">
        <v>0</v>
      </c>
      <c r="H82" s="195">
        <v>132.79147770964664</v>
      </c>
      <c r="I82" s="184">
        <v>4374</v>
      </c>
      <c r="J82" s="194">
        <v>351.91199999999998</v>
      </c>
      <c r="K82" s="194"/>
      <c r="L82" s="194"/>
      <c r="M82" s="285"/>
    </row>
    <row r="83" spans="1:41" ht="12.75" hidden="1" customHeight="1">
      <c r="A83" s="191">
        <v>38596</v>
      </c>
      <c r="B83" s="284">
        <v>10756551.00999997</v>
      </c>
      <c r="C83" s="194">
        <f>'Weather Data'!B179</f>
        <v>148.80000000000001</v>
      </c>
      <c r="D83" s="194">
        <f>'Weather Data'!C179</f>
        <v>15.2</v>
      </c>
      <c r="E83" s="194">
        <v>30</v>
      </c>
      <c r="F83" s="194">
        <v>1</v>
      </c>
      <c r="G83" s="184">
        <v>0</v>
      </c>
      <c r="H83" s="195">
        <v>133.08662367246211</v>
      </c>
      <c r="I83" s="184">
        <v>4400</v>
      </c>
      <c r="J83" s="194">
        <v>336.24</v>
      </c>
      <c r="K83" s="194"/>
      <c r="L83" s="194"/>
      <c r="M83" s="285"/>
    </row>
    <row r="84" spans="1:41" ht="12.75" hidden="1" customHeight="1">
      <c r="A84" s="191">
        <v>38626</v>
      </c>
      <c r="B84" s="284">
        <v>11210250.469999989</v>
      </c>
      <c r="C84" s="194">
        <f>'Weather Data'!B180</f>
        <v>347.3</v>
      </c>
      <c r="D84" s="194">
        <f>'Weather Data'!C180</f>
        <v>0</v>
      </c>
      <c r="E84" s="194">
        <v>31</v>
      </c>
      <c r="F84" s="194">
        <v>1</v>
      </c>
      <c r="G84" s="184">
        <v>0</v>
      </c>
      <c r="H84" s="195">
        <v>133.38242563475035</v>
      </c>
      <c r="I84" s="184">
        <v>4427</v>
      </c>
      <c r="J84" s="194">
        <v>319.92</v>
      </c>
      <c r="K84" s="194"/>
      <c r="L84" s="194"/>
      <c r="M84" s="285"/>
    </row>
    <row r="85" spans="1:41" ht="12.75" hidden="1" customHeight="1">
      <c r="A85" s="191">
        <v>38657</v>
      </c>
      <c r="B85" s="284">
        <v>12421436.97000001</v>
      </c>
      <c r="C85" s="194">
        <f>'Weather Data'!B181</f>
        <v>606.9</v>
      </c>
      <c r="D85" s="194">
        <f>'Weather Data'!C181</f>
        <v>0</v>
      </c>
      <c r="E85" s="194">
        <v>30</v>
      </c>
      <c r="F85" s="194">
        <v>1</v>
      </c>
      <c r="G85" s="184">
        <v>0</v>
      </c>
      <c r="H85" s="195">
        <v>133.67888505455369</v>
      </c>
      <c r="I85" s="184">
        <v>4431</v>
      </c>
      <c r="J85" s="194">
        <v>352.08</v>
      </c>
      <c r="K85" s="194"/>
      <c r="L85" s="194"/>
      <c r="M85" s="285"/>
    </row>
    <row r="86" spans="1:41" ht="12.75" hidden="1" customHeight="1">
      <c r="A86" s="191">
        <v>38687</v>
      </c>
      <c r="B86" s="284">
        <v>14062601.490000019</v>
      </c>
      <c r="C86" s="194">
        <f>'Weather Data'!B182</f>
        <v>833.4</v>
      </c>
      <c r="D86" s="194">
        <f>'Weather Data'!C182</f>
        <v>0</v>
      </c>
      <c r="E86" s="194">
        <v>31</v>
      </c>
      <c r="F86" s="194">
        <v>0</v>
      </c>
      <c r="G86" s="184">
        <v>0</v>
      </c>
      <c r="H86" s="195">
        <v>133.97600339315525</v>
      </c>
      <c r="I86" s="184">
        <v>4434</v>
      </c>
      <c r="J86" s="194">
        <v>319.92</v>
      </c>
      <c r="K86" s="194"/>
      <c r="L86" s="194"/>
      <c r="M86" s="285"/>
    </row>
    <row r="87" spans="1:41" s="21" customFormat="1" ht="15">
      <c r="A87" s="191">
        <v>38718</v>
      </c>
      <c r="B87" s="284">
        <v>14009855.030000025</v>
      </c>
      <c r="C87" s="194">
        <f>'Residential WN'!C87</f>
        <v>960.98000000000013</v>
      </c>
      <c r="D87" s="194">
        <f>'Residential WN'!D87</f>
        <v>0</v>
      </c>
      <c r="E87" s="194">
        <v>31</v>
      </c>
      <c r="F87" s="194">
        <v>0</v>
      </c>
      <c r="G87" s="184">
        <f>'CDM Activity'!O19</f>
        <v>0</v>
      </c>
      <c r="H87" s="195">
        <v>134.25197202423305</v>
      </c>
      <c r="I87" s="184">
        <v>4433</v>
      </c>
      <c r="J87" s="194">
        <v>336.28800000000001</v>
      </c>
      <c r="K87" s="194">
        <f>$O$103+C87*$O$104+D87*$O$105+E87*$O$106+F87*$O$107+G87*$O$108+H87*$O$109</f>
        <v>13953856.358585496</v>
      </c>
      <c r="L87" s="194"/>
      <c r="M87" s="285"/>
      <c r="N87" s="260" t="s">
        <v>15</v>
      </c>
      <c r="O87"/>
      <c r="P87"/>
      <c r="Q87"/>
      <c r="R87"/>
      <c r="S87"/>
      <c r="T87"/>
      <c r="U87"/>
      <c r="V87"/>
      <c r="W87"/>
      <c r="X87"/>
      <c r="Y87"/>
      <c r="Z87"/>
      <c r="AA87"/>
      <c r="AB87"/>
      <c r="AC87"/>
      <c r="AD87"/>
      <c r="AE87"/>
      <c r="AF87"/>
      <c r="AG87"/>
      <c r="AH87"/>
      <c r="AI87"/>
      <c r="AJ87"/>
      <c r="AK87"/>
      <c r="AL87"/>
      <c r="AM87"/>
      <c r="AN87"/>
      <c r="AO87"/>
    </row>
    <row r="88" spans="1:41" ht="13.5" thickBot="1">
      <c r="A88" s="191">
        <v>38749</v>
      </c>
      <c r="B88" s="284">
        <v>12948095.099999985</v>
      </c>
      <c r="C88" s="194">
        <f>'Residential WN'!C88</f>
        <v>875.5899999999998</v>
      </c>
      <c r="D88" s="194">
        <f>'Residential WN'!D88</f>
        <v>0</v>
      </c>
      <c r="E88" s="194">
        <v>28</v>
      </c>
      <c r="F88" s="194">
        <v>0</v>
      </c>
      <c r="G88" s="184">
        <f>'CDM Activity'!O20</f>
        <v>0</v>
      </c>
      <c r="H88" s="195">
        <v>134.52850910550649</v>
      </c>
      <c r="I88" s="184">
        <v>4414</v>
      </c>
      <c r="J88" s="194">
        <v>319.87200000000001</v>
      </c>
      <c r="K88" s="194">
        <f t="shared" ref="K88:K151" si="0">$O$103+C88*$O$104+D88*$O$105+E88*$O$106+F88*$O$107+G88*$O$108+H88*$O$109</f>
        <v>12747263.051911723</v>
      </c>
      <c r="L88" s="194"/>
      <c r="M88" s="285"/>
    </row>
    <row r="89" spans="1:41">
      <c r="A89" s="191">
        <v>38777</v>
      </c>
      <c r="B89" s="284">
        <v>13054109.160000017</v>
      </c>
      <c r="C89" s="194">
        <f>'Residential WN'!C89</f>
        <v>702.91</v>
      </c>
      <c r="D89" s="194">
        <f>'Residential WN'!D89</f>
        <v>0</v>
      </c>
      <c r="E89" s="194">
        <v>31</v>
      </c>
      <c r="F89" s="194">
        <v>1</v>
      </c>
      <c r="G89" s="184">
        <f>'CDM Activity'!O21</f>
        <v>0</v>
      </c>
      <c r="H89" s="195">
        <v>134.80561580788986</v>
      </c>
      <c r="I89" s="184">
        <v>4391</v>
      </c>
      <c r="J89" s="194">
        <v>368.28</v>
      </c>
      <c r="K89" s="194">
        <f t="shared" si="0"/>
        <v>12335119.140795268</v>
      </c>
      <c r="L89" s="194"/>
      <c r="M89" s="285"/>
      <c r="N89" s="33" t="s">
        <v>16</v>
      </c>
      <c r="O89" s="33"/>
    </row>
    <row r="90" spans="1:41">
      <c r="A90" s="191">
        <v>38808</v>
      </c>
      <c r="B90" s="284">
        <v>10956512.820000019</v>
      </c>
      <c r="C90" s="194">
        <f>'Residential WN'!C90</f>
        <v>450.5200000000001</v>
      </c>
      <c r="D90" s="194">
        <f>'Residential WN'!D90</f>
        <v>0</v>
      </c>
      <c r="E90" s="194">
        <v>30</v>
      </c>
      <c r="F90" s="194">
        <v>1</v>
      </c>
      <c r="G90" s="184">
        <f>'CDM Activity'!O22</f>
        <v>0</v>
      </c>
      <c r="H90" s="195">
        <v>135.08329330470943</v>
      </c>
      <c r="I90" s="184">
        <v>4406</v>
      </c>
      <c r="J90" s="194">
        <v>303.83999999999997</v>
      </c>
      <c r="K90" s="194">
        <f t="shared" si="0"/>
        <v>10962053.672745286</v>
      </c>
      <c r="L90" s="194"/>
      <c r="M90" s="285"/>
      <c r="N90" s="24" t="s">
        <v>17</v>
      </c>
      <c r="O90" s="36">
        <v>0.97280302708607735</v>
      </c>
    </row>
    <row r="91" spans="1:41">
      <c r="A91" s="191">
        <v>38838</v>
      </c>
      <c r="B91" s="284">
        <v>10855268.19999999</v>
      </c>
      <c r="C91" s="194">
        <f>'Residential WN'!C91</f>
        <v>271.46000000000004</v>
      </c>
      <c r="D91" s="194">
        <f>'Residential WN'!D91</f>
        <v>0.47000000000000003</v>
      </c>
      <c r="E91" s="194">
        <v>31</v>
      </c>
      <c r="F91" s="194">
        <v>1</v>
      </c>
      <c r="G91" s="184">
        <f>'CDM Activity'!O23</f>
        <v>0</v>
      </c>
      <c r="H91" s="195">
        <v>135.36154277170829</v>
      </c>
      <c r="I91" s="184">
        <v>4345</v>
      </c>
      <c r="J91" s="194">
        <v>351.91199999999998</v>
      </c>
      <c r="K91" s="194">
        <f t="shared" si="0"/>
        <v>10483497.565429188</v>
      </c>
      <c r="L91" s="194"/>
      <c r="M91" s="285"/>
      <c r="N91" s="24" t="s">
        <v>18</v>
      </c>
      <c r="O91" s="36">
        <v>0.94634572950783524</v>
      </c>
    </row>
    <row r="92" spans="1:41">
      <c r="A92" s="191">
        <v>38869</v>
      </c>
      <c r="B92" s="284">
        <v>10708123.620000008</v>
      </c>
      <c r="C92" s="194">
        <f>'Residential WN'!C92</f>
        <v>109.59</v>
      </c>
      <c r="D92" s="194">
        <f>'Residential WN'!D92</f>
        <v>6.7</v>
      </c>
      <c r="E92" s="194">
        <v>30</v>
      </c>
      <c r="F92" s="194">
        <v>0</v>
      </c>
      <c r="G92" s="184">
        <f>'CDM Activity'!O24</f>
        <v>0</v>
      </c>
      <c r="H92" s="195">
        <v>135.64036538705133</v>
      </c>
      <c r="I92" s="184">
        <v>4313</v>
      </c>
      <c r="J92" s="194">
        <v>352.08</v>
      </c>
      <c r="K92" s="194">
        <f t="shared" si="0"/>
        <v>10152032.493394993</v>
      </c>
      <c r="L92" s="194"/>
      <c r="M92" s="285"/>
      <c r="N92" s="24" t="s">
        <v>19</v>
      </c>
      <c r="O92" s="36">
        <v>0.94349683018966723</v>
      </c>
    </row>
    <row r="93" spans="1:41">
      <c r="A93" s="191">
        <v>38899</v>
      </c>
      <c r="B93" s="284">
        <v>11588558.24</v>
      </c>
      <c r="C93" s="194">
        <f>'Residential WN'!C93</f>
        <v>36.33</v>
      </c>
      <c r="D93" s="194">
        <f>'Residential WN'!D93</f>
        <v>40.369999999999997</v>
      </c>
      <c r="E93" s="194">
        <v>31</v>
      </c>
      <c r="F93" s="194">
        <v>0</v>
      </c>
      <c r="G93" s="184">
        <f>'CDM Activity'!O25</f>
        <v>0</v>
      </c>
      <c r="H93" s="195">
        <v>135.9197623313303</v>
      </c>
      <c r="I93" s="184">
        <v>4283</v>
      </c>
      <c r="J93" s="194">
        <v>319.92</v>
      </c>
      <c r="K93" s="194">
        <f t="shared" si="0"/>
        <v>10829385.426873434</v>
      </c>
      <c r="L93" s="194"/>
      <c r="M93" s="285"/>
      <c r="N93" s="24" t="s">
        <v>20</v>
      </c>
      <c r="O93" s="42">
        <v>332059.29802626238</v>
      </c>
    </row>
    <row r="94" spans="1:41" ht="13.5" thickBot="1">
      <c r="A94" s="191">
        <v>38930</v>
      </c>
      <c r="B94" s="284">
        <v>11264379.980000004</v>
      </c>
      <c r="C94" s="194">
        <f>'Residential WN'!C94</f>
        <v>51.55</v>
      </c>
      <c r="D94" s="194">
        <f>'Residential WN'!D94</f>
        <v>29.669999999999998</v>
      </c>
      <c r="E94" s="194">
        <v>31</v>
      </c>
      <c r="F94" s="194">
        <v>0</v>
      </c>
      <c r="G94" s="184">
        <f>'CDM Activity'!O26</f>
        <v>0</v>
      </c>
      <c r="H94" s="195">
        <v>136.19973478756879</v>
      </c>
      <c r="I94" s="184">
        <v>4211</v>
      </c>
      <c r="J94" s="194">
        <v>351.91199999999998</v>
      </c>
      <c r="K94" s="194">
        <f t="shared" si="0"/>
        <v>10685532.559433714</v>
      </c>
      <c r="L94" s="194"/>
      <c r="M94" s="285"/>
      <c r="N94" s="31" t="s">
        <v>21</v>
      </c>
      <c r="O94" s="31">
        <v>120</v>
      </c>
    </row>
    <row r="95" spans="1:41">
      <c r="A95" s="191">
        <v>38961</v>
      </c>
      <c r="B95" s="284">
        <v>10343203.63999998</v>
      </c>
      <c r="C95" s="194">
        <f>'Residential WN'!C95</f>
        <v>176.97</v>
      </c>
      <c r="D95" s="194">
        <f>'Residential WN'!D95</f>
        <v>5.05</v>
      </c>
      <c r="E95" s="194">
        <v>30</v>
      </c>
      <c r="F95" s="194">
        <v>1</v>
      </c>
      <c r="G95" s="184">
        <f>'CDM Activity'!O27</f>
        <v>0</v>
      </c>
      <c r="H95" s="195">
        <v>136.48028394122719</v>
      </c>
      <c r="I95" s="184">
        <v>4237</v>
      </c>
      <c r="J95" s="194">
        <v>319.68</v>
      </c>
      <c r="K95" s="194">
        <f t="shared" si="0"/>
        <v>9935600.0384845156</v>
      </c>
      <c r="L95" s="194"/>
      <c r="M95" s="285"/>
    </row>
    <row r="96" spans="1:41" ht="13.5" thickBot="1">
      <c r="A96" s="191">
        <v>38991</v>
      </c>
      <c r="B96" s="284">
        <v>11071073.29999999</v>
      </c>
      <c r="C96" s="194">
        <f>'Residential WN'!C96</f>
        <v>372.15</v>
      </c>
      <c r="D96" s="194">
        <f>'Residential WN'!D96</f>
        <v>0.54</v>
      </c>
      <c r="E96" s="194">
        <v>31</v>
      </c>
      <c r="F96" s="194">
        <v>1</v>
      </c>
      <c r="G96" s="184">
        <f>'CDM Activity'!O28</f>
        <v>0</v>
      </c>
      <c r="H96" s="195">
        <v>136.76141098020776</v>
      </c>
      <c r="I96" s="184">
        <v>4240</v>
      </c>
      <c r="J96" s="194">
        <v>336.28800000000001</v>
      </c>
      <c r="K96" s="194">
        <f t="shared" si="0"/>
        <v>10990127.740949882</v>
      </c>
      <c r="L96" s="194"/>
      <c r="M96" s="285"/>
      <c r="N96" t="s">
        <v>22</v>
      </c>
    </row>
    <row r="97" spans="1:20">
      <c r="A97" s="191">
        <v>39022</v>
      </c>
      <c r="B97" s="284">
        <v>11834500.279999968</v>
      </c>
      <c r="C97" s="194">
        <f>'Residential WN'!C97</f>
        <v>567.61000000000013</v>
      </c>
      <c r="D97" s="194">
        <f>'Residential WN'!D97</f>
        <v>0</v>
      </c>
      <c r="E97" s="194">
        <v>30</v>
      </c>
      <c r="F97" s="194">
        <v>1</v>
      </c>
      <c r="G97" s="184">
        <f>'CDM Activity'!O29</f>
        <v>0</v>
      </c>
      <c r="H97" s="195">
        <v>137.04311709485967</v>
      </c>
      <c r="I97" s="184">
        <v>4239</v>
      </c>
      <c r="J97" s="194">
        <v>352.08</v>
      </c>
      <c r="K97" s="194">
        <f t="shared" si="0"/>
        <v>11564857.547314912</v>
      </c>
      <c r="L97" s="194"/>
      <c r="M97" s="285"/>
      <c r="N97" s="32"/>
      <c r="O97" s="32" t="s">
        <v>26</v>
      </c>
      <c r="P97" s="32" t="s">
        <v>27</v>
      </c>
      <c r="Q97" s="32" t="s">
        <v>28</v>
      </c>
      <c r="R97" s="32" t="s">
        <v>29</v>
      </c>
      <c r="S97" s="32" t="s">
        <v>30</v>
      </c>
    </row>
    <row r="98" spans="1:20">
      <c r="A98" s="191">
        <v>39052</v>
      </c>
      <c r="B98" s="284">
        <v>12997339.17999999</v>
      </c>
      <c r="C98" s="194">
        <f>'Residential WN'!C98</f>
        <v>852.28999999999974</v>
      </c>
      <c r="D98" s="194">
        <f>'Residential WN'!D98</f>
        <v>0</v>
      </c>
      <c r="E98" s="194">
        <v>31</v>
      </c>
      <c r="F98" s="194">
        <v>0</v>
      </c>
      <c r="G98" s="184">
        <f>'CDM Activity'!O30</f>
        <v>0</v>
      </c>
      <c r="H98" s="195">
        <v>137.32540347798411</v>
      </c>
      <c r="I98" s="184">
        <v>4254</v>
      </c>
      <c r="J98" s="194">
        <v>304.29599999999999</v>
      </c>
      <c r="K98" s="194">
        <f t="shared" si="0"/>
        <v>13620617.781571873</v>
      </c>
      <c r="L98" s="194"/>
      <c r="M98" s="285"/>
      <c r="N98" s="24" t="s">
        <v>23</v>
      </c>
      <c r="O98" s="24">
        <v>6</v>
      </c>
      <c r="P98" s="24">
        <v>219763350000214.66</v>
      </c>
      <c r="Q98" s="24">
        <v>36627225000035.773</v>
      </c>
      <c r="R98" s="24">
        <v>332.17942223257432</v>
      </c>
      <c r="S98" s="24">
        <v>2.5199529595052889E-69</v>
      </c>
    </row>
    <row r="99" spans="1:20">
      <c r="A99" s="191">
        <v>39083</v>
      </c>
      <c r="B99" s="284">
        <v>14031526.530000027</v>
      </c>
      <c r="C99" s="194">
        <f>'Residential WN'!C99</f>
        <v>960.98000000000013</v>
      </c>
      <c r="D99" s="194">
        <f>'Residential WN'!D99</f>
        <v>0</v>
      </c>
      <c r="E99" s="194">
        <v>31</v>
      </c>
      <c r="F99" s="194">
        <v>0</v>
      </c>
      <c r="G99" s="184">
        <f>'CDM Activity'!O31</f>
        <v>0</v>
      </c>
      <c r="H99" s="195">
        <v>137.552207546647</v>
      </c>
      <c r="I99" s="184">
        <v>4297</v>
      </c>
      <c r="J99" s="194">
        <v>351.91199999999998</v>
      </c>
      <c r="K99" s="194">
        <f t="shared" si="0"/>
        <v>14106515.791851491</v>
      </c>
      <c r="L99" s="194"/>
      <c r="M99" s="285"/>
      <c r="N99" s="24" t="s">
        <v>24</v>
      </c>
      <c r="O99" s="24">
        <v>113</v>
      </c>
      <c r="P99" s="24">
        <v>12459761646843.439</v>
      </c>
      <c r="Q99" s="24">
        <v>110263377405.69415</v>
      </c>
      <c r="R99" s="24"/>
      <c r="S99" s="24"/>
    </row>
    <row r="100" spans="1:20" ht="13.5" thickBot="1">
      <c r="A100" s="191">
        <v>39114</v>
      </c>
      <c r="B100" s="284">
        <v>13413294.690000024</v>
      </c>
      <c r="C100" s="194">
        <f>'Residential WN'!C100</f>
        <v>875.5899999999998</v>
      </c>
      <c r="D100" s="194">
        <f>'Residential WN'!D100</f>
        <v>0</v>
      </c>
      <c r="E100" s="194">
        <v>28</v>
      </c>
      <c r="F100" s="194">
        <v>0</v>
      </c>
      <c r="G100" s="184">
        <f>'CDM Activity'!O32</f>
        <v>0</v>
      </c>
      <c r="H100" s="195">
        <v>137.77938620066888</v>
      </c>
      <c r="I100" s="184">
        <v>4295</v>
      </c>
      <c r="J100" s="194">
        <v>319.87200000000001</v>
      </c>
      <c r="K100" s="194">
        <f t="shared" si="0"/>
        <v>12897639.305847045</v>
      </c>
      <c r="L100" s="194"/>
      <c r="M100" s="285"/>
      <c r="N100" s="31" t="s">
        <v>5</v>
      </c>
      <c r="O100" s="31">
        <v>119</v>
      </c>
      <c r="P100" s="31">
        <v>232223111647058.09</v>
      </c>
      <c r="Q100" s="31"/>
      <c r="R100" s="31"/>
      <c r="S100" s="31"/>
    </row>
    <row r="101" spans="1:20" ht="13.5" thickBot="1">
      <c r="A101" s="191">
        <v>39142</v>
      </c>
      <c r="B101" s="284">
        <v>13148947.050000003</v>
      </c>
      <c r="C101" s="194">
        <f>'Residential WN'!C101</f>
        <v>702.91</v>
      </c>
      <c r="D101" s="194">
        <f>'Residential WN'!D101</f>
        <v>0</v>
      </c>
      <c r="E101" s="194">
        <v>31</v>
      </c>
      <c r="F101" s="194">
        <v>1</v>
      </c>
      <c r="G101" s="184">
        <f>'CDM Activity'!O33</f>
        <v>0</v>
      </c>
      <c r="H101" s="195">
        <v>138.00694005870795</v>
      </c>
      <c r="I101" s="184">
        <v>4289</v>
      </c>
      <c r="J101" s="194">
        <v>351.91199999999998</v>
      </c>
      <c r="K101" s="194">
        <f t="shared" si="0"/>
        <v>12483203.222222619</v>
      </c>
      <c r="L101" s="194"/>
      <c r="M101" s="285"/>
    </row>
    <row r="102" spans="1:20">
      <c r="A102" s="191">
        <v>39173</v>
      </c>
      <c r="B102" s="284">
        <v>11132064.210000025</v>
      </c>
      <c r="C102" s="194">
        <f>'Residential WN'!C102</f>
        <v>450.5200000000001</v>
      </c>
      <c r="D102" s="194">
        <f>'Residential WN'!D102</f>
        <v>0</v>
      </c>
      <c r="E102" s="194">
        <v>30</v>
      </c>
      <c r="F102" s="194">
        <v>1</v>
      </c>
      <c r="G102" s="184">
        <f>'CDM Activity'!O34</f>
        <v>0</v>
      </c>
      <c r="H102" s="195">
        <v>138.23486974044414</v>
      </c>
      <c r="I102" s="184">
        <v>4308</v>
      </c>
      <c r="J102" s="194">
        <v>319.68</v>
      </c>
      <c r="K102" s="194">
        <f t="shared" si="0"/>
        <v>11107836.562877264</v>
      </c>
      <c r="L102" s="194"/>
      <c r="M102" s="285"/>
      <c r="N102" s="32"/>
      <c r="O102" s="32" t="s">
        <v>31</v>
      </c>
      <c r="P102" s="32" t="s">
        <v>20</v>
      </c>
      <c r="Q102" s="32" t="s">
        <v>32</v>
      </c>
      <c r="R102" s="32" t="s">
        <v>33</v>
      </c>
      <c r="S102" s="32" t="s">
        <v>34</v>
      </c>
      <c r="T102" s="32" t="s">
        <v>35</v>
      </c>
    </row>
    <row r="103" spans="1:20">
      <c r="A103" s="191">
        <v>39203</v>
      </c>
      <c r="B103" s="284">
        <v>10476503.350000001</v>
      </c>
      <c r="C103" s="194">
        <f>'Residential WN'!C103</f>
        <v>271.46000000000004</v>
      </c>
      <c r="D103" s="194">
        <f>'Residential WN'!D103</f>
        <v>0.47000000000000003</v>
      </c>
      <c r="E103" s="194">
        <v>31</v>
      </c>
      <c r="F103" s="194">
        <v>1</v>
      </c>
      <c r="G103" s="184">
        <f>'CDM Activity'!O35</f>
        <v>0</v>
      </c>
      <c r="H103" s="195">
        <v>138.46317586658083</v>
      </c>
      <c r="I103" s="184">
        <v>4288</v>
      </c>
      <c r="J103" s="194">
        <v>351.91199999999998</v>
      </c>
      <c r="K103" s="194">
        <f t="shared" si="0"/>
        <v>10626970.219803855</v>
      </c>
      <c r="L103" s="194"/>
      <c r="M103" s="285"/>
      <c r="N103" s="24" t="s">
        <v>25</v>
      </c>
      <c r="O103" s="42">
        <v>-5200434.7289060121</v>
      </c>
      <c r="P103" s="42">
        <v>2399851.1334015802</v>
      </c>
      <c r="Q103" s="34">
        <v>-2.1669822167406059</v>
      </c>
      <c r="R103" s="24">
        <v>3.2335499994409739E-2</v>
      </c>
      <c r="S103" s="42">
        <v>-9954972.659920238</v>
      </c>
      <c r="T103" s="42">
        <v>-445896.79789178539</v>
      </c>
    </row>
    <row r="104" spans="1:20">
      <c r="A104" s="191">
        <v>39234</v>
      </c>
      <c r="B104" s="284">
        <v>10397828.820000019</v>
      </c>
      <c r="C104" s="194">
        <f>'Residential WN'!C104</f>
        <v>109.59</v>
      </c>
      <c r="D104" s="194">
        <f>'Residential WN'!D104</f>
        <v>6.7</v>
      </c>
      <c r="E104" s="194">
        <v>30</v>
      </c>
      <c r="F104" s="194">
        <v>0</v>
      </c>
      <c r="G104" s="184">
        <f>'CDM Activity'!O36</f>
        <v>0</v>
      </c>
      <c r="H104" s="195">
        <v>138.69185905884657</v>
      </c>
      <c r="I104" s="184">
        <v>4266</v>
      </c>
      <c r="J104" s="194">
        <v>336.24</v>
      </c>
      <c r="K104" s="194">
        <f t="shared" si="0"/>
        <v>10293185.841811258</v>
      </c>
      <c r="L104" s="194"/>
      <c r="M104" s="285"/>
      <c r="N104" s="24" t="s">
        <v>1</v>
      </c>
      <c r="O104" s="42">
        <v>4373.9691261941553</v>
      </c>
      <c r="P104" s="42">
        <v>120.02426318568467</v>
      </c>
      <c r="Q104" s="34">
        <v>36.442374317494163</v>
      </c>
      <c r="R104" s="24">
        <v>2.663633611397995E-64</v>
      </c>
      <c r="S104" s="42">
        <v>4136.1794133174608</v>
      </c>
      <c r="T104" s="42">
        <v>4611.7588390708497</v>
      </c>
    </row>
    <row r="105" spans="1:20">
      <c r="A105" s="191">
        <v>39264</v>
      </c>
      <c r="B105" s="284">
        <v>11107289.329999989</v>
      </c>
      <c r="C105" s="194">
        <f>'Residential WN'!C105</f>
        <v>36.33</v>
      </c>
      <c r="D105" s="194">
        <f>'Residential WN'!D105</f>
        <v>40.369999999999997</v>
      </c>
      <c r="E105" s="194">
        <v>31</v>
      </c>
      <c r="F105" s="194">
        <v>0</v>
      </c>
      <c r="G105" s="184">
        <f>'CDM Activity'!O37</f>
        <v>0</v>
      </c>
      <c r="H105" s="195">
        <v>138.92091993999671</v>
      </c>
      <c r="I105" s="184">
        <v>4253</v>
      </c>
      <c r="J105" s="194">
        <v>336.28800000000001</v>
      </c>
      <c r="K105" s="194">
        <f t="shared" si="0"/>
        <v>10968210.373326294</v>
      </c>
      <c r="L105" s="194"/>
      <c r="M105" s="285"/>
      <c r="N105" s="24" t="s">
        <v>2</v>
      </c>
      <c r="O105" s="42">
        <v>20876.205669702245</v>
      </c>
      <c r="P105" s="42">
        <v>2883.6405633220761</v>
      </c>
      <c r="Q105" s="34">
        <v>7.2395311451895976</v>
      </c>
      <c r="R105" s="24">
        <v>5.8382896961029384E-11</v>
      </c>
      <c r="S105" s="42">
        <v>15163.193622037115</v>
      </c>
      <c r="T105" s="42">
        <v>26589.217717367377</v>
      </c>
    </row>
    <row r="106" spans="1:20">
      <c r="A106" s="191">
        <v>39295</v>
      </c>
      <c r="B106" s="284">
        <v>10981653.73</v>
      </c>
      <c r="C106" s="194">
        <f>'Residential WN'!C106</f>
        <v>51.55</v>
      </c>
      <c r="D106" s="194">
        <f>'Residential WN'!D106</f>
        <v>29.669999999999998</v>
      </c>
      <c r="E106" s="194">
        <v>31</v>
      </c>
      <c r="F106" s="194">
        <v>0</v>
      </c>
      <c r="G106" s="184">
        <f>'CDM Activity'!O38</f>
        <v>0</v>
      </c>
      <c r="H106" s="195">
        <v>139.15035913381516</v>
      </c>
      <c r="I106" s="184">
        <v>4241</v>
      </c>
      <c r="J106" s="194">
        <v>351.91199999999998</v>
      </c>
      <c r="K106" s="194">
        <f t="shared" si="0"/>
        <v>10822019.982049342</v>
      </c>
      <c r="L106" s="194"/>
      <c r="M106" s="285"/>
      <c r="N106" s="24" t="s">
        <v>3</v>
      </c>
      <c r="O106" s="42">
        <v>281963.96517234802</v>
      </c>
      <c r="P106" s="42">
        <v>38617.201315009785</v>
      </c>
      <c r="Q106" s="34">
        <v>7.3015121648070833</v>
      </c>
      <c r="R106" s="24">
        <v>4.2712522868347384E-11</v>
      </c>
      <c r="S106" s="42">
        <v>205456.32439148857</v>
      </c>
      <c r="T106" s="42">
        <v>358471.60595320747</v>
      </c>
    </row>
    <row r="107" spans="1:20">
      <c r="A107" s="191">
        <v>39326</v>
      </c>
      <c r="B107" s="284">
        <v>10221738.110000003</v>
      </c>
      <c r="C107" s="194">
        <f>'Residential WN'!C107</f>
        <v>176.97</v>
      </c>
      <c r="D107" s="194">
        <f>'Residential WN'!D107</f>
        <v>5.05</v>
      </c>
      <c r="E107" s="194">
        <v>30</v>
      </c>
      <c r="F107" s="194">
        <v>1</v>
      </c>
      <c r="G107" s="184">
        <f>'CDM Activity'!O39</f>
        <v>0</v>
      </c>
      <c r="H107" s="195">
        <v>139.38017726511606</v>
      </c>
      <c r="I107" s="184">
        <v>4242</v>
      </c>
      <c r="J107" s="194">
        <v>303.83999999999997</v>
      </c>
      <c r="K107" s="194">
        <f t="shared" si="0"/>
        <v>10069740.789455196</v>
      </c>
      <c r="L107" s="194"/>
      <c r="M107" s="285"/>
      <c r="N107" s="24" t="s">
        <v>14</v>
      </c>
      <c r="O107" s="42">
        <v>-515556.97949068557</v>
      </c>
      <c r="P107" s="42">
        <v>72543.699198209564</v>
      </c>
      <c r="Q107" s="34">
        <v>-7.1068471168259633</v>
      </c>
      <c r="R107" s="24">
        <v>1.1364200007931726E-10</v>
      </c>
      <c r="S107" s="42">
        <v>-659279.13154146355</v>
      </c>
      <c r="T107" s="42">
        <v>-371834.82743990759</v>
      </c>
    </row>
    <row r="108" spans="1:20">
      <c r="A108" s="191">
        <v>39356</v>
      </c>
      <c r="B108" s="284">
        <v>10659311.449999996</v>
      </c>
      <c r="C108" s="194">
        <f>'Residential WN'!C108</f>
        <v>372.15</v>
      </c>
      <c r="D108" s="194">
        <f>'Residential WN'!D108</f>
        <v>0.54</v>
      </c>
      <c r="E108" s="194">
        <v>31</v>
      </c>
      <c r="F108" s="194">
        <v>1</v>
      </c>
      <c r="G108" s="184">
        <f>'CDM Activity'!O40</f>
        <v>0</v>
      </c>
      <c r="H108" s="195">
        <v>139.61037495974546</v>
      </c>
      <c r="I108" s="184">
        <v>4267</v>
      </c>
      <c r="J108" s="194">
        <v>351.91199999999998</v>
      </c>
      <c r="K108" s="194">
        <f t="shared" si="0"/>
        <v>11121912.646468788</v>
      </c>
      <c r="L108" s="194"/>
      <c r="M108" s="285"/>
      <c r="N108" s="24" t="s">
        <v>56</v>
      </c>
      <c r="O108" s="34">
        <v>-1.5266401911335441</v>
      </c>
      <c r="P108" s="34">
        <v>0.40082855845894455</v>
      </c>
      <c r="Q108" s="34">
        <v>-3.8087111282763364</v>
      </c>
      <c r="R108" s="24">
        <v>2.2760635569439466E-4</v>
      </c>
      <c r="S108" s="34">
        <v>-2.3207538586448968</v>
      </c>
      <c r="T108" s="34">
        <v>-0.73252652362219139</v>
      </c>
    </row>
    <row r="109" spans="1:20" ht="13.5" thickBot="1">
      <c r="A109" s="191">
        <v>39387</v>
      </c>
      <c r="B109" s="284">
        <v>11710992.839999968</v>
      </c>
      <c r="C109" s="194">
        <f>'Residential WN'!C109</f>
        <v>567.61000000000013</v>
      </c>
      <c r="D109" s="194">
        <f>'Residential WN'!D109</f>
        <v>0</v>
      </c>
      <c r="E109" s="194">
        <v>30</v>
      </c>
      <c r="F109" s="194">
        <v>1</v>
      </c>
      <c r="G109" s="184">
        <f>'CDM Activity'!O41</f>
        <v>0</v>
      </c>
      <c r="H109" s="195">
        <v>139.84095284458306</v>
      </c>
      <c r="I109" s="184">
        <v>4274</v>
      </c>
      <c r="J109" s="194">
        <v>352.08</v>
      </c>
      <c r="K109" s="194">
        <f t="shared" si="0"/>
        <v>11694277.407510739</v>
      </c>
      <c r="L109" s="194"/>
      <c r="M109" s="285"/>
      <c r="N109" s="31" t="s">
        <v>4</v>
      </c>
      <c r="O109" s="35">
        <v>46257.132931631786</v>
      </c>
      <c r="P109" s="35">
        <v>15706.275117956751</v>
      </c>
      <c r="Q109" s="35">
        <v>2.9451370604572369</v>
      </c>
      <c r="R109" s="31">
        <v>3.9202808549096829E-3</v>
      </c>
      <c r="S109" s="35">
        <v>15140.169148372664</v>
      </c>
      <c r="T109" s="35">
        <v>77374.096714890911</v>
      </c>
    </row>
    <row r="110" spans="1:20">
      <c r="A110" s="191">
        <v>39417</v>
      </c>
      <c r="B110" s="284">
        <v>13514465.429999996</v>
      </c>
      <c r="C110" s="194">
        <f>'Residential WN'!C110</f>
        <v>852.28999999999974</v>
      </c>
      <c r="D110" s="194">
        <f>'Residential WN'!D110</f>
        <v>0</v>
      </c>
      <c r="E110" s="194">
        <v>31</v>
      </c>
      <c r="F110" s="194">
        <v>0</v>
      </c>
      <c r="G110" s="184">
        <f>'CDM Activity'!O42</f>
        <v>0</v>
      </c>
      <c r="H110" s="195">
        <v>140.07191154754381</v>
      </c>
      <c r="I110" s="184">
        <v>4259</v>
      </c>
      <c r="J110" s="194">
        <v>304.29599999999999</v>
      </c>
      <c r="K110" s="194">
        <f t="shared" si="0"/>
        <v>13747663.370443296</v>
      </c>
      <c r="L110" s="194"/>
      <c r="M110" s="285"/>
    </row>
    <row r="111" spans="1:20">
      <c r="A111" s="191">
        <v>39448</v>
      </c>
      <c r="B111" s="284">
        <v>14087644.269999996</v>
      </c>
      <c r="C111" s="194">
        <f>'Residential WN'!C111</f>
        <v>960.98000000000013</v>
      </c>
      <c r="D111" s="194">
        <f>'Residential WN'!D111</f>
        <v>0</v>
      </c>
      <c r="E111" s="194">
        <v>31</v>
      </c>
      <c r="F111" s="194">
        <v>0</v>
      </c>
      <c r="G111" s="184">
        <f>'CDM Activity'!O43</f>
        <v>641.43816707100723</v>
      </c>
      <c r="H111" s="187">
        <v>139.96642175819056</v>
      </c>
      <c r="I111" s="184">
        <v>4276</v>
      </c>
      <c r="J111" s="37">
        <v>352</v>
      </c>
      <c r="K111" s="194">
        <f t="shared" si="0"/>
        <v>14217211.174274318</v>
      </c>
      <c r="L111" s="194"/>
      <c r="M111" s="37"/>
    </row>
    <row r="112" spans="1:20">
      <c r="A112" s="191">
        <v>39479</v>
      </c>
      <c r="B112" s="284">
        <v>13323309.449999977</v>
      </c>
      <c r="C112" s="194">
        <f>'Residential WN'!C112</f>
        <v>875.5899999999998</v>
      </c>
      <c r="D112" s="194">
        <f>'Residential WN'!D112</f>
        <v>0</v>
      </c>
      <c r="E112" s="194">
        <v>29</v>
      </c>
      <c r="F112" s="194">
        <v>0</v>
      </c>
      <c r="G112" s="184">
        <f>'CDM Activity'!O44</f>
        <v>1282.8763341420145</v>
      </c>
      <c r="H112" s="187">
        <v>139.86101141442734</v>
      </c>
      <c r="I112" s="184">
        <v>4253</v>
      </c>
      <c r="J112" s="37">
        <v>320</v>
      </c>
      <c r="K112" s="194">
        <f t="shared" si="0"/>
        <v>13273934.7946741</v>
      </c>
      <c r="L112" s="194"/>
      <c r="M112" s="37"/>
    </row>
    <row r="113" spans="1:13">
      <c r="A113" s="191">
        <v>39508</v>
      </c>
      <c r="B113" s="284">
        <v>12857263.979999973</v>
      </c>
      <c r="C113" s="194">
        <f>'Residential WN'!C113</f>
        <v>702.91</v>
      </c>
      <c r="D113" s="194">
        <f>'Residential WN'!D113</f>
        <v>0</v>
      </c>
      <c r="E113" s="194">
        <v>31</v>
      </c>
      <c r="F113" s="194">
        <v>1</v>
      </c>
      <c r="G113" s="184">
        <f>'CDM Activity'!O45</f>
        <v>1924.3145012130217</v>
      </c>
      <c r="H113" s="187">
        <v>139.75568045642274</v>
      </c>
      <c r="I113" s="184">
        <v>4240</v>
      </c>
      <c r="J113" s="37">
        <v>304</v>
      </c>
      <c r="K113" s="194">
        <f t="shared" si="0"/>
        <v>12561157.203404693</v>
      </c>
      <c r="L113" s="194"/>
      <c r="M113" s="37"/>
    </row>
    <row r="114" spans="1:13">
      <c r="A114" s="191">
        <v>39539</v>
      </c>
      <c r="B114" s="284">
        <v>11209729.860000009</v>
      </c>
      <c r="C114" s="194">
        <f>'Residential WN'!C114</f>
        <v>450.5200000000001</v>
      </c>
      <c r="D114" s="194">
        <f>'Residential WN'!D114</f>
        <v>0</v>
      </c>
      <c r="E114" s="194">
        <v>30</v>
      </c>
      <c r="F114" s="194">
        <v>1</v>
      </c>
      <c r="G114" s="184">
        <f>'CDM Activity'!O46</f>
        <v>2565.7526682840289</v>
      </c>
      <c r="H114" s="187">
        <v>139.65042882439042</v>
      </c>
      <c r="I114" s="184">
        <v>4255</v>
      </c>
      <c r="J114" s="37">
        <v>352</v>
      </c>
      <c r="K114" s="194">
        <f t="shared" si="0"/>
        <v>11169399.286452036</v>
      </c>
      <c r="L114" s="194"/>
      <c r="M114" s="37"/>
    </row>
    <row r="115" spans="1:13">
      <c r="A115" s="191">
        <v>39569</v>
      </c>
      <c r="B115" s="284">
        <v>10641515.859999977</v>
      </c>
      <c r="C115" s="194">
        <f>'Residential WN'!C115</f>
        <v>271.46000000000004</v>
      </c>
      <c r="D115" s="194">
        <f>'Residential WN'!D115</f>
        <v>0.47000000000000003</v>
      </c>
      <c r="E115" s="194">
        <v>31</v>
      </c>
      <c r="F115" s="194">
        <v>1</v>
      </c>
      <c r="G115" s="184">
        <f>'CDM Activity'!O47</f>
        <v>3207.1908353550361</v>
      </c>
      <c r="H115" s="187">
        <v>139.54525645858905</v>
      </c>
      <c r="I115" s="184">
        <v>4261</v>
      </c>
      <c r="J115" s="37">
        <v>336</v>
      </c>
      <c r="K115" s="194">
        <f t="shared" si="0"/>
        <v>10672127.939161232</v>
      </c>
      <c r="L115" s="194"/>
      <c r="M115" s="37"/>
    </row>
    <row r="116" spans="1:13">
      <c r="A116" s="191">
        <v>39600</v>
      </c>
      <c r="B116" s="284">
        <v>10314120.790000018</v>
      </c>
      <c r="C116" s="194">
        <f>'Residential WN'!C116</f>
        <v>109.59</v>
      </c>
      <c r="D116" s="194">
        <f>'Residential WN'!D116</f>
        <v>6.7</v>
      </c>
      <c r="E116" s="194">
        <v>30</v>
      </c>
      <c r="F116" s="194">
        <v>0</v>
      </c>
      <c r="G116" s="184">
        <f>'CDM Activity'!O48</f>
        <v>3848.6290024260434</v>
      </c>
      <c r="H116" s="187">
        <v>139.44016329932234</v>
      </c>
      <c r="I116" s="184">
        <v>4242</v>
      </c>
      <c r="J116" s="37">
        <v>336</v>
      </c>
      <c r="K116" s="194">
        <f t="shared" si="0"/>
        <v>10321924.778820384</v>
      </c>
      <c r="L116" s="194"/>
      <c r="M116" s="37"/>
    </row>
    <row r="117" spans="1:13">
      <c r="A117" s="191">
        <v>39630</v>
      </c>
      <c r="B117" s="284">
        <v>11042847.349999966</v>
      </c>
      <c r="C117" s="194">
        <f>'Residential WN'!C117</f>
        <v>36.33</v>
      </c>
      <c r="D117" s="194">
        <f>'Residential WN'!D117</f>
        <v>40.369999999999997</v>
      </c>
      <c r="E117" s="194">
        <v>31</v>
      </c>
      <c r="F117" s="194">
        <v>0</v>
      </c>
      <c r="G117" s="184">
        <f>'CDM Activity'!O49</f>
        <v>4490.0671694970506</v>
      </c>
      <c r="H117" s="187">
        <v>139.3351492869389</v>
      </c>
      <c r="I117" s="184">
        <v>4223</v>
      </c>
      <c r="J117" s="37">
        <v>352</v>
      </c>
      <c r="K117" s="194">
        <f t="shared" si="0"/>
        <v>10980516.718290139</v>
      </c>
      <c r="L117" s="194"/>
      <c r="M117" s="37"/>
    </row>
    <row r="118" spans="1:13">
      <c r="A118" s="191">
        <v>39661</v>
      </c>
      <c r="B118" s="284">
        <v>10916451.01</v>
      </c>
      <c r="C118" s="194">
        <f>'Residential WN'!C118</f>
        <v>51.55</v>
      </c>
      <c r="D118" s="194">
        <f>'Residential WN'!D118</f>
        <v>29.669999999999998</v>
      </c>
      <c r="E118" s="194">
        <v>31</v>
      </c>
      <c r="F118" s="194">
        <v>0</v>
      </c>
      <c r="G118" s="184">
        <f>'CDM Activity'!O50</f>
        <v>5131.5053365680578</v>
      </c>
      <c r="H118" s="187">
        <v>139.23021436183228</v>
      </c>
      <c r="I118" s="184">
        <v>4227</v>
      </c>
      <c r="J118" s="37">
        <v>320</v>
      </c>
      <c r="K118" s="194">
        <f t="shared" si="0"/>
        <v>10817879.893659195</v>
      </c>
      <c r="L118" s="194"/>
      <c r="M118" s="37"/>
    </row>
    <row r="119" spans="1:13">
      <c r="A119" s="191">
        <v>39692</v>
      </c>
      <c r="B119" s="284">
        <v>10097320.279999997</v>
      </c>
      <c r="C119" s="194">
        <f>'Residential WN'!C119</f>
        <v>176.97</v>
      </c>
      <c r="D119" s="194">
        <f>'Residential WN'!D119</f>
        <v>5.05</v>
      </c>
      <c r="E119" s="194">
        <v>30</v>
      </c>
      <c r="F119" s="194">
        <v>1</v>
      </c>
      <c r="G119" s="184">
        <f>'CDM Activity'!O51</f>
        <v>5772.9435036390651</v>
      </c>
      <c r="H119" s="187">
        <v>139.12535846444095</v>
      </c>
      <c r="I119" s="184">
        <v>4233</v>
      </c>
      <c r="J119" s="37">
        <v>336</v>
      </c>
      <c r="K119" s="194">
        <f t="shared" si="0"/>
        <v>10049140.394745089</v>
      </c>
      <c r="L119" s="194"/>
      <c r="M119" s="37"/>
    </row>
    <row r="120" spans="1:13">
      <c r="A120" s="191">
        <v>39722</v>
      </c>
      <c r="B120" s="284">
        <v>10600173.260000022</v>
      </c>
      <c r="C120" s="194">
        <f>'Residential WN'!C120</f>
        <v>372.15</v>
      </c>
      <c r="D120" s="194">
        <f>'Residential WN'!D120</f>
        <v>0.54</v>
      </c>
      <c r="E120" s="194">
        <v>31</v>
      </c>
      <c r="F120" s="194">
        <v>1</v>
      </c>
      <c r="G120" s="184">
        <f>'CDM Activity'!O52</f>
        <v>6414.3816707100723</v>
      </c>
      <c r="H120" s="187">
        <v>139.02058153524823</v>
      </c>
      <c r="I120" s="184">
        <v>4277</v>
      </c>
      <c r="J120" s="37">
        <v>352</v>
      </c>
      <c r="K120" s="194">
        <f t="shared" si="0"/>
        <v>11084838.040769842</v>
      </c>
      <c r="L120" s="194"/>
      <c r="M120" s="37"/>
    </row>
    <row r="121" spans="1:13">
      <c r="A121" s="191">
        <v>39753</v>
      </c>
      <c r="B121" s="284">
        <v>11883390.629999967</v>
      </c>
      <c r="C121" s="194">
        <f>'Residential WN'!C121</f>
        <v>567.61000000000013</v>
      </c>
      <c r="D121" s="194">
        <f>'Residential WN'!D121</f>
        <v>0</v>
      </c>
      <c r="E121" s="194">
        <v>30</v>
      </c>
      <c r="F121" s="194">
        <v>1</v>
      </c>
      <c r="G121" s="184">
        <f>'CDM Activity'!O53</f>
        <v>7055.8198377810795</v>
      </c>
      <c r="H121" s="187">
        <v>138.91588351478222</v>
      </c>
      <c r="I121" s="184">
        <v>4304</v>
      </c>
      <c r="J121" s="37">
        <v>304</v>
      </c>
      <c r="K121" s="194">
        <f t="shared" si="0"/>
        <v>11640714.654405413</v>
      </c>
      <c r="L121" s="194"/>
      <c r="M121" s="37"/>
    </row>
    <row r="122" spans="1:13">
      <c r="A122" s="191">
        <v>39783</v>
      </c>
      <c r="B122" s="284">
        <v>13928152.380000029</v>
      </c>
      <c r="C122" s="194">
        <f>'Residential WN'!C122</f>
        <v>852.28999999999974</v>
      </c>
      <c r="D122" s="194">
        <f>'Residential WN'!D122</f>
        <v>0</v>
      </c>
      <c r="E122" s="194">
        <v>31</v>
      </c>
      <c r="F122" s="194">
        <v>0</v>
      </c>
      <c r="G122" s="184">
        <f>'CDM Activity'!O54</f>
        <v>7697.2580048520867</v>
      </c>
      <c r="H122" s="187">
        <v>138.8112643436159</v>
      </c>
      <c r="I122" s="184">
        <v>4292</v>
      </c>
      <c r="J122" s="37">
        <v>336</v>
      </c>
      <c r="K122" s="194">
        <f t="shared" si="0"/>
        <v>13677598.501719579</v>
      </c>
      <c r="L122" s="194"/>
      <c r="M122" s="188"/>
    </row>
    <row r="123" spans="1:13">
      <c r="A123" s="191">
        <v>39814</v>
      </c>
      <c r="B123" s="284">
        <v>14782282.100000059</v>
      </c>
      <c r="C123" s="194">
        <f>'Residential WN'!C123</f>
        <v>960.98000000000013</v>
      </c>
      <c r="D123" s="194">
        <f>'Residential WN'!D123</f>
        <v>0</v>
      </c>
      <c r="E123" s="194">
        <v>31</v>
      </c>
      <c r="F123" s="194">
        <v>0</v>
      </c>
      <c r="G123" s="184">
        <f>'CDM Activity'!O55</f>
        <v>15658.760164996896</v>
      </c>
      <c r="H123" s="187">
        <v>138.43555825854429</v>
      </c>
      <c r="I123" s="184">
        <v>4287</v>
      </c>
      <c r="J123" s="37">
        <v>336</v>
      </c>
      <c r="K123" s="194">
        <f t="shared" si="0"/>
        <v>14123471.770545769</v>
      </c>
      <c r="L123" s="194"/>
      <c r="M123" s="37"/>
    </row>
    <row r="124" spans="1:13">
      <c r="A124" s="191">
        <v>39845</v>
      </c>
      <c r="B124" s="284">
        <v>12729982.000000009</v>
      </c>
      <c r="C124" s="194">
        <f>'Residential WN'!C124</f>
        <v>875.5899999999998</v>
      </c>
      <c r="D124" s="194">
        <f>'Residential WN'!D124</f>
        <v>0</v>
      </c>
      <c r="E124" s="194">
        <v>28</v>
      </c>
      <c r="F124" s="194">
        <v>0</v>
      </c>
      <c r="G124" s="184">
        <f>'CDM Activity'!O56</f>
        <v>23620.262325141706</v>
      </c>
      <c r="H124" s="187">
        <v>138.06086905825526</v>
      </c>
      <c r="I124" s="184">
        <v>4283</v>
      </c>
      <c r="J124" s="37">
        <v>304</v>
      </c>
      <c r="K124" s="194">
        <f t="shared" si="0"/>
        <v>12874600.254017716</v>
      </c>
      <c r="L124" s="194"/>
      <c r="M124" s="37"/>
    </row>
    <row r="125" spans="1:13">
      <c r="A125" s="191">
        <v>39873</v>
      </c>
      <c r="B125" s="284">
        <v>12895508.210000023</v>
      </c>
      <c r="C125" s="194">
        <f>'Residential WN'!C125</f>
        <v>702.91</v>
      </c>
      <c r="D125" s="194">
        <f>'Residential WN'!D125</f>
        <v>0</v>
      </c>
      <c r="E125" s="194">
        <v>31</v>
      </c>
      <c r="F125" s="194">
        <v>1</v>
      </c>
      <c r="G125" s="184">
        <f>'CDM Activity'!O57</f>
        <v>31581.764485286516</v>
      </c>
      <c r="H125" s="187">
        <v>137.68719399045199</v>
      </c>
      <c r="I125" s="184">
        <v>4262</v>
      </c>
      <c r="J125" s="37">
        <v>352</v>
      </c>
      <c r="K125" s="194">
        <f t="shared" si="0"/>
        <v>12420198.694868783</v>
      </c>
      <c r="L125" s="194"/>
      <c r="M125" s="37"/>
    </row>
    <row r="126" spans="1:13">
      <c r="A126" s="191">
        <v>39904</v>
      </c>
      <c r="B126" s="284">
        <v>10958049.76999999</v>
      </c>
      <c r="C126" s="194">
        <f>'Residential WN'!C126</f>
        <v>450.5200000000001</v>
      </c>
      <c r="D126" s="194">
        <f>'Residential WN'!D126</f>
        <v>0</v>
      </c>
      <c r="E126" s="194">
        <v>30</v>
      </c>
      <c r="F126" s="194">
        <v>1</v>
      </c>
      <c r="G126" s="184">
        <f>'CDM Activity'!O58</f>
        <v>39543.266645431322</v>
      </c>
      <c r="H126" s="187">
        <v>137.31453031028698</v>
      </c>
      <c r="I126" s="184">
        <v>4267</v>
      </c>
      <c r="J126" s="37">
        <v>320</v>
      </c>
      <c r="K126" s="194">
        <f t="shared" si="0"/>
        <v>11004895.959364636</v>
      </c>
      <c r="L126" s="194"/>
      <c r="M126" s="287"/>
    </row>
    <row r="127" spans="1:13">
      <c r="A127" s="191">
        <v>39934</v>
      </c>
      <c r="B127" s="284">
        <v>10456056.380000023</v>
      </c>
      <c r="C127" s="194">
        <f>'Residential WN'!C127</f>
        <v>271.46000000000004</v>
      </c>
      <c r="D127" s="194">
        <f>'Residential WN'!D127</f>
        <v>0.47000000000000003</v>
      </c>
      <c r="E127" s="194">
        <v>31</v>
      </c>
      <c r="F127" s="194">
        <v>1</v>
      </c>
      <c r="G127" s="184">
        <f>'CDM Activity'!O59</f>
        <v>47504.768805576132</v>
      </c>
      <c r="H127" s="187">
        <v>136.94287528034204</v>
      </c>
      <c r="I127" s="184">
        <v>4262</v>
      </c>
      <c r="J127" s="37">
        <v>320</v>
      </c>
      <c r="K127" s="194">
        <f t="shared" si="0"/>
        <v>10484122.78416107</v>
      </c>
      <c r="L127" s="194"/>
      <c r="M127" s="37"/>
    </row>
    <row r="128" spans="1:13">
      <c r="A128" s="191">
        <v>39965</v>
      </c>
      <c r="B128" s="284">
        <v>9998205.9600000195</v>
      </c>
      <c r="C128" s="194">
        <f>'Residential WN'!C128</f>
        <v>109.59</v>
      </c>
      <c r="D128" s="194">
        <f>'Residential WN'!D128</f>
        <v>6.7</v>
      </c>
      <c r="E128" s="194">
        <v>30</v>
      </c>
      <c r="F128" s="194">
        <v>0</v>
      </c>
      <c r="G128" s="184">
        <f>'CDM Activity'!O60</f>
        <v>55466.270965720942</v>
      </c>
      <c r="H128" s="187">
        <v>136.57222617060793</v>
      </c>
      <c r="I128" s="184">
        <v>4231</v>
      </c>
      <c r="J128" s="37">
        <v>352</v>
      </c>
      <c r="K128" s="194">
        <f t="shared" si="0"/>
        <v>10110460.663025171</v>
      </c>
      <c r="L128" s="194"/>
      <c r="M128" s="37"/>
    </row>
    <row r="129" spans="1:13">
      <c r="A129" s="191">
        <v>39995</v>
      </c>
      <c r="B129" s="284">
        <v>10339691.300000004</v>
      </c>
      <c r="C129" s="194">
        <f>'Residential WN'!C129</f>
        <v>36.33</v>
      </c>
      <c r="D129" s="194">
        <f>'Residential WN'!D129</f>
        <v>40.369999999999997</v>
      </c>
      <c r="E129" s="194">
        <v>31</v>
      </c>
      <c r="F129" s="194">
        <v>0</v>
      </c>
      <c r="G129" s="184">
        <f>'CDM Activity'!O61</f>
        <v>63427.773125865751</v>
      </c>
      <c r="H129" s="187">
        <v>136.20258025846454</v>
      </c>
      <c r="I129" s="184">
        <v>4236</v>
      </c>
      <c r="J129" s="37">
        <v>352</v>
      </c>
      <c r="K129" s="194">
        <f t="shared" si="0"/>
        <v>10745636.385636285</v>
      </c>
      <c r="L129" s="194"/>
      <c r="M129" s="37"/>
    </row>
    <row r="130" spans="1:13">
      <c r="A130" s="191">
        <v>40026</v>
      </c>
      <c r="B130" s="284">
        <v>10369728.639999986</v>
      </c>
      <c r="C130" s="194">
        <f>'Residential WN'!C130</f>
        <v>51.55</v>
      </c>
      <c r="D130" s="194">
        <f>'Residential WN'!D130</f>
        <v>29.669999999999998</v>
      </c>
      <c r="E130" s="194">
        <v>31</v>
      </c>
      <c r="F130" s="194">
        <v>0</v>
      </c>
      <c r="G130" s="184">
        <f>'CDM Activity'!O62</f>
        <v>71389.275286010554</v>
      </c>
      <c r="H130" s="187">
        <v>135.83393482866074</v>
      </c>
      <c r="I130" s="184">
        <v>4236</v>
      </c>
      <c r="J130" s="37">
        <v>320</v>
      </c>
      <c r="K130" s="194">
        <f t="shared" si="0"/>
        <v>10559625.9652406</v>
      </c>
      <c r="L130" s="194"/>
      <c r="M130" s="37"/>
    </row>
    <row r="131" spans="1:13">
      <c r="A131" s="191">
        <v>40057</v>
      </c>
      <c r="B131" s="284">
        <v>10093112.910000011</v>
      </c>
      <c r="C131" s="194">
        <f>'Residential WN'!C131</f>
        <v>176.97</v>
      </c>
      <c r="D131" s="194">
        <f>'Residential WN'!D131</f>
        <v>5.05</v>
      </c>
      <c r="E131" s="194">
        <v>30</v>
      </c>
      <c r="F131" s="194">
        <v>1</v>
      </c>
      <c r="G131" s="184">
        <f>'CDM Activity'!O63</f>
        <v>79350.777446155364</v>
      </c>
      <c r="H131" s="187">
        <v>135.46628717329455</v>
      </c>
      <c r="I131" s="184">
        <v>4245</v>
      </c>
      <c r="J131" s="37">
        <v>336</v>
      </c>
      <c r="K131" s="194">
        <f t="shared" si="0"/>
        <v>9767555.3691510167</v>
      </c>
      <c r="L131" s="194"/>
      <c r="M131" s="37"/>
    </row>
    <row r="132" spans="1:13">
      <c r="A132" s="191">
        <v>40087</v>
      </c>
      <c r="B132" s="284">
        <v>10535420.810000017</v>
      </c>
      <c r="C132" s="194">
        <f>'Residential WN'!C132</f>
        <v>372.15</v>
      </c>
      <c r="D132" s="194">
        <f>'Residential WN'!D132</f>
        <v>0.54</v>
      </c>
      <c r="E132" s="194">
        <v>31</v>
      </c>
      <c r="F132" s="194">
        <v>1</v>
      </c>
      <c r="G132" s="184">
        <f>'CDM Activity'!O64</f>
        <v>87312.279606300173</v>
      </c>
      <c r="H132" s="187">
        <v>135.09963459179312</v>
      </c>
      <c r="I132" s="184">
        <v>4272</v>
      </c>
      <c r="J132" s="37">
        <v>336</v>
      </c>
      <c r="K132" s="194">
        <f t="shared" si="0"/>
        <v>10779964.29442187</v>
      </c>
      <c r="L132" s="194"/>
      <c r="M132" s="37"/>
    </row>
    <row r="133" spans="1:13">
      <c r="A133" s="191">
        <v>40118</v>
      </c>
      <c r="B133" s="284">
        <v>11117076.040000018</v>
      </c>
      <c r="C133" s="194">
        <f>'Residential WN'!C133</f>
        <v>567.61000000000013</v>
      </c>
      <c r="D133" s="194">
        <f>'Residential WN'!D133</f>
        <v>0</v>
      </c>
      <c r="E133" s="194">
        <v>30</v>
      </c>
      <c r="F133" s="194">
        <v>1</v>
      </c>
      <c r="G133" s="184">
        <f>'CDM Activity'!O65</f>
        <v>95273.781766444983</v>
      </c>
      <c r="H133" s="187">
        <v>134.733974390893</v>
      </c>
      <c r="I133" s="184">
        <v>4285</v>
      </c>
      <c r="J133" s="37">
        <v>320</v>
      </c>
      <c r="K133" s="194">
        <f t="shared" si="0"/>
        <v>11312594.441893477</v>
      </c>
      <c r="L133" s="194"/>
      <c r="M133" s="37"/>
    </row>
    <row r="134" spans="1:13">
      <c r="A134" s="191">
        <v>40148</v>
      </c>
      <c r="B134" s="284">
        <v>13231701.560000025</v>
      </c>
      <c r="C134" s="194">
        <f>'Residential WN'!C134</f>
        <v>852.28999999999974</v>
      </c>
      <c r="D134" s="194">
        <f>'Residential WN'!D134</f>
        <v>0</v>
      </c>
      <c r="E134" s="194">
        <v>31</v>
      </c>
      <c r="F134" s="194">
        <v>0</v>
      </c>
      <c r="G134" s="184">
        <f>'CDM Activity'!O66</f>
        <v>103235.28392658979</v>
      </c>
      <c r="H134" s="187">
        <v>134.36930388462019</v>
      </c>
      <c r="I134" s="184">
        <v>4313</v>
      </c>
      <c r="J134" s="37">
        <v>352</v>
      </c>
      <c r="K134" s="194">
        <f t="shared" si="0"/>
        <v>13326273.95613708</v>
      </c>
      <c r="L134" s="194"/>
      <c r="M134" s="37"/>
    </row>
    <row r="135" spans="1:13">
      <c r="A135" s="191">
        <v>40179</v>
      </c>
      <c r="B135" s="284">
        <v>13822668.869999984</v>
      </c>
      <c r="C135" s="194">
        <f>'Residential WN'!C135</f>
        <v>960.98000000000013</v>
      </c>
      <c r="D135" s="194">
        <f>'Residential WN'!D135</f>
        <v>0</v>
      </c>
      <c r="E135" s="194">
        <v>31</v>
      </c>
      <c r="F135" s="194">
        <v>0</v>
      </c>
      <c r="G135" s="184">
        <f>'CDM Activity'!O67</f>
        <v>110872.31839091858</v>
      </c>
      <c r="H135" s="187">
        <v>134.73334561620703</v>
      </c>
      <c r="I135" s="184">
        <v>4306</v>
      </c>
      <c r="J135" s="194">
        <v>320</v>
      </c>
      <c r="K135" s="194">
        <f t="shared" si="0"/>
        <v>13806861.183479482</v>
      </c>
      <c r="L135" s="194"/>
      <c r="M135" s="37"/>
    </row>
    <row r="136" spans="1:13">
      <c r="A136" s="191">
        <v>40210</v>
      </c>
      <c r="B136" s="284">
        <v>11978631.199999979</v>
      </c>
      <c r="C136" s="194">
        <f>'Residential WN'!C136</f>
        <v>875.5899999999998</v>
      </c>
      <c r="D136" s="194">
        <f>'Residential WN'!D136</f>
        <v>0</v>
      </c>
      <c r="E136" s="194">
        <v>28</v>
      </c>
      <c r="F136" s="194">
        <v>0</v>
      </c>
      <c r="G136" s="184">
        <f>'CDM Activity'!O68</f>
        <v>118509.35285524736</v>
      </c>
      <c r="H136" s="187">
        <v>135.09837363244745</v>
      </c>
      <c r="I136" s="184">
        <v>4306</v>
      </c>
      <c r="J136" s="194">
        <v>304</v>
      </c>
      <c r="K136" s="194">
        <f t="shared" si="0"/>
        <v>12592702.209993403</v>
      </c>
      <c r="L136" s="194"/>
      <c r="M136" s="37"/>
    </row>
    <row r="137" spans="1:13">
      <c r="A137" s="191">
        <v>40238</v>
      </c>
      <c r="B137" s="284">
        <v>11476632.719999976</v>
      </c>
      <c r="C137" s="194">
        <f>'Residential WN'!C137</f>
        <v>702.91</v>
      </c>
      <c r="D137" s="194">
        <f>'Residential WN'!D137</f>
        <v>0</v>
      </c>
      <c r="E137" s="194">
        <v>31</v>
      </c>
      <c r="F137" s="194">
        <v>1</v>
      </c>
      <c r="G137" s="184">
        <f>'CDM Activity'!O69</f>
        <v>126146.38731957614</v>
      </c>
      <c r="H137" s="187">
        <v>135.46439060544563</v>
      </c>
      <c r="I137" s="184">
        <v>4314</v>
      </c>
      <c r="J137" s="194">
        <v>368</v>
      </c>
      <c r="K137" s="194">
        <f t="shared" si="0"/>
        <v>12173012.029329453</v>
      </c>
      <c r="L137" s="194"/>
      <c r="M137" s="37"/>
    </row>
    <row r="138" spans="1:13">
      <c r="A138" s="191">
        <v>40269</v>
      </c>
      <c r="B138" s="284">
        <v>10116363.230000025</v>
      </c>
      <c r="C138" s="194">
        <f>'Residential WN'!C138</f>
        <v>450.5200000000001</v>
      </c>
      <c r="D138" s="194">
        <f>'Residential WN'!D138</f>
        <v>0</v>
      </c>
      <c r="E138" s="194">
        <v>30</v>
      </c>
      <c r="F138" s="194">
        <v>1</v>
      </c>
      <c r="G138" s="184">
        <f>'CDM Activity'!O70</f>
        <v>133783.42178390492</v>
      </c>
      <c r="H138" s="187">
        <v>135.83139921454512</v>
      </c>
      <c r="I138" s="184">
        <v>4307</v>
      </c>
      <c r="J138" s="194">
        <v>320</v>
      </c>
      <c r="K138" s="194">
        <f t="shared" si="0"/>
        <v>10792419.758660814</v>
      </c>
      <c r="L138" s="194"/>
      <c r="M138" s="37"/>
    </row>
    <row r="139" spans="1:13">
      <c r="A139" s="191">
        <v>40299</v>
      </c>
      <c r="B139" s="284">
        <v>10174879.319999982</v>
      </c>
      <c r="C139" s="194">
        <f>'Residential WN'!C139</f>
        <v>271.46000000000004</v>
      </c>
      <c r="D139" s="194">
        <f>'Residential WN'!D139</f>
        <v>0.47000000000000003</v>
      </c>
      <c r="E139" s="194">
        <v>31</v>
      </c>
      <c r="F139" s="194">
        <v>1</v>
      </c>
      <c r="G139" s="184">
        <f>'CDM Activity'!O71</f>
        <v>141420.45624823371</v>
      </c>
      <c r="H139" s="187">
        <v>136.19940214634852</v>
      </c>
      <c r="I139" s="184">
        <v>4279</v>
      </c>
      <c r="J139" s="194">
        <v>320</v>
      </c>
      <c r="K139" s="194">
        <f t="shared" si="0"/>
        <v>10306356.385542938</v>
      </c>
      <c r="L139" s="194"/>
      <c r="M139" s="37"/>
    </row>
    <row r="140" spans="1:13">
      <c r="A140" s="191">
        <v>40330</v>
      </c>
      <c r="B140" s="284">
        <v>9916902.6700000148</v>
      </c>
      <c r="C140" s="194">
        <f>'Residential WN'!C140</f>
        <v>109.59</v>
      </c>
      <c r="D140" s="194">
        <f>'Residential WN'!D140</f>
        <v>6.7</v>
      </c>
      <c r="E140" s="194">
        <v>30</v>
      </c>
      <c r="F140" s="194">
        <v>0</v>
      </c>
      <c r="G140" s="184">
        <f>'CDM Activity'!O72</f>
        <v>149057.49071256249</v>
      </c>
      <c r="H140" s="187">
        <v>136.56840209473719</v>
      </c>
      <c r="I140" s="184">
        <v>4287</v>
      </c>
      <c r="J140" s="194">
        <v>352</v>
      </c>
      <c r="K140" s="194">
        <f t="shared" si="0"/>
        <v>9967403.6546365377</v>
      </c>
      <c r="L140" s="194"/>
      <c r="M140" s="37"/>
    </row>
    <row r="141" spans="1:13">
      <c r="A141" s="191">
        <v>40360</v>
      </c>
      <c r="B141" s="284">
        <v>10687565.209999999</v>
      </c>
      <c r="C141" s="194">
        <f>'Residential WN'!C141</f>
        <v>36.33</v>
      </c>
      <c r="D141" s="194">
        <f>'Residential WN'!D141</f>
        <v>40.369999999999997</v>
      </c>
      <c r="E141" s="194">
        <v>31</v>
      </c>
      <c r="F141" s="194">
        <v>0</v>
      </c>
      <c r="G141" s="184">
        <f>'CDM Activity'!O73</f>
        <v>156694.52517689127</v>
      </c>
      <c r="H141" s="187">
        <v>136.93840176089088</v>
      </c>
      <c r="I141" s="184">
        <v>4285</v>
      </c>
      <c r="J141" s="194">
        <v>336</v>
      </c>
      <c r="K141" s="194">
        <f t="shared" si="0"/>
        <v>10637288.60651039</v>
      </c>
      <c r="L141" s="194"/>
      <c r="M141" s="37"/>
    </row>
    <row r="142" spans="1:13">
      <c r="A142" s="191">
        <v>40391</v>
      </c>
      <c r="B142" s="284">
        <v>10774421.849999988</v>
      </c>
      <c r="C142" s="194">
        <f>'Residential WN'!C142</f>
        <v>51.55</v>
      </c>
      <c r="D142" s="194">
        <f>'Residential WN'!D142</f>
        <v>29.669999999999998</v>
      </c>
      <c r="E142" s="194">
        <v>31</v>
      </c>
      <c r="F142" s="194">
        <v>0</v>
      </c>
      <c r="G142" s="184">
        <f>'CDM Activity'!O74</f>
        <v>164331.55964122005</v>
      </c>
      <c r="H142" s="187">
        <v>137.30940385330757</v>
      </c>
      <c r="I142" s="184">
        <v>4286</v>
      </c>
      <c r="J142" s="194">
        <v>336</v>
      </c>
      <c r="K142" s="194">
        <f t="shared" si="0"/>
        <v>10485987.505297767</v>
      </c>
      <c r="L142" s="194"/>
      <c r="M142" s="37"/>
    </row>
    <row r="143" spans="1:13">
      <c r="A143" s="191">
        <v>40422</v>
      </c>
      <c r="B143" s="284">
        <v>9491235.3699999973</v>
      </c>
      <c r="C143" s="194">
        <f>'Residential WN'!C143</f>
        <v>176.97</v>
      </c>
      <c r="D143" s="194">
        <f>'Residential WN'!D143</f>
        <v>5.05</v>
      </c>
      <c r="E143" s="194">
        <v>30</v>
      </c>
      <c r="F143" s="194">
        <v>1</v>
      </c>
      <c r="G143" s="184">
        <f>'CDM Activity'!O75</f>
        <v>171968.59410554884</v>
      </c>
      <c r="H143" s="187">
        <v>137.68141108782325</v>
      </c>
      <c r="I143" s="184">
        <v>4302</v>
      </c>
      <c r="J143" s="194">
        <v>336</v>
      </c>
      <c r="K143" s="194">
        <f t="shared" si="0"/>
        <v>9728626.569198139</v>
      </c>
      <c r="L143" s="194"/>
      <c r="M143" s="37"/>
    </row>
    <row r="144" spans="1:13">
      <c r="A144" s="191">
        <v>40452</v>
      </c>
      <c r="B144" s="284">
        <v>10047653.200000029</v>
      </c>
      <c r="C144" s="194">
        <f>'Residential WN'!C144</f>
        <v>372.15</v>
      </c>
      <c r="D144" s="194">
        <f>'Residential WN'!D144</f>
        <v>0.54</v>
      </c>
      <c r="E144" s="194">
        <v>31</v>
      </c>
      <c r="F144" s="194">
        <v>1</v>
      </c>
      <c r="G144" s="184">
        <f>'CDM Activity'!O76</f>
        <v>179605.62856987762</v>
      </c>
      <c r="H144" s="187">
        <v>138.0544261876318</v>
      </c>
      <c r="I144" s="184">
        <v>4331</v>
      </c>
      <c r="J144" s="194">
        <v>320</v>
      </c>
      <c r="K144" s="194">
        <f t="shared" si="0"/>
        <v>10775745.746153738</v>
      </c>
      <c r="L144" s="194"/>
      <c r="M144" s="37"/>
    </row>
    <row r="145" spans="1:13">
      <c r="A145" s="191">
        <v>40483</v>
      </c>
      <c r="B145" s="284">
        <v>11121846.869999992</v>
      </c>
      <c r="C145" s="194">
        <f>'Residential WN'!C145</f>
        <v>567.61000000000013</v>
      </c>
      <c r="D145" s="194">
        <f>'Residential WN'!D145</f>
        <v>0</v>
      </c>
      <c r="E145" s="194">
        <v>30</v>
      </c>
      <c r="F145" s="194">
        <v>1</v>
      </c>
      <c r="G145" s="184">
        <f>'CDM Activity'!O77</f>
        <v>187242.6630342064</v>
      </c>
      <c r="H145" s="187">
        <v>138.42845188330503</v>
      </c>
      <c r="I145" s="184">
        <v>4335</v>
      </c>
      <c r="J145" s="194">
        <v>336</v>
      </c>
      <c r="K145" s="194">
        <f t="shared" si="0"/>
        <v>11343086.987895951</v>
      </c>
      <c r="L145" s="194"/>
      <c r="M145" s="37"/>
    </row>
    <row r="146" spans="1:13">
      <c r="A146" s="191">
        <v>40513</v>
      </c>
      <c r="B146" s="284">
        <v>13156983.93999997</v>
      </c>
      <c r="C146" s="194">
        <f>'Residential WN'!C146</f>
        <v>852.28999999999974</v>
      </c>
      <c r="D146" s="194">
        <f>'Residential WN'!D146</f>
        <v>0</v>
      </c>
      <c r="E146" s="194">
        <v>31</v>
      </c>
      <c r="F146" s="194">
        <v>0</v>
      </c>
      <c r="G146" s="184">
        <f>'CDM Activity'!O78</f>
        <v>194879.69749853518</v>
      </c>
      <c r="H146" s="187">
        <v>138.80349091281266</v>
      </c>
      <c r="I146" s="184">
        <v>4331</v>
      </c>
      <c r="J146" s="194">
        <v>368</v>
      </c>
      <c r="K146" s="194">
        <f t="shared" si="0"/>
        <v>13391478.6898921</v>
      </c>
      <c r="L146" s="194"/>
      <c r="M146" s="37"/>
    </row>
    <row r="147" spans="1:13">
      <c r="A147" s="183">
        <v>40544</v>
      </c>
      <c r="B147" s="284">
        <v>14302277.350000005</v>
      </c>
      <c r="C147" s="194">
        <f>'Residential WN'!C147</f>
        <v>960.98000000000013</v>
      </c>
      <c r="D147" s="194">
        <f>'Residential WN'!D147</f>
        <v>0</v>
      </c>
      <c r="E147" s="287">
        <v>31</v>
      </c>
      <c r="F147" s="194">
        <v>0</v>
      </c>
      <c r="G147" s="184">
        <f>'CDM Activity'!O79</f>
        <v>197957.69787198218</v>
      </c>
      <c r="H147" s="187">
        <v>139.10070640604135</v>
      </c>
      <c r="I147" s="184">
        <v>4329</v>
      </c>
      <c r="J147" s="194">
        <v>336</v>
      </c>
      <c r="K147" s="194">
        <f t="shared" si="0"/>
        <v>13875934.731719337</v>
      </c>
      <c r="L147" s="194"/>
      <c r="M147" s="37"/>
    </row>
    <row r="148" spans="1:13">
      <c r="A148" s="183">
        <v>40575</v>
      </c>
      <c r="B148" s="284">
        <v>12447595.389999971</v>
      </c>
      <c r="C148" s="194">
        <f>'Residential WN'!C148</f>
        <v>875.5899999999998</v>
      </c>
      <c r="D148" s="194">
        <f>'Residential WN'!D148</f>
        <v>0</v>
      </c>
      <c r="E148" s="287">
        <v>28</v>
      </c>
      <c r="F148" s="194">
        <v>0</v>
      </c>
      <c r="G148" s="184">
        <f>'CDM Activity'!O80</f>
        <v>201035.69824542917</v>
      </c>
      <c r="H148" s="187">
        <v>139.39855831733732</v>
      </c>
      <c r="I148" s="184">
        <v>4324</v>
      </c>
      <c r="J148" s="194">
        <v>304</v>
      </c>
      <c r="K148" s="194">
        <f t="shared" si="0"/>
        <v>12665628.388892902</v>
      </c>
      <c r="L148" s="194"/>
      <c r="M148" s="37"/>
    </row>
    <row r="149" spans="1:13">
      <c r="A149" s="183">
        <v>40603</v>
      </c>
      <c r="B149" s="284">
        <v>12509940.990000015</v>
      </c>
      <c r="C149" s="194">
        <f>'Residential WN'!C149</f>
        <v>702.91</v>
      </c>
      <c r="D149" s="194">
        <f>'Residential WN'!D149</f>
        <v>0</v>
      </c>
      <c r="E149" s="287">
        <v>31</v>
      </c>
      <c r="F149" s="194">
        <v>1</v>
      </c>
      <c r="G149" s="184">
        <f>'CDM Activity'!O81</f>
        <v>204113.69861887617</v>
      </c>
      <c r="H149" s="187">
        <v>139.69704800944226</v>
      </c>
      <c r="I149" s="184">
        <v>4331</v>
      </c>
      <c r="J149" s="194">
        <v>368</v>
      </c>
      <c r="K149" s="194">
        <f t="shared" si="0"/>
        <v>12249774.594496047</v>
      </c>
      <c r="L149" s="194"/>
      <c r="M149" s="37"/>
    </row>
    <row r="150" spans="1:13">
      <c r="A150" s="183">
        <v>40634</v>
      </c>
      <c r="B150" s="284">
        <v>10791805.250000004</v>
      </c>
      <c r="C150" s="194">
        <f>'Residential WN'!C150</f>
        <v>450.5200000000001</v>
      </c>
      <c r="D150" s="194">
        <f>'Residential WN'!D150</f>
        <v>0</v>
      </c>
      <c r="E150" s="287">
        <v>30</v>
      </c>
      <c r="F150" s="194">
        <v>1</v>
      </c>
      <c r="G150" s="184">
        <f>'CDM Activity'!O82</f>
        <v>207191.69899232316</v>
      </c>
      <c r="H150" s="187">
        <v>139.99617684801592</v>
      </c>
      <c r="I150" s="184">
        <v>4324</v>
      </c>
      <c r="J150" s="194">
        <v>320</v>
      </c>
      <c r="K150" s="194">
        <f t="shared" si="0"/>
        <v>10873002.404934715</v>
      </c>
      <c r="L150" s="194"/>
      <c r="M150" s="37"/>
    </row>
    <row r="151" spans="1:13">
      <c r="A151" s="183">
        <v>40664</v>
      </c>
      <c r="B151" s="284">
        <v>10114377.919999992</v>
      </c>
      <c r="C151" s="194">
        <f>'Residential WN'!C151</f>
        <v>271.46000000000004</v>
      </c>
      <c r="D151" s="194">
        <f>'Residential WN'!D151</f>
        <v>0.47000000000000003</v>
      </c>
      <c r="E151" s="287">
        <v>31</v>
      </c>
      <c r="F151" s="194">
        <v>1</v>
      </c>
      <c r="G151" s="184">
        <f>'CDM Activity'!O83</f>
        <v>210269.69936577015</v>
      </c>
      <c r="H151" s="187">
        <v>140.29594620164227</v>
      </c>
      <c r="I151" s="184">
        <v>4319</v>
      </c>
      <c r="J151" s="194">
        <v>336</v>
      </c>
      <c r="K151" s="194">
        <f t="shared" si="0"/>
        <v>10390742.746796593</v>
      </c>
      <c r="L151" s="194"/>
      <c r="M151" s="37"/>
    </row>
    <row r="152" spans="1:13">
      <c r="A152" s="183">
        <v>40695</v>
      </c>
      <c r="B152" s="284">
        <v>9658664.0399999935</v>
      </c>
      <c r="C152" s="194">
        <f>'Residential WN'!C152</f>
        <v>109.59</v>
      </c>
      <c r="D152" s="194">
        <f>'Residential WN'!D152</f>
        <v>6.7</v>
      </c>
      <c r="E152" s="287">
        <v>30</v>
      </c>
      <c r="F152" s="194">
        <v>0</v>
      </c>
      <c r="G152" s="184">
        <f>'CDM Activity'!O84</f>
        <v>213347.69973921715</v>
      </c>
      <c r="H152" s="187">
        <v>140.59635744183578</v>
      </c>
      <c r="I152" s="184">
        <v>4331</v>
      </c>
      <c r="J152" s="194">
        <v>352</v>
      </c>
      <c r="K152" s="194">
        <f t="shared" ref="K152:K215" si="1">$O$103+C152*$O$104+D152*$O$105+E152*$O$106+F152*$O$107+G152*$O$108+H152*$O$109</f>
        <v>10055577.303573485</v>
      </c>
      <c r="L152" s="194"/>
      <c r="M152" s="37"/>
    </row>
    <row r="153" spans="1:13">
      <c r="A153" s="183">
        <v>40725</v>
      </c>
      <c r="B153" s="284">
        <v>10695218.369999992</v>
      </c>
      <c r="C153" s="194">
        <f>'Residential WN'!C153</f>
        <v>36.33</v>
      </c>
      <c r="D153" s="194">
        <f>'Residential WN'!D153</f>
        <v>40.369999999999997</v>
      </c>
      <c r="E153" s="287">
        <v>31</v>
      </c>
      <c r="F153" s="194">
        <v>0</v>
      </c>
      <c r="G153" s="184">
        <f>'CDM Activity'!O85</f>
        <v>216425.70011266414</v>
      </c>
      <c r="H153" s="187">
        <v>140.89741194304773</v>
      </c>
      <c r="I153" s="184">
        <v>4334</v>
      </c>
      <c r="J153" s="194">
        <v>320</v>
      </c>
      <c r="K153" s="194">
        <f t="shared" si="1"/>
        <v>10729233.054463524</v>
      </c>
      <c r="L153" s="194"/>
      <c r="M153" s="37"/>
    </row>
    <row r="154" spans="1:13">
      <c r="A154" s="183">
        <v>40756</v>
      </c>
      <c r="B154" s="284">
        <v>10770620.640000014</v>
      </c>
      <c r="C154" s="194">
        <f>'Residential WN'!C154</f>
        <v>51.55</v>
      </c>
      <c r="D154" s="194">
        <f>'Residential WN'!D154</f>
        <v>29.669999999999998</v>
      </c>
      <c r="E154" s="287">
        <v>31</v>
      </c>
      <c r="F154" s="194">
        <v>0</v>
      </c>
      <c r="G154" s="184">
        <f>'CDM Activity'!O86</f>
        <v>219503.70048611113</v>
      </c>
      <c r="H154" s="187">
        <v>141.19911108267243</v>
      </c>
      <c r="I154" s="184">
        <v>4330</v>
      </c>
      <c r="J154" s="194">
        <v>352</v>
      </c>
      <c r="K154" s="194">
        <f t="shared" si="1"/>
        <v>10581686.202026935</v>
      </c>
      <c r="L154" s="194"/>
      <c r="M154" s="37"/>
    </row>
    <row r="155" spans="1:13">
      <c r="A155" s="183">
        <v>40787</v>
      </c>
      <c r="B155" s="284">
        <v>9905090.3899999876</v>
      </c>
      <c r="C155" s="194">
        <f>'Residential WN'!C155</f>
        <v>176.97</v>
      </c>
      <c r="D155" s="194">
        <f>'Residential WN'!D155</f>
        <v>5.05</v>
      </c>
      <c r="E155" s="287">
        <v>30</v>
      </c>
      <c r="F155" s="194">
        <v>1</v>
      </c>
      <c r="G155" s="184">
        <f>'CDM Activity'!O87</f>
        <v>222581.70085955813</v>
      </c>
      <c r="H155" s="187">
        <v>141.50145624105357</v>
      </c>
      <c r="I155" s="184">
        <v>4340</v>
      </c>
      <c r="J155" s="194">
        <v>336</v>
      </c>
      <c r="K155" s="194">
        <f t="shared" si="1"/>
        <v>9828062.9026871473</v>
      </c>
      <c r="L155" s="194"/>
      <c r="M155" s="37"/>
    </row>
    <row r="156" spans="1:13">
      <c r="A156" s="183">
        <v>40817</v>
      </c>
      <c r="B156" s="284">
        <v>10394269.490000017</v>
      </c>
      <c r="C156" s="194">
        <f>'Residential WN'!C156</f>
        <v>372.15</v>
      </c>
      <c r="D156" s="194">
        <f>'Residential WN'!D156</f>
        <v>0.54</v>
      </c>
      <c r="E156" s="287">
        <v>31</v>
      </c>
      <c r="F156" s="194">
        <v>1</v>
      </c>
      <c r="G156" s="184">
        <f>'CDM Activity'!O88</f>
        <v>225659.70123300512</v>
      </c>
      <c r="H156" s="187">
        <v>141.80444880149057</v>
      </c>
      <c r="I156" s="184">
        <v>4365</v>
      </c>
      <c r="J156" s="194">
        <v>320</v>
      </c>
      <c r="K156" s="194">
        <f t="shared" si="1"/>
        <v>10878903.042406715</v>
      </c>
      <c r="L156" s="194"/>
      <c r="M156" s="37"/>
    </row>
    <row r="157" spans="1:13">
      <c r="A157" s="183">
        <v>40848</v>
      </c>
      <c r="B157" s="284">
        <v>11396702.920000002</v>
      </c>
      <c r="C157" s="194">
        <f>'Residential WN'!C157</f>
        <v>567.61000000000013</v>
      </c>
      <c r="D157" s="194">
        <f>'Residential WN'!D157</f>
        <v>0</v>
      </c>
      <c r="E157" s="287">
        <v>30</v>
      </c>
      <c r="F157" s="194">
        <v>1</v>
      </c>
      <c r="G157" s="184">
        <f>'CDM Activity'!O89</f>
        <v>228737.70160645212</v>
      </c>
      <c r="H157" s="187">
        <v>142.10809015024478</v>
      </c>
      <c r="I157" s="184">
        <v>4380</v>
      </c>
      <c r="J157" s="194">
        <v>352</v>
      </c>
      <c r="K157" s="194">
        <f t="shared" si="1"/>
        <v>11449948.510733074</v>
      </c>
      <c r="L157" s="194"/>
      <c r="M157" s="37"/>
    </row>
    <row r="158" spans="1:13">
      <c r="A158" s="183">
        <v>40878</v>
      </c>
      <c r="B158" s="284">
        <v>12702124.479999989</v>
      </c>
      <c r="C158" s="194">
        <f>'Residential WN'!C158</f>
        <v>852.28999999999974</v>
      </c>
      <c r="D158" s="194">
        <f>'Residential WN'!D158</f>
        <v>0</v>
      </c>
      <c r="E158" s="287">
        <v>31</v>
      </c>
      <c r="F158" s="194">
        <v>0</v>
      </c>
      <c r="G158" s="184">
        <f>'CDM Activity'!O90</f>
        <v>231815.70197989911</v>
      </c>
      <c r="H158" s="187">
        <v>142.41238167654581</v>
      </c>
      <c r="I158" s="184">
        <v>4369</v>
      </c>
      <c r="J158" s="194">
        <v>336</v>
      </c>
      <c r="K158" s="194">
        <f t="shared" si="1"/>
        <v>13502027.640744705</v>
      </c>
      <c r="L158" s="194"/>
      <c r="M158" s="37"/>
    </row>
    <row r="159" spans="1:13">
      <c r="A159" s="183">
        <v>40909</v>
      </c>
      <c r="B159" s="284">
        <v>13282492.840000024</v>
      </c>
      <c r="C159" s="194">
        <f>'Residential WN'!C159</f>
        <v>960.98000000000013</v>
      </c>
      <c r="D159" s="194">
        <f>'Residential WN'!D159</f>
        <v>0</v>
      </c>
      <c r="E159" s="194">
        <v>31</v>
      </c>
      <c r="F159" s="194">
        <v>0</v>
      </c>
      <c r="G159" s="184">
        <f>'CDM Activity'!O91</f>
        <v>239932.8643304155</v>
      </c>
      <c r="H159" s="187">
        <v>142.61257743956915</v>
      </c>
      <c r="I159" s="184">
        <v>4474</v>
      </c>
      <c r="J159" s="194">
        <v>336</v>
      </c>
      <c r="K159" s="194">
        <f t="shared" si="1"/>
        <v>13974302.840811014</v>
      </c>
      <c r="L159" s="194"/>
      <c r="M159" s="37"/>
    </row>
    <row r="160" spans="1:13">
      <c r="A160" s="183">
        <v>40940</v>
      </c>
      <c r="B160" s="284">
        <v>11892077.770000001</v>
      </c>
      <c r="C160" s="194">
        <f>'Residential WN'!C160</f>
        <v>875.5899999999998</v>
      </c>
      <c r="D160" s="194">
        <f>'Residential WN'!D160</f>
        <v>0</v>
      </c>
      <c r="E160" s="194">
        <v>29</v>
      </c>
      <c r="F160" s="194">
        <v>0</v>
      </c>
      <c r="G160" s="184">
        <f>'CDM Activity'!O92</f>
        <v>248050.02668093189</v>
      </c>
      <c r="H160" s="187">
        <v>142.81305462716429</v>
      </c>
      <c r="I160" s="184">
        <v>4484</v>
      </c>
      <c r="J160" s="194">
        <v>320</v>
      </c>
      <c r="K160" s="194">
        <f t="shared" si="1"/>
        <v>13033763.200414691</v>
      </c>
      <c r="L160" s="194"/>
      <c r="M160" s="37"/>
    </row>
    <row r="161" spans="1:13">
      <c r="A161" s="183">
        <v>40969</v>
      </c>
      <c r="B161" s="284">
        <v>11479099.71000001</v>
      </c>
      <c r="C161" s="194">
        <f>'Residential WN'!C161</f>
        <v>702.91</v>
      </c>
      <c r="D161" s="194">
        <f>'Residential WN'!D161</f>
        <v>0</v>
      </c>
      <c r="E161" s="194">
        <v>31</v>
      </c>
      <c r="F161" s="194">
        <v>1</v>
      </c>
      <c r="G161" s="184">
        <f>'CDM Activity'!O93</f>
        <v>256167.18903144827</v>
      </c>
      <c r="H161" s="187">
        <v>143.01381363494295</v>
      </c>
      <c r="I161" s="184">
        <v>4484</v>
      </c>
      <c r="J161" s="194">
        <v>352</v>
      </c>
      <c r="K161" s="194">
        <f t="shared" si="1"/>
        <v>12323731.712385282</v>
      </c>
      <c r="L161" s="194"/>
      <c r="M161" s="37"/>
    </row>
    <row r="162" spans="1:13">
      <c r="A162" s="183">
        <v>41000</v>
      </c>
      <c r="B162" s="284">
        <v>10218124.679999998</v>
      </c>
      <c r="C162" s="194">
        <f>'Residential WN'!C162</f>
        <v>450.5200000000001</v>
      </c>
      <c r="D162" s="194">
        <f>'Residential WN'!D162</f>
        <v>0</v>
      </c>
      <c r="E162" s="194">
        <v>30</v>
      </c>
      <c r="F162" s="194">
        <v>1</v>
      </c>
      <c r="G162" s="184">
        <f>'CDM Activity'!O94</f>
        <v>264284.35138196469</v>
      </c>
      <c r="H162" s="187">
        <v>143.21485485907297</v>
      </c>
      <c r="I162" s="184">
        <v>4484</v>
      </c>
      <c r="J162" s="194">
        <v>320</v>
      </c>
      <c r="K162" s="194">
        <f t="shared" si="1"/>
        <v>10934729.283799859</v>
      </c>
      <c r="L162" s="194"/>
      <c r="M162" s="37"/>
    </row>
    <row r="163" spans="1:13">
      <c r="A163" s="183">
        <v>41030</v>
      </c>
      <c r="B163" s="284">
        <v>10124589.529999997</v>
      </c>
      <c r="C163" s="194">
        <f>'Residential WN'!C163</f>
        <v>271.46000000000004</v>
      </c>
      <c r="D163" s="194">
        <f>'Residential WN'!D163</f>
        <v>0.47000000000000003</v>
      </c>
      <c r="E163" s="194">
        <v>31</v>
      </c>
      <c r="F163" s="194">
        <v>1</v>
      </c>
      <c r="G163" s="184">
        <f>'CDM Activity'!O95</f>
        <v>272401.51373248111</v>
      </c>
      <c r="H163" s="187">
        <v>143.41617869627913</v>
      </c>
      <c r="I163" s="184">
        <v>4488</v>
      </c>
      <c r="J163" s="194">
        <v>352</v>
      </c>
      <c r="K163" s="194">
        <f t="shared" si="1"/>
        <v>10440222.831118338</v>
      </c>
      <c r="L163" s="194"/>
      <c r="M163" s="37"/>
    </row>
    <row r="164" spans="1:13">
      <c r="A164" s="183">
        <v>41061</v>
      </c>
      <c r="B164" s="284">
        <v>10192835.750000022</v>
      </c>
      <c r="C164" s="194">
        <f>'Residential WN'!C164</f>
        <v>109.59</v>
      </c>
      <c r="D164" s="194">
        <f>'Residential WN'!D164</f>
        <v>6.7</v>
      </c>
      <c r="E164" s="194">
        <v>30</v>
      </c>
      <c r="F164" s="194">
        <v>0</v>
      </c>
      <c r="G164" s="184">
        <f>'CDM Activity'!O96</f>
        <v>280518.67608299752</v>
      </c>
      <c r="H164" s="187">
        <v>143.61778554384387</v>
      </c>
      <c r="I164" s="184">
        <v>4490</v>
      </c>
      <c r="J164" s="194">
        <v>336</v>
      </c>
      <c r="K164" s="194">
        <f t="shared" si="1"/>
        <v>10092793.992767347</v>
      </c>
      <c r="L164" s="194"/>
      <c r="M164" s="37"/>
    </row>
    <row r="165" spans="1:13">
      <c r="A165" s="183">
        <v>41091</v>
      </c>
      <c r="B165" s="284">
        <v>11177893.739999993</v>
      </c>
      <c r="C165" s="194">
        <f>'Residential WN'!C165</f>
        <v>36.33</v>
      </c>
      <c r="D165" s="194">
        <f>'Residential WN'!D165</f>
        <v>40.369999999999997</v>
      </c>
      <c r="E165" s="194">
        <v>31</v>
      </c>
      <c r="F165" s="194">
        <v>0</v>
      </c>
      <c r="G165" s="184">
        <f>'CDM Activity'!O97</f>
        <v>288635.83843351394</v>
      </c>
      <c r="H165" s="187">
        <v>143.81967579960809</v>
      </c>
      <c r="I165" s="184">
        <v>4504</v>
      </c>
      <c r="J165" s="194">
        <v>336</v>
      </c>
      <c r="K165" s="194">
        <f t="shared" si="1"/>
        <v>10754169.702769818</v>
      </c>
      <c r="L165" s="194"/>
      <c r="M165" s="37"/>
    </row>
    <row r="166" spans="1:13">
      <c r="A166" s="183">
        <v>41122</v>
      </c>
      <c r="B166" s="284">
        <v>10815121.590000007</v>
      </c>
      <c r="C166" s="194">
        <f>'Residential WN'!C166</f>
        <v>51.55</v>
      </c>
      <c r="D166" s="194">
        <f>'Residential WN'!D166</f>
        <v>29.669999999999998</v>
      </c>
      <c r="E166" s="194">
        <v>31</v>
      </c>
      <c r="F166" s="194">
        <v>0</v>
      </c>
      <c r="G166" s="184">
        <f>'CDM Activity'!O98</f>
        <v>296753.00078403036</v>
      </c>
      <c r="H166" s="187">
        <v>144.02184986197204</v>
      </c>
      <c r="I166" s="184">
        <v>4503</v>
      </c>
      <c r="J166" s="194">
        <v>352</v>
      </c>
      <c r="K166" s="194">
        <f t="shared" si="1"/>
        <v>10594326.118400522</v>
      </c>
      <c r="L166" s="194"/>
      <c r="M166" s="37"/>
    </row>
    <row r="167" spans="1:13">
      <c r="A167" s="183">
        <v>41153</v>
      </c>
      <c r="B167" s="284">
        <v>9852554.6300000139</v>
      </c>
      <c r="C167" s="194">
        <f>'Residential WN'!C167</f>
        <v>176.97</v>
      </c>
      <c r="D167" s="194">
        <f>'Residential WN'!D167</f>
        <v>5.05</v>
      </c>
      <c r="E167" s="194">
        <v>30</v>
      </c>
      <c r="F167" s="194">
        <v>1</v>
      </c>
      <c r="G167" s="184">
        <f>'CDM Activity'!O99</f>
        <v>304870.16313454678</v>
      </c>
      <c r="H167" s="187">
        <v>144.22430812989595</v>
      </c>
      <c r="I167" s="184">
        <v>4504</v>
      </c>
      <c r="J167" s="194">
        <v>304</v>
      </c>
      <c r="K167" s="194">
        <f t="shared" si="1"/>
        <v>9828389.3506869003</v>
      </c>
      <c r="L167" s="194"/>
      <c r="M167" s="37"/>
    </row>
    <row r="168" spans="1:13">
      <c r="A168" s="183">
        <v>41183</v>
      </c>
      <c r="B168" s="284">
        <v>10546419.660000006</v>
      </c>
      <c r="C168" s="194">
        <f>'Residential WN'!C168</f>
        <v>372.15</v>
      </c>
      <c r="D168" s="194">
        <f>'Residential WN'!D168</f>
        <v>0.54</v>
      </c>
      <c r="E168" s="194">
        <v>31</v>
      </c>
      <c r="F168" s="194">
        <v>1</v>
      </c>
      <c r="G168" s="184">
        <f>'CDM Activity'!O100</f>
        <v>312987.32548506319</v>
      </c>
      <c r="H168" s="187">
        <v>144.42705100290087</v>
      </c>
      <c r="I168" s="184">
        <v>4509</v>
      </c>
      <c r="J168" s="194">
        <v>352</v>
      </c>
      <c r="K168" s="194">
        <f t="shared" si="1"/>
        <v>10866899.240084741</v>
      </c>
      <c r="L168" s="194"/>
      <c r="M168" s="37"/>
    </row>
    <row r="169" spans="1:13">
      <c r="A169" s="183">
        <v>41214</v>
      </c>
      <c r="B169" s="284">
        <v>11363637.410000011</v>
      </c>
      <c r="C169" s="194">
        <f>'Residential WN'!C169</f>
        <v>567.61000000000013</v>
      </c>
      <c r="D169" s="194">
        <f>'Residential WN'!D169</f>
        <v>0</v>
      </c>
      <c r="E169" s="194">
        <v>30</v>
      </c>
      <c r="F169" s="194">
        <v>1</v>
      </c>
      <c r="G169" s="184">
        <f>'CDM Activity'!O101</f>
        <v>321104.48783557961</v>
      </c>
      <c r="H169" s="187">
        <v>144.63007888106955</v>
      </c>
      <c r="I169" s="184">
        <v>4522</v>
      </c>
      <c r="J169" s="194">
        <v>352</v>
      </c>
      <c r="K169" s="194">
        <f t="shared" si="1"/>
        <v>11425597.630523685</v>
      </c>
      <c r="L169" s="194"/>
      <c r="M169" s="37"/>
    </row>
    <row r="170" spans="1:13">
      <c r="A170" s="183">
        <v>41244</v>
      </c>
      <c r="B170" s="284">
        <v>12733993.179999996</v>
      </c>
      <c r="C170" s="194">
        <f>'Residential WN'!C170</f>
        <v>852.28999999999974</v>
      </c>
      <c r="D170" s="194">
        <f>'Residential WN'!D170</f>
        <v>0</v>
      </c>
      <c r="E170" s="194">
        <v>31</v>
      </c>
      <c r="F170" s="194">
        <v>0</v>
      </c>
      <c r="G170" s="184">
        <f>'CDM Activity'!O102</f>
        <v>329221.65018609603</v>
      </c>
      <c r="H170" s="187">
        <v>144.83339216504706</v>
      </c>
      <c r="I170" s="184">
        <v>4517</v>
      </c>
      <c r="J170" s="194">
        <v>304</v>
      </c>
      <c r="K170" s="194">
        <f t="shared" si="1"/>
        <v>13465312.809353128</v>
      </c>
      <c r="L170" s="194"/>
      <c r="M170" s="37"/>
    </row>
    <row r="171" spans="1:13">
      <c r="A171" s="183">
        <v>41275</v>
      </c>
      <c r="B171" s="284">
        <v>13858539.170000002</v>
      </c>
      <c r="C171" s="194">
        <f>'Residential WN'!C171</f>
        <v>960.98000000000013</v>
      </c>
      <c r="D171" s="194">
        <f>'Residential WN'!D171</f>
        <v>0</v>
      </c>
      <c r="E171" s="194">
        <v>31</v>
      </c>
      <c r="F171" s="194">
        <v>0</v>
      </c>
      <c r="G171" s="184">
        <f>'CDM Activity'!O103</f>
        <v>339519.55542353931</v>
      </c>
      <c r="H171" s="187">
        <v>144.98936781896037</v>
      </c>
      <c r="I171" s="184">
        <v>4521</v>
      </c>
      <c r="J171" s="194">
        <v>352</v>
      </c>
      <c r="K171" s="194">
        <f t="shared" si="1"/>
        <v>13932213.304216374</v>
      </c>
      <c r="L171" s="194"/>
      <c r="M171" s="37"/>
    </row>
    <row r="172" spans="1:13">
      <c r="A172" s="183">
        <v>41306</v>
      </c>
      <c r="B172" s="284">
        <v>12389058.759999994</v>
      </c>
      <c r="C172" s="194">
        <f>'Residential WN'!C172</f>
        <v>875.5899999999998</v>
      </c>
      <c r="D172" s="194">
        <f>'Residential WN'!D172</f>
        <v>0</v>
      </c>
      <c r="E172" s="194">
        <v>28</v>
      </c>
      <c r="F172" s="194">
        <v>0</v>
      </c>
      <c r="G172" s="184">
        <f>'CDM Activity'!O104</f>
        <v>349817.46066098259</v>
      </c>
      <c r="H172" s="187">
        <v>145.14551144798114</v>
      </c>
      <c r="I172" s="184">
        <v>4521</v>
      </c>
      <c r="J172" s="194">
        <v>304</v>
      </c>
      <c r="K172" s="194">
        <f t="shared" si="1"/>
        <v>12704329.745597685</v>
      </c>
      <c r="L172" s="194"/>
      <c r="M172" s="37"/>
    </row>
    <row r="173" spans="1:13">
      <c r="A173" s="183">
        <v>41334</v>
      </c>
      <c r="B173" s="284">
        <v>12426306.059999997</v>
      </c>
      <c r="C173" s="194">
        <f>'Residential WN'!C173</f>
        <v>702.91</v>
      </c>
      <c r="D173" s="194">
        <f>'Residential WN'!D173</f>
        <v>0</v>
      </c>
      <c r="E173" s="194">
        <v>31</v>
      </c>
      <c r="F173" s="194">
        <v>1</v>
      </c>
      <c r="G173" s="184">
        <f>'CDM Activity'!O105</f>
        <v>360115.36589842587</v>
      </c>
      <c r="H173" s="187">
        <v>145.30182323300707</v>
      </c>
      <c r="I173" s="184">
        <v>4519</v>
      </c>
      <c r="J173" s="194">
        <v>320</v>
      </c>
      <c r="K173" s="194">
        <f t="shared" si="1"/>
        <v>12270877.011911597</v>
      </c>
      <c r="L173" s="194"/>
      <c r="M173" s="37"/>
    </row>
    <row r="174" spans="1:13">
      <c r="A174" s="183">
        <v>41365</v>
      </c>
      <c r="B174" s="284">
        <v>11024965.649999976</v>
      </c>
      <c r="C174" s="194">
        <f>'Residential WN'!C174</f>
        <v>450.5200000000001</v>
      </c>
      <c r="D174" s="194">
        <f>'Residential WN'!D174</f>
        <v>0</v>
      </c>
      <c r="E174" s="194">
        <v>30</v>
      </c>
      <c r="F174" s="194">
        <v>1</v>
      </c>
      <c r="G174" s="184">
        <f>'CDM Activity'!O106</f>
        <v>370413.27113586914</v>
      </c>
      <c r="H174" s="187">
        <v>145.45830335513068</v>
      </c>
      <c r="I174" s="184">
        <v>4518</v>
      </c>
      <c r="J174" s="194">
        <v>352</v>
      </c>
      <c r="K174" s="194">
        <f t="shared" si="1"/>
        <v>10876484.104769371</v>
      </c>
      <c r="L174" s="194"/>
      <c r="M174" s="37"/>
    </row>
    <row r="175" spans="1:13">
      <c r="A175" s="183">
        <v>41395</v>
      </c>
      <c r="B175" s="284">
        <v>10309404.160000015</v>
      </c>
      <c r="C175" s="194">
        <f>'Residential WN'!C175</f>
        <v>271.46000000000004</v>
      </c>
      <c r="D175" s="194">
        <f>'Residential WN'!D175</f>
        <v>0.47000000000000003</v>
      </c>
      <c r="E175" s="194">
        <v>31</v>
      </c>
      <c r="F175" s="194">
        <v>1</v>
      </c>
      <c r="G175" s="184">
        <f>'CDM Activity'!O107</f>
        <v>380711.17637331242</v>
      </c>
      <c r="H175" s="187">
        <v>145.6149519956395</v>
      </c>
      <c r="I175" s="184">
        <v>4520</v>
      </c>
      <c r="J175" s="194">
        <v>352</v>
      </c>
      <c r="K175" s="194">
        <f t="shared" si="1"/>
        <v>10376581.895837765</v>
      </c>
      <c r="L175" s="194"/>
      <c r="M175" s="37"/>
    </row>
    <row r="176" spans="1:13">
      <c r="A176" s="183">
        <v>41426</v>
      </c>
      <c r="B176" s="284">
        <v>9706763.5499999914</v>
      </c>
      <c r="C176" s="194">
        <f>'Residential WN'!C176</f>
        <v>109.59</v>
      </c>
      <c r="D176" s="194">
        <f>'Residential WN'!D176</f>
        <v>6.7</v>
      </c>
      <c r="E176" s="194">
        <v>30</v>
      </c>
      <c r="F176" s="194">
        <v>0</v>
      </c>
      <c r="G176" s="184">
        <f>'CDM Activity'!O108</f>
        <v>391009.0816107557</v>
      </c>
      <c r="H176" s="187">
        <v>145.77176933601632</v>
      </c>
      <c r="I176" s="184">
        <v>4519</v>
      </c>
      <c r="J176" s="194">
        <v>320</v>
      </c>
      <c r="K176" s="194">
        <f t="shared" si="1"/>
        <v>10023752.01356113</v>
      </c>
      <c r="L176" s="194"/>
      <c r="M176" s="37"/>
    </row>
    <row r="177" spans="1:13">
      <c r="A177" s="183">
        <v>41456</v>
      </c>
      <c r="B177" s="284">
        <v>10209088.470000006</v>
      </c>
      <c r="C177" s="194">
        <f>'Residential WN'!C177</f>
        <v>36.33</v>
      </c>
      <c r="D177" s="194">
        <f>'Residential WN'!D177</f>
        <v>40.369999999999997</v>
      </c>
      <c r="E177" s="194">
        <v>31</v>
      </c>
      <c r="F177" s="194">
        <v>0</v>
      </c>
      <c r="G177" s="184">
        <f>'CDM Activity'!O109</f>
        <v>401306.98684819898</v>
      </c>
      <c r="H177" s="187">
        <v>145.92875555793933</v>
      </c>
      <c r="I177" s="184">
        <v>4527</v>
      </c>
      <c r="J177" s="194">
        <v>352</v>
      </c>
      <c r="K177" s="194">
        <f t="shared" si="1"/>
        <v>10679721.381963328</v>
      </c>
      <c r="L177" s="194"/>
      <c r="M177" s="37"/>
    </row>
    <row r="178" spans="1:13">
      <c r="A178" s="183">
        <v>41487</v>
      </c>
      <c r="B178" s="284">
        <v>10283952.329999983</v>
      </c>
      <c r="C178" s="194">
        <f>'Residential WN'!C178</f>
        <v>51.55</v>
      </c>
      <c r="D178" s="194">
        <f>'Residential WN'!D178</f>
        <v>29.669999999999998</v>
      </c>
      <c r="E178" s="194">
        <v>31</v>
      </c>
      <c r="F178" s="194">
        <v>0</v>
      </c>
      <c r="G178" s="184">
        <f>'CDM Activity'!O110</f>
        <v>411604.89208564226</v>
      </c>
      <c r="H178" s="187">
        <v>146.08591084328242</v>
      </c>
      <c r="I178" s="184">
        <v>4534</v>
      </c>
      <c r="J178" s="194">
        <v>336</v>
      </c>
      <c r="K178" s="194">
        <f t="shared" si="1"/>
        <v>10514466.148303248</v>
      </c>
      <c r="L178" s="194"/>
      <c r="M178" s="37"/>
    </row>
    <row r="179" spans="1:13">
      <c r="A179" s="183">
        <v>41518</v>
      </c>
      <c r="B179" s="284">
        <v>9712165.490000017</v>
      </c>
      <c r="C179" s="194">
        <f>'Residential WN'!C179</f>
        <v>176.97</v>
      </c>
      <c r="D179" s="194">
        <f>'Residential WN'!D179</f>
        <v>5.05</v>
      </c>
      <c r="E179" s="194">
        <v>30</v>
      </c>
      <c r="F179" s="194">
        <v>1</v>
      </c>
      <c r="G179" s="184">
        <f>'CDM Activity'!O111</f>
        <v>421902.79732308554</v>
      </c>
      <c r="H179" s="187">
        <v>146.2432353741153</v>
      </c>
      <c r="I179" s="184">
        <v>4529</v>
      </c>
      <c r="J179" s="194">
        <v>320</v>
      </c>
      <c r="K179" s="194">
        <f t="shared" si="1"/>
        <v>9743112.4135755934</v>
      </c>
      <c r="L179" s="194"/>
      <c r="M179" s="37"/>
    </row>
    <row r="180" spans="1:13">
      <c r="A180" s="183">
        <v>41548</v>
      </c>
      <c r="B180" s="284">
        <v>10365605.60761201</v>
      </c>
      <c r="C180" s="194">
        <f>'Residential WN'!C180</f>
        <v>372.15</v>
      </c>
      <c r="D180" s="194">
        <f>'Residential WN'!D180</f>
        <v>0.54</v>
      </c>
      <c r="E180" s="194">
        <v>31</v>
      </c>
      <c r="F180" s="194">
        <v>1</v>
      </c>
      <c r="G180" s="184">
        <f>'CDM Activity'!O112</f>
        <v>432200.70256052882</v>
      </c>
      <c r="H180" s="187">
        <v>146.4007293327038</v>
      </c>
      <c r="I180" s="184">
        <v>4526</v>
      </c>
      <c r="J180" s="194">
        <v>352</v>
      </c>
      <c r="K180" s="194">
        <f t="shared" si="1"/>
        <v>10776200.008186553</v>
      </c>
      <c r="L180" s="194"/>
      <c r="M180" s="37"/>
    </row>
    <row r="181" spans="1:13">
      <c r="A181" s="183">
        <v>41579</v>
      </c>
      <c r="B181" s="284">
        <v>11761751.932388004</v>
      </c>
      <c r="C181" s="194">
        <f>'Residential WN'!C181</f>
        <v>567.61000000000013</v>
      </c>
      <c r="D181" s="194">
        <f>'Residential WN'!D181</f>
        <v>0</v>
      </c>
      <c r="E181" s="194">
        <v>30</v>
      </c>
      <c r="F181" s="194">
        <v>1</v>
      </c>
      <c r="G181" s="184">
        <f>'CDM Activity'!O113</f>
        <v>442498.6077979721</v>
      </c>
      <c r="H181" s="187">
        <v>146.55839290151005</v>
      </c>
      <c r="I181" s="184">
        <v>4547</v>
      </c>
      <c r="J181" s="194">
        <v>336</v>
      </c>
      <c r="K181" s="194">
        <f t="shared" si="1"/>
        <v>11329470.765999258</v>
      </c>
      <c r="L181" s="194"/>
      <c r="M181" s="37"/>
    </row>
    <row r="182" spans="1:13">
      <c r="A182" s="183">
        <v>41609</v>
      </c>
      <c r="B182" s="284">
        <v>14283584.430000007</v>
      </c>
      <c r="C182" s="194">
        <f>'Residential WN'!C182</f>
        <v>852.28999999999974</v>
      </c>
      <c r="D182" s="194">
        <f>'Residential WN'!D182</f>
        <v>0</v>
      </c>
      <c r="E182" s="194">
        <v>31</v>
      </c>
      <c r="F182" s="194">
        <v>0</v>
      </c>
      <c r="G182" s="184">
        <f>'CDM Activity'!O114</f>
        <v>452796.51303541538</v>
      </c>
      <c r="H182" s="187">
        <v>146.71622626319265</v>
      </c>
      <c r="I182" s="184">
        <v>4552</v>
      </c>
      <c r="J182" s="194">
        <v>320</v>
      </c>
      <c r="K182" s="194">
        <f t="shared" si="1"/>
        <v>13363752.96427967</v>
      </c>
      <c r="L182" s="194"/>
      <c r="M182" s="37"/>
    </row>
    <row r="183" spans="1:13">
      <c r="A183" s="183">
        <v>41640</v>
      </c>
      <c r="B183" s="284">
        <v>15069643.829999994</v>
      </c>
      <c r="C183" s="194">
        <f>'Residential WN'!C183</f>
        <v>960.98000000000013</v>
      </c>
      <c r="D183" s="194">
        <f>'Residential WN'!D183</f>
        <v>0</v>
      </c>
      <c r="E183" s="184">
        <v>31</v>
      </c>
      <c r="F183" s="194">
        <v>0</v>
      </c>
      <c r="G183" s="184">
        <f>'CDM Activity'!O115</f>
        <v>463725.89236614667</v>
      </c>
      <c r="H183" s="187">
        <v>147.04232175221028</v>
      </c>
      <c r="I183" s="184">
        <v>4555</v>
      </c>
      <c r="J183" s="197">
        <v>352</v>
      </c>
      <c r="K183" s="194">
        <f t="shared" si="1"/>
        <v>13837558.681239171</v>
      </c>
      <c r="L183" s="194"/>
      <c r="M183" s="37"/>
    </row>
    <row r="184" spans="1:13">
      <c r="A184" s="183">
        <v>41671</v>
      </c>
      <c r="B184" s="284">
        <v>13186660.869999997</v>
      </c>
      <c r="C184" s="194">
        <f>'Residential WN'!C184</f>
        <v>875.5899999999998</v>
      </c>
      <c r="D184" s="194">
        <f>'Residential WN'!D184</f>
        <v>0</v>
      </c>
      <c r="E184" s="184">
        <v>28</v>
      </c>
      <c r="F184" s="194">
        <v>0</v>
      </c>
      <c r="G184" s="184">
        <f>'CDM Activity'!O116</f>
        <v>474655.27169687796</v>
      </c>
      <c r="H184" s="187">
        <v>147.36914202996238</v>
      </c>
      <c r="I184" s="184">
        <v>4563</v>
      </c>
      <c r="J184" s="197">
        <v>304</v>
      </c>
      <c r="K184" s="194">
        <f t="shared" si="1"/>
        <v>12616606.101318698</v>
      </c>
      <c r="L184" s="194"/>
      <c r="M184" s="37"/>
    </row>
    <row r="185" spans="1:13">
      <c r="A185" s="183">
        <v>41699</v>
      </c>
      <c r="B185" s="284">
        <v>13248227.95999999</v>
      </c>
      <c r="C185" s="194">
        <f>'Residential WN'!C185</f>
        <v>702.91</v>
      </c>
      <c r="D185" s="194">
        <f>'Residential WN'!D185</f>
        <v>0</v>
      </c>
      <c r="E185" s="184">
        <v>31</v>
      </c>
      <c r="F185" s="194">
        <v>1</v>
      </c>
      <c r="G185" s="184">
        <f>'CDM Activity'!O117</f>
        <v>485584.65102760924</v>
      </c>
      <c r="H185" s="187">
        <v>147.69668870738414</v>
      </c>
      <c r="I185" s="184">
        <v>4567.5</v>
      </c>
      <c r="J185" s="197">
        <v>336</v>
      </c>
      <c r="K185" s="194">
        <f t="shared" si="1"/>
        <v>12190110.169082228</v>
      </c>
      <c r="L185" s="194"/>
      <c r="M185" s="37"/>
    </row>
    <row r="186" spans="1:13">
      <c r="A186" s="183">
        <v>41730</v>
      </c>
      <c r="B186" s="284">
        <v>11070615.160000008</v>
      </c>
      <c r="C186" s="194">
        <f>'Residential WN'!C186</f>
        <v>450.5200000000001</v>
      </c>
      <c r="D186" s="194">
        <f>'Residential WN'!D186</f>
        <v>0</v>
      </c>
      <c r="E186" s="184">
        <v>30</v>
      </c>
      <c r="F186" s="194">
        <v>1</v>
      </c>
      <c r="G186" s="184">
        <f>'CDM Activity'!O118</f>
        <v>496514.03035834053</v>
      </c>
      <c r="H186" s="187">
        <v>148.02496339899133</v>
      </c>
      <c r="I186" s="184">
        <v>4568.75</v>
      </c>
      <c r="J186" s="197">
        <v>320</v>
      </c>
      <c r="K186" s="194">
        <f t="shared" si="1"/>
        <v>10802699.952447064</v>
      </c>
      <c r="L186" s="194"/>
      <c r="M186" s="37"/>
    </row>
    <row r="187" spans="1:13">
      <c r="A187" s="183">
        <v>41760</v>
      </c>
      <c r="B187" s="284">
        <v>10484312.049999984</v>
      </c>
      <c r="C187" s="194">
        <f>'Residential WN'!C187</f>
        <v>271.46000000000004</v>
      </c>
      <c r="D187" s="194">
        <f>'Residential WN'!D187</f>
        <v>0.47000000000000003</v>
      </c>
      <c r="E187" s="184">
        <v>31</v>
      </c>
      <c r="F187" s="194">
        <v>1</v>
      </c>
      <c r="G187" s="184">
        <f>'CDM Activity'!O119</f>
        <v>507443.40968907182</v>
      </c>
      <c r="H187" s="187">
        <v>148.35396772288814</v>
      </c>
      <c r="I187" s="184">
        <v>4576.875</v>
      </c>
      <c r="J187" s="197">
        <v>336</v>
      </c>
      <c r="K187" s="194">
        <f t="shared" si="1"/>
        <v>10309806.389542982</v>
      </c>
      <c r="L187" s="194"/>
      <c r="M187" s="37"/>
    </row>
    <row r="188" spans="1:13">
      <c r="A188" s="183">
        <v>41791</v>
      </c>
      <c r="B188" s="284">
        <v>9725922.30999998</v>
      </c>
      <c r="C188" s="194">
        <f>'Residential WN'!C188</f>
        <v>109.59</v>
      </c>
      <c r="D188" s="194">
        <f>'Residential WN'!D188</f>
        <v>6.7</v>
      </c>
      <c r="E188" s="184">
        <v>30</v>
      </c>
      <c r="F188" s="194">
        <v>0</v>
      </c>
      <c r="G188" s="184">
        <f>'CDM Activity'!O120</f>
        <v>518372.78901980311</v>
      </c>
      <c r="H188" s="187">
        <v>148.68370330077519</v>
      </c>
      <c r="I188" s="184">
        <v>4582.4375</v>
      </c>
      <c r="J188" s="197">
        <v>336</v>
      </c>
      <c r="K188" s="194">
        <f t="shared" si="1"/>
        <v>9964011.17543469</v>
      </c>
      <c r="L188" s="194"/>
      <c r="M188" s="37"/>
    </row>
    <row r="189" spans="1:13">
      <c r="A189" s="183">
        <v>41821</v>
      </c>
      <c r="B189" s="284">
        <v>10271386.640000001</v>
      </c>
      <c r="C189" s="194">
        <f>'Residential WN'!C189</f>
        <v>36.33</v>
      </c>
      <c r="D189" s="194">
        <f>'Residential WN'!D189</f>
        <v>40.369999999999997</v>
      </c>
      <c r="E189" s="184">
        <v>31</v>
      </c>
      <c r="F189" s="194">
        <v>0</v>
      </c>
      <c r="G189" s="184">
        <f>'CDM Activity'!O121</f>
        <v>529302.1683505344</v>
      </c>
      <c r="H189" s="187">
        <v>149.0141717579576</v>
      </c>
      <c r="I189" s="184">
        <v>4583.21875</v>
      </c>
      <c r="J189" s="197">
        <v>352</v>
      </c>
      <c r="K189" s="194">
        <f t="shared" si="1"/>
        <v>10627041.300924085</v>
      </c>
      <c r="L189" s="194"/>
      <c r="M189" s="37"/>
    </row>
    <row r="190" spans="1:13">
      <c r="A190" s="183">
        <v>41852</v>
      </c>
      <c r="B190" s="284">
        <v>10274818.47361199</v>
      </c>
      <c r="C190" s="194">
        <f>'Residential WN'!C190</f>
        <v>51.55</v>
      </c>
      <c r="D190" s="194">
        <f>'Residential WN'!D190</f>
        <v>29.669999999999998</v>
      </c>
      <c r="E190" s="184">
        <v>31</v>
      </c>
      <c r="F190" s="194">
        <v>0</v>
      </c>
      <c r="G190" s="184">
        <f>'CDM Activity'!O122</f>
        <v>540231.54768126563</v>
      </c>
      <c r="H190" s="187">
        <v>149.34537472335285</v>
      </c>
      <c r="I190" s="184">
        <v>4584.109375</v>
      </c>
      <c r="J190" s="197">
        <v>320</v>
      </c>
      <c r="K190" s="194">
        <f t="shared" si="1"/>
        <v>10468872.980206147</v>
      </c>
      <c r="L190" s="194"/>
      <c r="M190" s="37"/>
    </row>
    <row r="191" spans="1:13">
      <c r="A191" s="183">
        <v>41883</v>
      </c>
      <c r="B191" s="284">
        <v>9762010.9039999936</v>
      </c>
      <c r="C191" s="194">
        <f>'Residential WN'!C191</f>
        <v>176.97</v>
      </c>
      <c r="D191" s="194">
        <f>'Residential WN'!D191</f>
        <v>5.05</v>
      </c>
      <c r="E191" s="184">
        <v>30</v>
      </c>
      <c r="F191" s="194">
        <v>1</v>
      </c>
      <c r="G191" s="184">
        <f>'CDM Activity'!O123</f>
        <v>551160.92701199686</v>
      </c>
      <c r="H191" s="187">
        <v>149.67731382949896</v>
      </c>
      <c r="I191" s="184">
        <v>4584.0546875</v>
      </c>
      <c r="J191" s="197">
        <v>336</v>
      </c>
      <c r="K191" s="194">
        <f t="shared" si="1"/>
        <v>9704632.3813700862</v>
      </c>
      <c r="L191" s="194"/>
      <c r="M191" s="37"/>
    </row>
    <row r="192" spans="1:13">
      <c r="A192" s="183">
        <v>41913</v>
      </c>
      <c r="B192" s="284">
        <v>10634292.331000013</v>
      </c>
      <c r="C192" s="194">
        <f>'Residential WN'!C192</f>
        <v>372.15</v>
      </c>
      <c r="D192" s="194">
        <f>'Residential WN'!D192</f>
        <v>0.54</v>
      </c>
      <c r="E192" s="184">
        <v>31</v>
      </c>
      <c r="F192" s="194">
        <v>1</v>
      </c>
      <c r="G192" s="184">
        <f>'CDM Activity'!O124</f>
        <v>562090.30634272809</v>
      </c>
      <c r="H192" s="187">
        <v>150.00999071256246</v>
      </c>
      <c r="I192" s="184">
        <v>4587.02734375</v>
      </c>
      <c r="J192" s="197">
        <v>352</v>
      </c>
      <c r="K192" s="194">
        <f t="shared" si="1"/>
        <v>10744859.402075361</v>
      </c>
      <c r="L192" s="194"/>
      <c r="M192" s="37"/>
    </row>
    <row r="193" spans="1:13">
      <c r="A193" s="183">
        <v>41944</v>
      </c>
      <c r="B193" s="284">
        <v>12234413.660000009</v>
      </c>
      <c r="C193" s="194">
        <f>'Residential WN'!C193</f>
        <v>567.61000000000013</v>
      </c>
      <c r="D193" s="194">
        <f>'Residential WN'!D193</f>
        <v>0</v>
      </c>
      <c r="E193" s="184">
        <v>30</v>
      </c>
      <c r="F193" s="194">
        <v>1</v>
      </c>
      <c r="G193" s="184">
        <f>'CDM Activity'!O125</f>
        <v>573019.68567345932</v>
      </c>
      <c r="H193" s="187">
        <v>150.34340701234646</v>
      </c>
      <c r="I193" s="184">
        <v>4588.513671875</v>
      </c>
      <c r="J193" s="197">
        <v>304</v>
      </c>
      <c r="K193" s="194">
        <f t="shared" si="1"/>
        <v>11305295.943597529</v>
      </c>
      <c r="L193" s="194"/>
      <c r="M193" s="37"/>
    </row>
    <row r="194" spans="1:13">
      <c r="A194" s="183">
        <v>41974</v>
      </c>
      <c r="B194" s="284">
        <v>13323531.779999984</v>
      </c>
      <c r="C194" s="194">
        <f>'Residential WN'!C194</f>
        <v>852.28999999999974</v>
      </c>
      <c r="D194" s="194">
        <f>'Residential WN'!D194</f>
        <v>0</v>
      </c>
      <c r="E194" s="184">
        <v>31</v>
      </c>
      <c r="F194" s="194">
        <v>0</v>
      </c>
      <c r="G194" s="184">
        <f>'CDM Activity'!O126</f>
        <v>583949.06500419055</v>
      </c>
      <c r="H194" s="187">
        <v>150.67756437229883</v>
      </c>
      <c r="I194" s="184">
        <v>4594.2568359375</v>
      </c>
      <c r="J194" s="197">
        <v>336</v>
      </c>
      <c r="K194" s="194">
        <f t="shared" si="1"/>
        <v>13346770.350774473</v>
      </c>
      <c r="L194" s="194"/>
      <c r="M194" s="37"/>
    </row>
    <row r="195" spans="1:13">
      <c r="A195" s="183">
        <v>42005</v>
      </c>
      <c r="B195" s="284">
        <v>14647867.091999978</v>
      </c>
      <c r="C195" s="194">
        <f>'Residential WN'!C195</f>
        <v>960.98000000000013</v>
      </c>
      <c r="D195" s="194">
        <f>'Residential WN'!D195</f>
        <v>0</v>
      </c>
      <c r="E195" s="184">
        <v>31</v>
      </c>
      <c r="F195" s="194">
        <v>0</v>
      </c>
      <c r="G195" s="184">
        <f>'CDM Activity'!O127</f>
        <v>589767.61750594352</v>
      </c>
      <c r="H195" s="187">
        <v>150.98793548444445</v>
      </c>
      <c r="I195" s="184">
        <v>4598.62841796875</v>
      </c>
      <c r="J195" s="197">
        <v>336</v>
      </c>
      <c r="K195" s="194">
        <f t="shared" si="1"/>
        <v>13827651.096789777</v>
      </c>
      <c r="L195" s="194"/>
      <c r="M195" s="37"/>
    </row>
    <row r="196" spans="1:13">
      <c r="A196" s="183">
        <v>42036</v>
      </c>
      <c r="B196" s="284">
        <v>13318489.569999987</v>
      </c>
      <c r="C196" s="194">
        <f>'Residential WN'!C196</f>
        <v>875.5899999999998</v>
      </c>
      <c r="D196" s="194">
        <f>'Residential WN'!D196</f>
        <v>0</v>
      </c>
      <c r="E196" s="184">
        <v>28</v>
      </c>
      <c r="F196" s="194">
        <v>0</v>
      </c>
      <c r="G196" s="184">
        <f>'CDM Activity'!O128</f>
        <v>595586.17000769649</v>
      </c>
      <c r="H196" s="187">
        <v>151.298945910264</v>
      </c>
      <c r="I196" s="184">
        <v>4596.814208984375</v>
      </c>
      <c r="J196" s="197">
        <v>304</v>
      </c>
      <c r="K196" s="194">
        <f t="shared" si="1"/>
        <v>12613769.592093874</v>
      </c>
      <c r="L196" s="194"/>
      <c r="M196" s="37"/>
    </row>
    <row r="197" spans="1:13">
      <c r="A197" s="183">
        <v>42064</v>
      </c>
      <c r="B197" s="284">
        <v>12867283.112000031</v>
      </c>
      <c r="C197" s="194">
        <f>'Residential WN'!C197</f>
        <v>702.91</v>
      </c>
      <c r="D197" s="194">
        <f>'Residential WN'!D197</f>
        <v>0</v>
      </c>
      <c r="E197" s="184">
        <v>31</v>
      </c>
      <c r="F197" s="194">
        <v>1</v>
      </c>
      <c r="G197" s="184">
        <f>'CDM Activity'!O129</f>
        <v>601404.72250944946</v>
      </c>
      <c r="H197" s="187">
        <v>151.61059696663892</v>
      </c>
      <c r="I197" s="184">
        <v>4593.9071044921875</v>
      </c>
      <c r="J197" s="197">
        <v>352</v>
      </c>
      <c r="K197" s="194">
        <f t="shared" si="1"/>
        <v>12194340.76764865</v>
      </c>
      <c r="L197" s="194"/>
      <c r="M197" s="37"/>
    </row>
    <row r="198" spans="1:13">
      <c r="A198" s="183">
        <v>42095</v>
      </c>
      <c r="B198" s="284">
        <v>10749956.162999995</v>
      </c>
      <c r="C198" s="194">
        <f>'Residential WN'!C198</f>
        <v>450.5200000000001</v>
      </c>
      <c r="D198" s="194">
        <f>'Residential WN'!D198</f>
        <v>0</v>
      </c>
      <c r="E198" s="184">
        <v>30</v>
      </c>
      <c r="F198" s="194">
        <v>1</v>
      </c>
      <c r="G198" s="184">
        <f>'CDM Activity'!O130</f>
        <v>607223.27501120244</v>
      </c>
      <c r="H198" s="187">
        <v>151.92288997316331</v>
      </c>
      <c r="I198" s="184">
        <v>4593.4535522460937</v>
      </c>
      <c r="J198" s="197">
        <v>336</v>
      </c>
      <c r="K198" s="194">
        <f t="shared" si="1"/>
        <v>10813993.677729182</v>
      </c>
      <c r="L198" s="194"/>
      <c r="M198" s="37"/>
    </row>
    <row r="199" spans="1:13">
      <c r="A199" s="183">
        <v>42125</v>
      </c>
      <c r="B199" s="284">
        <v>10401377.499999981</v>
      </c>
      <c r="C199" s="194">
        <f>'Residential WN'!C199</f>
        <v>271.46000000000004</v>
      </c>
      <c r="D199" s="194">
        <f>'Residential WN'!D199</f>
        <v>0.47000000000000003</v>
      </c>
      <c r="E199" s="184">
        <v>31</v>
      </c>
      <c r="F199" s="194">
        <v>1</v>
      </c>
      <c r="G199" s="184">
        <f>'CDM Activity'!O131</f>
        <v>613041.82751295541</v>
      </c>
      <c r="H199" s="187">
        <v>152.23582625214937</v>
      </c>
      <c r="I199" s="184">
        <v>4596.2267761230469</v>
      </c>
      <c r="J199" s="197">
        <v>320</v>
      </c>
      <c r="K199" s="194">
        <f t="shared" si="1"/>
        <v>10328159.246782754</v>
      </c>
      <c r="L199" s="194"/>
      <c r="M199" s="37"/>
    </row>
    <row r="200" spans="1:13">
      <c r="A200" s="183">
        <v>42156</v>
      </c>
      <c r="B200" s="284">
        <v>9938325.0499999654</v>
      </c>
      <c r="C200" s="194">
        <f>'Residential WN'!C200</f>
        <v>109.59</v>
      </c>
      <c r="D200" s="194">
        <f>'Residential WN'!D200</f>
        <v>6.7</v>
      </c>
      <c r="E200" s="184">
        <v>30</v>
      </c>
      <c r="F200" s="194">
        <v>0</v>
      </c>
      <c r="G200" s="184">
        <f>'CDM Activity'!O132</f>
        <v>618860.38001470838</v>
      </c>
      <c r="H200" s="187">
        <v>152.54940712863302</v>
      </c>
      <c r="I200" s="184">
        <v>4605.6133880615234</v>
      </c>
      <c r="J200" s="197">
        <v>352</v>
      </c>
      <c r="K200" s="194">
        <f t="shared" si="1"/>
        <v>9989419.1561512146</v>
      </c>
      <c r="L200" s="194"/>
      <c r="M200" s="37"/>
    </row>
    <row r="201" spans="1:13">
      <c r="A201" s="183">
        <v>42186</v>
      </c>
      <c r="B201" s="284">
        <v>10626013.119000008</v>
      </c>
      <c r="C201" s="194">
        <f>'Residential WN'!C201</f>
        <v>36.33</v>
      </c>
      <c r="D201" s="194">
        <f>'Residential WN'!D201</f>
        <v>40.369999999999997</v>
      </c>
      <c r="E201" s="184">
        <v>31</v>
      </c>
      <c r="F201" s="194">
        <v>0</v>
      </c>
      <c r="G201" s="184">
        <f>'CDM Activity'!O133</f>
        <v>624678.93251646135</v>
      </c>
      <c r="H201" s="187">
        <v>152.86363393037959</v>
      </c>
      <c r="I201" s="184">
        <v>4610.8066940307617</v>
      </c>
      <c r="J201" s="197">
        <v>352</v>
      </c>
      <c r="K201" s="194">
        <f t="shared" si="1"/>
        <v>10659500.382873129</v>
      </c>
      <c r="L201" s="194"/>
      <c r="M201" s="37"/>
    </row>
    <row r="202" spans="1:13">
      <c r="A202" s="183">
        <v>42217</v>
      </c>
      <c r="B202" s="284">
        <v>10677243.822999977</v>
      </c>
      <c r="C202" s="194">
        <f>'Residential WN'!C202</f>
        <v>51.55</v>
      </c>
      <c r="D202" s="194">
        <f>'Residential WN'!D202</f>
        <v>29.669999999999998</v>
      </c>
      <c r="E202" s="184">
        <v>31</v>
      </c>
      <c r="F202" s="194">
        <v>0</v>
      </c>
      <c r="G202" s="184">
        <f>'CDM Activity'!O134</f>
        <v>630497.48501821433</v>
      </c>
      <c r="H202" s="187">
        <v>153.17850798788936</v>
      </c>
      <c r="I202" s="184">
        <v>4611.9033470153809</v>
      </c>
      <c r="J202" s="197">
        <v>320</v>
      </c>
      <c r="K202" s="194">
        <f t="shared" si="1"/>
        <v>10508379.127339544</v>
      </c>
      <c r="L202" s="194"/>
      <c r="M202" s="37"/>
    </row>
    <row r="203" spans="1:13">
      <c r="A203" s="183">
        <v>42248</v>
      </c>
      <c r="B203" s="284">
        <v>10039638.211999971</v>
      </c>
      <c r="C203" s="194">
        <f>'Residential WN'!C203</f>
        <v>176.97</v>
      </c>
      <c r="D203" s="194">
        <f>'Residential WN'!D203</f>
        <v>5.05</v>
      </c>
      <c r="E203" s="184">
        <v>30</v>
      </c>
      <c r="F203" s="194">
        <v>1</v>
      </c>
      <c r="G203" s="184">
        <f>'CDM Activity'!O135</f>
        <v>636316.0375199673</v>
      </c>
      <c r="H203" s="187">
        <v>153.4940306344032</v>
      </c>
      <c r="I203" s="184">
        <v>4612.4516735076904</v>
      </c>
      <c r="J203" s="197">
        <v>336</v>
      </c>
      <c r="K203" s="194">
        <f t="shared" si="1"/>
        <v>9751181.5437950473</v>
      </c>
      <c r="L203" s="194"/>
      <c r="M203" s="37"/>
    </row>
    <row r="204" spans="1:13">
      <c r="A204" s="183">
        <v>42278</v>
      </c>
      <c r="B204" s="284">
        <v>10488169.699999997</v>
      </c>
      <c r="C204" s="194">
        <f>'Residential WN'!C204</f>
        <v>372.15</v>
      </c>
      <c r="D204" s="194">
        <f>'Residential WN'!D204</f>
        <v>0.54</v>
      </c>
      <c r="E204" s="184">
        <v>31</v>
      </c>
      <c r="F204" s="194">
        <v>1</v>
      </c>
      <c r="G204" s="184">
        <f>'CDM Activity'!O136</f>
        <v>642134.59002172027</v>
      </c>
      <c r="H204" s="187">
        <v>153.81020320590829</v>
      </c>
      <c r="I204" s="184">
        <v>4615.7258367538452</v>
      </c>
      <c r="J204" s="197">
        <v>336</v>
      </c>
      <c r="K204" s="194">
        <f t="shared" si="1"/>
        <v>10798447.516013663</v>
      </c>
      <c r="L204" s="194"/>
      <c r="M204" s="37"/>
    </row>
    <row r="205" spans="1:13">
      <c r="A205" s="183">
        <v>42309</v>
      </c>
      <c r="B205" s="284">
        <v>11098768.123999968</v>
      </c>
      <c r="C205" s="194">
        <f>'Residential WN'!C205</f>
        <v>567.61000000000013</v>
      </c>
      <c r="D205" s="194">
        <f>'Residential WN'!D205</f>
        <v>0</v>
      </c>
      <c r="E205" s="184">
        <v>30</v>
      </c>
      <c r="F205" s="194">
        <v>1</v>
      </c>
      <c r="G205" s="184">
        <f>'CDM Activity'!O137</f>
        <v>647953.14252347325</v>
      </c>
      <c r="H205" s="187">
        <v>154.12702704114372</v>
      </c>
      <c r="I205" s="184">
        <v>4617.3629183769226</v>
      </c>
      <c r="J205" s="197">
        <v>320</v>
      </c>
      <c r="K205" s="194">
        <f t="shared" si="1"/>
        <v>11365918.931344585</v>
      </c>
      <c r="L205" s="194"/>
      <c r="M205" s="37"/>
    </row>
    <row r="206" spans="1:13">
      <c r="A206" s="183">
        <v>42339</v>
      </c>
      <c r="B206" s="284">
        <v>12326270.015000014</v>
      </c>
      <c r="C206" s="194">
        <f>'Residential WN'!C206</f>
        <v>852.28999999999974</v>
      </c>
      <c r="D206" s="194">
        <f>'Residential WN'!D206</f>
        <v>0</v>
      </c>
      <c r="E206" s="184">
        <v>31</v>
      </c>
      <c r="F206" s="194">
        <v>0</v>
      </c>
      <c r="G206" s="184">
        <f>'CDM Activity'!O138</f>
        <v>653771.69502522622</v>
      </c>
      <c r="H206" s="187">
        <v>154.44450348160629</v>
      </c>
      <c r="I206" s="184">
        <v>4625.1814591884613</v>
      </c>
      <c r="J206" s="197">
        <v>352</v>
      </c>
      <c r="K206" s="194">
        <f t="shared" si="1"/>
        <v>13414424.120658308</v>
      </c>
      <c r="L206" s="194"/>
      <c r="M206" s="37"/>
    </row>
    <row r="207" spans="1:13">
      <c r="A207" s="183">
        <v>42370</v>
      </c>
      <c r="B207" s="189"/>
      <c r="C207" s="192">
        <f>'Residential WN'!C207</f>
        <v>960.98000000000013</v>
      </c>
      <c r="D207" s="190">
        <f>'Residential WN'!D207</f>
        <v>0</v>
      </c>
      <c r="E207" s="184">
        <v>31</v>
      </c>
      <c r="F207" s="184">
        <v>0</v>
      </c>
      <c r="G207" s="184">
        <f>'CDM Activity'!O139</f>
        <v>652277.15233657532</v>
      </c>
      <c r="H207" s="187">
        <v>154.72483615659849</v>
      </c>
      <c r="I207" s="193"/>
      <c r="J207" s="197">
        <v>320</v>
      </c>
      <c r="K207" s="194">
        <f t="shared" si="1"/>
        <v>13905079.839732407</v>
      </c>
      <c r="L207" s="194"/>
      <c r="M207" s="300"/>
    </row>
    <row r="208" spans="1:13">
      <c r="A208" s="183">
        <v>42401</v>
      </c>
      <c r="B208" s="189"/>
      <c r="C208" s="192">
        <f>'Residential WN'!C208</f>
        <v>875.5899999999998</v>
      </c>
      <c r="D208" s="190">
        <f>'Residential WN'!D208</f>
        <v>0</v>
      </c>
      <c r="E208" s="184">
        <v>29</v>
      </c>
      <c r="F208" s="184">
        <v>0</v>
      </c>
      <c r="G208" s="184">
        <f>'CDM Activity'!O140</f>
        <v>650782.60964792443</v>
      </c>
      <c r="H208" s="187">
        <v>155.00567766425806</v>
      </c>
      <c r="I208" s="184"/>
      <c r="J208" s="197">
        <v>320</v>
      </c>
      <c r="K208" s="194">
        <f t="shared" si="1"/>
        <v>12982931.23759038</v>
      </c>
      <c r="L208" s="316"/>
      <c r="M208" s="37"/>
    </row>
    <row r="209" spans="1:13">
      <c r="A209" s="183">
        <v>42430</v>
      </c>
      <c r="B209" s="189"/>
      <c r="C209" s="192">
        <f>'Residential WN'!C209</f>
        <v>702.91</v>
      </c>
      <c r="D209" s="190">
        <f>'Residential WN'!D209</f>
        <v>0</v>
      </c>
      <c r="E209" s="184">
        <v>31</v>
      </c>
      <c r="F209" s="184">
        <v>1</v>
      </c>
      <c r="G209" s="184">
        <f>'CDM Activity'!O141</f>
        <v>649288.06695927354</v>
      </c>
      <c r="H209" s="187">
        <v>155.2870289281687</v>
      </c>
      <c r="I209" s="184"/>
      <c r="J209" s="197">
        <v>352</v>
      </c>
      <c r="K209" s="194">
        <f t="shared" si="1"/>
        <v>12291301.33148424</v>
      </c>
      <c r="L209" s="316"/>
      <c r="M209" s="37"/>
    </row>
    <row r="210" spans="1:13">
      <c r="A210" s="183">
        <v>42461</v>
      </c>
      <c r="B210" s="189"/>
      <c r="C210" s="192">
        <f>'Residential WN'!C210</f>
        <v>450.5200000000001</v>
      </c>
      <c r="D210" s="190">
        <f>'Residential WN'!D210</f>
        <v>0</v>
      </c>
      <c r="E210" s="184">
        <v>30</v>
      </c>
      <c r="F210" s="184">
        <v>1</v>
      </c>
      <c r="G210" s="184">
        <f>'CDM Activity'!O142</f>
        <v>647793.52427062264</v>
      </c>
      <c r="H210" s="187">
        <v>155.56889087359048</v>
      </c>
      <c r="I210" s="184"/>
      <c r="J210" s="197">
        <v>336</v>
      </c>
      <c r="K210" s="194">
        <f t="shared" si="1"/>
        <v>10920711.052965354</v>
      </c>
      <c r="L210" s="316"/>
      <c r="M210" s="37"/>
    </row>
    <row r="211" spans="1:13">
      <c r="A211" s="183">
        <v>42491</v>
      </c>
      <c r="B211" s="189"/>
      <c r="C211" s="192">
        <f>'Residential WN'!C211</f>
        <v>271.46000000000004</v>
      </c>
      <c r="D211" s="190">
        <f>'Residential WN'!D211</f>
        <v>0.47000000000000003</v>
      </c>
      <c r="E211" s="184">
        <v>31</v>
      </c>
      <c r="F211" s="184">
        <v>1</v>
      </c>
      <c r="G211" s="184">
        <f>'CDM Activity'!O143</f>
        <v>646298.98158197175</v>
      </c>
      <c r="H211" s="187">
        <v>155.85126442746289</v>
      </c>
      <c r="I211" s="184"/>
      <c r="J211" s="197">
        <v>336</v>
      </c>
      <c r="K211" s="194">
        <f t="shared" si="1"/>
        <v>10444627.343019847</v>
      </c>
      <c r="L211" s="316"/>
      <c r="M211" s="37"/>
    </row>
    <row r="212" spans="1:13">
      <c r="A212" s="183">
        <v>42522</v>
      </c>
      <c r="B212" s="189"/>
      <c r="C212" s="192">
        <f>'Residential WN'!C212</f>
        <v>109.59</v>
      </c>
      <c r="D212" s="190">
        <f>'Residential WN'!D212</f>
        <v>6.7</v>
      </c>
      <c r="E212" s="184">
        <v>30</v>
      </c>
      <c r="F212" s="184">
        <v>0</v>
      </c>
      <c r="G212" s="184">
        <f>'CDM Activity'!O144</f>
        <v>644804.43889332085</v>
      </c>
      <c r="H212" s="187">
        <v>156.13415051840798</v>
      </c>
      <c r="I212" s="184"/>
      <c r="J212" s="197">
        <v>352</v>
      </c>
      <c r="K212" s="194">
        <f t="shared" si="1"/>
        <v>10115631.864652598</v>
      </c>
      <c r="L212" s="316"/>
      <c r="M212" s="37"/>
    </row>
    <row r="213" spans="1:13">
      <c r="A213" s="183">
        <v>42552</v>
      </c>
      <c r="B213" s="189"/>
      <c r="C213" s="192">
        <f>'Residential WN'!C213</f>
        <v>36.33</v>
      </c>
      <c r="D213" s="190">
        <f>'Residential WN'!D213</f>
        <v>40.369999999999997</v>
      </c>
      <c r="E213" s="184">
        <v>31</v>
      </c>
      <c r="F213" s="184">
        <v>0</v>
      </c>
      <c r="G213" s="184">
        <f>'CDM Activity'!O145</f>
        <v>643309.89620466996</v>
      </c>
      <c r="H213" s="187">
        <v>156.41755007673331</v>
      </c>
      <c r="I213" s="184"/>
      <c r="J213" s="197">
        <v>320</v>
      </c>
      <c r="K213" s="194">
        <f t="shared" si="1"/>
        <v>10795451.576516917</v>
      </c>
      <c r="L213" s="316"/>
      <c r="M213" s="37"/>
    </row>
    <row r="214" spans="1:13">
      <c r="A214" s="183">
        <v>42583</v>
      </c>
      <c r="B214" s="189"/>
      <c r="C214" s="192">
        <f>'Residential WN'!C214</f>
        <v>51.55</v>
      </c>
      <c r="D214" s="190">
        <f>'Residential WN'!D214</f>
        <v>29.669999999999998</v>
      </c>
      <c r="E214" s="184">
        <v>31</v>
      </c>
      <c r="F214" s="184">
        <v>0</v>
      </c>
      <c r="G214" s="184">
        <f>'CDM Activity'!O146</f>
        <v>641815.35351601907</v>
      </c>
      <c r="H214" s="187">
        <v>156.70146403443502</v>
      </c>
      <c r="I214" s="184"/>
      <c r="J214" s="197">
        <v>352</v>
      </c>
      <c r="K214" s="194">
        <f t="shared" si="1"/>
        <v>10654062.660570189</v>
      </c>
      <c r="L214" s="316"/>
      <c r="M214" s="37"/>
    </row>
    <row r="215" spans="1:13">
      <c r="A215" s="183">
        <v>42614</v>
      </c>
      <c r="B215" s="189"/>
      <c r="C215" s="192">
        <f>'Residential WN'!C215</f>
        <v>176.97</v>
      </c>
      <c r="D215" s="190">
        <f>'Residential WN'!D215</f>
        <v>5.05</v>
      </c>
      <c r="E215" s="184">
        <v>30</v>
      </c>
      <c r="F215" s="184">
        <v>1</v>
      </c>
      <c r="G215" s="184">
        <f>'CDM Activity'!O147</f>
        <v>640320.81082736817</v>
      </c>
      <c r="H215" s="187">
        <v>156.98589332520095</v>
      </c>
      <c r="I215" s="184"/>
      <c r="J215" s="197">
        <v>336</v>
      </c>
      <c r="K215" s="194">
        <f t="shared" si="1"/>
        <v>9906591.2525748275</v>
      </c>
      <c r="L215" s="316"/>
      <c r="M215" s="37"/>
    </row>
    <row r="216" spans="1:13">
      <c r="A216" s="183">
        <v>42644</v>
      </c>
      <c r="B216" s="189"/>
      <c r="C216" s="192">
        <f>'Residential WN'!C216</f>
        <v>372.15</v>
      </c>
      <c r="D216" s="190">
        <f>'Residential WN'!D216</f>
        <v>0.54</v>
      </c>
      <c r="E216" s="184">
        <v>31</v>
      </c>
      <c r="F216" s="184">
        <v>1</v>
      </c>
      <c r="G216" s="184">
        <f>'CDM Activity'!O148</f>
        <v>638826.26813871728</v>
      </c>
      <c r="H216" s="187">
        <v>157.27083888441365</v>
      </c>
      <c r="I216" s="184"/>
      <c r="J216" s="197">
        <v>320</v>
      </c>
      <c r="K216" s="194">
        <f t="shared" ref="K216:K230" si="2">$O$103+C216*$O$104+D216*$O$105+E216*$O$106+F216*$O$107+G216*$O$108+H216*$O$109</f>
        <v>10963577.217774032</v>
      </c>
      <c r="L216" s="316"/>
      <c r="M216" s="37"/>
    </row>
    <row r="217" spans="1:13">
      <c r="A217" s="183">
        <v>42675</v>
      </c>
      <c r="B217" s="189"/>
      <c r="C217" s="192">
        <f>'Residential WN'!C217</f>
        <v>567.61000000000013</v>
      </c>
      <c r="D217" s="190">
        <f>'Residential WN'!D217</f>
        <v>0</v>
      </c>
      <c r="E217" s="184">
        <v>30</v>
      </c>
      <c r="F217" s="184">
        <v>1</v>
      </c>
      <c r="G217" s="184">
        <f>'CDM Activity'!O149</f>
        <v>637331.72545006638</v>
      </c>
      <c r="H217" s="187">
        <v>157.55630164915351</v>
      </c>
      <c r="I217" s="184"/>
      <c r="J217" s="197">
        <v>336</v>
      </c>
      <c r="K217" s="194">
        <f t="shared" si="2"/>
        <v>11540762.42493742</v>
      </c>
      <c r="L217" s="316"/>
      <c r="M217" s="37"/>
    </row>
    <row r="218" spans="1:13">
      <c r="A218" s="183">
        <v>42705</v>
      </c>
      <c r="B218" s="189"/>
      <c r="C218" s="192">
        <f>'Residential WN'!C218</f>
        <v>852.28999999999974</v>
      </c>
      <c r="D218" s="190">
        <f>'Residential WN'!D218</f>
        <v>0</v>
      </c>
      <c r="E218" s="184">
        <v>31</v>
      </c>
      <c r="F218" s="184">
        <v>0</v>
      </c>
      <c r="G218" s="184">
        <f>'CDM Activity'!O150</f>
        <v>635837.18276141549</v>
      </c>
      <c r="H218" s="187">
        <v>157.84228255820162</v>
      </c>
      <c r="I218" s="184"/>
      <c r="J218" s="197">
        <v>336</v>
      </c>
      <c r="K218" s="194">
        <f t="shared" si="2"/>
        <v>13598975.186307007</v>
      </c>
      <c r="L218" s="316"/>
      <c r="M218" s="37"/>
    </row>
    <row r="219" spans="1:13">
      <c r="A219" s="183">
        <v>42736</v>
      </c>
      <c r="B219" s="189"/>
      <c r="C219" s="190">
        <f>'Residential WN'!C219</f>
        <v>960.98000000000013</v>
      </c>
      <c r="D219" s="190">
        <f>'Residential WN'!D219</f>
        <v>0</v>
      </c>
      <c r="E219" s="184">
        <v>31</v>
      </c>
      <c r="F219" s="184">
        <v>0</v>
      </c>
      <c r="G219" s="184">
        <f>'CDM Activity'!O151</f>
        <v>628843.05115952424</v>
      </c>
      <c r="H219" s="187">
        <v>158.15454692394951</v>
      </c>
      <c r="I219" s="184"/>
      <c r="J219" s="184"/>
      <c r="K219" s="194">
        <f t="shared" si="2"/>
        <v>14099503.867314788</v>
      </c>
      <c r="L219" s="316"/>
      <c r="M219" s="37"/>
    </row>
    <row r="220" spans="1:13">
      <c r="A220" s="183">
        <v>42767</v>
      </c>
      <c r="B220" s="189"/>
      <c r="C220" s="190">
        <f>'Residential WN'!C220</f>
        <v>875.5899999999998</v>
      </c>
      <c r="D220" s="190">
        <f>'Residential WN'!D220</f>
        <v>0</v>
      </c>
      <c r="E220" s="184">
        <v>28</v>
      </c>
      <c r="F220" s="184">
        <v>0</v>
      </c>
      <c r="G220" s="184">
        <f>'CDM Activity'!O152</f>
        <v>621848.91955763299</v>
      </c>
      <c r="H220" s="187">
        <v>158.46742905214063</v>
      </c>
      <c r="I220" s="184"/>
      <c r="J220" s="184"/>
      <c r="K220" s="194">
        <f t="shared" si="2"/>
        <v>12905269.300713215</v>
      </c>
      <c r="L220" s="316"/>
      <c r="M220" s="37"/>
    </row>
    <row r="221" spans="1:13">
      <c r="A221" s="183">
        <v>42795</v>
      </c>
      <c r="B221" s="189"/>
      <c r="C221" s="190">
        <f>'Residential WN'!C221</f>
        <v>702.91</v>
      </c>
      <c r="D221" s="190">
        <f>'Residential WN'!D221</f>
        <v>0</v>
      </c>
      <c r="E221" s="184">
        <v>31</v>
      </c>
      <c r="F221" s="184">
        <v>1</v>
      </c>
      <c r="G221" s="184">
        <f>'CDM Activity'!O153</f>
        <v>614854.78795574175</v>
      </c>
      <c r="H221" s="187">
        <v>158.78093016491388</v>
      </c>
      <c r="I221" s="184"/>
      <c r="J221" s="184"/>
      <c r="K221" s="194">
        <f t="shared" si="2"/>
        <v>12505486.413081661</v>
      </c>
      <c r="L221" s="316"/>
      <c r="M221" s="37"/>
    </row>
    <row r="222" spans="1:13">
      <c r="A222" s="183">
        <v>42826</v>
      </c>
      <c r="B222" s="189"/>
      <c r="C222" s="190">
        <f>'Residential WN'!C222</f>
        <v>450.5200000000001</v>
      </c>
      <c r="D222" s="190">
        <f>'Residential WN'!D222</f>
        <v>0</v>
      </c>
      <c r="E222" s="184">
        <v>30</v>
      </c>
      <c r="F222" s="184">
        <v>1</v>
      </c>
      <c r="G222" s="184">
        <f>'CDM Activity'!O154</f>
        <v>607860.6563538505</v>
      </c>
      <c r="H222" s="187">
        <v>159.09505148682601</v>
      </c>
      <c r="I222" s="184"/>
      <c r="J222" s="184"/>
      <c r="K222" s="194">
        <f t="shared" si="2"/>
        <v>11144784.254299045</v>
      </c>
      <c r="L222" s="316"/>
      <c r="M222" s="37"/>
    </row>
    <row r="223" spans="1:13">
      <c r="A223" s="183">
        <v>42856</v>
      </c>
      <c r="B223" s="189"/>
      <c r="C223" s="190">
        <f>'Residential WN'!C223</f>
        <v>271.46000000000004</v>
      </c>
      <c r="D223" s="190">
        <f>'Residential WN'!D223</f>
        <v>0.47000000000000003</v>
      </c>
      <c r="E223" s="184">
        <v>31</v>
      </c>
      <c r="F223" s="184">
        <v>1</v>
      </c>
      <c r="G223" s="184">
        <f>'CDM Activity'!O155</f>
        <v>600866.52475195925</v>
      </c>
      <c r="H223" s="187">
        <v>159.4097942448563</v>
      </c>
      <c r="I223" s="184"/>
      <c r="J223" s="184"/>
      <c r="K223" s="194">
        <f t="shared" si="2"/>
        <v>10678593.744402826</v>
      </c>
      <c r="L223" s="316"/>
      <c r="M223" s="37"/>
    </row>
    <row r="224" spans="1:13">
      <c r="A224" s="183">
        <v>42887</v>
      </c>
      <c r="B224" s="189"/>
      <c r="C224" s="190">
        <f>'Residential WN'!C224</f>
        <v>109.59</v>
      </c>
      <c r="D224" s="190">
        <f>'Residential WN'!D224</f>
        <v>6.7</v>
      </c>
      <c r="E224" s="184">
        <v>30</v>
      </c>
      <c r="F224" s="184">
        <v>0</v>
      </c>
      <c r="G224" s="184">
        <f>'CDM Activity'!O156</f>
        <v>593872.393150068</v>
      </c>
      <c r="H224" s="187">
        <v>159.72515966841141</v>
      </c>
      <c r="I224" s="184"/>
      <c r="J224" s="184"/>
      <c r="K224" s="194">
        <f t="shared" si="2"/>
        <v>10359496.560311316</v>
      </c>
      <c r="L224" s="316"/>
      <c r="M224" s="37"/>
    </row>
    <row r="225" spans="1:16">
      <c r="A225" s="183">
        <v>42917</v>
      </c>
      <c r="B225" s="189"/>
      <c r="C225" s="190">
        <f>'Residential WN'!C225</f>
        <v>36.33</v>
      </c>
      <c r="D225" s="190">
        <f>'Residential WN'!D225</f>
        <v>40.369999999999997</v>
      </c>
      <c r="E225" s="184">
        <v>31</v>
      </c>
      <c r="F225" s="184">
        <v>0</v>
      </c>
      <c r="G225" s="184">
        <f>'CDM Activity'!O157</f>
        <v>586878.26154817676</v>
      </c>
      <c r="H225" s="187">
        <v>160.0411489893302</v>
      </c>
      <c r="I225" s="184"/>
      <c r="J225" s="184"/>
      <c r="K225" s="194">
        <f t="shared" si="2"/>
        <v>11049219.674625793</v>
      </c>
      <c r="L225" s="316"/>
      <c r="M225" s="37"/>
    </row>
    <row r="226" spans="1:16">
      <c r="A226" s="183">
        <v>42948</v>
      </c>
      <c r="B226" s="189"/>
      <c r="C226" s="190">
        <f>'Residential WN'!C226</f>
        <v>51.55</v>
      </c>
      <c r="D226" s="190">
        <f>'Residential WN'!D226</f>
        <v>29.669999999999998</v>
      </c>
      <c r="E226" s="184">
        <v>31</v>
      </c>
      <c r="F226" s="184">
        <v>0</v>
      </c>
      <c r="G226" s="184">
        <f>'CDM Activity'!O158</f>
        <v>579884.12994628551</v>
      </c>
      <c r="H226" s="187">
        <v>160.35776344188849</v>
      </c>
      <c r="I226" s="184"/>
      <c r="J226" s="184"/>
      <c r="K226" s="194">
        <f t="shared" si="2"/>
        <v>10917739.283286244</v>
      </c>
      <c r="L226" s="316"/>
      <c r="M226" s="37"/>
    </row>
    <row r="227" spans="1:16">
      <c r="A227" s="183">
        <v>42979</v>
      </c>
      <c r="B227" s="189"/>
      <c r="C227" s="190">
        <f>'Residential WN'!C227</f>
        <v>176.97</v>
      </c>
      <c r="D227" s="190">
        <f>'Residential WN'!D227</f>
        <v>5.05</v>
      </c>
      <c r="E227" s="184">
        <v>30</v>
      </c>
      <c r="F227" s="184">
        <v>1</v>
      </c>
      <c r="G227" s="184">
        <f>'CDM Activity'!O159</f>
        <v>572889.99834439426</v>
      </c>
      <c r="H227" s="187">
        <v>160.67500426280395</v>
      </c>
      <c r="I227" s="184"/>
      <c r="J227" s="184"/>
      <c r="K227" s="194">
        <f t="shared" si="2"/>
        <v>10180181.536072362</v>
      </c>
      <c r="L227" s="316"/>
      <c r="M227" s="37"/>
    </row>
    <row r="228" spans="1:16">
      <c r="A228" s="183">
        <v>43009</v>
      </c>
      <c r="B228" s="189"/>
      <c r="C228" s="190">
        <f>'Residential WN'!C228</f>
        <v>372.15</v>
      </c>
      <c r="D228" s="190">
        <f>'Residential WN'!D228</f>
        <v>0.54</v>
      </c>
      <c r="E228" s="184">
        <v>31</v>
      </c>
      <c r="F228" s="184">
        <v>1</v>
      </c>
      <c r="G228" s="184">
        <f>'CDM Activity'!O160</f>
        <v>565895.86674250301</v>
      </c>
      <c r="H228" s="187">
        <v>160.99287269124085</v>
      </c>
      <c r="I228" s="184"/>
      <c r="J228" s="184"/>
      <c r="K228" s="194">
        <f t="shared" si="2"/>
        <v>11247086.312279427</v>
      </c>
      <c r="L228" s="316"/>
      <c r="M228" s="37"/>
    </row>
    <row r="229" spans="1:16">
      <c r="A229" s="183">
        <v>43040</v>
      </c>
      <c r="B229" s="189"/>
      <c r="C229" s="190">
        <f>'Residential WN'!C229</f>
        <v>567.61000000000013</v>
      </c>
      <c r="D229" s="190">
        <f>'Residential WN'!D229</f>
        <v>0</v>
      </c>
      <c r="E229" s="184">
        <v>30</v>
      </c>
      <c r="F229" s="184">
        <v>1</v>
      </c>
      <c r="G229" s="184">
        <f>'CDM Activity'!O161</f>
        <v>558901.73514061177</v>
      </c>
      <c r="H229" s="187">
        <v>161.31136996881492</v>
      </c>
      <c r="I229" s="184"/>
      <c r="J229" s="184"/>
      <c r="K229" s="194">
        <f t="shared" si="2"/>
        <v>11834195.494763983</v>
      </c>
      <c r="L229" s="316"/>
      <c r="M229" s="37"/>
    </row>
    <row r="230" spans="1:16">
      <c r="A230" s="183">
        <v>43070</v>
      </c>
      <c r="B230" s="189"/>
      <c r="C230" s="190">
        <f>'Residential WN'!C230</f>
        <v>852.28999999999974</v>
      </c>
      <c r="D230" s="190">
        <f>'Residential WN'!D230</f>
        <v>0</v>
      </c>
      <c r="E230" s="184">
        <v>31</v>
      </c>
      <c r="F230" s="184">
        <v>0</v>
      </c>
      <c r="G230" s="184">
        <f>'CDM Activity'!O162</f>
        <v>551907.60353872052</v>
      </c>
      <c r="H230" s="187">
        <v>161.63049733959846</v>
      </c>
      <c r="I230" s="184"/>
      <c r="J230" s="184"/>
      <c r="K230" s="194">
        <f t="shared" si="2"/>
        <v>13902337.409889948</v>
      </c>
      <c r="L230" s="316"/>
      <c r="M230" s="37"/>
    </row>
    <row r="231" spans="1:16">
      <c r="A231" s="2"/>
      <c r="G231" s="12"/>
      <c r="L231" s="43"/>
    </row>
    <row r="232" spans="1:16">
      <c r="A232" s="2"/>
      <c r="C232" s="11"/>
      <c r="D232"/>
      <c r="G232" s="287"/>
      <c r="H232" s="195"/>
      <c r="I232" s="37"/>
      <c r="J232" s="37"/>
      <c r="K232" s="287">
        <f>SUM(K87:K230)</f>
        <v>1654708700.9577789</v>
      </c>
    </row>
    <row r="233" spans="1:16">
      <c r="A233" s="2"/>
      <c r="N233" s="198"/>
      <c r="O233" s="201"/>
      <c r="P233" s="201"/>
    </row>
    <row r="234" spans="1:16">
      <c r="A234" s="318">
        <v>2006</v>
      </c>
      <c r="B234" s="180">
        <f>SUM(B87:B98)</f>
        <v>141631018.54999995</v>
      </c>
      <c r="C234" s="37"/>
      <c r="D234" s="37"/>
      <c r="E234" s="37"/>
      <c r="F234" s="37"/>
      <c r="G234" s="37"/>
      <c r="H234" s="37"/>
      <c r="I234" s="195"/>
      <c r="J234" s="37"/>
      <c r="K234" s="180">
        <f>SUM(K87:K98)</f>
        <v>138259943.37749028</v>
      </c>
      <c r="L234" s="290">
        <f>K234-B234</f>
        <v>-3371075.1725096703</v>
      </c>
      <c r="M234" s="300">
        <f>L234/B234</f>
        <v>-2.3801814087212686E-2</v>
      </c>
      <c r="N234" s="180"/>
      <c r="O234" s="317"/>
    </row>
    <row r="235" spans="1:16">
      <c r="A235" s="319">
        <v>2007</v>
      </c>
      <c r="B235" s="180">
        <f>SUM(B99:B110)</f>
        <v>140795615.54000005</v>
      </c>
      <c r="C235" s="37"/>
      <c r="D235" s="37"/>
      <c r="E235" s="37"/>
      <c r="F235" s="37"/>
      <c r="G235" s="37"/>
      <c r="H235" s="37"/>
      <c r="I235" s="195"/>
      <c r="J235" s="37"/>
      <c r="K235" s="180">
        <f>SUM(K99:K110)</f>
        <v>139939175.51366717</v>
      </c>
      <c r="L235" s="290">
        <f t="shared" ref="L235:L243" si="3">K235-B235</f>
        <v>-856440.02633288503</v>
      </c>
      <c r="M235" s="300">
        <f t="shared" ref="M235:M243" si="4">L235/B235</f>
        <v>-6.0828600595845281E-3</v>
      </c>
      <c r="N235" s="180"/>
      <c r="O235" s="317"/>
    </row>
    <row r="236" spans="1:16">
      <c r="A236" s="318">
        <v>2008</v>
      </c>
      <c r="B236" s="180">
        <f>SUM(B111:B122)</f>
        <v>140901919.11999995</v>
      </c>
      <c r="C236" s="37"/>
      <c r="D236" s="37"/>
      <c r="E236" s="37"/>
      <c r="F236" s="37"/>
      <c r="G236" s="37"/>
      <c r="H236" s="37"/>
      <c r="I236" s="195"/>
      <c r="J236" s="37"/>
      <c r="K236" s="180">
        <f>SUM(K111:K122)</f>
        <v>140466443.38037604</v>
      </c>
      <c r="L236" s="290">
        <f t="shared" si="3"/>
        <v>-435475.73962390423</v>
      </c>
      <c r="M236" s="300">
        <f t="shared" si="4"/>
        <v>-3.0906302933534123E-3</v>
      </c>
      <c r="N236" s="180"/>
      <c r="O236" s="317"/>
    </row>
    <row r="237" spans="1:16">
      <c r="A237" s="319">
        <v>2009</v>
      </c>
      <c r="B237" s="180">
        <f>SUM(B123:B134)</f>
        <v>137506815.68000019</v>
      </c>
      <c r="C237" s="37"/>
      <c r="D237" s="37"/>
      <c r="E237" s="37"/>
      <c r="F237" s="37"/>
      <c r="G237" s="37"/>
      <c r="H237" s="37"/>
      <c r="I237" s="195"/>
      <c r="J237" s="37"/>
      <c r="K237" s="180">
        <f>SUM(K123:K134)</f>
        <v>137509400.53846347</v>
      </c>
      <c r="L237" s="290">
        <f t="shared" si="3"/>
        <v>2584.8584632873535</v>
      </c>
      <c r="M237" s="300">
        <f t="shared" si="4"/>
        <v>1.8798038849963064E-5</v>
      </c>
      <c r="N237" s="180"/>
      <c r="O237" s="317"/>
    </row>
    <row r="238" spans="1:16">
      <c r="A238" s="318">
        <v>2010</v>
      </c>
      <c r="B238" s="180">
        <f>SUM(B135:B146)</f>
        <v>132765784.44999993</v>
      </c>
      <c r="C238" s="37"/>
      <c r="D238" s="37"/>
      <c r="E238" s="37"/>
      <c r="F238" s="37"/>
      <c r="G238" s="37"/>
      <c r="H238" s="37"/>
      <c r="I238" s="195"/>
      <c r="J238" s="37"/>
      <c r="K238" s="180">
        <f>SUM(K135:K146)</f>
        <v>136000969.32659072</v>
      </c>
      <c r="L238" s="290">
        <f t="shared" si="3"/>
        <v>3235184.8765907884</v>
      </c>
      <c r="M238" s="300">
        <f t="shared" si="4"/>
        <v>2.4367610148902263E-2</v>
      </c>
      <c r="N238" s="180"/>
      <c r="O238" s="317"/>
    </row>
    <row r="239" spans="1:16">
      <c r="A239" s="318">
        <v>2011</v>
      </c>
      <c r="B239" s="180">
        <f>SUM(B147:B158)</f>
        <v>135688687.22999996</v>
      </c>
      <c r="C239" s="37"/>
      <c r="D239" s="37"/>
      <c r="E239" s="37"/>
      <c r="F239" s="37"/>
      <c r="G239" s="37"/>
      <c r="H239" s="37"/>
      <c r="I239" s="195"/>
      <c r="J239" s="37"/>
      <c r="K239" s="180">
        <f>SUM(K147:K158)</f>
        <v>137080521.5234752</v>
      </c>
      <c r="L239" s="290">
        <f t="shared" si="3"/>
        <v>1391834.2934752405</v>
      </c>
      <c r="M239" s="300">
        <f t="shared" si="4"/>
        <v>1.0257555894221329E-2</v>
      </c>
      <c r="N239" s="180"/>
      <c r="O239" s="317"/>
    </row>
    <row r="240" spans="1:16">
      <c r="A240" s="318">
        <v>2012</v>
      </c>
      <c r="B240" s="180">
        <f>SUM(B159:B170)</f>
        <v>133678840.49000008</v>
      </c>
      <c r="C240" s="37"/>
      <c r="D240" s="37"/>
      <c r="E240" s="37"/>
      <c r="F240" s="37"/>
      <c r="G240" s="37"/>
      <c r="H240" s="37"/>
      <c r="I240" s="195"/>
      <c r="J240" s="37"/>
      <c r="K240" s="180">
        <f>SUM(K159:K170)</f>
        <v>137734238.71311533</v>
      </c>
      <c r="L240" s="290">
        <f t="shared" si="3"/>
        <v>4055398.2231152505</v>
      </c>
      <c r="M240" s="300">
        <f t="shared" si="4"/>
        <v>3.0336874618676967E-2</v>
      </c>
      <c r="N240" s="180"/>
      <c r="O240" s="317"/>
    </row>
    <row r="241" spans="1:15">
      <c r="A241" s="318">
        <v>2013</v>
      </c>
      <c r="B241" s="180">
        <f>SUM(B171:B182)</f>
        <v>136331185.61000001</v>
      </c>
      <c r="C241" s="37"/>
      <c r="D241" s="37"/>
      <c r="E241" s="37"/>
      <c r="F241" s="37"/>
      <c r="G241" s="37"/>
      <c r="H241" s="37"/>
      <c r="I241" s="195"/>
      <c r="J241" s="37"/>
      <c r="K241" s="180">
        <f>SUM(K171:K182)</f>
        <v>136590961.75820157</v>
      </c>
      <c r="L241" s="290">
        <f t="shared" si="3"/>
        <v>259776.14820155501</v>
      </c>
      <c r="M241" s="300">
        <f t="shared" si="4"/>
        <v>1.9054785377183737E-3</v>
      </c>
      <c r="N241" s="180"/>
      <c r="O241" s="317"/>
    </row>
    <row r="242" spans="1:15">
      <c r="A242" s="318">
        <v>2014</v>
      </c>
      <c r="B242" s="180">
        <f>SUM(B183:B194)</f>
        <v>139285835.96861196</v>
      </c>
      <c r="C242" s="37"/>
      <c r="D242" s="37"/>
      <c r="E242" s="37"/>
      <c r="F242" s="37"/>
      <c r="G242" s="37"/>
      <c r="H242" s="37"/>
      <c r="I242" s="195"/>
      <c r="J242" s="37"/>
      <c r="K242" s="180">
        <f>SUM(K183:K194)</f>
        <v>135918264.82801253</v>
      </c>
      <c r="L242" s="290">
        <f t="shared" si="3"/>
        <v>-3367571.1405994296</v>
      </c>
      <c r="M242" s="300">
        <f t="shared" si="4"/>
        <v>-2.4177412708053899E-2</v>
      </c>
      <c r="N242" s="180"/>
      <c r="O242" s="317"/>
    </row>
    <row r="243" spans="1:15">
      <c r="A243" s="319">
        <v>2015</v>
      </c>
      <c r="B243" s="180">
        <f>SUM(B195:B206)</f>
        <v>137179401.47999987</v>
      </c>
      <c r="C243" s="37"/>
      <c r="D243" s="37"/>
      <c r="E243" s="37"/>
      <c r="F243" s="37"/>
      <c r="G243" s="37"/>
      <c r="H243" s="37"/>
      <c r="I243" s="195"/>
      <c r="J243" s="37"/>
      <c r="K243" s="180">
        <f>SUM(K195:K206)</f>
        <v>136265185.15921974</v>
      </c>
      <c r="L243" s="290">
        <f t="shared" si="3"/>
        <v>-914216.32078012824</v>
      </c>
      <c r="M243" s="300">
        <f t="shared" si="4"/>
        <v>-6.6643848195635756E-3</v>
      </c>
      <c r="N243" s="180"/>
      <c r="O243" s="317"/>
    </row>
    <row r="244" spans="1:15">
      <c r="A244" s="318">
        <v>2016</v>
      </c>
      <c r="B244" s="180"/>
      <c r="C244" s="37"/>
      <c r="D244" s="37"/>
      <c r="E244" s="37"/>
      <c r="F244" s="37"/>
      <c r="G244" s="37"/>
      <c r="H244" s="37"/>
      <c r="I244" s="195"/>
      <c r="J244" s="37"/>
      <c r="K244" s="180">
        <f>SUM(K207:K218)</f>
        <v>138119702.98812523</v>
      </c>
      <c r="L244" s="37"/>
      <c r="M244" s="37"/>
      <c r="N244" s="180"/>
      <c r="O244" s="317"/>
    </row>
    <row r="245" spans="1:15">
      <c r="A245" s="319">
        <v>2017</v>
      </c>
      <c r="B245" s="180"/>
      <c r="C245" s="37"/>
      <c r="D245" s="37"/>
      <c r="E245" s="37"/>
      <c r="F245" s="37"/>
      <c r="G245" s="37"/>
      <c r="H245" s="37"/>
      <c r="I245" s="195"/>
      <c r="J245" s="37"/>
      <c r="K245" s="180">
        <f>SUM(K219:K230)</f>
        <v>140823893.8510406</v>
      </c>
      <c r="L245" s="37"/>
      <c r="M245" s="37"/>
      <c r="N245" s="180"/>
      <c r="O245" s="317"/>
    </row>
    <row r="246" spans="1:15" ht="13.5" thickBot="1">
      <c r="C246" s="198"/>
      <c r="H246" s="198"/>
      <c r="I246" s="23"/>
      <c r="K246" s="5"/>
    </row>
    <row r="247" spans="1:15" ht="16.5" thickTop="1" thickBot="1">
      <c r="A247" s="260" t="s">
        <v>261</v>
      </c>
      <c r="B247" s="320">
        <f>SUM(B234:B243)</f>
        <v>1375765104.1186118</v>
      </c>
      <c r="C247" s="198"/>
      <c r="H247" s="198"/>
      <c r="I247" s="23"/>
      <c r="K247" s="320">
        <f>SUM(K234:K243)</f>
        <v>1375765104.1186118</v>
      </c>
      <c r="L247" s="256">
        <f>K247-B247</f>
        <v>0</v>
      </c>
    </row>
    <row r="248" spans="1:15" ht="14.25" thickTop="1" thickBot="1">
      <c r="C248" s="198"/>
      <c r="H248" s="198"/>
      <c r="I248" s="23"/>
    </row>
    <row r="249" spans="1:15" ht="16.5" thickTop="1" thickBot="1">
      <c r="C249" s="198"/>
      <c r="H249" s="198"/>
      <c r="I249" s="23"/>
      <c r="K249" s="320">
        <f>SUM(K234:K245)</f>
        <v>1654708700.9577777</v>
      </c>
      <c r="L249" s="257">
        <f>K232-K249</f>
        <v>0</v>
      </c>
    </row>
    <row r="250" spans="1:15" ht="13.5" thickTop="1">
      <c r="C250" s="198"/>
      <c r="H250" s="198"/>
      <c r="I250" s="23"/>
      <c r="K250" s="258"/>
      <c r="L250" s="258" t="s">
        <v>47</v>
      </c>
      <c r="M250" s="258"/>
    </row>
    <row r="253" spans="1:15">
      <c r="H253" s="198"/>
      <c r="I253" s="23"/>
    </row>
    <row r="254" spans="1:15" ht="15">
      <c r="B254" s="259" t="s">
        <v>143</v>
      </c>
      <c r="C254" s="198"/>
      <c r="H254" s="198"/>
      <c r="I254" s="23"/>
    </row>
    <row r="255" spans="1:15" ht="15">
      <c r="A255" s="321">
        <v>42736</v>
      </c>
      <c r="B255" s="180"/>
      <c r="C255" s="190">
        <f>'Weather Analysis - Thunder Bay'!AA8</f>
        <v>981.22443609022571</v>
      </c>
      <c r="D255" s="190">
        <f>'Weather Analysis - Thunder Bay'!AA28</f>
        <v>0</v>
      </c>
      <c r="E255" s="194">
        <f>E219</f>
        <v>31</v>
      </c>
      <c r="F255" s="194">
        <f t="shared" ref="F255:G255" si="5">F219</f>
        <v>0</v>
      </c>
      <c r="G255" s="194">
        <f t="shared" si="5"/>
        <v>628843.05115952424</v>
      </c>
      <c r="H255" s="187">
        <f>H219</f>
        <v>158.15454692394951</v>
      </c>
      <c r="I255" s="187">
        <v>143.1291789570798</v>
      </c>
      <c r="J255" s="194">
        <v>352</v>
      </c>
      <c r="K255" s="194">
        <f t="shared" ref="K255:K266" si="6">$O$103+C255*$O$104+D255*$O$105+E255*$O$106+F255*$O$107+G255*$O$108+H255*$O$109</f>
        <v>14188052.405750645</v>
      </c>
      <c r="L255" s="37"/>
    </row>
    <row r="256" spans="1:15" ht="15">
      <c r="A256" s="321">
        <v>42767</v>
      </c>
      <c r="B256" s="180"/>
      <c r="C256" s="190">
        <f>'Weather Analysis - Thunder Bay'!AA9</f>
        <v>920.49842105263269</v>
      </c>
      <c r="D256" s="190">
        <f>'Weather Analysis - Thunder Bay'!AA29</f>
        <v>0</v>
      </c>
      <c r="E256" s="194">
        <f t="shared" ref="E256:H266" si="7">E220</f>
        <v>28</v>
      </c>
      <c r="F256" s="194">
        <f t="shared" si="7"/>
        <v>0</v>
      </c>
      <c r="G256" s="194">
        <f t="shared" si="7"/>
        <v>621848.91955763299</v>
      </c>
      <c r="H256" s="187">
        <f t="shared" si="7"/>
        <v>158.46742905214063</v>
      </c>
      <c r="I256" s="187">
        <v>143.42400163116841</v>
      </c>
      <c r="J256" s="194">
        <v>304</v>
      </c>
      <c r="K256" s="194">
        <f t="shared" si="6"/>
        <v>13101697.347903561</v>
      </c>
      <c r="L256" s="37"/>
    </row>
    <row r="257" spans="1:12" customFormat="1" ht="15">
      <c r="A257" s="321">
        <v>42795</v>
      </c>
      <c r="B257" s="180"/>
      <c r="C257" s="190">
        <f>'Weather Analysis - Thunder Bay'!AA10</f>
        <v>728.65676691729323</v>
      </c>
      <c r="D257" s="190">
        <f>'Weather Analysis - Thunder Bay'!AA30</f>
        <v>0</v>
      </c>
      <c r="E257" s="194">
        <f t="shared" si="7"/>
        <v>31</v>
      </c>
      <c r="F257" s="194">
        <f t="shared" si="7"/>
        <v>1</v>
      </c>
      <c r="G257" s="194">
        <f t="shared" si="7"/>
        <v>614854.78795574175</v>
      </c>
      <c r="H257" s="187">
        <f t="shared" si="7"/>
        <v>158.78093016491388</v>
      </c>
      <c r="I257" s="187">
        <v>143.71943159169427</v>
      </c>
      <c r="J257" s="194">
        <v>320</v>
      </c>
      <c r="K257" s="194">
        <f t="shared" si="6"/>
        <v>12618101.976677218</v>
      </c>
      <c r="L257" s="37"/>
    </row>
    <row r="258" spans="1:12" customFormat="1" ht="15">
      <c r="A258" s="321">
        <v>42826</v>
      </c>
      <c r="B258" s="180"/>
      <c r="C258" s="190">
        <f>'Weather Analysis - Thunder Bay'!AA11</f>
        <v>457.84511278195487</v>
      </c>
      <c r="D258" s="190">
        <f>'Weather Analysis - Thunder Bay'!AA31</f>
        <v>0</v>
      </c>
      <c r="E258" s="194">
        <f t="shared" si="7"/>
        <v>30</v>
      </c>
      <c r="F258" s="194">
        <f t="shared" si="7"/>
        <v>1</v>
      </c>
      <c r="G258" s="194">
        <f t="shared" si="7"/>
        <v>607860.6563538505</v>
      </c>
      <c r="H258" s="187">
        <f t="shared" si="7"/>
        <v>159.09505148682601</v>
      </c>
      <c r="I258" s="187">
        <v>144.01547008956803</v>
      </c>
      <c r="J258" s="194">
        <v>352</v>
      </c>
      <c r="K258" s="194">
        <f t="shared" si="6"/>
        <v>11176824.071453206</v>
      </c>
      <c r="L258" s="37"/>
    </row>
    <row r="259" spans="1:12" customFormat="1" ht="15">
      <c r="A259" s="321">
        <v>42856</v>
      </c>
      <c r="B259" s="180"/>
      <c r="C259" s="190">
        <f>'Weather Analysis - Thunder Bay'!AA12</f>
        <v>271.64563909774438</v>
      </c>
      <c r="D259" s="190">
        <f>'Weather Analysis - Thunder Bay'!AA32</f>
        <v>0.20857142857142463</v>
      </c>
      <c r="E259" s="194">
        <f t="shared" si="7"/>
        <v>31</v>
      </c>
      <c r="F259" s="194">
        <f t="shared" si="7"/>
        <v>1</v>
      </c>
      <c r="G259" s="194">
        <f t="shared" si="7"/>
        <v>600866.52475195925</v>
      </c>
      <c r="H259" s="187">
        <f t="shared" si="7"/>
        <v>159.4097942448563</v>
      </c>
      <c r="I259" s="187">
        <v>144.31211837827698</v>
      </c>
      <c r="J259" s="194">
        <v>352</v>
      </c>
      <c r="K259" s="194">
        <f t="shared" si="6"/>
        <v>10673948.087459896</v>
      </c>
      <c r="L259" s="37"/>
    </row>
    <row r="260" spans="1:12" customFormat="1" ht="15">
      <c r="A260" s="321">
        <v>42887</v>
      </c>
      <c r="B260" s="180"/>
      <c r="C260" s="190">
        <f>'Weather Analysis - Thunder Bay'!AA13</f>
        <v>115.80518796992476</v>
      </c>
      <c r="D260" s="190">
        <f>'Weather Analysis - Thunder Bay'!AA33</f>
        <v>4.1052631578947967</v>
      </c>
      <c r="E260" s="194">
        <f t="shared" si="7"/>
        <v>30</v>
      </c>
      <c r="F260" s="194">
        <f t="shared" si="7"/>
        <v>0</v>
      </c>
      <c r="G260" s="194">
        <f t="shared" si="7"/>
        <v>593872.393150068</v>
      </c>
      <c r="H260" s="187">
        <f t="shared" si="7"/>
        <v>159.72515966841141</v>
      </c>
      <c r="I260" s="187">
        <v>144.60937771389038</v>
      </c>
      <c r="J260" s="194">
        <v>320</v>
      </c>
      <c r="K260" s="194">
        <f t="shared" si="6"/>
        <v>10332513.340630718</v>
      </c>
      <c r="L260" s="37"/>
    </row>
    <row r="261" spans="1:12" customFormat="1" ht="15">
      <c r="A261" s="321">
        <v>42917</v>
      </c>
      <c r="B261" s="180"/>
      <c r="C261" s="190">
        <f>'Weather Analysis - Thunder Bay'!AA14</f>
        <v>34.996616541353319</v>
      </c>
      <c r="D261" s="190">
        <f>'Weather Analysis - Thunder Bay'!AA34</f>
        <v>41.516616541353415</v>
      </c>
      <c r="E261" s="194">
        <f t="shared" si="7"/>
        <v>31</v>
      </c>
      <c r="F261" s="194">
        <f t="shared" si="7"/>
        <v>0</v>
      </c>
      <c r="G261" s="194">
        <f t="shared" si="7"/>
        <v>586878.26154817676</v>
      </c>
      <c r="H261" s="187">
        <f t="shared" si="7"/>
        <v>160.0411489893302</v>
      </c>
      <c r="I261" s="187">
        <v>144.90724935506483</v>
      </c>
      <c r="J261" s="194">
        <v>352</v>
      </c>
      <c r="K261" s="194">
        <f t="shared" si="6"/>
        <v>11067324.499285871</v>
      </c>
      <c r="L261" s="37"/>
    </row>
    <row r="262" spans="1:12" customFormat="1" ht="15">
      <c r="A262" s="321">
        <v>42948</v>
      </c>
      <c r="B262" s="180"/>
      <c r="C262" s="190">
        <f>'Weather Analysis - Thunder Bay'!AA15</f>
        <v>48.162481203007474</v>
      </c>
      <c r="D262" s="190">
        <f>'Weather Analysis - Thunder Bay'!AA35</f>
        <v>33.181729323308446</v>
      </c>
      <c r="E262" s="194">
        <f t="shared" si="7"/>
        <v>31</v>
      </c>
      <c r="F262" s="194">
        <f t="shared" si="7"/>
        <v>0</v>
      </c>
      <c r="G262" s="194">
        <f t="shared" si="7"/>
        <v>579884.12994628551</v>
      </c>
      <c r="H262" s="187">
        <f t="shared" si="7"/>
        <v>160.35776344188849</v>
      </c>
      <c r="I262" s="187">
        <v>145.20573456304953</v>
      </c>
      <c r="J262" s="194">
        <v>336</v>
      </c>
      <c r="K262" s="194">
        <f t="shared" si="6"/>
        <v>10976233.964263508</v>
      </c>
      <c r="L262" s="37"/>
    </row>
    <row r="263" spans="1:12" customFormat="1" ht="15">
      <c r="A263" s="321">
        <v>42979</v>
      </c>
      <c r="B263" s="180"/>
      <c r="C263" s="190">
        <f>'Weather Analysis - Thunder Bay'!AA16</f>
        <v>175.57706766917295</v>
      </c>
      <c r="D263" s="190">
        <f>'Weather Analysis - Thunder Bay'!AA36</f>
        <v>5.6842857142857071</v>
      </c>
      <c r="E263" s="194">
        <f t="shared" si="7"/>
        <v>30</v>
      </c>
      <c r="F263" s="194">
        <f t="shared" si="7"/>
        <v>1</v>
      </c>
      <c r="G263" s="194">
        <f t="shared" si="7"/>
        <v>572889.99834439426</v>
      </c>
      <c r="H263" s="187">
        <f t="shared" si="7"/>
        <v>160.67500426280395</v>
      </c>
      <c r="I263" s="187">
        <v>145.50483460169167</v>
      </c>
      <c r="J263" s="194">
        <v>320</v>
      </c>
      <c r="K263" s="194">
        <f t="shared" si="6"/>
        <v>10187330.372087231</v>
      </c>
      <c r="L263" s="37"/>
    </row>
    <row r="264" spans="1:12" customFormat="1" ht="15">
      <c r="A264" s="321">
        <v>43009</v>
      </c>
      <c r="B264" s="180"/>
      <c r="C264" s="190">
        <f>'Weather Analysis - Thunder Bay'!AA17</f>
        <v>357.9927819548875</v>
      </c>
      <c r="D264" s="190">
        <f>'Weather Analysis - Thunder Bay'!AA37</f>
        <v>0.78360902255639076</v>
      </c>
      <c r="E264" s="194">
        <f t="shared" si="7"/>
        <v>31</v>
      </c>
      <c r="F264" s="194">
        <f t="shared" si="7"/>
        <v>1</v>
      </c>
      <c r="G264" s="194">
        <f t="shared" si="7"/>
        <v>565895.86674250301</v>
      </c>
      <c r="H264" s="187">
        <f t="shared" si="7"/>
        <v>160.99287269124085</v>
      </c>
      <c r="I264" s="187">
        <v>145.8045507374417</v>
      </c>
      <c r="J264" s="194">
        <v>352</v>
      </c>
      <c r="K264" s="194">
        <f t="shared" si="6"/>
        <v>11190248.70969519</v>
      </c>
      <c r="L264" s="37"/>
    </row>
    <row r="265" spans="1:12" customFormat="1" ht="15">
      <c r="A265" s="321">
        <v>43040</v>
      </c>
      <c r="B265" s="180"/>
      <c r="C265" s="190">
        <f>'Weather Analysis - Thunder Bay'!AA18</f>
        <v>558.62721804511284</v>
      </c>
      <c r="D265" s="190">
        <f>'Weather Analysis - Thunder Bay'!AA38</f>
        <v>0</v>
      </c>
      <c r="E265" s="194">
        <f t="shared" si="7"/>
        <v>30</v>
      </c>
      <c r="F265" s="194">
        <f t="shared" si="7"/>
        <v>1</v>
      </c>
      <c r="G265" s="194">
        <f t="shared" si="7"/>
        <v>558901.73514061177</v>
      </c>
      <c r="H265" s="187">
        <f t="shared" si="7"/>
        <v>161.31136996881492</v>
      </c>
      <c r="I265" s="187">
        <v>146.1048842393588</v>
      </c>
      <c r="J265" s="194">
        <v>336</v>
      </c>
      <c r="K265" s="194">
        <f t="shared" si="6"/>
        <v>11794905.083825972</v>
      </c>
      <c r="L265" s="37"/>
    </row>
    <row r="266" spans="1:12" customFormat="1" ht="15">
      <c r="A266" s="321">
        <v>43070</v>
      </c>
      <c r="B266" s="180"/>
      <c r="C266" s="190">
        <f>'Weather Analysis - Thunder Bay'!AA19</f>
        <v>843.2869924812029</v>
      </c>
      <c r="D266" s="190">
        <f>'Weather Analysis - Thunder Bay'!AA39</f>
        <v>0</v>
      </c>
      <c r="E266" s="194">
        <f t="shared" si="7"/>
        <v>31</v>
      </c>
      <c r="F266" s="194">
        <f t="shared" si="7"/>
        <v>0</v>
      </c>
      <c r="G266" s="194">
        <f t="shared" si="7"/>
        <v>551907.60353872052</v>
      </c>
      <c r="H266" s="187">
        <f t="shared" si="7"/>
        <v>161.63049733959846</v>
      </c>
      <c r="I266" s="187">
        <v>146.40583637911641</v>
      </c>
      <c r="J266" s="194">
        <v>320</v>
      </c>
      <c r="K266" s="194">
        <f t="shared" si="6"/>
        <v>13862958.532959836</v>
      </c>
      <c r="L266" s="287">
        <f>SUM(K255:K266)</f>
        <v>141170138.39199287</v>
      </c>
    </row>
    <row r="267" spans="1:12" customFormat="1">
      <c r="B267" s="5"/>
      <c r="C267" s="177"/>
      <c r="D267" s="198"/>
      <c r="E267" s="198"/>
      <c r="F267" s="198"/>
      <c r="G267" s="198"/>
      <c r="H267" s="23"/>
      <c r="I267" s="198"/>
      <c r="J267" s="198"/>
      <c r="K267" s="198"/>
      <c r="L267" s="198"/>
    </row>
    <row r="268" spans="1:12" customFormat="1">
      <c r="B268" s="5"/>
      <c r="C268" s="177"/>
      <c r="D268" s="198"/>
      <c r="E268" s="198"/>
      <c r="F268" s="198"/>
      <c r="G268" s="198"/>
      <c r="H268" s="23"/>
      <c r="I268" s="198"/>
      <c r="J268" s="198"/>
      <c r="K268" s="198"/>
      <c r="L268" s="198"/>
    </row>
    <row r="269" spans="1:12" customFormat="1">
      <c r="B269" s="5"/>
      <c r="C269" s="177"/>
      <c r="D269" s="198"/>
      <c r="E269" s="198"/>
      <c r="F269" s="198"/>
      <c r="G269" s="198"/>
      <c r="H269" s="23"/>
      <c r="I269" s="198"/>
      <c r="J269" s="198"/>
      <c r="K269" s="198"/>
      <c r="L269" s="198"/>
    </row>
    <row r="270" spans="1:12" customFormat="1">
      <c r="B270" s="5"/>
      <c r="C270" s="177"/>
      <c r="D270" s="198"/>
      <c r="E270" s="198"/>
      <c r="F270" s="198"/>
      <c r="G270" s="198"/>
      <c r="H270" s="23"/>
      <c r="I270" s="198"/>
      <c r="J270" s="198"/>
      <c r="K270" s="198"/>
      <c r="L270" s="198"/>
    </row>
    <row r="271" spans="1:12" customFormat="1">
      <c r="B271" s="5"/>
      <c r="C271" s="177"/>
      <c r="D271" s="198"/>
      <c r="E271" s="198"/>
      <c r="F271" s="198"/>
      <c r="G271" s="198"/>
      <c r="H271" s="23"/>
      <c r="I271" s="198"/>
      <c r="J271" s="198"/>
      <c r="K271" s="198"/>
      <c r="L271" s="198"/>
    </row>
    <row r="272" spans="1:12" customFormat="1">
      <c r="B272" s="5"/>
      <c r="C272" s="177"/>
      <c r="D272" s="198"/>
      <c r="E272" s="198"/>
      <c r="F272" s="198"/>
      <c r="G272" s="198"/>
      <c r="H272" s="23"/>
      <c r="I272" s="198"/>
      <c r="J272" s="198"/>
      <c r="K272" s="198"/>
      <c r="L272" s="198"/>
    </row>
    <row r="273" customFormat="1"/>
    <row r="274" customFormat="1"/>
  </sheetData>
  <mergeCells count="2">
    <mergeCell ref="I1:J1"/>
    <mergeCell ref="O233:P233"/>
  </mergeCells>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74"/>
  <sheetViews>
    <sheetView workbookViewId="0">
      <selection sqref="A1:XFD1048576"/>
    </sheetView>
  </sheetViews>
  <sheetFormatPr defaultRowHeight="12.75"/>
  <cols>
    <col min="1" max="1" width="11.85546875" customWidth="1"/>
    <col min="2" max="2" width="18" style="5" customWidth="1"/>
    <col min="3" max="3" width="11.7109375" style="177" customWidth="1"/>
    <col min="4" max="4" width="13.42578125" style="198" customWidth="1"/>
    <col min="5" max="5" width="10.140625" style="198" customWidth="1"/>
    <col min="6" max="7" width="12.42578125" style="198" customWidth="1"/>
    <col min="8" max="8" width="14.42578125" style="23" customWidth="1"/>
    <col min="9" max="10" width="12.42578125" style="198" hidden="1" customWidth="1"/>
    <col min="11" max="11" width="15.42578125" style="198" bestFit="1" customWidth="1"/>
    <col min="12" max="12" width="17" style="198" customWidth="1"/>
    <col min="13" max="13" width="12.42578125" style="19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283"/>
      <c r="J1" s="283"/>
    </row>
    <row r="2" spans="1:13" ht="42" customHeight="1">
      <c r="A2" s="181"/>
      <c r="B2" s="261" t="s">
        <v>77</v>
      </c>
      <c r="C2" s="262" t="s">
        <v>1</v>
      </c>
      <c r="D2" s="262" t="s">
        <v>2</v>
      </c>
      <c r="E2" s="262" t="s">
        <v>3</v>
      </c>
      <c r="F2" s="262" t="s">
        <v>14</v>
      </c>
      <c r="G2" s="262" t="s">
        <v>56</v>
      </c>
      <c r="H2" s="263" t="s">
        <v>58</v>
      </c>
      <c r="I2" s="262" t="s">
        <v>4</v>
      </c>
      <c r="J2" s="262" t="s">
        <v>49</v>
      </c>
      <c r="K2" s="262" t="s">
        <v>78</v>
      </c>
      <c r="L2" s="262" t="s">
        <v>7</v>
      </c>
      <c r="M2" s="262" t="s">
        <v>311</v>
      </c>
    </row>
    <row r="3" spans="1:13" ht="12.75" hidden="1" customHeight="1">
      <c r="A3" s="191">
        <v>36161</v>
      </c>
      <c r="B3" s="284">
        <v>16478656.440000014</v>
      </c>
      <c r="C3" s="194">
        <f>'Weather Data'!B99</f>
        <v>994.7</v>
      </c>
      <c r="D3" s="194">
        <f>'Weather Data'!C99</f>
        <v>0</v>
      </c>
      <c r="E3" s="194">
        <v>31</v>
      </c>
      <c r="F3" s="194">
        <v>0</v>
      </c>
      <c r="G3" s="184">
        <v>0</v>
      </c>
      <c r="H3" s="195">
        <v>319.87200000000001</v>
      </c>
      <c r="I3" s="184">
        <v>105.44819844915847</v>
      </c>
      <c r="J3" s="194">
        <v>535</v>
      </c>
      <c r="K3" s="194"/>
      <c r="L3" s="194"/>
      <c r="M3" s="285"/>
    </row>
    <row r="4" spans="1:13" ht="12.75" hidden="1" customHeight="1">
      <c r="A4" s="191">
        <v>36192</v>
      </c>
      <c r="B4" s="284">
        <v>27689060.52999993</v>
      </c>
      <c r="C4" s="194">
        <f>'Weather Data'!B100</f>
        <v>718.7</v>
      </c>
      <c r="D4" s="194">
        <f>'Weather Data'!C100</f>
        <v>0</v>
      </c>
      <c r="E4" s="194">
        <v>28</v>
      </c>
      <c r="F4" s="194">
        <v>0</v>
      </c>
      <c r="G4" s="184">
        <v>0</v>
      </c>
      <c r="H4" s="195">
        <v>319.87200000000001</v>
      </c>
      <c r="I4" s="184">
        <v>106.08666118100913</v>
      </c>
      <c r="J4" s="194">
        <v>578</v>
      </c>
      <c r="K4" s="194"/>
      <c r="L4" s="194"/>
      <c r="M4" s="285"/>
    </row>
    <row r="5" spans="1:13" ht="12.75" hidden="1" customHeight="1">
      <c r="A5" s="191">
        <v>36220</v>
      </c>
      <c r="B5" s="284">
        <v>28367059.099999957</v>
      </c>
      <c r="C5" s="194">
        <f>'Weather Data'!B101</f>
        <v>710.1</v>
      </c>
      <c r="D5" s="194">
        <f>'Weather Data'!C101</f>
        <v>0</v>
      </c>
      <c r="E5" s="194">
        <v>31</v>
      </c>
      <c r="F5" s="194">
        <v>1</v>
      </c>
      <c r="G5" s="184">
        <v>0</v>
      </c>
      <c r="H5" s="195">
        <v>368.28</v>
      </c>
      <c r="I5" s="184">
        <v>106.72898964661303</v>
      </c>
      <c r="J5" s="194">
        <v>583</v>
      </c>
      <c r="K5" s="194"/>
      <c r="L5" s="194"/>
      <c r="M5" s="285"/>
    </row>
    <row r="6" spans="1:13" ht="12.75" hidden="1" customHeight="1">
      <c r="A6" s="191">
        <v>36251</v>
      </c>
      <c r="B6" s="284">
        <v>24673273.639999956</v>
      </c>
      <c r="C6" s="194">
        <f>'Weather Data'!B102</f>
        <v>407.7</v>
      </c>
      <c r="D6" s="194">
        <f>'Weather Data'!C102</f>
        <v>0</v>
      </c>
      <c r="E6" s="194">
        <v>30</v>
      </c>
      <c r="F6" s="194">
        <v>1</v>
      </c>
      <c r="G6" s="184">
        <v>0</v>
      </c>
      <c r="H6" s="195">
        <v>336.24</v>
      </c>
      <c r="I6" s="184">
        <v>107.37520725203085</v>
      </c>
      <c r="J6" s="194">
        <v>596</v>
      </c>
      <c r="K6" s="194"/>
      <c r="L6" s="194"/>
      <c r="M6" s="285"/>
    </row>
    <row r="7" spans="1:13" ht="12.75" hidden="1" customHeight="1">
      <c r="A7" s="191">
        <v>36281</v>
      </c>
      <c r="B7" s="284">
        <v>23679737.790000018</v>
      </c>
      <c r="C7" s="194">
        <f>'Weather Data'!B103</f>
        <v>224.7</v>
      </c>
      <c r="D7" s="194">
        <f>'Weather Data'!C103</f>
        <v>2.6</v>
      </c>
      <c r="E7" s="194">
        <v>31</v>
      </c>
      <c r="F7" s="194">
        <v>1</v>
      </c>
      <c r="G7" s="184">
        <v>0</v>
      </c>
      <c r="H7" s="195">
        <v>319.92</v>
      </c>
      <c r="I7" s="184">
        <v>108.02533754504118</v>
      </c>
      <c r="J7" s="194">
        <v>611</v>
      </c>
      <c r="K7" s="194"/>
      <c r="L7" s="194"/>
      <c r="M7" s="285"/>
    </row>
    <row r="8" spans="1:13" ht="12.75" hidden="1" customHeight="1">
      <c r="A8" s="191">
        <v>36312</v>
      </c>
      <c r="B8" s="284">
        <v>20438074.969999976</v>
      </c>
      <c r="C8" s="194">
        <f>'Weather Data'!B104</f>
        <v>91.9</v>
      </c>
      <c r="D8" s="194">
        <f>'Weather Data'!C104</f>
        <v>11.4</v>
      </c>
      <c r="E8" s="194">
        <v>30</v>
      </c>
      <c r="F8" s="194">
        <v>0</v>
      </c>
      <c r="G8" s="184">
        <v>0</v>
      </c>
      <c r="H8" s="195">
        <v>352.08</v>
      </c>
      <c r="I8" s="184">
        <v>108.6794042159986</v>
      </c>
      <c r="J8" s="194">
        <v>616</v>
      </c>
      <c r="K8" s="194"/>
      <c r="L8" s="194"/>
      <c r="M8" s="285"/>
    </row>
    <row r="9" spans="1:13" ht="12.75" hidden="1" customHeight="1">
      <c r="A9" s="191">
        <v>36342</v>
      </c>
      <c r="B9" s="284">
        <v>21927427.629999969</v>
      </c>
      <c r="C9" s="194">
        <f>'Weather Data'!B105</f>
        <v>24.2</v>
      </c>
      <c r="D9" s="194">
        <f>'Weather Data'!C105</f>
        <v>59.3</v>
      </c>
      <c r="E9" s="194">
        <v>31</v>
      </c>
      <c r="F9" s="194">
        <v>0</v>
      </c>
      <c r="G9" s="184">
        <v>0</v>
      </c>
      <c r="H9" s="195">
        <v>336.28800000000001</v>
      </c>
      <c r="I9" s="184">
        <v>109.33743109869688</v>
      </c>
      <c r="J9" s="194">
        <v>619</v>
      </c>
      <c r="K9" s="194"/>
      <c r="L9" s="194"/>
      <c r="M9" s="285"/>
    </row>
    <row r="10" spans="1:13" ht="12.75" hidden="1" customHeight="1">
      <c r="A10" s="191">
        <v>36373</v>
      </c>
      <c r="B10" s="284">
        <v>22070964.019999966</v>
      </c>
      <c r="C10" s="194">
        <f>'Weather Data'!B106</f>
        <v>74</v>
      </c>
      <c r="D10" s="194">
        <f>'Weather Data'!C106</f>
        <v>12.2</v>
      </c>
      <c r="E10" s="194">
        <v>31</v>
      </c>
      <c r="F10" s="194">
        <v>0</v>
      </c>
      <c r="G10" s="184">
        <v>0</v>
      </c>
      <c r="H10" s="195">
        <v>336.28800000000001</v>
      </c>
      <c r="I10" s="184">
        <v>109.99944217123755</v>
      </c>
      <c r="J10" s="194">
        <v>626</v>
      </c>
      <c r="K10" s="194"/>
      <c r="L10" s="194"/>
      <c r="M10" s="285"/>
    </row>
    <row r="11" spans="1:13" ht="12.75" hidden="1" customHeight="1">
      <c r="A11" s="191">
        <v>36404</v>
      </c>
      <c r="B11" s="284">
        <v>21905565.900000006</v>
      </c>
      <c r="C11" s="194">
        <f>'Weather Data'!B107</f>
        <v>194</v>
      </c>
      <c r="D11" s="194">
        <f>'Weather Data'!C107</f>
        <v>5.7</v>
      </c>
      <c r="E11" s="194">
        <v>30</v>
      </c>
      <c r="F11" s="194">
        <v>1</v>
      </c>
      <c r="G11" s="184">
        <v>0</v>
      </c>
      <c r="H11" s="195">
        <v>336.24</v>
      </c>
      <c r="I11" s="184">
        <v>110.66546155690358</v>
      </c>
      <c r="J11" s="194">
        <v>640</v>
      </c>
      <c r="K11" s="194"/>
      <c r="L11" s="194"/>
      <c r="M11" s="285"/>
    </row>
    <row r="12" spans="1:13" ht="12.75" hidden="1" customHeight="1">
      <c r="A12" s="191">
        <v>36434</v>
      </c>
      <c r="B12" s="284">
        <v>23608817.460000038</v>
      </c>
      <c r="C12" s="194">
        <f>'Weather Data'!B108</f>
        <v>423.1</v>
      </c>
      <c r="D12" s="194">
        <f>'Weather Data'!C108</f>
        <v>0</v>
      </c>
      <c r="E12" s="194">
        <v>31</v>
      </c>
      <c r="F12" s="194">
        <v>1</v>
      </c>
      <c r="G12" s="184">
        <v>0</v>
      </c>
      <c r="H12" s="195">
        <v>319.92</v>
      </c>
      <c r="I12" s="184">
        <v>111.33551352503846</v>
      </c>
      <c r="J12" s="194">
        <v>647</v>
      </c>
      <c r="K12" s="194"/>
      <c r="L12" s="194"/>
      <c r="M12" s="285"/>
    </row>
    <row r="13" spans="1:13" ht="12.75" hidden="1" customHeight="1">
      <c r="A13" s="191">
        <v>36465</v>
      </c>
      <c r="B13" s="284">
        <v>24880228.719999958</v>
      </c>
      <c r="C13" s="194">
        <f>'Weather Data'!B109</f>
        <v>500.7</v>
      </c>
      <c r="D13" s="194">
        <f>'Weather Data'!C109</f>
        <v>0</v>
      </c>
      <c r="E13" s="194">
        <v>30</v>
      </c>
      <c r="F13" s="194">
        <v>1</v>
      </c>
      <c r="G13" s="184">
        <v>0</v>
      </c>
      <c r="H13" s="195">
        <v>352.08</v>
      </c>
      <c r="I13" s="184">
        <v>112.00962249193054</v>
      </c>
      <c r="J13" s="194">
        <v>647</v>
      </c>
      <c r="K13" s="194"/>
      <c r="L13" s="194"/>
      <c r="M13" s="285"/>
    </row>
    <row r="14" spans="1:13" ht="12.75" hidden="1" customHeight="1">
      <c r="A14" s="191">
        <v>36495</v>
      </c>
      <c r="B14" s="284">
        <v>28520683.069999959</v>
      </c>
      <c r="C14" s="194">
        <f>'Weather Data'!B110</f>
        <v>817.1</v>
      </c>
      <c r="D14" s="194">
        <f>'Weather Data'!C110</f>
        <v>0</v>
      </c>
      <c r="E14" s="194">
        <v>31</v>
      </c>
      <c r="F14" s="194">
        <v>0</v>
      </c>
      <c r="G14" s="184">
        <v>0</v>
      </c>
      <c r="H14" s="195">
        <v>336.28800000000001</v>
      </c>
      <c r="I14" s="184">
        <v>112.68781302170287</v>
      </c>
      <c r="J14" s="194">
        <v>333</v>
      </c>
      <c r="K14" s="194"/>
      <c r="L14" s="194"/>
      <c r="M14" s="285"/>
    </row>
    <row r="15" spans="1:13" ht="12.75" hidden="1" customHeight="1">
      <c r="A15" s="191">
        <v>36526</v>
      </c>
      <c r="B15" s="284">
        <v>30116382.980000038</v>
      </c>
      <c r="C15" s="194">
        <f>'Weather Data'!B111</f>
        <v>963.5</v>
      </c>
      <c r="D15" s="194">
        <f>'Weather Data'!C111</f>
        <v>0</v>
      </c>
      <c r="E15" s="194">
        <v>31</v>
      </c>
      <c r="F15" s="194">
        <v>0</v>
      </c>
      <c r="G15" s="184">
        <v>0</v>
      </c>
      <c r="H15" s="195">
        <v>319.92</v>
      </c>
      <c r="I15" s="184">
        <v>113.20550742744629</v>
      </c>
      <c r="J15" s="194">
        <v>647</v>
      </c>
      <c r="K15" s="194"/>
      <c r="L15" s="194"/>
      <c r="M15" s="285"/>
    </row>
    <row r="16" spans="1:13" ht="12.75" hidden="1" customHeight="1">
      <c r="A16" s="191">
        <v>36557</v>
      </c>
      <c r="B16" s="284">
        <v>26672243.319999967</v>
      </c>
      <c r="C16" s="194">
        <f>'Weather Data'!B112</f>
        <v>711.5</v>
      </c>
      <c r="D16" s="194">
        <f>'Weather Data'!C112</f>
        <v>0</v>
      </c>
      <c r="E16" s="194">
        <v>29</v>
      </c>
      <c r="F16" s="194">
        <v>0</v>
      </c>
      <c r="G16" s="184">
        <v>0</v>
      </c>
      <c r="H16" s="195">
        <v>336.16799999999995</v>
      </c>
      <c r="I16" s="184">
        <v>113.72558015157706</v>
      </c>
      <c r="J16" s="194">
        <v>601</v>
      </c>
      <c r="K16" s="194"/>
      <c r="L16" s="194"/>
      <c r="M16" s="285"/>
    </row>
    <row r="17" spans="1:13" ht="12.75" hidden="1" customHeight="1">
      <c r="A17" s="191">
        <v>36586</v>
      </c>
      <c r="B17" s="284">
        <v>25141921.97000001</v>
      </c>
      <c r="C17" s="194">
        <f>'Weather Data'!B113</f>
        <v>574.6</v>
      </c>
      <c r="D17" s="194">
        <f>'Weather Data'!C113</f>
        <v>0</v>
      </c>
      <c r="E17" s="194">
        <v>31</v>
      </c>
      <c r="F17" s="194">
        <v>1</v>
      </c>
      <c r="G17" s="184">
        <v>0</v>
      </c>
      <c r="H17" s="195">
        <v>368.28</v>
      </c>
      <c r="I17" s="184">
        <v>114.24804212022897</v>
      </c>
      <c r="J17" s="194">
        <v>562</v>
      </c>
      <c r="K17" s="194"/>
      <c r="L17" s="194"/>
      <c r="M17" s="285"/>
    </row>
    <row r="18" spans="1:13" ht="15" hidden="1" customHeight="1">
      <c r="A18" s="191">
        <v>36617</v>
      </c>
      <c r="B18" s="284">
        <v>22143191.730000012</v>
      </c>
      <c r="C18" s="194">
        <f>'Weather Data'!B114</f>
        <v>485.6</v>
      </c>
      <c r="D18" s="194">
        <f>'Weather Data'!C114</f>
        <v>0</v>
      </c>
      <c r="E18" s="194">
        <v>30</v>
      </c>
      <c r="F18" s="194">
        <v>1</v>
      </c>
      <c r="G18" s="184">
        <v>0</v>
      </c>
      <c r="H18" s="195">
        <v>303.83999999999997</v>
      </c>
      <c r="I18" s="184">
        <v>114.77290430973115</v>
      </c>
      <c r="J18" s="194">
        <v>517</v>
      </c>
      <c r="K18" s="194"/>
      <c r="L18" s="194"/>
      <c r="M18" s="285"/>
    </row>
    <row r="19" spans="1:13" ht="12.75" hidden="1" customHeight="1">
      <c r="A19" s="191">
        <v>36647</v>
      </c>
      <c r="B19" s="284">
        <v>20987165.360000011</v>
      </c>
      <c r="C19" s="194">
        <f>'Weather Data'!B115</f>
        <v>260.5</v>
      </c>
      <c r="D19" s="194">
        <f>'Weather Data'!C115</f>
        <v>0</v>
      </c>
      <c r="E19" s="194">
        <v>31</v>
      </c>
      <c r="F19" s="194">
        <v>1</v>
      </c>
      <c r="G19" s="184">
        <v>0</v>
      </c>
      <c r="H19" s="195">
        <v>351.91199999999998</v>
      </c>
      <c r="I19" s="184">
        <v>115.30017774683859</v>
      </c>
      <c r="J19" s="194">
        <v>497</v>
      </c>
      <c r="K19" s="194"/>
      <c r="L19" s="194"/>
      <c r="M19" s="285"/>
    </row>
    <row r="20" spans="1:13" ht="12.75" hidden="1" customHeight="1">
      <c r="A20" s="191">
        <v>36678</v>
      </c>
      <c r="B20" s="284">
        <v>19836289.700000007</v>
      </c>
      <c r="C20" s="194">
        <f>'Weather Data'!B116</f>
        <v>155.69999999999999</v>
      </c>
      <c r="D20" s="194">
        <f>'Weather Data'!C116</f>
        <v>2.2999999999999998</v>
      </c>
      <c r="E20" s="194">
        <v>30</v>
      </c>
      <c r="F20" s="194">
        <v>0</v>
      </c>
      <c r="G20" s="184">
        <v>0</v>
      </c>
      <c r="H20" s="195">
        <v>352.08</v>
      </c>
      <c r="I20" s="184">
        <v>115.82987350896386</v>
      </c>
      <c r="J20" s="194">
        <v>452</v>
      </c>
      <c r="K20" s="194"/>
      <c r="L20" s="194"/>
      <c r="M20" s="285"/>
    </row>
    <row r="21" spans="1:13" ht="12.75" hidden="1" customHeight="1">
      <c r="A21" s="191">
        <v>36708</v>
      </c>
      <c r="B21" s="284">
        <v>21238166.920000013</v>
      </c>
      <c r="C21" s="194">
        <f>'Weather Data'!B117</f>
        <v>55.7</v>
      </c>
      <c r="D21" s="194">
        <f>'Weather Data'!C117</f>
        <v>20.8</v>
      </c>
      <c r="E21" s="194">
        <v>31</v>
      </c>
      <c r="F21" s="194">
        <v>0</v>
      </c>
      <c r="G21" s="184">
        <v>0</v>
      </c>
      <c r="H21" s="195">
        <v>319.92</v>
      </c>
      <c r="I21" s="184">
        <v>116.36200272440982</v>
      </c>
      <c r="J21" s="194">
        <v>431</v>
      </c>
      <c r="K21" s="194"/>
      <c r="L21" s="194"/>
      <c r="M21" s="285"/>
    </row>
    <row r="22" spans="1:13" ht="12.75" hidden="1" customHeight="1">
      <c r="A22" s="191">
        <v>36739</v>
      </c>
      <c r="B22" s="284">
        <v>21418208.409999985</v>
      </c>
      <c r="C22" s="194">
        <f>'Weather Data'!B118</f>
        <v>63.4</v>
      </c>
      <c r="D22" s="194">
        <f>'Weather Data'!C118</f>
        <v>9.8000000000000007</v>
      </c>
      <c r="E22" s="194">
        <v>31</v>
      </c>
      <c r="F22" s="194">
        <v>0</v>
      </c>
      <c r="G22" s="184">
        <v>0</v>
      </c>
      <c r="H22" s="195">
        <v>351.91199999999998</v>
      </c>
      <c r="I22" s="184">
        <v>116.89657657260338</v>
      </c>
      <c r="J22" s="194">
        <v>429</v>
      </c>
      <c r="K22" s="194"/>
      <c r="L22" s="194"/>
      <c r="M22" s="285"/>
    </row>
    <row r="23" spans="1:13" ht="12.75" hidden="1" customHeight="1">
      <c r="A23" s="191">
        <v>36770</v>
      </c>
      <c r="B23" s="284">
        <v>20859271.22000001</v>
      </c>
      <c r="C23" s="194">
        <f>'Weather Data'!B119</f>
        <v>223.3</v>
      </c>
      <c r="D23" s="194">
        <f>'Weather Data'!C119</f>
        <v>0</v>
      </c>
      <c r="E23" s="194">
        <v>30</v>
      </c>
      <c r="F23" s="194">
        <v>1</v>
      </c>
      <c r="G23" s="184">
        <v>0</v>
      </c>
      <c r="H23" s="195">
        <v>319.68</v>
      </c>
      <c r="I23" s="184">
        <v>117.43360628433041</v>
      </c>
      <c r="J23" s="194">
        <v>428</v>
      </c>
      <c r="K23" s="194"/>
      <c r="L23" s="194"/>
      <c r="M23" s="285"/>
    </row>
    <row r="24" spans="1:13" ht="12.75" hidden="1" customHeight="1">
      <c r="A24" s="191">
        <v>36800</v>
      </c>
      <c r="B24" s="284">
        <v>22319549.140000019</v>
      </c>
      <c r="C24" s="194">
        <f>'Weather Data'!B120</f>
        <v>372.2</v>
      </c>
      <c r="D24" s="194">
        <f>'Weather Data'!C120</f>
        <v>0</v>
      </c>
      <c r="E24" s="194">
        <v>31</v>
      </c>
      <c r="F24" s="194">
        <v>1</v>
      </c>
      <c r="G24" s="184">
        <v>0</v>
      </c>
      <c r="H24" s="195">
        <v>336.28800000000001</v>
      </c>
      <c r="I24" s="184">
        <v>117.97310314197166</v>
      </c>
      <c r="J24" s="194">
        <v>434</v>
      </c>
      <c r="K24" s="194"/>
      <c r="L24" s="194"/>
      <c r="M24" s="285"/>
    </row>
    <row r="25" spans="1:13" ht="12.75" hidden="1" customHeight="1">
      <c r="A25" s="191">
        <v>36831</v>
      </c>
      <c r="B25" s="284">
        <v>24898434.920000006</v>
      </c>
      <c r="C25" s="194">
        <f>'Weather Data'!B121</f>
        <v>561.6</v>
      </c>
      <c r="D25" s="194">
        <f>'Weather Data'!C121</f>
        <v>0</v>
      </c>
      <c r="E25" s="194">
        <v>30</v>
      </c>
      <c r="F25" s="194">
        <v>1</v>
      </c>
      <c r="G25" s="184">
        <v>0</v>
      </c>
      <c r="H25" s="195">
        <v>352.08</v>
      </c>
      <c r="I25" s="184">
        <v>118.51507847973981</v>
      </c>
      <c r="J25" s="194">
        <v>438</v>
      </c>
      <c r="K25" s="194"/>
      <c r="L25" s="194"/>
      <c r="M25" s="285"/>
    </row>
    <row r="26" spans="1:13" ht="12.75" hidden="1" customHeight="1">
      <c r="A26" s="191">
        <v>36861</v>
      </c>
      <c r="B26" s="284">
        <v>29608811.340000007</v>
      </c>
      <c r="C26" s="194">
        <f>'Weather Data'!B122</f>
        <v>1041.3</v>
      </c>
      <c r="D26" s="194">
        <f>'Weather Data'!C122</f>
        <v>0</v>
      </c>
      <c r="E26" s="194">
        <v>31</v>
      </c>
      <c r="F26" s="194">
        <v>0</v>
      </c>
      <c r="G26" s="184">
        <v>0</v>
      </c>
      <c r="H26" s="195">
        <v>304.29599999999999</v>
      </c>
      <c r="I26" s="184">
        <v>119.05954368391765</v>
      </c>
      <c r="J26" s="194">
        <v>439</v>
      </c>
      <c r="K26" s="194"/>
      <c r="L26" s="194"/>
      <c r="M26" s="285"/>
    </row>
    <row r="27" spans="1:13" ht="12.75" hidden="1" customHeight="1">
      <c r="A27" s="191">
        <v>36892</v>
      </c>
      <c r="B27" s="284">
        <v>29257179.950000018</v>
      </c>
      <c r="C27" s="194">
        <f>'Weather Data'!B123</f>
        <v>898.8</v>
      </c>
      <c r="D27" s="194">
        <f>'Weather Data'!C123</f>
        <v>0</v>
      </c>
      <c r="E27" s="194">
        <v>31</v>
      </c>
      <c r="F27" s="194">
        <v>0</v>
      </c>
      <c r="G27" s="184">
        <v>0</v>
      </c>
      <c r="H27" s="195">
        <v>351.91199999999998</v>
      </c>
      <c r="I27" s="184">
        <v>119.23206305749976</v>
      </c>
      <c r="J27" s="194">
        <v>473</v>
      </c>
      <c r="K27" s="194"/>
      <c r="L27" s="194"/>
      <c r="M27" s="285"/>
    </row>
    <row r="28" spans="1:13" ht="12.75" hidden="1" customHeight="1">
      <c r="A28" s="191">
        <v>36925</v>
      </c>
      <c r="B28" s="284">
        <v>27178450.539999988</v>
      </c>
      <c r="C28" s="194">
        <f>'Weather Data'!B124</f>
        <v>918.9</v>
      </c>
      <c r="D28" s="194">
        <f>'Weather Data'!C124</f>
        <v>0</v>
      </c>
      <c r="E28" s="194">
        <v>28</v>
      </c>
      <c r="F28" s="194">
        <v>0</v>
      </c>
      <c r="G28" s="184">
        <v>0</v>
      </c>
      <c r="H28" s="195">
        <v>319.87200000000001</v>
      </c>
      <c r="I28" s="184">
        <v>119.40483241468957</v>
      </c>
      <c r="J28" s="194">
        <v>477</v>
      </c>
      <c r="K28" s="194"/>
      <c r="L28" s="194"/>
      <c r="M28" s="285"/>
    </row>
    <row r="29" spans="1:13" ht="12.75" hidden="1" customHeight="1">
      <c r="A29" s="191">
        <v>36958</v>
      </c>
      <c r="B29" s="284">
        <v>26804323.800000008</v>
      </c>
      <c r="C29" s="194">
        <f>'Weather Data'!B125</f>
        <v>702.7</v>
      </c>
      <c r="D29" s="194">
        <f>'Weather Data'!C125</f>
        <v>0</v>
      </c>
      <c r="E29" s="194">
        <v>31</v>
      </c>
      <c r="F29" s="194">
        <v>1</v>
      </c>
      <c r="G29" s="184">
        <v>0</v>
      </c>
      <c r="H29" s="195">
        <v>351.91199999999998</v>
      </c>
      <c r="I29" s="184">
        <v>119.57785211771773</v>
      </c>
      <c r="J29" s="194">
        <v>476</v>
      </c>
      <c r="K29" s="194"/>
      <c r="L29" s="194"/>
      <c r="M29" s="285"/>
    </row>
    <row r="30" spans="1:13" ht="12.75" hidden="1" customHeight="1">
      <c r="A30" s="191">
        <v>36991</v>
      </c>
      <c r="B30" s="284">
        <v>22932702.839999989</v>
      </c>
      <c r="C30" s="194">
        <f>'Weather Data'!B126</f>
        <v>430.7</v>
      </c>
      <c r="D30" s="194">
        <f>'Weather Data'!C126</f>
        <v>0</v>
      </c>
      <c r="E30" s="194">
        <v>30</v>
      </c>
      <c r="F30" s="194">
        <v>1</v>
      </c>
      <c r="G30" s="184">
        <v>0</v>
      </c>
      <c r="H30" s="195">
        <v>319.68</v>
      </c>
      <c r="I30" s="184">
        <v>119.75112252933975</v>
      </c>
      <c r="J30" s="194">
        <v>474</v>
      </c>
      <c r="K30" s="194"/>
      <c r="L30" s="194"/>
      <c r="M30" s="285"/>
    </row>
    <row r="31" spans="1:13" ht="12.75" hidden="1" customHeight="1">
      <c r="A31" s="191">
        <v>37024</v>
      </c>
      <c r="B31" s="284">
        <v>21898868.649999999</v>
      </c>
      <c r="C31" s="194">
        <f>'Weather Data'!B127</f>
        <v>239.9</v>
      </c>
      <c r="D31" s="194">
        <f>'Weather Data'!C127</f>
        <v>0</v>
      </c>
      <c r="E31" s="194">
        <v>31</v>
      </c>
      <c r="F31" s="194">
        <v>1</v>
      </c>
      <c r="G31" s="184">
        <v>0</v>
      </c>
      <c r="H31" s="195">
        <v>351.91199999999998</v>
      </c>
      <c r="I31" s="184">
        <v>119.92464401283681</v>
      </c>
      <c r="J31" s="194">
        <v>476</v>
      </c>
      <c r="K31" s="194"/>
      <c r="L31" s="194"/>
      <c r="M31" s="285"/>
    </row>
    <row r="32" spans="1:13" ht="12.75" hidden="1" customHeight="1">
      <c r="A32" s="191">
        <v>37057</v>
      </c>
      <c r="B32" s="284">
        <v>21021876.090000004</v>
      </c>
      <c r="C32" s="194">
        <f>'Weather Data'!B128</f>
        <v>114</v>
      </c>
      <c r="D32" s="194">
        <f>'Weather Data'!C128</f>
        <v>15.2</v>
      </c>
      <c r="E32" s="194">
        <v>30</v>
      </c>
      <c r="F32" s="194">
        <v>0</v>
      </c>
      <c r="G32" s="184">
        <v>0</v>
      </c>
      <c r="H32" s="195">
        <v>336.24</v>
      </c>
      <c r="I32" s="184">
        <v>120.09841693201646</v>
      </c>
      <c r="J32" s="194">
        <v>477</v>
      </c>
      <c r="K32" s="194"/>
      <c r="L32" s="194"/>
      <c r="M32" s="285"/>
    </row>
    <row r="33" spans="1:13" ht="12.75" hidden="1" customHeight="1">
      <c r="A33" s="191">
        <v>37090</v>
      </c>
      <c r="B33" s="284">
        <v>21695834.309999999</v>
      </c>
      <c r="C33" s="194">
        <f>'Weather Data'!B129</f>
        <v>67.2</v>
      </c>
      <c r="D33" s="194">
        <f>'Weather Data'!C129</f>
        <v>29.7</v>
      </c>
      <c r="E33" s="194">
        <v>31</v>
      </c>
      <c r="F33" s="194">
        <v>0</v>
      </c>
      <c r="G33" s="184">
        <v>0</v>
      </c>
      <c r="H33" s="195">
        <v>336.28800000000001</v>
      </c>
      <c r="I33" s="184">
        <v>120.27244165121344</v>
      </c>
      <c r="J33" s="194">
        <v>476</v>
      </c>
      <c r="K33" s="194"/>
      <c r="L33" s="194"/>
      <c r="M33" s="285"/>
    </row>
    <row r="34" spans="1:13" ht="12.75" hidden="1" customHeight="1">
      <c r="A34" s="191">
        <v>37123</v>
      </c>
      <c r="B34" s="284">
        <v>22267606.790000003</v>
      </c>
      <c r="C34" s="194">
        <f>'Weather Data'!B130</f>
        <v>40.200000000000003</v>
      </c>
      <c r="D34" s="194">
        <f>'Weather Data'!C130</f>
        <v>56.1</v>
      </c>
      <c r="E34" s="194">
        <v>31</v>
      </c>
      <c r="F34" s="194">
        <v>0</v>
      </c>
      <c r="G34" s="184">
        <v>0</v>
      </c>
      <c r="H34" s="195">
        <v>351.91199999999998</v>
      </c>
      <c r="I34" s="184">
        <v>120.4467185352904</v>
      </c>
      <c r="J34" s="194">
        <v>475</v>
      </c>
      <c r="K34" s="194"/>
      <c r="L34" s="194"/>
      <c r="M34" s="285"/>
    </row>
    <row r="35" spans="1:13" ht="12.75" hidden="1" customHeight="1">
      <c r="A35" s="191">
        <v>37156</v>
      </c>
      <c r="B35" s="284">
        <v>20970044.239999998</v>
      </c>
      <c r="C35" s="194">
        <f>'Weather Data'!B131</f>
        <v>187.7</v>
      </c>
      <c r="D35" s="194">
        <f>'Weather Data'!C131</f>
        <v>6.8</v>
      </c>
      <c r="E35" s="194">
        <v>30</v>
      </c>
      <c r="F35" s="194">
        <v>1</v>
      </c>
      <c r="G35" s="184">
        <v>0</v>
      </c>
      <c r="H35" s="195">
        <v>303.83999999999997</v>
      </c>
      <c r="I35" s="184">
        <v>120.62124794963869</v>
      </c>
      <c r="J35" s="194">
        <v>474</v>
      </c>
      <c r="K35" s="194"/>
      <c r="L35" s="194"/>
      <c r="M35" s="285"/>
    </row>
    <row r="36" spans="1:13" ht="12.75" hidden="1" customHeight="1">
      <c r="A36" s="191">
        <v>37189</v>
      </c>
      <c r="B36" s="284">
        <v>22726743.390000008</v>
      </c>
      <c r="C36" s="194">
        <f>'Weather Data'!B132</f>
        <v>408.6</v>
      </c>
      <c r="D36" s="194">
        <f>'Weather Data'!C132</f>
        <v>0</v>
      </c>
      <c r="E36" s="194">
        <v>31</v>
      </c>
      <c r="F36" s="194">
        <v>1</v>
      </c>
      <c r="G36" s="184">
        <v>0</v>
      </c>
      <c r="H36" s="195">
        <v>351.91199999999998</v>
      </c>
      <c r="I36" s="184">
        <v>120.79603026017911</v>
      </c>
      <c r="J36" s="194">
        <v>476</v>
      </c>
      <c r="K36" s="194"/>
      <c r="L36" s="194"/>
      <c r="M36" s="285"/>
    </row>
    <row r="37" spans="1:13" ht="12.75" hidden="1" customHeight="1">
      <c r="A37" s="191">
        <v>37222</v>
      </c>
      <c r="B37" s="284">
        <v>23917781.749999996</v>
      </c>
      <c r="C37" s="194">
        <f>'Weather Data'!B133</f>
        <v>458.8</v>
      </c>
      <c r="D37" s="194">
        <f>'Weather Data'!C133</f>
        <v>0</v>
      </c>
      <c r="E37" s="194">
        <v>30</v>
      </c>
      <c r="F37" s="194">
        <v>1</v>
      </c>
      <c r="G37" s="184">
        <v>0</v>
      </c>
      <c r="H37" s="195">
        <v>352.08</v>
      </c>
      <c r="I37" s="184">
        <v>120.9710658333627</v>
      </c>
      <c r="J37" s="194">
        <v>478</v>
      </c>
      <c r="K37" s="194"/>
      <c r="L37" s="194"/>
      <c r="M37" s="285"/>
    </row>
    <row r="38" spans="1:13" ht="12.75" hidden="1" customHeight="1">
      <c r="A38" s="191">
        <v>37255</v>
      </c>
      <c r="B38" s="284">
        <v>26175856.450000007</v>
      </c>
      <c r="C38" s="194">
        <f>'Weather Data'!B134</f>
        <v>716.4</v>
      </c>
      <c r="D38" s="194">
        <f>'Weather Data'!C134</f>
        <v>0</v>
      </c>
      <c r="E38" s="194">
        <v>31</v>
      </c>
      <c r="F38" s="194">
        <v>0</v>
      </c>
      <c r="G38" s="184">
        <v>0</v>
      </c>
      <c r="H38" s="195">
        <v>304.29599999999999</v>
      </c>
      <c r="I38" s="184">
        <v>121.1463550361714</v>
      </c>
      <c r="J38" s="194">
        <v>477</v>
      </c>
      <c r="K38" s="194"/>
      <c r="L38" s="194"/>
      <c r="M38" s="285"/>
    </row>
    <row r="39" spans="1:13" ht="12.75" hidden="1" customHeight="1">
      <c r="A39" s="196">
        <v>37275</v>
      </c>
      <c r="B39" s="284">
        <v>28530794.519999996</v>
      </c>
      <c r="C39" s="194">
        <f>'Weather Data'!B135</f>
        <v>873.9</v>
      </c>
      <c r="D39" s="194">
        <f>'Weather Data'!C135</f>
        <v>0</v>
      </c>
      <c r="E39" s="194">
        <v>31</v>
      </c>
      <c r="F39" s="194">
        <v>0</v>
      </c>
      <c r="G39" s="184">
        <v>0</v>
      </c>
      <c r="H39" s="195">
        <v>351.91199999999998</v>
      </c>
      <c r="I39" s="184">
        <v>121.50450639216388</v>
      </c>
      <c r="J39" s="194">
        <v>477</v>
      </c>
      <c r="K39" s="194"/>
      <c r="L39" s="194"/>
      <c r="M39" s="285"/>
    </row>
    <row r="40" spans="1:13" ht="12.75" hidden="1" customHeight="1">
      <c r="A40" s="191">
        <v>37308</v>
      </c>
      <c r="B40" s="284">
        <v>26198686.230000004</v>
      </c>
      <c r="C40" s="194">
        <f>'Weather Data'!B136</f>
        <v>733</v>
      </c>
      <c r="D40" s="194">
        <f>'Weather Data'!C136</f>
        <v>0</v>
      </c>
      <c r="E40" s="194">
        <v>28</v>
      </c>
      <c r="F40" s="194">
        <v>0</v>
      </c>
      <c r="G40" s="184">
        <v>0</v>
      </c>
      <c r="H40" s="195">
        <v>319.87200000000001</v>
      </c>
      <c r="I40" s="184">
        <v>121.86371656989111</v>
      </c>
      <c r="J40" s="194">
        <v>475</v>
      </c>
      <c r="K40" s="194"/>
      <c r="L40" s="194"/>
      <c r="M40" s="285"/>
    </row>
    <row r="41" spans="1:13" ht="12.75" hidden="1" customHeight="1">
      <c r="A41" s="191">
        <v>37341</v>
      </c>
      <c r="B41" s="284">
        <v>27472385.659999985</v>
      </c>
      <c r="C41" s="194">
        <f>'Weather Data'!B137</f>
        <v>804.7</v>
      </c>
      <c r="D41" s="194">
        <f>'Weather Data'!C137</f>
        <v>0</v>
      </c>
      <c r="E41" s="194">
        <v>31</v>
      </c>
      <c r="F41" s="194">
        <v>1</v>
      </c>
      <c r="G41" s="184">
        <v>0</v>
      </c>
      <c r="H41" s="195">
        <v>319.92</v>
      </c>
      <c r="I41" s="184">
        <v>122.22398869960362</v>
      </c>
      <c r="J41" s="194">
        <v>478</v>
      </c>
      <c r="K41" s="194"/>
      <c r="L41" s="194"/>
      <c r="M41" s="285"/>
    </row>
    <row r="42" spans="1:13" ht="12.75" hidden="1" customHeight="1">
      <c r="A42" s="191">
        <v>37374</v>
      </c>
      <c r="B42" s="284">
        <v>23674635.879999995</v>
      </c>
      <c r="C42" s="194">
        <f>'Weather Data'!B138</f>
        <v>462.3</v>
      </c>
      <c r="D42" s="194">
        <f>'Weather Data'!C138</f>
        <v>0</v>
      </c>
      <c r="E42" s="194">
        <v>30</v>
      </c>
      <c r="F42" s="194">
        <v>1</v>
      </c>
      <c r="G42" s="184">
        <v>0</v>
      </c>
      <c r="H42" s="195">
        <v>352.08</v>
      </c>
      <c r="I42" s="184">
        <v>122.58532592080604</v>
      </c>
      <c r="J42" s="194">
        <v>480</v>
      </c>
      <c r="K42" s="194"/>
      <c r="L42" s="194"/>
      <c r="M42" s="285"/>
    </row>
    <row r="43" spans="1:13" ht="12.75" hidden="1" customHeight="1">
      <c r="A43" s="191">
        <v>37407</v>
      </c>
      <c r="B43" s="284">
        <v>22507067.52</v>
      </c>
      <c r="C43" s="194">
        <f>'Weather Data'!B139</f>
        <v>335</v>
      </c>
      <c r="D43" s="194">
        <f>'Weather Data'!C139</f>
        <v>0.5</v>
      </c>
      <c r="E43" s="194">
        <v>31</v>
      </c>
      <c r="F43" s="194">
        <v>1</v>
      </c>
      <c r="G43" s="184">
        <v>0</v>
      </c>
      <c r="H43" s="195">
        <v>351.91199999999998</v>
      </c>
      <c r="I43" s="184">
        <v>122.9477313822845</v>
      </c>
      <c r="J43" s="194">
        <v>485</v>
      </c>
      <c r="K43" s="194"/>
      <c r="L43" s="194"/>
      <c r="M43" s="285"/>
    </row>
    <row r="44" spans="1:13" ht="12.75" hidden="1" customHeight="1">
      <c r="A44" s="191">
        <v>37408</v>
      </c>
      <c r="B44" s="284">
        <v>22085684.420000009</v>
      </c>
      <c r="C44" s="194">
        <f>'Weather Data'!B140</f>
        <v>114.4</v>
      </c>
      <c r="D44" s="194">
        <f>'Weather Data'!C140</f>
        <v>14.2</v>
      </c>
      <c r="E44" s="194">
        <v>30</v>
      </c>
      <c r="F44" s="194">
        <v>0</v>
      </c>
      <c r="G44" s="184">
        <v>0</v>
      </c>
      <c r="H44" s="195">
        <v>319.68</v>
      </c>
      <c r="I44" s="184">
        <v>123.31120824213403</v>
      </c>
      <c r="J44" s="194">
        <v>484</v>
      </c>
      <c r="K44" s="194"/>
      <c r="L44" s="194"/>
      <c r="M44" s="285"/>
    </row>
    <row r="45" spans="1:13" ht="12.75" hidden="1" customHeight="1">
      <c r="A45" s="191">
        <v>37440</v>
      </c>
      <c r="B45" s="284">
        <v>23193555.539999992</v>
      </c>
      <c r="C45" s="194">
        <f>'Weather Data'!B141</f>
        <v>17.899999999999999</v>
      </c>
      <c r="D45" s="194">
        <f>'Weather Data'!C141</f>
        <v>79.3</v>
      </c>
      <c r="E45" s="194">
        <v>31</v>
      </c>
      <c r="F45" s="194">
        <v>0</v>
      </c>
      <c r="G45" s="184">
        <v>0</v>
      </c>
      <c r="H45" s="195">
        <v>351.91199999999998</v>
      </c>
      <c r="I45" s="184">
        <v>123.67575966778612</v>
      </c>
      <c r="J45" s="194">
        <v>478</v>
      </c>
      <c r="K45" s="194"/>
      <c r="L45" s="194"/>
      <c r="M45" s="285"/>
    </row>
    <row r="46" spans="1:13" ht="12.75" hidden="1" customHeight="1">
      <c r="A46" s="191">
        <v>37473</v>
      </c>
      <c r="B46" s="284">
        <v>22417126.280000005</v>
      </c>
      <c r="C46" s="194">
        <f>'Weather Data'!B142</f>
        <v>49.7</v>
      </c>
      <c r="D46" s="194">
        <f>'Weather Data'!C142</f>
        <v>15.5</v>
      </c>
      <c r="E46" s="194">
        <v>31</v>
      </c>
      <c r="F46" s="194">
        <v>0</v>
      </c>
      <c r="G46" s="184">
        <v>0</v>
      </c>
      <c r="H46" s="195">
        <v>336.28800000000001</v>
      </c>
      <c r="I46" s="184">
        <v>124.04138883603632</v>
      </c>
      <c r="J46" s="194">
        <v>481</v>
      </c>
      <c r="K46" s="194"/>
      <c r="L46" s="194"/>
      <c r="M46" s="285"/>
    </row>
    <row r="47" spans="1:13" ht="12.75" hidden="1" customHeight="1">
      <c r="A47" s="191">
        <v>37506</v>
      </c>
      <c r="B47" s="284">
        <v>21763821.530000001</v>
      </c>
      <c r="C47" s="194">
        <f>'Weather Data'!B143</f>
        <v>143.5</v>
      </c>
      <c r="D47" s="194">
        <f>'Weather Data'!C143</f>
        <v>20.9</v>
      </c>
      <c r="E47" s="194">
        <v>30</v>
      </c>
      <c r="F47" s="194">
        <v>1</v>
      </c>
      <c r="G47" s="184">
        <v>0</v>
      </c>
      <c r="H47" s="195">
        <v>319.68</v>
      </c>
      <c r="I47" s="184">
        <v>124.40809893307186</v>
      </c>
      <c r="J47" s="194">
        <v>483</v>
      </c>
      <c r="K47" s="194"/>
      <c r="L47" s="194"/>
      <c r="M47" s="285"/>
    </row>
    <row r="48" spans="1:13" ht="12.75" hidden="1" customHeight="1">
      <c r="A48" s="191">
        <v>37539</v>
      </c>
      <c r="B48" s="284">
        <v>23906576.679999992</v>
      </c>
      <c r="C48" s="194">
        <f>'Weather Data'!B144</f>
        <v>510.1</v>
      </c>
      <c r="D48" s="194">
        <f>'Weather Data'!C144</f>
        <v>0</v>
      </c>
      <c r="E48" s="194">
        <v>31</v>
      </c>
      <c r="F48" s="194">
        <v>1</v>
      </c>
      <c r="G48" s="184">
        <v>0</v>
      </c>
      <c r="H48" s="195">
        <v>351.91199999999998</v>
      </c>
      <c r="I48" s="184">
        <v>124.7758931544995</v>
      </c>
      <c r="J48" s="194">
        <v>488</v>
      </c>
      <c r="K48" s="194"/>
      <c r="L48" s="194"/>
      <c r="M48" s="285"/>
    </row>
    <row r="49" spans="1:13" ht="12.75" hidden="1" customHeight="1">
      <c r="A49" s="191">
        <v>37572</v>
      </c>
      <c r="B49" s="284">
        <v>25919156.050000008</v>
      </c>
      <c r="C49" s="194">
        <f>'Weather Data'!B145</f>
        <v>668</v>
      </c>
      <c r="D49" s="194">
        <f>'Weather Data'!C145</f>
        <v>0</v>
      </c>
      <c r="E49" s="194">
        <v>30</v>
      </c>
      <c r="F49" s="194">
        <v>1</v>
      </c>
      <c r="G49" s="184">
        <v>0</v>
      </c>
      <c r="H49" s="195">
        <v>336.24</v>
      </c>
      <c r="I49" s="184">
        <v>125.14477470537335</v>
      </c>
      <c r="J49" s="194">
        <v>491</v>
      </c>
      <c r="K49" s="194"/>
      <c r="L49" s="194"/>
      <c r="M49" s="285"/>
    </row>
    <row r="50" spans="1:13" ht="12.75" hidden="1" customHeight="1">
      <c r="A50" s="183">
        <v>37605</v>
      </c>
      <c r="B50" s="284">
        <v>27992722.820000011</v>
      </c>
      <c r="C50" s="194">
        <f>'Weather Data'!B146</f>
        <v>785.6</v>
      </c>
      <c r="D50" s="194">
        <f>'Weather Data'!C146</f>
        <v>0</v>
      </c>
      <c r="E50" s="184">
        <v>31</v>
      </c>
      <c r="F50" s="184">
        <v>0</v>
      </c>
      <c r="G50" s="184">
        <v>0</v>
      </c>
      <c r="H50" s="185">
        <v>319.92</v>
      </c>
      <c r="I50" s="184">
        <v>125.51474680022261</v>
      </c>
      <c r="J50" s="194">
        <v>488</v>
      </c>
      <c r="K50" s="194"/>
      <c r="L50" s="194"/>
      <c r="M50" s="286"/>
    </row>
    <row r="51" spans="1:13" ht="12.75" hidden="1" customHeight="1">
      <c r="A51" s="191">
        <v>37622</v>
      </c>
      <c r="B51" s="284">
        <v>30247356.060000006</v>
      </c>
      <c r="C51" s="194">
        <f>'Weather Data'!B147</f>
        <v>907.4</v>
      </c>
      <c r="D51" s="194">
        <f>'Weather Data'!C147</f>
        <v>0</v>
      </c>
      <c r="E51" s="194">
        <v>31</v>
      </c>
      <c r="F51" s="194">
        <v>0</v>
      </c>
      <c r="G51" s="184">
        <v>0</v>
      </c>
      <c r="H51" s="195">
        <v>351.91199999999998</v>
      </c>
      <c r="I51" s="184">
        <v>125.66024937363977</v>
      </c>
      <c r="J51" s="194">
        <v>489</v>
      </c>
      <c r="K51" s="194"/>
      <c r="L51" s="194"/>
      <c r="M51" s="285"/>
    </row>
    <row r="52" spans="1:13" ht="12.75" hidden="1" customHeight="1">
      <c r="A52" s="191">
        <v>37653</v>
      </c>
      <c r="B52" s="284">
        <v>28460283.130000003</v>
      </c>
      <c r="C52" s="194">
        <f>'Weather Data'!B148</f>
        <v>969.6</v>
      </c>
      <c r="D52" s="194">
        <f>'Weather Data'!C148</f>
        <v>0</v>
      </c>
      <c r="E52" s="194">
        <v>28</v>
      </c>
      <c r="F52" s="194">
        <v>0</v>
      </c>
      <c r="G52" s="184">
        <v>0</v>
      </c>
      <c r="H52" s="195">
        <v>319.87200000000001</v>
      </c>
      <c r="I52" s="184">
        <v>125.80592062045517</v>
      </c>
      <c r="J52" s="194">
        <v>492</v>
      </c>
      <c r="K52" s="194"/>
      <c r="L52" s="194"/>
      <c r="M52" s="285"/>
    </row>
    <row r="53" spans="1:13" ht="12.75" hidden="1" customHeight="1">
      <c r="A53" s="191">
        <v>37681</v>
      </c>
      <c r="B53" s="284">
        <v>28715021.629999995</v>
      </c>
      <c r="C53" s="194">
        <f>'Weather Data'!B149</f>
        <v>765.1</v>
      </c>
      <c r="D53" s="194">
        <f>'Weather Data'!C149</f>
        <v>0</v>
      </c>
      <c r="E53" s="194">
        <v>31</v>
      </c>
      <c r="F53" s="194">
        <v>1</v>
      </c>
      <c r="G53" s="184">
        <v>0</v>
      </c>
      <c r="H53" s="195">
        <v>336.28800000000001</v>
      </c>
      <c r="I53" s="184">
        <v>125.9517607362029</v>
      </c>
      <c r="J53" s="194">
        <v>505</v>
      </c>
      <c r="K53" s="194"/>
      <c r="L53" s="194"/>
      <c r="M53" s="285"/>
    </row>
    <row r="54" spans="1:13" ht="12.75" hidden="1" customHeight="1">
      <c r="A54" s="191">
        <v>37712</v>
      </c>
      <c r="B54" s="284">
        <v>23920979.839999989</v>
      </c>
      <c r="C54" s="194">
        <f>'Weather Data'!B150</f>
        <v>499.3</v>
      </c>
      <c r="D54" s="194">
        <f>'Weather Data'!C150</f>
        <v>0</v>
      </c>
      <c r="E54" s="194">
        <v>30</v>
      </c>
      <c r="F54" s="194">
        <v>1</v>
      </c>
      <c r="G54" s="184">
        <v>0</v>
      </c>
      <c r="H54" s="195">
        <v>336.24</v>
      </c>
      <c r="I54" s="184">
        <v>126.09776991664374</v>
      </c>
      <c r="J54" s="194">
        <v>499</v>
      </c>
      <c r="K54" s="194"/>
      <c r="L54" s="194"/>
      <c r="M54" s="285"/>
    </row>
    <row r="55" spans="1:13" ht="12.75" hidden="1" customHeight="1">
      <c r="A55" s="191">
        <v>37742</v>
      </c>
      <c r="B55" s="284">
        <v>22761853.509999983</v>
      </c>
      <c r="C55" s="194">
        <f>'Weather Data'!B151</f>
        <v>276.39999999999998</v>
      </c>
      <c r="D55" s="194">
        <f>'Weather Data'!C151</f>
        <v>0</v>
      </c>
      <c r="E55" s="194">
        <v>31</v>
      </c>
      <c r="F55" s="194">
        <v>1</v>
      </c>
      <c r="G55" s="184">
        <v>0</v>
      </c>
      <c r="H55" s="195">
        <v>336.28800000000001</v>
      </c>
      <c r="I55" s="184">
        <v>126.2439483577654</v>
      </c>
      <c r="J55" s="194">
        <v>499</v>
      </c>
      <c r="K55" s="194"/>
      <c r="L55" s="194"/>
      <c r="M55" s="285"/>
    </row>
    <row r="56" spans="1:13" ht="12.75" hidden="1" customHeight="1">
      <c r="A56" s="191">
        <v>37773</v>
      </c>
      <c r="B56" s="284">
        <v>21516931.129999999</v>
      </c>
      <c r="C56" s="194">
        <f>'Weather Data'!B152</f>
        <v>129.30000000000001</v>
      </c>
      <c r="D56" s="194">
        <f>'Weather Data'!C152</f>
        <v>0</v>
      </c>
      <c r="E56" s="194">
        <v>30</v>
      </c>
      <c r="F56" s="194">
        <v>0</v>
      </c>
      <c r="G56" s="184">
        <v>0</v>
      </c>
      <c r="H56" s="195">
        <v>336.24</v>
      </c>
      <c r="I56" s="184">
        <v>126.3902962557828</v>
      </c>
      <c r="J56" s="194">
        <v>503</v>
      </c>
      <c r="K56" s="194"/>
      <c r="L56" s="194"/>
      <c r="M56" s="285"/>
    </row>
    <row r="57" spans="1:13" ht="12.75" hidden="1" customHeight="1">
      <c r="A57" s="191">
        <v>37803</v>
      </c>
      <c r="B57" s="284">
        <v>22581221.450000003</v>
      </c>
      <c r="C57" s="194">
        <f>'Weather Data'!B153</f>
        <v>29.9</v>
      </c>
      <c r="D57" s="194">
        <f>'Weather Data'!C153</f>
        <v>18.2</v>
      </c>
      <c r="E57" s="194">
        <v>31</v>
      </c>
      <c r="F57" s="194">
        <v>0</v>
      </c>
      <c r="G57" s="184">
        <v>0</v>
      </c>
      <c r="H57" s="195">
        <v>351.91199999999998</v>
      </c>
      <c r="I57" s="184">
        <v>126.5368138071383</v>
      </c>
      <c r="J57" s="194">
        <v>500</v>
      </c>
      <c r="K57" s="194"/>
      <c r="L57" s="194"/>
      <c r="M57" s="285"/>
    </row>
    <row r="58" spans="1:13" ht="12.75" hidden="1" customHeight="1">
      <c r="A58" s="191">
        <v>37834</v>
      </c>
      <c r="B58" s="284">
        <v>22725768.199999981</v>
      </c>
      <c r="C58" s="194">
        <f>'Weather Data'!B154</f>
        <v>35.6</v>
      </c>
      <c r="D58" s="194">
        <f>'Weather Data'!C154</f>
        <v>50.9</v>
      </c>
      <c r="E58" s="194">
        <v>31</v>
      </c>
      <c r="F58" s="194">
        <v>0</v>
      </c>
      <c r="G58" s="184">
        <v>0</v>
      </c>
      <c r="H58" s="195">
        <v>319.92</v>
      </c>
      <c r="I58" s="184">
        <v>126.68350120850199</v>
      </c>
      <c r="J58" s="194">
        <v>499</v>
      </c>
      <c r="K58" s="194"/>
      <c r="L58" s="194"/>
      <c r="M58" s="285"/>
    </row>
    <row r="59" spans="1:13" ht="12.75" hidden="1" customHeight="1">
      <c r="A59" s="191">
        <v>37865</v>
      </c>
      <c r="B59" s="284">
        <v>22003813.639999993</v>
      </c>
      <c r="C59" s="194">
        <f>'Weather Data'!B155</f>
        <v>164</v>
      </c>
      <c r="D59" s="194">
        <f>'Weather Data'!C155</f>
        <v>6.7</v>
      </c>
      <c r="E59" s="194">
        <v>30</v>
      </c>
      <c r="F59" s="194">
        <v>1</v>
      </c>
      <c r="G59" s="184">
        <v>0</v>
      </c>
      <c r="H59" s="195">
        <v>336.24</v>
      </c>
      <c r="I59" s="184">
        <v>126.83035865677196</v>
      </c>
      <c r="J59" s="194">
        <v>503</v>
      </c>
      <c r="K59" s="194"/>
      <c r="L59" s="194"/>
      <c r="M59" s="285"/>
    </row>
    <row r="60" spans="1:13" ht="12.75" hidden="1" customHeight="1">
      <c r="A60" s="191">
        <v>37895</v>
      </c>
      <c r="B60" s="284">
        <v>24158122.459999993</v>
      </c>
      <c r="C60" s="194">
        <f>'Weather Data'!B156</f>
        <v>414.2</v>
      </c>
      <c r="D60" s="194">
        <f>'Weather Data'!C156</f>
        <v>0</v>
      </c>
      <c r="E60" s="194">
        <v>31</v>
      </c>
      <c r="F60" s="194">
        <v>1</v>
      </c>
      <c r="G60" s="184">
        <v>0</v>
      </c>
      <c r="H60" s="195">
        <v>351.91199999999998</v>
      </c>
      <c r="I60" s="184">
        <v>126.97738634907456</v>
      </c>
      <c r="J60" s="194">
        <v>499</v>
      </c>
      <c r="K60" s="194"/>
      <c r="L60" s="194"/>
      <c r="M60" s="285"/>
    </row>
    <row r="61" spans="1:13" ht="12.75" hidden="1" customHeight="1">
      <c r="A61" s="191">
        <v>37926</v>
      </c>
      <c r="B61" s="284">
        <v>25919367.380000006</v>
      </c>
      <c r="C61" s="194">
        <f>'Weather Data'!B157</f>
        <v>632.9</v>
      </c>
      <c r="D61" s="194">
        <f>'Weather Data'!C157</f>
        <v>0</v>
      </c>
      <c r="E61" s="194">
        <v>30</v>
      </c>
      <c r="F61" s="194">
        <v>1</v>
      </c>
      <c r="G61" s="184">
        <v>0</v>
      </c>
      <c r="H61" s="195">
        <v>319.68</v>
      </c>
      <c r="I61" s="184">
        <v>127.12458448276465</v>
      </c>
      <c r="J61" s="194">
        <v>500</v>
      </c>
      <c r="K61" s="194"/>
      <c r="L61" s="194"/>
      <c r="M61" s="285"/>
    </row>
    <row r="62" spans="1:13" ht="12.75" hidden="1" customHeight="1">
      <c r="A62" s="191">
        <v>37956</v>
      </c>
      <c r="B62" s="284">
        <v>27963038.760000017</v>
      </c>
      <c r="C62" s="194">
        <f>'Weather Data'!B158</f>
        <v>785.9</v>
      </c>
      <c r="D62" s="194">
        <f>'Weather Data'!C158</f>
        <v>0</v>
      </c>
      <c r="E62" s="194">
        <v>31</v>
      </c>
      <c r="F62" s="194">
        <v>0</v>
      </c>
      <c r="G62" s="184">
        <v>0</v>
      </c>
      <c r="H62" s="195">
        <v>336.28800000000001</v>
      </c>
      <c r="I62" s="184">
        <v>127.27195325542573</v>
      </c>
      <c r="J62" s="194">
        <v>501</v>
      </c>
      <c r="K62" s="194"/>
      <c r="L62" s="194"/>
      <c r="M62" s="285"/>
    </row>
    <row r="63" spans="1:13" ht="12.75" hidden="1" customHeight="1">
      <c r="A63" s="191">
        <v>37987</v>
      </c>
      <c r="B63" s="284">
        <v>30937974.93</v>
      </c>
      <c r="C63" s="194">
        <f>'Weather Data'!B159</f>
        <v>1140.5999999999999</v>
      </c>
      <c r="D63" s="194">
        <f>'Weather Data'!C159</f>
        <v>0</v>
      </c>
      <c r="E63" s="194">
        <v>31</v>
      </c>
      <c r="F63" s="194">
        <v>0</v>
      </c>
      <c r="G63" s="184">
        <v>0</v>
      </c>
      <c r="H63" s="195">
        <v>336.28800000000001</v>
      </c>
      <c r="I63" s="184">
        <v>127.53411264087498</v>
      </c>
      <c r="J63" s="194">
        <v>499</v>
      </c>
      <c r="K63" s="194"/>
      <c r="L63" s="194"/>
      <c r="M63" s="285"/>
    </row>
    <row r="64" spans="1:13" ht="12.75" hidden="1" customHeight="1">
      <c r="A64" s="191">
        <v>38018</v>
      </c>
      <c r="B64" s="284">
        <v>27306089.359999992</v>
      </c>
      <c r="C64" s="194">
        <f>'Weather Data'!B160</f>
        <v>778.3</v>
      </c>
      <c r="D64" s="194">
        <f>'Weather Data'!C160</f>
        <v>0</v>
      </c>
      <c r="E64" s="194">
        <v>29</v>
      </c>
      <c r="F64" s="194">
        <v>0</v>
      </c>
      <c r="G64" s="184">
        <v>0</v>
      </c>
      <c r="H64" s="195">
        <v>320.16000000000003</v>
      </c>
      <c r="I64" s="184">
        <v>127.79681203173486</v>
      </c>
      <c r="J64" s="194">
        <v>486</v>
      </c>
      <c r="K64" s="194"/>
      <c r="L64" s="194"/>
      <c r="M64" s="285"/>
    </row>
    <row r="65" spans="1:41" ht="12.75" hidden="1" customHeight="1">
      <c r="A65" s="191">
        <v>38047</v>
      </c>
      <c r="B65" s="284">
        <v>26515207.210000012</v>
      </c>
      <c r="C65" s="194">
        <f>'Weather Data'!B161</f>
        <v>684.3</v>
      </c>
      <c r="D65" s="194">
        <f>'Weather Data'!C161</f>
        <v>0</v>
      </c>
      <c r="E65" s="194">
        <v>31</v>
      </c>
      <c r="F65" s="194">
        <v>1</v>
      </c>
      <c r="G65" s="184">
        <v>0</v>
      </c>
      <c r="H65" s="195">
        <v>368.28</v>
      </c>
      <c r="I65" s="184">
        <v>128.06005254032812</v>
      </c>
      <c r="J65" s="194">
        <v>460</v>
      </c>
      <c r="K65" s="194"/>
      <c r="L65" s="194"/>
      <c r="M65" s="285"/>
    </row>
    <row r="66" spans="1:41" ht="12.75" hidden="1" customHeight="1">
      <c r="A66" s="191">
        <v>38078</v>
      </c>
      <c r="B66" s="284">
        <v>23016461.999999993</v>
      </c>
      <c r="C66" s="194">
        <f>'Weather Data'!B162</f>
        <v>472.4</v>
      </c>
      <c r="D66" s="194">
        <f>'Weather Data'!C162</f>
        <v>0</v>
      </c>
      <c r="E66" s="194">
        <v>30</v>
      </c>
      <c r="F66" s="194">
        <v>1</v>
      </c>
      <c r="G66" s="184">
        <v>0</v>
      </c>
      <c r="H66" s="195">
        <v>336.24</v>
      </c>
      <c r="I66" s="184">
        <v>128.32383528126866</v>
      </c>
      <c r="J66" s="194">
        <v>457</v>
      </c>
      <c r="K66" s="194"/>
      <c r="L66" s="194"/>
      <c r="M66" s="285"/>
    </row>
    <row r="67" spans="1:41" ht="12.75" hidden="1" customHeight="1">
      <c r="A67" s="191">
        <v>38108</v>
      </c>
      <c r="B67" s="284">
        <v>21892354.059999995</v>
      </c>
      <c r="C67" s="194">
        <f>'Weather Data'!B163</f>
        <v>333.2</v>
      </c>
      <c r="D67" s="194">
        <f>'Weather Data'!C163</f>
        <v>0</v>
      </c>
      <c r="E67" s="194">
        <v>31</v>
      </c>
      <c r="F67" s="194">
        <v>1</v>
      </c>
      <c r="G67" s="184">
        <v>0</v>
      </c>
      <c r="H67" s="195">
        <v>319.92</v>
      </c>
      <c r="I67" s="184">
        <v>128.58816137146633</v>
      </c>
      <c r="J67" s="194">
        <v>459</v>
      </c>
      <c r="K67" s="194"/>
      <c r="L67" s="194"/>
      <c r="M67" s="285"/>
    </row>
    <row r="68" spans="1:41" ht="12.75" hidden="1" customHeight="1">
      <c r="A68" s="191">
        <v>38139</v>
      </c>
      <c r="B68" s="284">
        <v>20420158.799999997</v>
      </c>
      <c r="C68" s="194">
        <f>'Weather Data'!B164</f>
        <v>145.80000000000001</v>
      </c>
      <c r="D68" s="194">
        <f>'Weather Data'!C164</f>
        <v>3.1</v>
      </c>
      <c r="E68" s="194">
        <v>30</v>
      </c>
      <c r="F68" s="194">
        <v>0</v>
      </c>
      <c r="G68" s="184">
        <v>0</v>
      </c>
      <c r="H68" s="195">
        <v>352.08</v>
      </c>
      <c r="I68" s="184">
        <v>128.85303193013166</v>
      </c>
      <c r="J68" s="194">
        <v>459</v>
      </c>
      <c r="K68" s="194"/>
      <c r="L68" s="194"/>
      <c r="M68" s="285"/>
    </row>
    <row r="69" spans="1:41" ht="12.75" hidden="1" customHeight="1">
      <c r="A69" s="191">
        <v>38169</v>
      </c>
      <c r="B69" s="284">
        <v>21540775.229999993</v>
      </c>
      <c r="C69" s="194">
        <f>'Weather Data'!B165</f>
        <v>67.400000000000006</v>
      </c>
      <c r="D69" s="194">
        <f>'Weather Data'!C165</f>
        <v>22</v>
      </c>
      <c r="E69" s="194">
        <v>31</v>
      </c>
      <c r="F69" s="194">
        <v>0</v>
      </c>
      <c r="G69" s="184">
        <v>0</v>
      </c>
      <c r="H69" s="195">
        <v>336.28800000000001</v>
      </c>
      <c r="I69" s="184">
        <v>129.11844807878055</v>
      </c>
      <c r="J69" s="194">
        <v>461</v>
      </c>
      <c r="K69" s="194"/>
      <c r="L69" s="194"/>
      <c r="M69" s="285"/>
    </row>
    <row r="70" spans="1:41" ht="12.75" hidden="1" customHeight="1">
      <c r="A70" s="191">
        <v>38200</v>
      </c>
      <c r="B70" s="284">
        <v>21313848.719999999</v>
      </c>
      <c r="C70" s="194">
        <f>'Weather Data'!B166</f>
        <v>123</v>
      </c>
      <c r="D70" s="194">
        <f>'Weather Data'!C166</f>
        <v>1.8</v>
      </c>
      <c r="E70" s="194">
        <v>31</v>
      </c>
      <c r="F70" s="194">
        <v>0</v>
      </c>
      <c r="G70" s="184">
        <v>0</v>
      </c>
      <c r="H70" s="195">
        <v>336.28800000000001</v>
      </c>
      <c r="I70" s="184">
        <v>129.38441094123903</v>
      </c>
      <c r="J70" s="194">
        <v>463</v>
      </c>
      <c r="K70" s="194"/>
      <c r="L70" s="194"/>
      <c r="M70" s="285"/>
    </row>
    <row r="71" spans="1:41" ht="12.75" hidden="1" customHeight="1">
      <c r="A71" s="191">
        <v>38231</v>
      </c>
      <c r="B71" s="284">
        <v>21313093.559999991</v>
      </c>
      <c r="C71" s="194">
        <f>'Weather Data'!B167</f>
        <v>132.9</v>
      </c>
      <c r="D71" s="194">
        <f>'Weather Data'!C167</f>
        <v>4.7</v>
      </c>
      <c r="E71" s="194">
        <v>30</v>
      </c>
      <c r="F71" s="194">
        <v>1</v>
      </c>
      <c r="G71" s="184">
        <v>0</v>
      </c>
      <c r="H71" s="195">
        <v>336.24</v>
      </c>
      <c r="I71" s="184">
        <v>129.65092164364802</v>
      </c>
      <c r="J71" s="194">
        <v>466</v>
      </c>
      <c r="K71" s="194"/>
      <c r="L71" s="194"/>
      <c r="M71" s="285"/>
    </row>
    <row r="72" spans="1:41" ht="12.75" hidden="1" customHeight="1">
      <c r="A72" s="191">
        <v>38261</v>
      </c>
      <c r="B72" s="284">
        <v>22910607.509999979</v>
      </c>
      <c r="C72" s="194">
        <f>'Weather Data'!B168</f>
        <v>372.7</v>
      </c>
      <c r="D72" s="194">
        <f>'Weather Data'!C168</f>
        <v>0</v>
      </c>
      <c r="E72" s="194">
        <v>31</v>
      </c>
      <c r="F72" s="194">
        <v>1</v>
      </c>
      <c r="G72" s="184">
        <v>0</v>
      </c>
      <c r="H72" s="195">
        <v>319.92</v>
      </c>
      <c r="I72" s="184">
        <v>129.91798131446814</v>
      </c>
      <c r="J72" s="194">
        <v>465</v>
      </c>
      <c r="K72" s="194"/>
      <c r="L72" s="194"/>
      <c r="M72" s="285"/>
    </row>
    <row r="73" spans="1:41" ht="12.75" hidden="1" customHeight="1">
      <c r="A73" s="191">
        <v>38292</v>
      </c>
      <c r="B73" s="284">
        <v>24309383.419999991</v>
      </c>
      <c r="C73" s="194">
        <f>'Weather Data'!B169</f>
        <v>554.9</v>
      </c>
      <c r="D73" s="194">
        <f>'Weather Data'!C169</f>
        <v>0</v>
      </c>
      <c r="E73" s="194">
        <v>30</v>
      </c>
      <c r="F73" s="194">
        <v>1</v>
      </c>
      <c r="G73" s="184">
        <v>0</v>
      </c>
      <c r="H73" s="195">
        <v>352.08</v>
      </c>
      <c r="I73" s="184">
        <v>130.18559108448443</v>
      </c>
      <c r="J73" s="194">
        <v>465</v>
      </c>
      <c r="K73" s="194"/>
      <c r="L73" s="194"/>
      <c r="M73" s="285"/>
    </row>
    <row r="74" spans="1:41" ht="12.75" hidden="1" customHeight="1">
      <c r="A74" s="191">
        <v>38322</v>
      </c>
      <c r="B74" s="284">
        <v>28308962.869999982</v>
      </c>
      <c r="C74" s="194">
        <f>'Weather Data'!B170</f>
        <v>926.6</v>
      </c>
      <c r="D74" s="194">
        <f>'Weather Data'!C170</f>
        <v>0</v>
      </c>
      <c r="E74" s="194">
        <v>31</v>
      </c>
      <c r="F74" s="194">
        <v>0</v>
      </c>
      <c r="G74" s="184">
        <v>0</v>
      </c>
      <c r="H74" s="195">
        <v>336.28800000000001</v>
      </c>
      <c r="I74" s="184">
        <v>130.45375208681136</v>
      </c>
      <c r="J74" s="194">
        <v>464</v>
      </c>
      <c r="K74" s="194"/>
      <c r="L74" s="194"/>
      <c r="M74" s="285"/>
    </row>
    <row r="75" spans="1:41" ht="12.75" hidden="1" customHeight="1">
      <c r="A75" s="191">
        <v>38353</v>
      </c>
      <c r="B75" s="284">
        <v>29981056.320000004</v>
      </c>
      <c r="C75" s="194">
        <f>'Weather Data'!B171</f>
        <v>1084.3</v>
      </c>
      <c r="D75" s="194">
        <f>'Weather Data'!C171</f>
        <v>0</v>
      </c>
      <c r="E75" s="194">
        <v>31</v>
      </c>
      <c r="F75" s="194">
        <v>0</v>
      </c>
      <c r="G75" s="184">
        <v>0</v>
      </c>
      <c r="H75" s="195">
        <v>319.92</v>
      </c>
      <c r="I75" s="184">
        <v>130.74370215685079</v>
      </c>
      <c r="J75" s="194">
        <v>466</v>
      </c>
      <c r="K75" s="194"/>
      <c r="L75" s="194"/>
      <c r="M75" s="285"/>
    </row>
    <row r="76" spans="1:41" s="9" customFormat="1" ht="12.75" hidden="1" customHeight="1">
      <c r="A76" s="191">
        <v>38384</v>
      </c>
      <c r="B76" s="284">
        <v>26021216.539999973</v>
      </c>
      <c r="C76" s="194">
        <f>'Weather Data'!B172</f>
        <v>755.9</v>
      </c>
      <c r="D76" s="194">
        <f>'Weather Data'!C172</f>
        <v>0</v>
      </c>
      <c r="E76" s="194">
        <v>28</v>
      </c>
      <c r="F76" s="194">
        <v>0</v>
      </c>
      <c r="G76" s="184">
        <v>0</v>
      </c>
      <c r="H76" s="195">
        <v>319.87200000000001</v>
      </c>
      <c r="I76" s="184">
        <v>131.0342966778299</v>
      </c>
      <c r="J76" s="194">
        <v>466</v>
      </c>
      <c r="K76" s="194"/>
      <c r="L76" s="194"/>
      <c r="M76" s="285"/>
      <c r="N76"/>
      <c r="O76"/>
      <c r="P76"/>
      <c r="Q76"/>
      <c r="R76"/>
      <c r="S76"/>
      <c r="T76"/>
      <c r="U76"/>
      <c r="V76"/>
      <c r="W76"/>
      <c r="X76"/>
      <c r="Y76"/>
      <c r="Z76"/>
      <c r="AA76"/>
      <c r="AB76"/>
      <c r="AC76"/>
      <c r="AD76"/>
      <c r="AE76"/>
      <c r="AF76"/>
      <c r="AG76"/>
      <c r="AH76"/>
      <c r="AI76"/>
      <c r="AJ76"/>
      <c r="AK76"/>
      <c r="AL76"/>
      <c r="AM76"/>
      <c r="AN76"/>
      <c r="AO76"/>
    </row>
    <row r="77" spans="1:41" ht="12.75" hidden="1" customHeight="1">
      <c r="A77" s="191">
        <v>38412</v>
      </c>
      <c r="B77" s="284">
        <v>27186436.039999992</v>
      </c>
      <c r="C77" s="194">
        <f>'Weather Data'!B173</f>
        <v>814.1</v>
      </c>
      <c r="D77" s="194">
        <f>'Weather Data'!C173</f>
        <v>0</v>
      </c>
      <c r="E77" s="194">
        <v>31</v>
      </c>
      <c r="F77" s="194">
        <v>1</v>
      </c>
      <c r="G77" s="184">
        <v>0</v>
      </c>
      <c r="H77" s="195">
        <v>351.91199999999998</v>
      </c>
      <c r="I77" s="184">
        <v>131.32553708212293</v>
      </c>
      <c r="J77" s="194">
        <v>487</v>
      </c>
      <c r="K77" s="194"/>
      <c r="L77" s="194"/>
      <c r="M77" s="285"/>
    </row>
    <row r="78" spans="1:41" ht="12.75" hidden="1" customHeight="1">
      <c r="A78" s="191">
        <v>38443</v>
      </c>
      <c r="B78" s="284">
        <v>23539059.55999998</v>
      </c>
      <c r="C78" s="194">
        <f>'Weather Data'!B174</f>
        <v>408.1</v>
      </c>
      <c r="D78" s="194">
        <f>'Weather Data'!C174</f>
        <v>0</v>
      </c>
      <c r="E78" s="194">
        <v>30</v>
      </c>
      <c r="F78" s="194">
        <v>1</v>
      </c>
      <c r="G78" s="184">
        <v>0</v>
      </c>
      <c r="H78" s="195">
        <v>336.24</v>
      </c>
      <c r="I78" s="184">
        <v>131.61742480528775</v>
      </c>
      <c r="J78" s="194">
        <v>481</v>
      </c>
      <c r="K78" s="194"/>
      <c r="L78" s="194"/>
      <c r="M78" s="285"/>
    </row>
    <row r="79" spans="1:41" ht="12.75" hidden="1" customHeight="1">
      <c r="A79" s="191">
        <v>38473</v>
      </c>
      <c r="B79" s="284">
        <v>23356657.370000008</v>
      </c>
      <c r="C79" s="194">
        <f>'Weather Data'!B175</f>
        <v>306.2</v>
      </c>
      <c r="D79" s="194">
        <f>'Weather Data'!C175</f>
        <v>0</v>
      </c>
      <c r="E79" s="194">
        <v>31</v>
      </c>
      <c r="F79" s="194">
        <v>1</v>
      </c>
      <c r="G79" s="184">
        <v>0</v>
      </c>
      <c r="H79" s="195">
        <v>336.28800000000001</v>
      </c>
      <c r="I79" s="184">
        <v>131.90996128607298</v>
      </c>
      <c r="J79" s="194">
        <v>483</v>
      </c>
      <c r="K79" s="194"/>
      <c r="L79" s="194"/>
      <c r="M79" s="285"/>
    </row>
    <row r="80" spans="1:41" ht="12.75" hidden="1" customHeight="1">
      <c r="A80" s="191">
        <v>38504</v>
      </c>
      <c r="B80" s="284">
        <v>22845169.659999996</v>
      </c>
      <c r="C80" s="194">
        <f>'Weather Data'!B176</f>
        <v>72.599999999999994</v>
      </c>
      <c r="D80" s="194">
        <f>'Weather Data'!C176</f>
        <v>16.8</v>
      </c>
      <c r="E80" s="194">
        <v>30</v>
      </c>
      <c r="F80" s="194">
        <v>0</v>
      </c>
      <c r="G80" s="184">
        <v>0</v>
      </c>
      <c r="H80" s="195">
        <v>352.08</v>
      </c>
      <c r="I80" s="184">
        <v>132.20314796642501</v>
      </c>
      <c r="J80" s="194">
        <v>482</v>
      </c>
      <c r="K80" s="194"/>
      <c r="L80" s="194"/>
      <c r="M80" s="285"/>
    </row>
    <row r="81" spans="1:41" ht="12.75" hidden="1" customHeight="1">
      <c r="A81" s="191">
        <v>38534</v>
      </c>
      <c r="B81" s="284">
        <v>23894015.750000004</v>
      </c>
      <c r="C81" s="194">
        <f>'Weather Data'!B177</f>
        <v>45.3</v>
      </c>
      <c r="D81" s="194">
        <f>'Weather Data'!C177</f>
        <v>53</v>
      </c>
      <c r="E81" s="194">
        <v>31</v>
      </c>
      <c r="F81" s="194">
        <v>0</v>
      </c>
      <c r="G81" s="184">
        <v>0</v>
      </c>
      <c r="H81" s="195">
        <v>319.92</v>
      </c>
      <c r="I81" s="184">
        <v>132.49698629149512</v>
      </c>
      <c r="J81" s="194">
        <v>484</v>
      </c>
      <c r="K81" s="194"/>
      <c r="L81" s="194"/>
      <c r="M81" s="285"/>
    </row>
    <row r="82" spans="1:41" ht="12.75" hidden="1" customHeight="1">
      <c r="A82" s="191">
        <v>38565</v>
      </c>
      <c r="B82" s="284">
        <v>23530513.359999999</v>
      </c>
      <c r="C82" s="194">
        <f>'Weather Data'!B178</f>
        <v>46.3</v>
      </c>
      <c r="D82" s="194">
        <f>'Weather Data'!C178</f>
        <v>29.6</v>
      </c>
      <c r="E82" s="194">
        <v>31</v>
      </c>
      <c r="F82" s="194">
        <v>0</v>
      </c>
      <c r="G82" s="184">
        <v>0</v>
      </c>
      <c r="H82" s="195">
        <v>351.91199999999998</v>
      </c>
      <c r="I82" s="184">
        <v>132.79147770964664</v>
      </c>
      <c r="J82" s="194">
        <v>480</v>
      </c>
      <c r="K82" s="194"/>
      <c r="L82" s="194"/>
      <c r="M82" s="285"/>
    </row>
    <row r="83" spans="1:41" ht="12.75" hidden="1" customHeight="1">
      <c r="A83" s="191">
        <v>38596</v>
      </c>
      <c r="B83" s="284">
        <v>22573270.269999996</v>
      </c>
      <c r="C83" s="194">
        <f>'Weather Data'!B179</f>
        <v>148.80000000000001</v>
      </c>
      <c r="D83" s="194">
        <f>'Weather Data'!C179</f>
        <v>15.2</v>
      </c>
      <c r="E83" s="194">
        <v>30</v>
      </c>
      <c r="F83" s="194">
        <v>1</v>
      </c>
      <c r="G83" s="184">
        <v>0</v>
      </c>
      <c r="H83" s="195">
        <v>336.24</v>
      </c>
      <c r="I83" s="184">
        <v>133.08662367246211</v>
      </c>
      <c r="J83" s="194">
        <v>481</v>
      </c>
      <c r="K83" s="194"/>
      <c r="L83" s="194"/>
      <c r="M83" s="285"/>
    </row>
    <row r="84" spans="1:41" ht="12.75" hidden="1" customHeight="1">
      <c r="A84" s="191">
        <v>38626</v>
      </c>
      <c r="B84" s="284">
        <v>23998835.469999999</v>
      </c>
      <c r="C84" s="194">
        <f>'Weather Data'!B180</f>
        <v>347.3</v>
      </c>
      <c r="D84" s="194">
        <f>'Weather Data'!C180</f>
        <v>0</v>
      </c>
      <c r="E84" s="194">
        <v>31</v>
      </c>
      <c r="F84" s="194">
        <v>1</v>
      </c>
      <c r="G84" s="184">
        <v>0</v>
      </c>
      <c r="H84" s="195">
        <v>319.92</v>
      </c>
      <c r="I84" s="184">
        <v>133.38242563475035</v>
      </c>
      <c r="J84" s="194">
        <v>483</v>
      </c>
      <c r="K84" s="194"/>
      <c r="L84" s="194"/>
      <c r="M84" s="285"/>
    </row>
    <row r="85" spans="1:41" ht="12.75" hidden="1" customHeight="1">
      <c r="A85" s="191">
        <v>38657</v>
      </c>
      <c r="B85" s="284">
        <v>26134846.600000005</v>
      </c>
      <c r="C85" s="194">
        <f>'Weather Data'!B181</f>
        <v>606.9</v>
      </c>
      <c r="D85" s="194">
        <f>'Weather Data'!C181</f>
        <v>0</v>
      </c>
      <c r="E85" s="194">
        <v>30</v>
      </c>
      <c r="F85" s="194">
        <v>1</v>
      </c>
      <c r="G85" s="184">
        <v>0</v>
      </c>
      <c r="H85" s="195">
        <v>352.08</v>
      </c>
      <c r="I85" s="184">
        <v>133.67888505455369</v>
      </c>
      <c r="J85" s="194">
        <v>482</v>
      </c>
      <c r="K85" s="194"/>
      <c r="L85" s="194"/>
      <c r="M85" s="285"/>
    </row>
    <row r="86" spans="1:41" ht="12.75" hidden="1" customHeight="1">
      <c r="A86" s="191">
        <v>38687</v>
      </c>
      <c r="B86" s="284">
        <v>29015604.499999993</v>
      </c>
      <c r="C86" s="194">
        <f>'Weather Data'!B182</f>
        <v>833.4</v>
      </c>
      <c r="D86" s="194">
        <f>'Weather Data'!C182</f>
        <v>0</v>
      </c>
      <c r="E86" s="194">
        <v>31</v>
      </c>
      <c r="F86" s="194">
        <v>0</v>
      </c>
      <c r="G86" s="184">
        <v>0</v>
      </c>
      <c r="H86" s="195">
        <v>319.92</v>
      </c>
      <c r="I86" s="184">
        <v>133.97600339315525</v>
      </c>
      <c r="J86" s="194">
        <v>483</v>
      </c>
      <c r="K86" s="194"/>
      <c r="L86" s="194"/>
      <c r="M86" s="285"/>
    </row>
    <row r="87" spans="1:41" s="21" customFormat="1" ht="15">
      <c r="A87" s="191">
        <v>38718</v>
      </c>
      <c r="B87" s="284">
        <v>28857836.470000003</v>
      </c>
      <c r="C87" s="194">
        <f>'Weather Data'!B183</f>
        <v>797</v>
      </c>
      <c r="D87" s="194">
        <f>'Weather Data'!C183</f>
        <v>0</v>
      </c>
      <c r="E87" s="194">
        <v>31</v>
      </c>
      <c r="F87" s="194">
        <v>0</v>
      </c>
      <c r="G87" s="184">
        <f>'CDM Activity'!U19</f>
        <v>0</v>
      </c>
      <c r="H87" s="195">
        <v>336.28800000000001</v>
      </c>
      <c r="I87" s="184">
        <v>134.25197202423305</v>
      </c>
      <c r="J87" s="194">
        <v>484</v>
      </c>
      <c r="K87" s="194">
        <f>$O$103+C87*$O$104+D87*$O$105+E87*$O$106+F87*$O$107+G87*$O$108+H87*$O$109</f>
        <v>28030928.683540218</v>
      </c>
      <c r="L87" s="194">
        <f>K87-B87</f>
        <v>-826907.78645978495</v>
      </c>
      <c r="M87" s="285">
        <f>ABS(L87/B87)</f>
        <v>2.8654531579989401E-2</v>
      </c>
      <c r="N87" s="260" t="s">
        <v>15</v>
      </c>
      <c r="O87"/>
      <c r="P87"/>
      <c r="Q87"/>
      <c r="R87"/>
      <c r="S87"/>
      <c r="T87"/>
      <c r="U87"/>
      <c r="V87"/>
      <c r="W87"/>
      <c r="X87"/>
      <c r="Y87"/>
      <c r="Z87"/>
      <c r="AA87"/>
      <c r="AB87"/>
      <c r="AC87"/>
      <c r="AD87"/>
      <c r="AE87"/>
      <c r="AF87"/>
      <c r="AG87"/>
      <c r="AH87"/>
      <c r="AI87"/>
      <c r="AJ87"/>
      <c r="AK87"/>
      <c r="AL87"/>
      <c r="AM87"/>
      <c r="AN87"/>
      <c r="AO87"/>
    </row>
    <row r="88" spans="1:41" ht="13.5" thickBot="1">
      <c r="A88" s="191">
        <v>38749</v>
      </c>
      <c r="B88" s="284">
        <v>27077340.080000006</v>
      </c>
      <c r="C88" s="194">
        <f>'Weather Data'!B184</f>
        <v>873.4</v>
      </c>
      <c r="D88" s="194">
        <f>'Weather Data'!C184</f>
        <v>0</v>
      </c>
      <c r="E88" s="194">
        <v>28</v>
      </c>
      <c r="F88" s="194">
        <v>0</v>
      </c>
      <c r="G88" s="184">
        <f>'CDM Activity'!U20</f>
        <v>0</v>
      </c>
      <c r="H88" s="195">
        <v>319.87200000000001</v>
      </c>
      <c r="I88" s="184">
        <v>134.52850910550649</v>
      </c>
      <c r="J88" s="194">
        <v>483</v>
      </c>
      <c r="K88" s="194">
        <f t="shared" ref="K88:K151" si="0">$O$103+C88*$O$104+D88*$O$105+E88*$O$106+F88*$O$107+G88*$O$108+H88*$O$109</f>
        <v>27120389.721398175</v>
      </c>
      <c r="L88" s="194">
        <f t="shared" ref="L88:L151" si="1">K88-B88</f>
        <v>43049.6413981691</v>
      </c>
      <c r="M88" s="285">
        <f t="shared" ref="M88:M151" si="2">ABS(L88/B88)</f>
        <v>1.5898770437191736E-3</v>
      </c>
    </row>
    <row r="89" spans="1:41">
      <c r="A89" s="191">
        <v>38777</v>
      </c>
      <c r="B89" s="284">
        <v>27505939.540000007</v>
      </c>
      <c r="C89" s="194">
        <f>'Weather Data'!B185</f>
        <v>659</v>
      </c>
      <c r="D89" s="194">
        <f>'Weather Data'!C185</f>
        <v>0</v>
      </c>
      <c r="E89" s="194">
        <v>31</v>
      </c>
      <c r="F89" s="194">
        <v>1</v>
      </c>
      <c r="G89" s="184">
        <f>'CDM Activity'!U21</f>
        <v>0</v>
      </c>
      <c r="H89" s="195">
        <v>368.28</v>
      </c>
      <c r="I89" s="184">
        <v>134.80561580788986</v>
      </c>
      <c r="J89" s="194">
        <v>492</v>
      </c>
      <c r="K89" s="194">
        <f t="shared" si="0"/>
        <v>26399495.433825288</v>
      </c>
      <c r="L89" s="194">
        <f t="shared" si="1"/>
        <v>-1106444.1061747186</v>
      </c>
      <c r="M89" s="285">
        <f t="shared" si="2"/>
        <v>4.0225643067588822E-2</v>
      </c>
      <c r="N89" s="33" t="s">
        <v>16</v>
      </c>
      <c r="O89" s="33"/>
    </row>
    <row r="90" spans="1:41">
      <c r="A90" s="191">
        <v>38808</v>
      </c>
      <c r="B90" s="284">
        <v>23111766.710000001</v>
      </c>
      <c r="C90" s="194">
        <f>'Weather Data'!B186</f>
        <v>366</v>
      </c>
      <c r="D90" s="194">
        <f>'Weather Data'!C186</f>
        <v>0</v>
      </c>
      <c r="E90" s="194">
        <v>30</v>
      </c>
      <c r="F90" s="194">
        <v>1</v>
      </c>
      <c r="G90" s="184">
        <f>'CDM Activity'!U22</f>
        <v>0</v>
      </c>
      <c r="H90" s="195">
        <v>303.83999999999997</v>
      </c>
      <c r="I90" s="184">
        <v>135.08329330470943</v>
      </c>
      <c r="J90" s="194">
        <v>505</v>
      </c>
      <c r="K90" s="194">
        <f t="shared" si="0"/>
        <v>22853505.452528071</v>
      </c>
      <c r="L90" s="194">
        <f t="shared" si="1"/>
        <v>-258261.25747193024</v>
      </c>
      <c r="M90" s="285">
        <f t="shared" si="2"/>
        <v>1.1174448959809971E-2</v>
      </c>
      <c r="N90" s="24" t="s">
        <v>17</v>
      </c>
      <c r="O90" s="36">
        <v>0.98423152291865723</v>
      </c>
    </row>
    <row r="91" spans="1:41">
      <c r="A91" s="191">
        <v>38838</v>
      </c>
      <c r="B91" s="284">
        <v>22990549.949999992</v>
      </c>
      <c r="C91" s="194">
        <f>'Weather Data'!B187</f>
        <v>241.5</v>
      </c>
      <c r="D91" s="194">
        <f>'Weather Data'!C187</f>
        <v>2.4</v>
      </c>
      <c r="E91" s="194">
        <v>31</v>
      </c>
      <c r="F91" s="194">
        <v>1</v>
      </c>
      <c r="G91" s="184">
        <f>'CDM Activity'!U23</f>
        <v>0</v>
      </c>
      <c r="H91" s="195">
        <v>351.91199999999998</v>
      </c>
      <c r="I91" s="184">
        <v>135.36154277170829</v>
      </c>
      <c r="J91" s="194">
        <v>495</v>
      </c>
      <c r="K91" s="194">
        <f t="shared" si="0"/>
        <v>22750855.406700291</v>
      </c>
      <c r="L91" s="194">
        <f t="shared" si="1"/>
        <v>-239694.54329970106</v>
      </c>
      <c r="M91" s="285">
        <f t="shared" si="2"/>
        <v>1.0425785543233651E-2</v>
      </c>
      <c r="N91" s="24" t="s">
        <v>18</v>
      </c>
      <c r="O91" s="36">
        <v>0.96871169070677932</v>
      </c>
    </row>
    <row r="92" spans="1:41">
      <c r="A92" s="191">
        <v>38869</v>
      </c>
      <c r="B92" s="284">
        <v>22533456.889999997</v>
      </c>
      <c r="C92" s="194">
        <f>'Weather Data'!B188</f>
        <v>81.5</v>
      </c>
      <c r="D92" s="194">
        <f>'Weather Data'!C188</f>
        <v>9.3000000000000007</v>
      </c>
      <c r="E92" s="194">
        <v>30</v>
      </c>
      <c r="F92" s="194">
        <v>0</v>
      </c>
      <c r="G92" s="184">
        <f>'CDM Activity'!U24</f>
        <v>0</v>
      </c>
      <c r="H92" s="195">
        <v>352.08</v>
      </c>
      <c r="I92" s="184">
        <v>135.64036538705133</v>
      </c>
      <c r="J92" s="194">
        <v>493</v>
      </c>
      <c r="K92" s="194">
        <f t="shared" si="0"/>
        <v>21882706.449367683</v>
      </c>
      <c r="L92" s="194">
        <f t="shared" si="1"/>
        <v>-650750.44063231349</v>
      </c>
      <c r="M92" s="285">
        <f t="shared" si="2"/>
        <v>2.8879299071111746E-2</v>
      </c>
      <c r="N92" s="24" t="s">
        <v>19</v>
      </c>
      <c r="O92" s="36">
        <v>0.96705036454961713</v>
      </c>
    </row>
    <row r="93" spans="1:41">
      <c r="A93" s="191">
        <v>38899</v>
      </c>
      <c r="B93" s="284">
        <v>24301815.839999992</v>
      </c>
      <c r="C93" s="194">
        <f>'Weather Data'!B189</f>
        <v>23.2</v>
      </c>
      <c r="D93" s="194">
        <f>'Weather Data'!C189</f>
        <v>70.099999999999994</v>
      </c>
      <c r="E93" s="194">
        <v>31</v>
      </c>
      <c r="F93" s="194">
        <v>0</v>
      </c>
      <c r="G93" s="184">
        <f>'CDM Activity'!U25</f>
        <v>0</v>
      </c>
      <c r="H93" s="195">
        <v>319.92</v>
      </c>
      <c r="I93" s="184">
        <v>135.9197623313303</v>
      </c>
      <c r="J93" s="194">
        <v>497</v>
      </c>
      <c r="K93" s="194">
        <f t="shared" si="0"/>
        <v>24250256.262168989</v>
      </c>
      <c r="L93" s="194">
        <f t="shared" si="1"/>
        <v>-51559.577831003815</v>
      </c>
      <c r="M93" s="285">
        <f t="shared" si="2"/>
        <v>2.1216347852549538E-3</v>
      </c>
      <c r="N93" s="24" t="s">
        <v>20</v>
      </c>
      <c r="O93" s="42">
        <v>503691.20921435161</v>
      </c>
    </row>
    <row r="94" spans="1:41" ht="13.5" thickBot="1">
      <c r="A94" s="191">
        <v>38930</v>
      </c>
      <c r="B94" s="284">
        <v>23835759.899999991</v>
      </c>
      <c r="C94" s="194">
        <f>'Weather Data'!B190</f>
        <v>57.7</v>
      </c>
      <c r="D94" s="194">
        <f>'Weather Data'!C190</f>
        <v>31.7</v>
      </c>
      <c r="E94" s="194">
        <v>31</v>
      </c>
      <c r="F94" s="194">
        <v>0</v>
      </c>
      <c r="G94" s="184">
        <f>'CDM Activity'!U26</f>
        <v>0</v>
      </c>
      <c r="H94" s="195">
        <v>351.91199999999998</v>
      </c>
      <c r="I94" s="184">
        <v>136.19973478756879</v>
      </c>
      <c r="J94" s="194">
        <v>493</v>
      </c>
      <c r="K94" s="194">
        <f t="shared" si="0"/>
        <v>23133106.197051369</v>
      </c>
      <c r="L94" s="194">
        <f t="shared" si="1"/>
        <v>-702653.70294862241</v>
      </c>
      <c r="M94" s="285">
        <f t="shared" si="2"/>
        <v>2.9478972178630759E-2</v>
      </c>
      <c r="N94" s="31" t="s">
        <v>21</v>
      </c>
      <c r="O94" s="31">
        <v>120</v>
      </c>
    </row>
    <row r="95" spans="1:41">
      <c r="A95" s="191">
        <v>38961</v>
      </c>
      <c r="B95" s="284">
        <v>22400469.269999985</v>
      </c>
      <c r="C95" s="194">
        <f>'Weather Data'!B191</f>
        <v>210.5</v>
      </c>
      <c r="D95" s="194">
        <f>'Weather Data'!C191</f>
        <v>1.2</v>
      </c>
      <c r="E95" s="194">
        <v>30</v>
      </c>
      <c r="F95" s="194">
        <v>1</v>
      </c>
      <c r="G95" s="184">
        <f>'CDM Activity'!U27</f>
        <v>0</v>
      </c>
      <c r="H95" s="195">
        <v>319.68</v>
      </c>
      <c r="I95" s="184">
        <v>136.48028394122719</v>
      </c>
      <c r="J95" s="194">
        <v>492</v>
      </c>
      <c r="K95" s="194">
        <f t="shared" si="0"/>
        <v>21686945.832286172</v>
      </c>
      <c r="L95" s="194">
        <f t="shared" si="1"/>
        <v>-713523.43771381304</v>
      </c>
      <c r="M95" s="285">
        <f t="shared" si="2"/>
        <v>3.1853057590601697E-2</v>
      </c>
    </row>
    <row r="96" spans="1:41" ht="13.5" thickBot="1">
      <c r="A96" s="191">
        <v>38991</v>
      </c>
      <c r="B96" s="284">
        <v>24231401.169999972</v>
      </c>
      <c r="C96" s="194">
        <f>'Weather Data'!B192</f>
        <v>440.9</v>
      </c>
      <c r="D96" s="194">
        <f>'Weather Data'!C192</f>
        <v>0</v>
      </c>
      <c r="E96" s="194">
        <v>31</v>
      </c>
      <c r="F96" s="194">
        <v>1</v>
      </c>
      <c r="G96" s="184">
        <f>'CDM Activity'!U28</f>
        <v>0</v>
      </c>
      <c r="H96" s="195">
        <v>336.28800000000001</v>
      </c>
      <c r="I96" s="184">
        <v>136.76141098020776</v>
      </c>
      <c r="J96" s="194">
        <v>491</v>
      </c>
      <c r="K96" s="194">
        <f t="shared" si="0"/>
        <v>24247390.991669446</v>
      </c>
      <c r="L96" s="194">
        <f t="shared" si="1"/>
        <v>15989.821669474244</v>
      </c>
      <c r="M96" s="285">
        <f t="shared" si="2"/>
        <v>6.5988019253590123E-4</v>
      </c>
      <c r="N96" t="s">
        <v>22</v>
      </c>
    </row>
    <row r="97" spans="1:20">
      <c r="A97" s="191">
        <v>39022</v>
      </c>
      <c r="B97" s="284">
        <v>25214980.610000018</v>
      </c>
      <c r="C97" s="194">
        <f>'Weather Data'!B193</f>
        <v>540.4</v>
      </c>
      <c r="D97" s="194">
        <f>'Weather Data'!C193</f>
        <v>0</v>
      </c>
      <c r="E97" s="194">
        <v>30</v>
      </c>
      <c r="F97" s="194">
        <v>1</v>
      </c>
      <c r="G97" s="184">
        <f>'CDM Activity'!U29</f>
        <v>0</v>
      </c>
      <c r="H97" s="195">
        <v>352.08</v>
      </c>
      <c r="I97" s="184">
        <v>137.04311709485967</v>
      </c>
      <c r="J97" s="194">
        <v>491</v>
      </c>
      <c r="K97" s="194">
        <f t="shared" si="0"/>
        <v>24759313.869261943</v>
      </c>
      <c r="L97" s="194">
        <f t="shared" si="1"/>
        <v>-455666.74073807523</v>
      </c>
      <c r="M97" s="285">
        <f t="shared" si="2"/>
        <v>1.807127071743066E-2</v>
      </c>
      <c r="N97" s="32"/>
      <c r="O97" s="32" t="s">
        <v>26</v>
      </c>
      <c r="P97" s="32" t="s">
        <v>27</v>
      </c>
      <c r="Q97" s="32" t="s">
        <v>28</v>
      </c>
      <c r="R97" s="32" t="s">
        <v>29</v>
      </c>
      <c r="S97" s="32" t="s">
        <v>30</v>
      </c>
    </row>
    <row r="98" spans="1:20">
      <c r="A98" s="191">
        <v>39052</v>
      </c>
      <c r="B98" s="284">
        <v>27155476.329999983</v>
      </c>
      <c r="C98" s="194">
        <f>'Weather Data'!B194</f>
        <v>747.4</v>
      </c>
      <c r="D98" s="194">
        <f>'Weather Data'!C194</f>
        <v>0</v>
      </c>
      <c r="E98" s="194">
        <v>31</v>
      </c>
      <c r="F98" s="194">
        <v>0</v>
      </c>
      <c r="G98" s="184">
        <f>'CDM Activity'!U30</f>
        <v>0</v>
      </c>
      <c r="H98" s="195">
        <v>304.29599999999999</v>
      </c>
      <c r="I98" s="184">
        <v>137.32540347798411</v>
      </c>
      <c r="J98" s="194">
        <v>494</v>
      </c>
      <c r="K98" s="194">
        <f t="shared" si="0"/>
        <v>27339788.000563331</v>
      </c>
      <c r="L98" s="194">
        <f t="shared" si="1"/>
        <v>184311.67056334764</v>
      </c>
      <c r="M98" s="285">
        <f t="shared" si="2"/>
        <v>6.7872744459919311E-3</v>
      </c>
      <c r="N98" s="24" t="s">
        <v>23</v>
      </c>
      <c r="O98" s="24">
        <v>6</v>
      </c>
      <c r="P98" s="24">
        <v>887604777150135.37</v>
      </c>
      <c r="Q98" s="24">
        <v>147934129525022.56</v>
      </c>
      <c r="R98" s="24">
        <v>583.09543043703741</v>
      </c>
      <c r="S98" s="24">
        <v>1.5408456067373706E-82</v>
      </c>
    </row>
    <row r="99" spans="1:20">
      <c r="A99" s="191">
        <v>39083</v>
      </c>
      <c r="B99" s="284">
        <v>29662727.760000009</v>
      </c>
      <c r="C99" s="194">
        <f>'Weather Data'!B195</f>
        <v>913.4</v>
      </c>
      <c r="D99" s="194">
        <f>'Weather Data'!C195</f>
        <v>0</v>
      </c>
      <c r="E99" s="194">
        <v>31</v>
      </c>
      <c r="F99" s="194">
        <v>0</v>
      </c>
      <c r="G99" s="184">
        <f>'CDM Activity'!U31</f>
        <v>0</v>
      </c>
      <c r="H99" s="195">
        <v>351.91199999999998</v>
      </c>
      <c r="I99" s="184">
        <v>137.552207546647</v>
      </c>
      <c r="J99" s="194">
        <v>493</v>
      </c>
      <c r="K99" s="194">
        <f t="shared" si="0"/>
        <v>29167672.491779186</v>
      </c>
      <c r="L99" s="194">
        <f t="shared" si="1"/>
        <v>-495055.26822082326</v>
      </c>
      <c r="M99" s="285">
        <f t="shared" si="2"/>
        <v>1.6689472129006355E-2</v>
      </c>
      <c r="N99" s="24" t="s">
        <v>24</v>
      </c>
      <c r="O99" s="24">
        <v>113</v>
      </c>
      <c r="P99" s="24">
        <v>28668646269099.176</v>
      </c>
      <c r="Q99" s="24">
        <v>253704834239.8157</v>
      </c>
      <c r="R99" s="24"/>
      <c r="S99" s="24"/>
    </row>
    <row r="100" spans="1:20" ht="13.5" thickBot="1">
      <c r="A100" s="191">
        <v>39114</v>
      </c>
      <c r="B100" s="284">
        <v>28296502.539999969</v>
      </c>
      <c r="C100" s="194">
        <f>'Weather Data'!B196</f>
        <v>924.7</v>
      </c>
      <c r="D100" s="194">
        <f>'Weather Data'!C196</f>
        <v>0</v>
      </c>
      <c r="E100" s="194">
        <v>28</v>
      </c>
      <c r="F100" s="194">
        <v>0</v>
      </c>
      <c r="G100" s="184">
        <f>'CDM Activity'!U32</f>
        <v>0</v>
      </c>
      <c r="H100" s="195">
        <v>319.87200000000001</v>
      </c>
      <c r="I100" s="184">
        <v>137.77938620066888</v>
      </c>
      <c r="J100" s="194">
        <v>492</v>
      </c>
      <c r="K100" s="194">
        <f t="shared" si="0"/>
        <v>27565181.655201618</v>
      </c>
      <c r="L100" s="194">
        <f t="shared" si="1"/>
        <v>-731320.88479835168</v>
      </c>
      <c r="M100" s="285">
        <f t="shared" si="2"/>
        <v>2.5844921426757799E-2</v>
      </c>
      <c r="N100" s="31" t="s">
        <v>5</v>
      </c>
      <c r="O100" s="31">
        <v>119</v>
      </c>
      <c r="P100" s="31">
        <v>916273423419234.5</v>
      </c>
      <c r="Q100" s="31"/>
      <c r="R100" s="31"/>
      <c r="S100" s="31"/>
    </row>
    <row r="101" spans="1:20" ht="13.5" thickBot="1">
      <c r="A101" s="191">
        <v>39142</v>
      </c>
      <c r="B101" s="284">
        <v>27525692.98999998</v>
      </c>
      <c r="C101" s="194">
        <f>'Weather Data'!B197</f>
        <v>665</v>
      </c>
      <c r="D101" s="194">
        <f>'Weather Data'!C197</f>
        <v>0</v>
      </c>
      <c r="E101" s="194">
        <v>31</v>
      </c>
      <c r="F101" s="194">
        <v>1</v>
      </c>
      <c r="G101" s="184">
        <f>'CDM Activity'!U33</f>
        <v>0</v>
      </c>
      <c r="H101" s="195">
        <v>351.91199999999998</v>
      </c>
      <c r="I101" s="184">
        <v>138.00694005870795</v>
      </c>
      <c r="J101" s="194">
        <v>494</v>
      </c>
      <c r="K101" s="194">
        <f t="shared" si="0"/>
        <v>26317937.74865365</v>
      </c>
      <c r="L101" s="194">
        <f t="shared" si="1"/>
        <v>-1207755.2413463295</v>
      </c>
      <c r="M101" s="285">
        <f t="shared" si="2"/>
        <v>4.3877378192988786E-2</v>
      </c>
    </row>
    <row r="102" spans="1:20">
      <c r="A102" s="191">
        <v>39173</v>
      </c>
      <c r="B102" s="284">
        <v>23410934.150000002</v>
      </c>
      <c r="C102" s="194">
        <f>'Weather Data'!B198</f>
        <v>474.1</v>
      </c>
      <c r="D102" s="194">
        <f>'Weather Data'!C198</f>
        <v>0</v>
      </c>
      <c r="E102" s="194">
        <v>30</v>
      </c>
      <c r="F102" s="194">
        <v>1</v>
      </c>
      <c r="G102" s="184">
        <f>'CDM Activity'!U34</f>
        <v>0</v>
      </c>
      <c r="H102" s="195">
        <v>319.68</v>
      </c>
      <c r="I102" s="184">
        <v>138.23486974044414</v>
      </c>
      <c r="J102" s="194">
        <v>511</v>
      </c>
      <c r="K102" s="194">
        <f t="shared" si="0"/>
        <v>23920047.661502786</v>
      </c>
      <c r="L102" s="194">
        <f t="shared" si="1"/>
        <v>509113.51150278375</v>
      </c>
      <c r="M102" s="285">
        <f t="shared" si="2"/>
        <v>2.174682600193396E-2</v>
      </c>
      <c r="N102" s="32"/>
      <c r="O102" s="32" t="s">
        <v>31</v>
      </c>
      <c r="P102" s="32" t="s">
        <v>20</v>
      </c>
      <c r="Q102" s="32" t="s">
        <v>32</v>
      </c>
      <c r="R102" s="32" t="s">
        <v>33</v>
      </c>
      <c r="S102" s="32" t="s">
        <v>34</v>
      </c>
      <c r="T102" s="32" t="s">
        <v>35</v>
      </c>
    </row>
    <row r="103" spans="1:20">
      <c r="A103" s="191">
        <v>39203</v>
      </c>
      <c r="B103" s="284">
        <v>22478351.149999984</v>
      </c>
      <c r="C103" s="194">
        <f>'Weather Data'!B199</f>
        <v>250.9</v>
      </c>
      <c r="D103" s="194">
        <f>'Weather Data'!C199</f>
        <v>0.6</v>
      </c>
      <c r="E103" s="194">
        <v>31</v>
      </c>
      <c r="F103" s="194">
        <v>1</v>
      </c>
      <c r="G103" s="184">
        <f>'CDM Activity'!U35</f>
        <v>0</v>
      </c>
      <c r="H103" s="195">
        <v>351.91199999999998</v>
      </c>
      <c r="I103" s="184">
        <v>138.46317586658083</v>
      </c>
      <c r="J103" s="194">
        <v>502</v>
      </c>
      <c r="K103" s="194">
        <f t="shared" si="0"/>
        <v>22753730.636916455</v>
      </c>
      <c r="L103" s="194">
        <f t="shared" si="1"/>
        <v>275379.48691647127</v>
      </c>
      <c r="M103" s="285">
        <f t="shared" si="2"/>
        <v>1.2250875746127468E-2</v>
      </c>
      <c r="N103" s="24" t="s">
        <v>25</v>
      </c>
      <c r="O103" s="42">
        <v>3506624.058376973</v>
      </c>
      <c r="P103" s="42">
        <v>1777452.1406885218</v>
      </c>
      <c r="Q103" s="34">
        <v>1.972837399165432</v>
      </c>
      <c r="R103" s="24">
        <v>5.0956166722624686E-2</v>
      </c>
      <c r="S103" s="42">
        <v>-14829.212554673199</v>
      </c>
      <c r="T103" s="42">
        <v>7028077.3293086197</v>
      </c>
    </row>
    <row r="104" spans="1:20">
      <c r="A104" s="191">
        <v>39234</v>
      </c>
      <c r="B104" s="284">
        <v>22018767.950000007</v>
      </c>
      <c r="C104" s="194">
        <f>'Weather Data'!B200</f>
        <v>96.7</v>
      </c>
      <c r="D104" s="194">
        <f>'Weather Data'!C200</f>
        <v>6.5</v>
      </c>
      <c r="E104" s="194">
        <v>30</v>
      </c>
      <c r="F104" s="194">
        <v>0</v>
      </c>
      <c r="G104" s="184">
        <f>'CDM Activity'!U36</f>
        <v>0</v>
      </c>
      <c r="H104" s="195">
        <v>336.24</v>
      </c>
      <c r="I104" s="184">
        <v>138.69185905884657</v>
      </c>
      <c r="J104" s="194">
        <v>500</v>
      </c>
      <c r="K104" s="194">
        <f t="shared" si="0"/>
        <v>21762917.501805995</v>
      </c>
      <c r="L104" s="194">
        <f t="shared" si="1"/>
        <v>-255850.44819401205</v>
      </c>
      <c r="M104" s="285">
        <f t="shared" si="2"/>
        <v>1.1619653232869098E-2</v>
      </c>
      <c r="N104" s="24" t="s">
        <v>1</v>
      </c>
      <c r="O104" s="42">
        <v>8670.4080663439308</v>
      </c>
      <c r="P104" s="42">
        <v>184.79599848219354</v>
      </c>
      <c r="Q104" s="34">
        <v>46.918808510777296</v>
      </c>
      <c r="R104" s="24">
        <v>6.2165138503195157E-76</v>
      </c>
      <c r="S104" s="42">
        <v>8304.2938636525869</v>
      </c>
      <c r="T104" s="42">
        <v>9036.5222690352748</v>
      </c>
    </row>
    <row r="105" spans="1:20">
      <c r="A105" s="191">
        <v>39264</v>
      </c>
      <c r="B105" s="284">
        <v>23322571.340000018</v>
      </c>
      <c r="C105" s="194">
        <f>'Weather Data'!B201</f>
        <v>40.200000000000003</v>
      </c>
      <c r="D105" s="194">
        <f>'Weather Data'!C201</f>
        <v>51.8</v>
      </c>
      <c r="E105" s="194">
        <v>31</v>
      </c>
      <c r="F105" s="194">
        <v>0</v>
      </c>
      <c r="G105" s="184">
        <f>'CDM Activity'!U37</f>
        <v>0</v>
      </c>
      <c r="H105" s="195">
        <v>336.28800000000001</v>
      </c>
      <c r="I105" s="184">
        <v>138.92091993999671</v>
      </c>
      <c r="J105" s="194">
        <v>501</v>
      </c>
      <c r="K105" s="194">
        <f t="shared" si="0"/>
        <v>23731862.84252391</v>
      </c>
      <c r="L105" s="194">
        <f t="shared" si="1"/>
        <v>409291.50252389163</v>
      </c>
      <c r="M105" s="285">
        <f t="shared" si="2"/>
        <v>1.7549158562200427E-2</v>
      </c>
      <c r="N105" s="24" t="s">
        <v>2</v>
      </c>
      <c r="O105" s="42">
        <v>43681.447559706176</v>
      </c>
      <c r="P105" s="42">
        <v>4444.238101634015</v>
      </c>
      <c r="Q105" s="34">
        <v>9.8287820230976823</v>
      </c>
      <c r="R105" s="24">
        <v>7.5521983882419984E-17</v>
      </c>
      <c r="S105" s="42">
        <v>34876.610320186563</v>
      </c>
      <c r="T105" s="42">
        <v>52486.284799225788</v>
      </c>
    </row>
    <row r="106" spans="1:20">
      <c r="A106" s="191">
        <v>39295</v>
      </c>
      <c r="B106" s="284">
        <v>23240376.049999986</v>
      </c>
      <c r="C106" s="194">
        <f>'Weather Data'!B202</f>
        <v>62.9</v>
      </c>
      <c r="D106" s="194">
        <f>'Weather Data'!C202</f>
        <v>22.1</v>
      </c>
      <c r="E106" s="194">
        <v>31</v>
      </c>
      <c r="F106" s="194">
        <v>0</v>
      </c>
      <c r="G106" s="184">
        <f>'CDM Activity'!U38</f>
        <v>0</v>
      </c>
      <c r="H106" s="195">
        <v>351.91199999999998</v>
      </c>
      <c r="I106" s="184">
        <v>139.15035913381516</v>
      </c>
      <c r="J106" s="194">
        <v>503</v>
      </c>
      <c r="K106" s="194">
        <f t="shared" si="0"/>
        <v>22758850.42242318</v>
      </c>
      <c r="L106" s="194">
        <f t="shared" si="1"/>
        <v>-481525.62757680565</v>
      </c>
      <c r="M106" s="285">
        <f t="shared" si="2"/>
        <v>2.0719356112863154E-2</v>
      </c>
      <c r="N106" s="24" t="s">
        <v>3</v>
      </c>
      <c r="O106" s="42">
        <v>479662.09141468065</v>
      </c>
      <c r="P106" s="42">
        <v>65938.13665975965</v>
      </c>
      <c r="Q106" s="34">
        <v>7.2744259348688285</v>
      </c>
      <c r="R106" s="24">
        <v>4.8968554665147626E-11</v>
      </c>
      <c r="S106" s="42">
        <v>349026.75012796489</v>
      </c>
      <c r="T106" s="42">
        <v>610297.43270139641</v>
      </c>
    </row>
    <row r="107" spans="1:20">
      <c r="A107" s="191">
        <v>39326</v>
      </c>
      <c r="B107" s="284">
        <v>22268047.419999991</v>
      </c>
      <c r="C107" s="194">
        <f>'Weather Data'!B203</f>
        <v>164.7</v>
      </c>
      <c r="D107" s="194">
        <f>'Weather Data'!C203</f>
        <v>9.6</v>
      </c>
      <c r="E107" s="194">
        <v>30</v>
      </c>
      <c r="F107" s="194">
        <v>1</v>
      </c>
      <c r="G107" s="184">
        <f>'CDM Activity'!U39</f>
        <v>0</v>
      </c>
      <c r="H107" s="195">
        <v>303.83999999999997</v>
      </c>
      <c r="I107" s="184">
        <v>139.38017726511606</v>
      </c>
      <c r="J107" s="194">
        <v>503</v>
      </c>
      <c r="K107" s="194">
        <f t="shared" si="0"/>
        <v>21527494.205346219</v>
      </c>
      <c r="L107" s="194">
        <f t="shared" si="1"/>
        <v>-740553.21465377137</v>
      </c>
      <c r="M107" s="285">
        <f t="shared" si="2"/>
        <v>3.3256315683459763E-2</v>
      </c>
      <c r="N107" s="24" t="s">
        <v>14</v>
      </c>
      <c r="O107" s="42">
        <v>-696005.37944570312</v>
      </c>
      <c r="P107" s="42">
        <v>110513.41656475034</v>
      </c>
      <c r="Q107" s="34">
        <v>-6.297926542139888</v>
      </c>
      <c r="R107" s="24">
        <v>5.9534639782743943E-9</v>
      </c>
      <c r="S107" s="42">
        <v>-914952.38979559741</v>
      </c>
      <c r="T107" s="42">
        <v>-477058.36909580877</v>
      </c>
    </row>
    <row r="108" spans="1:20">
      <c r="A108" s="191">
        <v>39356</v>
      </c>
      <c r="B108" s="284">
        <v>23250601.389999993</v>
      </c>
      <c r="C108" s="194">
        <f>'Weather Data'!B204</f>
        <v>310.60000000000002</v>
      </c>
      <c r="D108" s="194">
        <f>'Weather Data'!C204</f>
        <v>0</v>
      </c>
      <c r="E108" s="194">
        <v>31</v>
      </c>
      <c r="F108" s="194">
        <v>1</v>
      </c>
      <c r="G108" s="184">
        <f>'CDM Activity'!U40</f>
        <v>0</v>
      </c>
      <c r="H108" s="195">
        <v>351.91199999999998</v>
      </c>
      <c r="I108" s="184">
        <v>139.61037495974546</v>
      </c>
      <c r="J108" s="194">
        <v>502</v>
      </c>
      <c r="K108" s="194">
        <f t="shared" si="0"/>
        <v>23245145.129941363</v>
      </c>
      <c r="L108" s="194">
        <f t="shared" si="1"/>
        <v>-5456.2600586302578</v>
      </c>
      <c r="M108" s="285">
        <f t="shared" si="2"/>
        <v>2.3467178190827258E-4</v>
      </c>
      <c r="N108" s="24" t="s">
        <v>56</v>
      </c>
      <c r="O108" s="34">
        <v>-3.0544314457790578</v>
      </c>
      <c r="P108" s="34">
        <v>0.18700618932835394</v>
      </c>
      <c r="Q108" s="34">
        <v>-16.333317398473632</v>
      </c>
      <c r="R108" s="24">
        <v>1.6035807580651036E-31</v>
      </c>
      <c r="S108" s="34">
        <v>-3.4249244351653725</v>
      </c>
      <c r="T108" s="34">
        <v>-2.6839384563927431</v>
      </c>
    </row>
    <row r="109" spans="1:20" ht="13.5" thickBot="1">
      <c r="A109" s="191">
        <v>39387</v>
      </c>
      <c r="B109" s="284">
        <v>25216488.030000024</v>
      </c>
      <c r="C109" s="194">
        <f>'Weather Data'!B205</f>
        <v>620.29999999999995</v>
      </c>
      <c r="D109" s="194">
        <f>'Weather Data'!C205</f>
        <v>0</v>
      </c>
      <c r="E109" s="194">
        <v>30</v>
      </c>
      <c r="F109" s="194">
        <v>1</v>
      </c>
      <c r="G109" s="184">
        <f>'CDM Activity'!U41</f>
        <v>0</v>
      </c>
      <c r="H109" s="195">
        <v>352.08</v>
      </c>
      <c r="I109" s="184">
        <v>139.84095284458306</v>
      </c>
      <c r="J109" s="194">
        <v>500</v>
      </c>
      <c r="K109" s="194">
        <f t="shared" si="0"/>
        <v>25452079.473762825</v>
      </c>
      <c r="L109" s="194">
        <f t="shared" si="1"/>
        <v>235591.44376280159</v>
      </c>
      <c r="M109" s="285">
        <f t="shared" si="2"/>
        <v>9.3427539744043164E-3</v>
      </c>
      <c r="N109" s="31" t="s">
        <v>58</v>
      </c>
      <c r="O109" s="35">
        <v>8161.0541037207213</v>
      </c>
      <c r="P109" s="35">
        <v>3015.6865955156709</v>
      </c>
      <c r="Q109" s="35">
        <v>2.7062010077095602</v>
      </c>
      <c r="R109" s="31">
        <v>7.8612165435617033E-3</v>
      </c>
      <c r="S109" s="35">
        <v>2186.4350505350058</v>
      </c>
      <c r="T109" s="35">
        <v>14135.673156906436</v>
      </c>
    </row>
    <row r="110" spans="1:20">
      <c r="A110" s="191">
        <v>39417</v>
      </c>
      <c r="B110" s="284">
        <v>28290655.52999999</v>
      </c>
      <c r="C110" s="194">
        <f>'Weather Data'!B206</f>
        <v>925.8</v>
      </c>
      <c r="D110" s="194">
        <f>'Weather Data'!C206</f>
        <v>0</v>
      </c>
      <c r="E110" s="194">
        <v>31</v>
      </c>
      <c r="F110" s="194">
        <v>0</v>
      </c>
      <c r="G110" s="184">
        <f>'CDM Activity'!U42</f>
        <v>0</v>
      </c>
      <c r="H110" s="195">
        <v>304.29599999999999</v>
      </c>
      <c r="I110" s="184">
        <v>140.07191154754381</v>
      </c>
      <c r="J110" s="194">
        <v>505</v>
      </c>
      <c r="K110" s="194">
        <f t="shared" si="0"/>
        <v>28886588.799599089</v>
      </c>
      <c r="L110" s="194">
        <f t="shared" si="1"/>
        <v>595933.26959909871</v>
      </c>
      <c r="M110" s="285">
        <f t="shared" si="2"/>
        <v>2.1064668118671158E-2</v>
      </c>
    </row>
    <row r="111" spans="1:20">
      <c r="A111" s="191">
        <v>39448</v>
      </c>
      <c r="B111" s="284">
        <v>29938301.859999973</v>
      </c>
      <c r="C111" s="194">
        <f>'Weather Data'!B207</f>
        <v>934.70000000000016</v>
      </c>
      <c r="D111" s="194">
        <f>'Weather Data'!C207</f>
        <v>0</v>
      </c>
      <c r="E111" s="194">
        <v>31</v>
      </c>
      <c r="F111" s="194">
        <v>0</v>
      </c>
      <c r="G111" s="184">
        <f>'CDM Activity'!U43</f>
        <v>1664.0584928561793</v>
      </c>
      <c r="H111" s="187">
        <v>352</v>
      </c>
      <c r="I111" s="184">
        <v>139.96642175819056</v>
      </c>
      <c r="J111" s="37">
        <v>506</v>
      </c>
      <c r="K111" s="194">
        <f t="shared" si="0"/>
        <v>29347987.603765246</v>
      </c>
      <c r="L111" s="194">
        <f t="shared" si="1"/>
        <v>-590314.2562347278</v>
      </c>
      <c r="M111" s="37">
        <f t="shared" si="2"/>
        <v>1.9717693374701258E-2</v>
      </c>
    </row>
    <row r="112" spans="1:20">
      <c r="A112" s="191">
        <v>39479</v>
      </c>
      <c r="B112" s="284">
        <v>28649711.050000001</v>
      </c>
      <c r="C112" s="194">
        <f>'Weather Data'!B208</f>
        <v>921.50000000000011</v>
      </c>
      <c r="D112" s="194">
        <f>'Weather Data'!C208</f>
        <v>0</v>
      </c>
      <c r="E112" s="194">
        <v>29</v>
      </c>
      <c r="F112" s="194">
        <v>0</v>
      </c>
      <c r="G112" s="184">
        <f>'CDM Activity'!U44</f>
        <v>3328.1169857123587</v>
      </c>
      <c r="H112" s="187">
        <v>320</v>
      </c>
      <c r="I112" s="184">
        <v>139.86101141442734</v>
      </c>
      <c r="J112" s="37">
        <v>508</v>
      </c>
      <c r="K112" s="194">
        <f t="shared" si="0"/>
        <v>28007977.550552886</v>
      </c>
      <c r="L112" s="194">
        <f t="shared" si="1"/>
        <v>-641733.49944711477</v>
      </c>
      <c r="M112" s="37">
        <f t="shared" si="2"/>
        <v>2.2399300932813938E-2</v>
      </c>
    </row>
    <row r="113" spans="1:13">
      <c r="A113" s="191">
        <v>39508</v>
      </c>
      <c r="B113" s="284">
        <v>27818185.449999981</v>
      </c>
      <c r="C113" s="194">
        <f>'Weather Data'!B209</f>
        <v>791.9</v>
      </c>
      <c r="D113" s="194">
        <f>'Weather Data'!C209</f>
        <v>0</v>
      </c>
      <c r="E113" s="194">
        <v>31</v>
      </c>
      <c r="F113" s="194">
        <v>1</v>
      </c>
      <c r="G113" s="184">
        <f>'CDM Activity'!U45</f>
        <v>4992.175478568538</v>
      </c>
      <c r="H113" s="187">
        <v>304</v>
      </c>
      <c r="I113" s="184">
        <v>139.75568045642274</v>
      </c>
      <c r="J113" s="37">
        <v>507</v>
      </c>
      <c r="K113" s="194">
        <f t="shared" si="0"/>
        <v>27011951.850290645</v>
      </c>
      <c r="L113" s="194">
        <f t="shared" si="1"/>
        <v>-806233.59970933571</v>
      </c>
      <c r="M113" s="37">
        <f t="shared" si="2"/>
        <v>2.8982249800528822E-2</v>
      </c>
    </row>
    <row r="114" spans="1:13">
      <c r="A114" s="191">
        <v>39539</v>
      </c>
      <c r="B114" s="284">
        <v>23652657.520000007</v>
      </c>
      <c r="C114" s="194">
        <f>'Weather Data'!B210</f>
        <v>456.89999999999986</v>
      </c>
      <c r="D114" s="194">
        <f>'Weather Data'!C210</f>
        <v>0</v>
      </c>
      <c r="E114" s="194">
        <v>30</v>
      </c>
      <c r="F114" s="194">
        <v>1</v>
      </c>
      <c r="G114" s="184">
        <f>'CDM Activity'!U46</f>
        <v>6656.2339714247173</v>
      </c>
      <c r="H114" s="187">
        <v>352</v>
      </c>
      <c r="I114" s="184">
        <v>139.65042882439042</v>
      </c>
      <c r="J114" s="37">
        <v>511</v>
      </c>
      <c r="K114" s="194">
        <f t="shared" si="0"/>
        <v>24014350.901041143</v>
      </c>
      <c r="L114" s="194">
        <f t="shared" si="1"/>
        <v>361693.38104113564</v>
      </c>
      <c r="M114" s="37">
        <f t="shared" si="2"/>
        <v>1.5291870722573061E-2</v>
      </c>
    </row>
    <row r="115" spans="1:13">
      <c r="A115" s="191">
        <v>39569</v>
      </c>
      <c r="B115" s="284">
        <v>22308792.069999997</v>
      </c>
      <c r="C115" s="194">
        <f>'Weather Data'!B211</f>
        <v>327.7</v>
      </c>
      <c r="D115" s="194">
        <f>'Weather Data'!C211</f>
        <v>0</v>
      </c>
      <c r="E115" s="194">
        <v>31</v>
      </c>
      <c r="F115" s="194">
        <v>1</v>
      </c>
      <c r="G115" s="184">
        <f>'CDM Activity'!U47</f>
        <v>8320.2924642808975</v>
      </c>
      <c r="H115" s="187">
        <v>336</v>
      </c>
      <c r="I115" s="184">
        <v>139.54525645858905</v>
      </c>
      <c r="J115" s="37">
        <v>506</v>
      </c>
      <c r="K115" s="194">
        <f t="shared" si="0"/>
        <v>23238136.652036466</v>
      </c>
      <c r="L115" s="194">
        <f t="shared" si="1"/>
        <v>929344.58203646913</v>
      </c>
      <c r="M115" s="37">
        <f t="shared" si="2"/>
        <v>4.1658220629803434E-2</v>
      </c>
    </row>
    <row r="116" spans="1:13">
      <c r="A116" s="191">
        <v>39600</v>
      </c>
      <c r="B116" s="284">
        <v>21249644.889999986</v>
      </c>
      <c r="C116" s="194">
        <f>'Weather Data'!B212</f>
        <v>109.89999999999998</v>
      </c>
      <c r="D116" s="194">
        <f>'Weather Data'!C212</f>
        <v>4.5999999999999996</v>
      </c>
      <c r="E116" s="194">
        <v>30</v>
      </c>
      <c r="F116" s="194">
        <v>0</v>
      </c>
      <c r="G116" s="184">
        <f>'CDM Activity'!U48</f>
        <v>9984.3509571370778</v>
      </c>
      <c r="H116" s="187">
        <v>336</v>
      </c>
      <c r="I116" s="184">
        <v>139.44016329932234</v>
      </c>
      <c r="J116" s="37">
        <v>503</v>
      </c>
      <c r="K116" s="194">
        <f t="shared" si="0"/>
        <v>21761916.969404228</v>
      </c>
      <c r="L116" s="194">
        <f t="shared" si="1"/>
        <v>512272.07940424234</v>
      </c>
      <c r="M116" s="37">
        <f t="shared" si="2"/>
        <v>2.4107324242642565E-2</v>
      </c>
    </row>
    <row r="117" spans="1:13">
      <c r="A117" s="191">
        <v>39630</v>
      </c>
      <c r="B117" s="284">
        <v>22972303.899999972</v>
      </c>
      <c r="C117" s="194">
        <f>'Weather Data'!B213</f>
        <v>34.700000000000003</v>
      </c>
      <c r="D117" s="194">
        <f>'Weather Data'!C213</f>
        <v>22.1</v>
      </c>
      <c r="E117" s="194">
        <v>31</v>
      </c>
      <c r="F117" s="194">
        <v>0</v>
      </c>
      <c r="G117" s="184">
        <f>'CDM Activity'!U49</f>
        <v>11648.409449993258</v>
      </c>
      <c r="H117" s="187">
        <v>352</v>
      </c>
      <c r="I117" s="184">
        <v>139.3351492869389</v>
      </c>
      <c r="J117" s="37">
        <v>504</v>
      </c>
      <c r="K117" s="194">
        <f t="shared" si="0"/>
        <v>22479483.819596041</v>
      </c>
      <c r="L117" s="194">
        <f t="shared" si="1"/>
        <v>-492820.08040393144</v>
      </c>
      <c r="M117" s="37">
        <f t="shared" si="2"/>
        <v>2.1452793004533257E-2</v>
      </c>
    </row>
    <row r="118" spans="1:13">
      <c r="A118" s="191">
        <v>39661</v>
      </c>
      <c r="B118" s="284">
        <v>22825574.800000034</v>
      </c>
      <c r="C118" s="194">
        <f>'Weather Data'!B214</f>
        <v>50.400000000000006</v>
      </c>
      <c r="D118" s="194">
        <f>'Weather Data'!C214</f>
        <v>22.200000000000003</v>
      </c>
      <c r="E118" s="194">
        <v>31</v>
      </c>
      <c r="F118" s="194">
        <v>0</v>
      </c>
      <c r="G118" s="184">
        <f>'CDM Activity'!U50</f>
        <v>13312.467942849438</v>
      </c>
      <c r="H118" s="187">
        <v>320</v>
      </c>
      <c r="I118" s="184">
        <v>139.23021436183228</v>
      </c>
      <c r="J118" s="37">
        <v>504</v>
      </c>
      <c r="K118" s="194">
        <f t="shared" si="0"/>
        <v>22353740.88708635</v>
      </c>
      <c r="L118" s="194">
        <f t="shared" si="1"/>
        <v>-471833.9129136838</v>
      </c>
      <c r="M118" s="37">
        <f t="shared" si="2"/>
        <v>2.0671282850396527E-2</v>
      </c>
    </row>
    <row r="119" spans="1:13">
      <c r="A119" s="191">
        <v>39692</v>
      </c>
      <c r="B119" s="284">
        <v>21467207.539999992</v>
      </c>
      <c r="C119" s="194">
        <f>'Weather Data'!B215</f>
        <v>193.29999999999998</v>
      </c>
      <c r="D119" s="194">
        <f>'Weather Data'!C215</f>
        <v>7</v>
      </c>
      <c r="E119" s="194">
        <v>30</v>
      </c>
      <c r="F119" s="194">
        <v>1</v>
      </c>
      <c r="G119" s="184">
        <f>'CDM Activity'!U51</f>
        <v>14976.526435705618</v>
      </c>
      <c r="H119" s="187">
        <v>336</v>
      </c>
      <c r="I119" s="184">
        <v>139.12535846444095</v>
      </c>
      <c r="J119" s="37">
        <v>504</v>
      </c>
      <c r="K119" s="194">
        <f t="shared" si="0"/>
        <v>21878610.83907032</v>
      </c>
      <c r="L119" s="194">
        <f t="shared" si="1"/>
        <v>411403.29907032847</v>
      </c>
      <c r="M119" s="37">
        <f t="shared" si="2"/>
        <v>1.9164267094532811E-2</v>
      </c>
    </row>
    <row r="120" spans="1:13">
      <c r="A120" s="191">
        <v>39722</v>
      </c>
      <c r="B120" s="284">
        <v>22467926.269999996</v>
      </c>
      <c r="C120" s="194">
        <f>'Weather Data'!B216</f>
        <v>373.09999999999997</v>
      </c>
      <c r="D120" s="194">
        <f>'Weather Data'!C216</f>
        <v>0</v>
      </c>
      <c r="E120" s="194">
        <v>31</v>
      </c>
      <c r="F120" s="194">
        <v>1</v>
      </c>
      <c r="G120" s="184">
        <f>'CDM Activity'!U52</f>
        <v>16640.584928561799</v>
      </c>
      <c r="H120" s="187">
        <v>352</v>
      </c>
      <c r="I120" s="184">
        <v>139.02058153524823</v>
      </c>
      <c r="J120" s="37">
        <v>510</v>
      </c>
      <c r="K120" s="194">
        <f t="shared" si="0"/>
        <v>23736936.280967031</v>
      </c>
      <c r="L120" s="194">
        <f t="shared" si="1"/>
        <v>1269010.0109670348</v>
      </c>
      <c r="M120" s="37">
        <f t="shared" si="2"/>
        <v>5.6480958487987558E-2</v>
      </c>
    </row>
    <row r="121" spans="1:13">
      <c r="A121" s="191">
        <v>39753</v>
      </c>
      <c r="B121" s="284">
        <v>24892281.799999986</v>
      </c>
      <c r="C121" s="194">
        <f>'Weather Data'!B217</f>
        <v>591.00000000000011</v>
      </c>
      <c r="D121" s="194">
        <f>'Weather Data'!C217</f>
        <v>0</v>
      </c>
      <c r="E121" s="194">
        <v>30</v>
      </c>
      <c r="F121" s="194">
        <v>1</v>
      </c>
      <c r="G121" s="184">
        <f>'CDM Activity'!U53</f>
        <v>18304.643421417979</v>
      </c>
      <c r="H121" s="187">
        <v>304</v>
      </c>
      <c r="I121" s="184">
        <v>138.91588351478222</v>
      </c>
      <c r="J121" s="37">
        <v>517</v>
      </c>
      <c r="K121" s="194">
        <f t="shared" si="0"/>
        <v>24749742.757641904</v>
      </c>
      <c r="L121" s="194">
        <f t="shared" si="1"/>
        <v>-142539.04235808179</v>
      </c>
      <c r="M121" s="37">
        <f t="shared" si="2"/>
        <v>5.7262344811668435E-3</v>
      </c>
    </row>
    <row r="122" spans="1:13">
      <c r="A122" s="191">
        <v>39783</v>
      </c>
      <c r="B122" s="284">
        <v>29306389.769999992</v>
      </c>
      <c r="C122" s="194">
        <f>'Weather Data'!B218</f>
        <v>1033.7999999999997</v>
      </c>
      <c r="D122" s="194">
        <f>'Weather Data'!C218</f>
        <v>0</v>
      </c>
      <c r="E122" s="194">
        <v>31</v>
      </c>
      <c r="F122" s="194">
        <v>0</v>
      </c>
      <c r="G122" s="184">
        <f>'CDM Activity'!U54</f>
        <v>19968.701914274159</v>
      </c>
      <c r="H122" s="187">
        <v>336</v>
      </c>
      <c r="I122" s="184">
        <v>138.8112643436159</v>
      </c>
      <c r="J122" s="37">
        <v>507</v>
      </c>
      <c r="K122" s="194">
        <f t="shared" si="0"/>
        <v>30020737.899010241</v>
      </c>
      <c r="L122" s="194">
        <f t="shared" si="1"/>
        <v>714348.12901024893</v>
      </c>
      <c r="M122" s="188">
        <f t="shared" si="2"/>
        <v>2.437516646084821E-2</v>
      </c>
    </row>
    <row r="123" spans="1:13">
      <c r="A123" s="191">
        <v>39814</v>
      </c>
      <c r="B123" s="284">
        <v>30390902.34999999</v>
      </c>
      <c r="C123" s="194">
        <f>'Weather Data'!B219</f>
        <v>1093.3999999999996</v>
      </c>
      <c r="D123" s="194">
        <f>'Weather Data'!C219</f>
        <v>0</v>
      </c>
      <c r="E123" s="194">
        <v>31</v>
      </c>
      <c r="F123" s="194">
        <v>0</v>
      </c>
      <c r="G123" s="184">
        <f>'CDM Activity'!U55</f>
        <v>32350.641219676876</v>
      </c>
      <c r="H123" s="187">
        <v>336</v>
      </c>
      <c r="I123" s="184">
        <v>138.43555825854429</v>
      </c>
      <c r="J123" s="37">
        <v>507</v>
      </c>
      <c r="K123" s="194">
        <f t="shared" si="0"/>
        <v>30499674.434990194</v>
      </c>
      <c r="L123" s="194">
        <f t="shared" si="1"/>
        <v>108772.08499020338</v>
      </c>
      <c r="M123" s="37">
        <f t="shared" si="2"/>
        <v>3.5791002102378649E-3</v>
      </c>
    </row>
    <row r="124" spans="1:13">
      <c r="A124" s="191">
        <v>39845</v>
      </c>
      <c r="B124" s="284">
        <v>26265717.409999982</v>
      </c>
      <c r="C124" s="194">
        <f>'Weather Data'!B220</f>
        <v>838.90000000000009</v>
      </c>
      <c r="D124" s="194">
        <f>'Weather Data'!C220</f>
        <v>0</v>
      </c>
      <c r="E124" s="194">
        <v>28</v>
      </c>
      <c r="F124" s="194">
        <v>0</v>
      </c>
      <c r="G124" s="184">
        <f>'CDM Activity'!U56</f>
        <v>44732.580525079597</v>
      </c>
      <c r="H124" s="187">
        <v>304</v>
      </c>
      <c r="I124" s="184">
        <v>138.06086905825526</v>
      </c>
      <c r="J124" s="37">
        <v>509</v>
      </c>
      <c r="K124" s="194">
        <f t="shared" si="0"/>
        <v>26555095.791768409</v>
      </c>
      <c r="L124" s="194">
        <f t="shared" si="1"/>
        <v>289378.38176842779</v>
      </c>
      <c r="M124" s="37">
        <f t="shared" si="2"/>
        <v>1.1017341626399078E-2</v>
      </c>
    </row>
    <row r="125" spans="1:13">
      <c r="A125" s="191">
        <v>39873</v>
      </c>
      <c r="B125" s="284">
        <v>27254363.600000005</v>
      </c>
      <c r="C125" s="194">
        <f>'Weather Data'!B221</f>
        <v>762.3</v>
      </c>
      <c r="D125" s="194">
        <f>'Weather Data'!C221</f>
        <v>0</v>
      </c>
      <c r="E125" s="194">
        <v>31</v>
      </c>
      <c r="F125" s="194">
        <v>1</v>
      </c>
      <c r="G125" s="184">
        <f>'CDM Activity'!U57</f>
        <v>57114.519830482313</v>
      </c>
      <c r="H125" s="187">
        <v>352</v>
      </c>
      <c r="I125" s="184">
        <v>137.68719399045199</v>
      </c>
      <c r="J125" s="37">
        <v>505</v>
      </c>
      <c r="K125" s="194">
        <f t="shared" si="0"/>
        <v>26987834.240889244</v>
      </c>
      <c r="L125" s="194">
        <f t="shared" si="1"/>
        <v>-266529.35911076143</v>
      </c>
      <c r="M125" s="37">
        <f t="shared" si="2"/>
        <v>9.7793279279051442E-3</v>
      </c>
    </row>
    <row r="126" spans="1:13">
      <c r="A126" s="191">
        <v>39904</v>
      </c>
      <c r="B126" s="284">
        <v>23432984.210000034</v>
      </c>
      <c r="C126" s="194">
        <f>'Weather Data'!B222</f>
        <v>453.2</v>
      </c>
      <c r="D126" s="194">
        <f>'Weather Data'!C222</f>
        <v>0</v>
      </c>
      <c r="E126" s="194">
        <v>30</v>
      </c>
      <c r="F126" s="194">
        <v>1</v>
      </c>
      <c r="G126" s="184">
        <f>'CDM Activity'!U58</f>
        <v>69496.45913588503</v>
      </c>
      <c r="H126" s="187">
        <v>320</v>
      </c>
      <c r="I126" s="184">
        <v>137.31453031028698</v>
      </c>
      <c r="J126" s="37">
        <v>509</v>
      </c>
      <c r="K126" s="194">
        <f t="shared" si="0"/>
        <v>23529175.500074442</v>
      </c>
      <c r="L126" s="194">
        <f t="shared" si="1"/>
        <v>96191.290074408054</v>
      </c>
      <c r="M126" s="287">
        <f t="shared" si="2"/>
        <v>4.1049526262796005E-3</v>
      </c>
    </row>
    <row r="127" spans="1:13">
      <c r="A127" s="191">
        <v>39934</v>
      </c>
      <c r="B127" s="284">
        <v>22194838.930000022</v>
      </c>
      <c r="C127" s="194">
        <f>'Weather Data'!B223</f>
        <v>319.8</v>
      </c>
      <c r="D127" s="194">
        <f>'Weather Data'!C223</f>
        <v>0</v>
      </c>
      <c r="E127" s="194">
        <v>31</v>
      </c>
      <c r="F127" s="194">
        <v>1</v>
      </c>
      <c r="G127" s="184">
        <f>'CDM Activity'!U59</f>
        <v>81878.398441287747</v>
      </c>
      <c r="H127" s="187">
        <v>320</v>
      </c>
      <c r="I127" s="184">
        <v>136.94287528034204</v>
      </c>
      <c r="J127" s="37">
        <v>511</v>
      </c>
      <c r="K127" s="194">
        <f t="shared" si="0"/>
        <v>22814385.370664697</v>
      </c>
      <c r="L127" s="194">
        <f t="shared" si="1"/>
        <v>619546.44066467509</v>
      </c>
      <c r="M127" s="37">
        <f t="shared" si="2"/>
        <v>2.7913986788489591E-2</v>
      </c>
    </row>
    <row r="128" spans="1:13">
      <c r="A128" s="191">
        <v>39965</v>
      </c>
      <c r="B128" s="284">
        <v>21369186.910000023</v>
      </c>
      <c r="C128" s="194">
        <f>'Weather Data'!B224</f>
        <v>141.80000000000001</v>
      </c>
      <c r="D128" s="194">
        <f>'Weather Data'!C224</f>
        <v>13.7</v>
      </c>
      <c r="E128" s="194">
        <v>30</v>
      </c>
      <c r="F128" s="194">
        <v>0</v>
      </c>
      <c r="G128" s="184">
        <f>'CDM Activity'!U60</f>
        <v>94260.337746690464</v>
      </c>
      <c r="H128" s="187">
        <v>352</v>
      </c>
      <c r="I128" s="184">
        <v>136.57222617060793</v>
      </c>
      <c r="J128" s="37">
        <v>512</v>
      </c>
      <c r="K128" s="194">
        <f t="shared" si="0"/>
        <v>22309165.800999384</v>
      </c>
      <c r="L128" s="194">
        <f t="shared" si="1"/>
        <v>939978.89099936187</v>
      </c>
      <c r="M128" s="37">
        <f t="shared" si="2"/>
        <v>4.3987583381541066E-2</v>
      </c>
    </row>
    <row r="129" spans="1:13">
      <c r="A129" s="191">
        <v>39995</v>
      </c>
      <c r="B129" s="284">
        <v>21789412.370000005</v>
      </c>
      <c r="C129" s="194">
        <f>'Weather Data'!B225</f>
        <v>74.5</v>
      </c>
      <c r="D129" s="194">
        <f>'Weather Data'!C225</f>
        <v>2</v>
      </c>
      <c r="E129" s="194">
        <v>31</v>
      </c>
      <c r="F129" s="194">
        <v>0</v>
      </c>
      <c r="G129" s="184">
        <f>'CDM Activity'!U61</f>
        <v>106642.27705209318</v>
      </c>
      <c r="H129" s="187">
        <v>352</v>
      </c>
      <c r="I129" s="184">
        <v>136.20258025846454</v>
      </c>
      <c r="J129" s="37">
        <v>517</v>
      </c>
      <c r="K129" s="194">
        <f t="shared" si="0"/>
        <v>21656416.708326407</v>
      </c>
      <c r="L129" s="194">
        <f t="shared" si="1"/>
        <v>-132995.66167359799</v>
      </c>
      <c r="M129" s="37">
        <f t="shared" si="2"/>
        <v>6.1036828077432898E-3</v>
      </c>
    </row>
    <row r="130" spans="1:13">
      <c r="A130" s="191">
        <v>40026</v>
      </c>
      <c r="B130" s="284">
        <v>21831315.479999978</v>
      </c>
      <c r="C130" s="194">
        <f>'Weather Data'!B226</f>
        <v>84.2</v>
      </c>
      <c r="D130" s="194">
        <f>'Weather Data'!C226</f>
        <v>14.2</v>
      </c>
      <c r="E130" s="194">
        <v>31</v>
      </c>
      <c r="F130" s="194">
        <v>0</v>
      </c>
      <c r="G130" s="184">
        <f>'CDM Activity'!U62</f>
        <v>119024.2163574959</v>
      </c>
      <c r="H130" s="187">
        <v>320</v>
      </c>
      <c r="I130" s="184">
        <v>135.83393482866074</v>
      </c>
      <c r="J130" s="37">
        <v>509</v>
      </c>
      <c r="K130" s="194">
        <f t="shared" si="0"/>
        <v>21974459.810705144</v>
      </c>
      <c r="L130" s="194">
        <f t="shared" si="1"/>
        <v>143144.33070516586</v>
      </c>
      <c r="M130" s="37">
        <f t="shared" si="2"/>
        <v>6.5568348749438718E-3</v>
      </c>
    </row>
    <row r="131" spans="1:13">
      <c r="A131" s="191">
        <v>40057</v>
      </c>
      <c r="B131" s="284">
        <v>21746633.179999996</v>
      </c>
      <c r="C131" s="194">
        <f>'Weather Data'!B227</f>
        <v>102.8</v>
      </c>
      <c r="D131" s="194">
        <f>'Weather Data'!C227</f>
        <v>3.5</v>
      </c>
      <c r="E131" s="194">
        <v>30</v>
      </c>
      <c r="F131" s="194">
        <v>1</v>
      </c>
      <c r="G131" s="184">
        <f>'CDM Activity'!U63</f>
        <v>131406.15566289861</v>
      </c>
      <c r="H131" s="187">
        <v>336</v>
      </c>
      <c r="I131" s="184">
        <v>135.46628717329455</v>
      </c>
      <c r="J131" s="37">
        <v>500</v>
      </c>
      <c r="K131" s="194">
        <f t="shared" si="0"/>
        <v>20585427.521875288</v>
      </c>
      <c r="L131" s="194">
        <f t="shared" si="1"/>
        <v>-1161205.6581247076</v>
      </c>
      <c r="M131" s="37">
        <f t="shared" si="2"/>
        <v>5.3397031554872985E-2</v>
      </c>
    </row>
    <row r="132" spans="1:13">
      <c r="A132" s="191">
        <v>40087</v>
      </c>
      <c r="B132" s="284">
        <v>22881653.959999997</v>
      </c>
      <c r="C132" s="194">
        <f>'Weather Data'!B228</f>
        <v>451.40000000000003</v>
      </c>
      <c r="D132" s="194">
        <f>'Weather Data'!C228</f>
        <v>0</v>
      </c>
      <c r="E132" s="194">
        <v>31</v>
      </c>
      <c r="F132" s="194">
        <v>1</v>
      </c>
      <c r="G132" s="184">
        <f>'CDM Activity'!U64</f>
        <v>143788.09496830133</v>
      </c>
      <c r="H132" s="187">
        <v>336</v>
      </c>
      <c r="I132" s="184">
        <v>135.09963459179312</v>
      </c>
      <c r="J132" s="37">
        <v>498</v>
      </c>
      <c r="K132" s="194">
        <f t="shared" si="0"/>
        <v>23896889.013984341</v>
      </c>
      <c r="L132" s="194">
        <f t="shared" si="1"/>
        <v>1015235.053984344</v>
      </c>
      <c r="M132" s="37">
        <f t="shared" si="2"/>
        <v>4.4368954086933678E-2</v>
      </c>
    </row>
    <row r="133" spans="1:13">
      <c r="A133" s="191">
        <v>40118</v>
      </c>
      <c r="B133" s="284">
        <v>23647813.830000006</v>
      </c>
      <c r="C133" s="194">
        <f>'Weather Data'!B229</f>
        <v>473.49999999999994</v>
      </c>
      <c r="D133" s="194">
        <f>'Weather Data'!C229</f>
        <v>0</v>
      </c>
      <c r="E133" s="194">
        <v>30</v>
      </c>
      <c r="F133" s="194">
        <v>1</v>
      </c>
      <c r="G133" s="184">
        <f>'CDM Activity'!U65</f>
        <v>156170.03427370405</v>
      </c>
      <c r="H133" s="187">
        <v>320</v>
      </c>
      <c r="I133" s="184">
        <v>134.733974390893</v>
      </c>
      <c r="J133" s="37">
        <v>496</v>
      </c>
      <c r="K133" s="194">
        <f t="shared" si="0"/>
        <v>23440446.290402178</v>
      </c>
      <c r="L133" s="194">
        <f t="shared" si="1"/>
        <v>-207367.53959782794</v>
      </c>
      <c r="M133" s="37">
        <f t="shared" si="2"/>
        <v>8.7689940849736414E-3</v>
      </c>
    </row>
    <row r="134" spans="1:13">
      <c r="A134" s="191">
        <v>40148</v>
      </c>
      <c r="B134" s="284">
        <v>27999304.569999997</v>
      </c>
      <c r="C134" s="194">
        <f>'Weather Data'!B230</f>
        <v>914.89999999999986</v>
      </c>
      <c r="D134" s="194">
        <f>'Weather Data'!C230</f>
        <v>0</v>
      </c>
      <c r="E134" s="194">
        <v>31</v>
      </c>
      <c r="F134" s="194">
        <v>0</v>
      </c>
      <c r="G134" s="184">
        <f>'CDM Activity'!U66</f>
        <v>168551.97357910677</v>
      </c>
      <c r="H134" s="187">
        <v>352</v>
      </c>
      <c r="I134" s="184">
        <v>134.36930388462019</v>
      </c>
      <c r="J134" s="37">
        <v>500</v>
      </c>
      <c r="K134" s="194">
        <f t="shared" si="0"/>
        <v>28666565.828291681</v>
      </c>
      <c r="L134" s="194">
        <f t="shared" si="1"/>
        <v>667261.25829168409</v>
      </c>
      <c r="M134" s="37">
        <f t="shared" si="2"/>
        <v>2.3831351118864027E-2</v>
      </c>
    </row>
    <row r="135" spans="1:13">
      <c r="A135" s="191">
        <v>40179</v>
      </c>
      <c r="B135" s="284">
        <v>28838475.690000013</v>
      </c>
      <c r="C135" s="194">
        <f>'Weather Data'!B231</f>
        <v>900.20000000000027</v>
      </c>
      <c r="D135" s="194">
        <f>'Weather Data'!C231</f>
        <v>0</v>
      </c>
      <c r="E135" s="194">
        <v>31</v>
      </c>
      <c r="F135" s="194">
        <v>0</v>
      </c>
      <c r="G135" s="184">
        <f>'CDM Activity'!U67</f>
        <v>171366.41509777043</v>
      </c>
      <c r="H135" s="187">
        <v>320</v>
      </c>
      <c r="I135" s="184">
        <v>134.73334561620703</v>
      </c>
      <c r="J135" s="194">
        <v>500</v>
      </c>
      <c r="K135" s="194">
        <f t="shared" si="0"/>
        <v>28269360.579720456</v>
      </c>
      <c r="L135" s="194">
        <f t="shared" si="1"/>
        <v>-569115.11027955636</v>
      </c>
      <c r="M135" s="37">
        <f t="shared" si="2"/>
        <v>1.9734576695289822E-2</v>
      </c>
    </row>
    <row r="136" spans="1:13">
      <c r="A136" s="191">
        <v>40210</v>
      </c>
      <c r="B136" s="284">
        <v>25306729.540000018</v>
      </c>
      <c r="C136" s="194">
        <f>'Weather Data'!B232</f>
        <v>778.39999999999975</v>
      </c>
      <c r="D136" s="194">
        <f>'Weather Data'!C232</f>
        <v>0</v>
      </c>
      <c r="E136" s="194">
        <v>28</v>
      </c>
      <c r="F136" s="194">
        <v>0</v>
      </c>
      <c r="G136" s="184">
        <f>'CDM Activity'!U68</f>
        <v>174180.85661643409</v>
      </c>
      <c r="H136" s="187">
        <v>304</v>
      </c>
      <c r="I136" s="184">
        <v>135.09837363244745</v>
      </c>
      <c r="J136" s="194">
        <v>499</v>
      </c>
      <c r="K136" s="194">
        <f t="shared" si="0"/>
        <v>25635145.218659274</v>
      </c>
      <c r="L136" s="194">
        <f t="shared" si="1"/>
        <v>328415.67865925655</v>
      </c>
      <c r="M136" s="37">
        <f t="shared" si="2"/>
        <v>1.2977405007634831E-2</v>
      </c>
    </row>
    <row r="137" spans="1:13">
      <c r="A137" s="191">
        <v>40238</v>
      </c>
      <c r="B137" s="284">
        <v>24777899.930000026</v>
      </c>
      <c r="C137" s="194">
        <f>'Weather Data'!B233</f>
        <v>514.4</v>
      </c>
      <c r="D137" s="194">
        <f>'Weather Data'!C233</f>
        <v>0</v>
      </c>
      <c r="E137" s="194">
        <v>31</v>
      </c>
      <c r="F137" s="194">
        <v>1</v>
      </c>
      <c r="G137" s="184">
        <f>'CDM Activity'!U69</f>
        <v>176995.29813509775</v>
      </c>
      <c r="H137" s="187">
        <v>368</v>
      </c>
      <c r="I137" s="184">
        <v>135.46439060544563</v>
      </c>
      <c r="J137" s="194">
        <v>504</v>
      </c>
      <c r="K137" s="194">
        <f t="shared" si="0"/>
        <v>24602849.327904031</v>
      </c>
      <c r="L137" s="194">
        <f t="shared" si="1"/>
        <v>-175050.6020959951</v>
      </c>
      <c r="M137" s="37">
        <f t="shared" si="2"/>
        <v>7.0647876773467511E-3</v>
      </c>
    </row>
    <row r="138" spans="1:13">
      <c r="A138" s="191">
        <v>40269</v>
      </c>
      <c r="B138" s="284">
        <v>21809289.850000009</v>
      </c>
      <c r="C138" s="194">
        <f>'Weather Data'!B234</f>
        <v>358.00000000000011</v>
      </c>
      <c r="D138" s="194">
        <f>'Weather Data'!C234</f>
        <v>0</v>
      </c>
      <c r="E138" s="194">
        <v>30</v>
      </c>
      <c r="F138" s="194">
        <v>1</v>
      </c>
      <c r="G138" s="184">
        <f>'CDM Activity'!U70</f>
        <v>179809.73965376141</v>
      </c>
      <c r="H138" s="187">
        <v>320</v>
      </c>
      <c r="I138" s="184">
        <v>135.83139921454512</v>
      </c>
      <c r="J138" s="194">
        <v>502</v>
      </c>
      <c r="K138" s="194">
        <f t="shared" si="0"/>
        <v>22366808.299257655</v>
      </c>
      <c r="L138" s="194">
        <f t="shared" si="1"/>
        <v>557518.44925764576</v>
      </c>
      <c r="M138" s="37">
        <f t="shared" si="2"/>
        <v>2.5563347229192131E-2</v>
      </c>
    </row>
    <row r="139" spans="1:13">
      <c r="A139" s="191">
        <v>40299</v>
      </c>
      <c r="B139" s="284">
        <v>21546572.909999996</v>
      </c>
      <c r="C139" s="194">
        <f>'Weather Data'!B235</f>
        <v>212.40000000000003</v>
      </c>
      <c r="D139" s="194">
        <f>'Weather Data'!C235</f>
        <v>0.6</v>
      </c>
      <c r="E139" s="194">
        <v>31</v>
      </c>
      <c r="F139" s="194">
        <v>1</v>
      </c>
      <c r="G139" s="184">
        <f>'CDM Activity'!U71</f>
        <v>182624.18117242507</v>
      </c>
      <c r="H139" s="187">
        <v>320</v>
      </c>
      <c r="I139" s="184">
        <v>136.19940214634852</v>
      </c>
      <c r="J139" s="194">
        <v>504</v>
      </c>
      <c r="K139" s="194">
        <f t="shared" si="0"/>
        <v>21601671.326071572</v>
      </c>
      <c r="L139" s="194">
        <f t="shared" si="1"/>
        <v>55098.416071575135</v>
      </c>
      <c r="M139" s="37">
        <f t="shared" si="2"/>
        <v>2.5571777146055261E-3</v>
      </c>
    </row>
    <row r="140" spans="1:13">
      <c r="A140" s="191">
        <v>40330</v>
      </c>
      <c r="B140" s="284">
        <v>21152488.750000004</v>
      </c>
      <c r="C140" s="194">
        <f>'Weather Data'!B236</f>
        <v>106.30000000000003</v>
      </c>
      <c r="D140" s="194">
        <f>'Weather Data'!C236</f>
        <v>3.0000000000000004</v>
      </c>
      <c r="E140" s="194">
        <v>30</v>
      </c>
      <c r="F140" s="194">
        <v>0</v>
      </c>
      <c r="G140" s="184">
        <f>'CDM Activity'!U72</f>
        <v>185438.62269108873</v>
      </c>
      <c r="H140" s="187">
        <v>352</v>
      </c>
      <c r="I140" s="184">
        <v>136.56840209473719</v>
      </c>
      <c r="J140" s="194">
        <v>507</v>
      </c>
      <c r="K140" s="194">
        <f t="shared" si="0"/>
        <v>21255477.005048946</v>
      </c>
      <c r="L140" s="194">
        <f t="shared" si="1"/>
        <v>102988.25504894182</v>
      </c>
      <c r="M140" s="37">
        <f t="shared" si="2"/>
        <v>4.8688481183540074E-3</v>
      </c>
    </row>
    <row r="141" spans="1:13">
      <c r="A141" s="191">
        <v>40360</v>
      </c>
      <c r="B141" s="284">
        <v>23012031.620000001</v>
      </c>
      <c r="C141" s="194">
        <f>'Weather Data'!B237</f>
        <v>14.5</v>
      </c>
      <c r="D141" s="194">
        <f>'Weather Data'!C237</f>
        <v>52</v>
      </c>
      <c r="E141" s="194">
        <v>31</v>
      </c>
      <c r="F141" s="194">
        <v>0</v>
      </c>
      <c r="G141" s="184">
        <f>'CDM Activity'!U73</f>
        <v>188253.0642097524</v>
      </c>
      <c r="H141" s="187">
        <v>336</v>
      </c>
      <c r="I141" s="184">
        <v>136.93840176089088</v>
      </c>
      <c r="J141" s="194">
        <v>508</v>
      </c>
      <c r="K141" s="194">
        <f t="shared" si="0"/>
        <v>22940413.182062414</v>
      </c>
      <c r="L141" s="194">
        <f t="shared" si="1"/>
        <v>-71618.4379375875</v>
      </c>
      <c r="M141" s="37">
        <f t="shared" si="2"/>
        <v>3.112217083664319E-3</v>
      </c>
    </row>
    <row r="142" spans="1:13">
      <c r="A142" s="191">
        <v>40391</v>
      </c>
      <c r="B142" s="284">
        <v>22901514.910000049</v>
      </c>
      <c r="C142" s="194">
        <f>'Weather Data'!B238</f>
        <v>37.9</v>
      </c>
      <c r="D142" s="194">
        <f>'Weather Data'!C238</f>
        <v>55.8</v>
      </c>
      <c r="E142" s="194">
        <v>31</v>
      </c>
      <c r="F142" s="194">
        <v>0</v>
      </c>
      <c r="G142" s="184">
        <f>'CDM Activity'!U74</f>
        <v>191067.50572841606</v>
      </c>
      <c r="H142" s="187">
        <v>336</v>
      </c>
      <c r="I142" s="184">
        <v>137.30940385330757</v>
      </c>
      <c r="J142" s="194">
        <v>505</v>
      </c>
      <c r="K142" s="194">
        <f t="shared" si="0"/>
        <v>23300693.712864831</v>
      </c>
      <c r="L142" s="194">
        <f t="shared" si="1"/>
        <v>399178.80286478251</v>
      </c>
      <c r="M142" s="37">
        <f t="shared" si="2"/>
        <v>1.7430235704210088E-2</v>
      </c>
    </row>
    <row r="143" spans="1:13">
      <c r="A143" s="191">
        <v>40422</v>
      </c>
      <c r="B143" s="284">
        <v>21432268.879999973</v>
      </c>
      <c r="C143" s="194">
        <f>'Weather Data'!B239</f>
        <v>231.1</v>
      </c>
      <c r="D143" s="194">
        <f>'Weather Data'!C239</f>
        <v>0</v>
      </c>
      <c r="E143" s="194">
        <v>30</v>
      </c>
      <c r="F143" s="194">
        <v>1</v>
      </c>
      <c r="G143" s="184">
        <f>'CDM Activity'!U75</f>
        <v>193881.94724707972</v>
      </c>
      <c r="H143" s="187">
        <v>336</v>
      </c>
      <c r="I143" s="184">
        <v>137.68141108782325</v>
      </c>
      <c r="J143" s="194">
        <v>510</v>
      </c>
      <c r="K143" s="194">
        <f t="shared" si="0"/>
        <v>21354127.787913579</v>
      </c>
      <c r="L143" s="194">
        <f t="shared" si="1"/>
        <v>-78141.092086393386</v>
      </c>
      <c r="M143" s="37">
        <f t="shared" si="2"/>
        <v>3.6459551960601141E-3</v>
      </c>
    </row>
    <row r="144" spans="1:13">
      <c r="A144" s="191">
        <v>40452</v>
      </c>
      <c r="B144" s="284">
        <v>22472903.979999989</v>
      </c>
      <c r="C144" s="194">
        <f>'Weather Data'!B240</f>
        <v>355.49999999999989</v>
      </c>
      <c r="D144" s="194">
        <f>'Weather Data'!C240</f>
        <v>0</v>
      </c>
      <c r="E144" s="194">
        <v>31</v>
      </c>
      <c r="F144" s="194">
        <v>1</v>
      </c>
      <c r="G144" s="184">
        <f>'CDM Activity'!U76</f>
        <v>196696.38876574338</v>
      </c>
      <c r="H144" s="187">
        <v>320</v>
      </c>
      <c r="I144" s="184">
        <v>138.0544261876318</v>
      </c>
      <c r="J144" s="194">
        <v>510</v>
      </c>
      <c r="K144" s="194">
        <f t="shared" si="0"/>
        <v>22773215.258444998</v>
      </c>
      <c r="L144" s="194">
        <f t="shared" si="1"/>
        <v>300311.27844500914</v>
      </c>
      <c r="M144" s="37">
        <f t="shared" si="2"/>
        <v>1.3363260872394351E-2</v>
      </c>
    </row>
    <row r="145" spans="1:13">
      <c r="A145" s="191">
        <v>40483</v>
      </c>
      <c r="B145" s="284">
        <v>24030452.420000006</v>
      </c>
      <c r="C145" s="194">
        <f>'Weather Data'!B241</f>
        <v>549.40000000000009</v>
      </c>
      <c r="D145" s="194">
        <f>'Weather Data'!C241</f>
        <v>0</v>
      </c>
      <c r="E145" s="194">
        <v>30</v>
      </c>
      <c r="F145" s="194">
        <v>1</v>
      </c>
      <c r="G145" s="184">
        <f>'CDM Activity'!U77</f>
        <v>199510.83028440704</v>
      </c>
      <c r="H145" s="187">
        <v>336</v>
      </c>
      <c r="I145" s="184">
        <v>138.42845188330503</v>
      </c>
      <c r="J145" s="194">
        <v>515</v>
      </c>
      <c r="K145" s="194">
        <f t="shared" si="0"/>
        <v>24096725.638077028</v>
      </c>
      <c r="L145" s="194">
        <f t="shared" si="1"/>
        <v>66273.218077022582</v>
      </c>
      <c r="M145" s="37">
        <f t="shared" si="2"/>
        <v>2.7578847421892427E-3</v>
      </c>
    </row>
    <row r="146" spans="1:13">
      <c r="A146" s="191">
        <v>40513</v>
      </c>
      <c r="B146" s="284">
        <v>27767188.379999999</v>
      </c>
      <c r="C146" s="194">
        <f>'Weather Data'!B242</f>
        <v>879.0999999999998</v>
      </c>
      <c r="D146" s="194">
        <f>'Weather Data'!C242</f>
        <v>0</v>
      </c>
      <c r="E146" s="194">
        <v>31</v>
      </c>
      <c r="F146" s="194">
        <v>0</v>
      </c>
      <c r="G146" s="184">
        <f>'CDM Activity'!U78</f>
        <v>202325.2718030707</v>
      </c>
      <c r="H146" s="187">
        <v>368</v>
      </c>
      <c r="I146" s="184">
        <v>138.80349091281266</v>
      </c>
      <c r="J146" s="194">
        <v>516</v>
      </c>
      <c r="K146" s="194">
        <f t="shared" si="0"/>
        <v>28383583.861053154</v>
      </c>
      <c r="L146" s="194">
        <f t="shared" si="1"/>
        <v>616395.48105315492</v>
      </c>
      <c r="M146" s="37">
        <f t="shared" si="2"/>
        <v>2.2198699868983818E-2</v>
      </c>
    </row>
    <row r="147" spans="1:13">
      <c r="A147" s="183">
        <v>40544</v>
      </c>
      <c r="B147" s="284">
        <v>29631691.289999962</v>
      </c>
      <c r="C147" s="194">
        <f>'Weather Data'!B243</f>
        <v>1077.9000000000003</v>
      </c>
      <c r="D147" s="194">
        <f>'Weather Data'!C243</f>
        <v>0</v>
      </c>
      <c r="E147" s="287">
        <v>31</v>
      </c>
      <c r="F147" s="194">
        <v>0</v>
      </c>
      <c r="G147" s="184">
        <f>'CDM Activity'!U79</f>
        <v>199077.61010289792</v>
      </c>
      <c r="H147" s="187">
        <v>336</v>
      </c>
      <c r="I147" s="184">
        <v>139.10070640604135</v>
      </c>
      <c r="J147" s="194">
        <v>499</v>
      </c>
      <c r="K147" s="194">
        <f t="shared" si="0"/>
        <v>29856027.013345525</v>
      </c>
      <c r="L147" s="194">
        <f t="shared" si="1"/>
        <v>224335.72334556282</v>
      </c>
      <c r="M147" s="37">
        <f t="shared" si="2"/>
        <v>7.570803878524178E-3</v>
      </c>
    </row>
    <row r="148" spans="1:13">
      <c r="A148" s="183">
        <v>40575</v>
      </c>
      <c r="B148" s="284">
        <v>26046838.789999999</v>
      </c>
      <c r="C148" s="194">
        <f>'Weather Data'!B244</f>
        <v>826.9</v>
      </c>
      <c r="D148" s="194">
        <f>'Weather Data'!C244</f>
        <v>0</v>
      </c>
      <c r="E148" s="287">
        <v>28</v>
      </c>
      <c r="F148" s="194">
        <v>0</v>
      </c>
      <c r="G148" s="184">
        <f>'CDM Activity'!U80</f>
        <v>195829.94840272513</v>
      </c>
      <c r="H148" s="187">
        <v>304</v>
      </c>
      <c r="I148" s="184">
        <v>139.39855831733732</v>
      </c>
      <c r="J148" s="194">
        <v>500</v>
      </c>
      <c r="K148" s="194">
        <f t="shared" si="0"/>
        <v>25989534.343152352</v>
      </c>
      <c r="L148" s="194">
        <f t="shared" si="1"/>
        <v>-57304.446847647429</v>
      </c>
      <c r="M148" s="37">
        <f t="shared" si="2"/>
        <v>2.2000538072838218E-3</v>
      </c>
    </row>
    <row r="149" spans="1:13">
      <c r="A149" s="183">
        <v>40603</v>
      </c>
      <c r="B149" s="284">
        <v>26570003.080000009</v>
      </c>
      <c r="C149" s="194">
        <f>'Weather Data'!B245</f>
        <v>749.9</v>
      </c>
      <c r="D149" s="194">
        <f>'Weather Data'!C245</f>
        <v>0</v>
      </c>
      <c r="E149" s="287">
        <v>31</v>
      </c>
      <c r="F149" s="194">
        <v>1</v>
      </c>
      <c r="G149" s="184">
        <f>'CDM Activity'!U81</f>
        <v>192582.28670255234</v>
      </c>
      <c r="H149" s="187">
        <v>368</v>
      </c>
      <c r="I149" s="184">
        <v>139.69704800944226</v>
      </c>
      <c r="J149" s="194">
        <v>505</v>
      </c>
      <c r="K149" s="194">
        <f t="shared" si="0"/>
        <v>26597121.039502598</v>
      </c>
      <c r="L149" s="194">
        <f t="shared" si="1"/>
        <v>27117.959502588958</v>
      </c>
      <c r="M149" s="37">
        <f t="shared" si="2"/>
        <v>1.0206231222833922E-3</v>
      </c>
    </row>
    <row r="150" spans="1:13">
      <c r="A150" s="183">
        <v>40634</v>
      </c>
      <c r="B150" s="284">
        <v>23083598.169999979</v>
      </c>
      <c r="C150" s="194">
        <f>'Weather Data'!B246</f>
        <v>482.30000000000007</v>
      </c>
      <c r="D150" s="194">
        <f>'Weather Data'!C246</f>
        <v>0</v>
      </c>
      <c r="E150" s="287">
        <v>30</v>
      </c>
      <c r="F150" s="194">
        <v>1</v>
      </c>
      <c r="G150" s="184">
        <f>'CDM Activity'!U82</f>
        <v>189334.62500237956</v>
      </c>
      <c r="H150" s="187">
        <v>320</v>
      </c>
      <c r="I150" s="184">
        <v>139.99617684801592</v>
      </c>
      <c r="J150" s="194">
        <v>506</v>
      </c>
      <c r="K150" s="194">
        <f t="shared" si="0"/>
        <v>23415446.912577946</v>
      </c>
      <c r="L150" s="194">
        <f t="shared" si="1"/>
        <v>331848.7425779663</v>
      </c>
      <c r="M150" s="37">
        <f t="shared" si="2"/>
        <v>1.4375953875736982E-2</v>
      </c>
    </row>
    <row r="151" spans="1:13">
      <c r="A151" s="183">
        <v>40664</v>
      </c>
      <c r="B151" s="284">
        <v>21824619.570000008</v>
      </c>
      <c r="C151" s="194">
        <f>'Weather Data'!B247</f>
        <v>266.99999999999994</v>
      </c>
      <c r="D151" s="194">
        <f>'Weather Data'!C247</f>
        <v>0</v>
      </c>
      <c r="E151" s="287">
        <v>31</v>
      </c>
      <c r="F151" s="194">
        <v>1</v>
      </c>
      <c r="G151" s="184">
        <f>'CDM Activity'!U83</f>
        <v>186086.96330220677</v>
      </c>
      <c r="H151" s="187">
        <v>336</v>
      </c>
      <c r="I151" s="184">
        <v>140.29594620164227</v>
      </c>
      <c r="J151" s="194">
        <v>507</v>
      </c>
      <c r="K151" s="194">
        <f t="shared" si="0"/>
        <v>22168866.772990569</v>
      </c>
      <c r="L151" s="194">
        <f t="shared" si="1"/>
        <v>344247.20299056172</v>
      </c>
      <c r="M151" s="37">
        <f t="shared" si="2"/>
        <v>1.5773342664069247E-2</v>
      </c>
    </row>
    <row r="152" spans="1:13">
      <c r="A152" s="183">
        <v>40695</v>
      </c>
      <c r="B152" s="284">
        <v>20701172.160000015</v>
      </c>
      <c r="C152" s="194">
        <f>'Weather Data'!B248</f>
        <v>110.1</v>
      </c>
      <c r="D152" s="194">
        <f>'Weather Data'!C248</f>
        <v>0</v>
      </c>
      <c r="E152" s="287">
        <v>30</v>
      </c>
      <c r="F152" s="194">
        <v>0</v>
      </c>
      <c r="G152" s="184">
        <f>'CDM Activity'!U84</f>
        <v>182839.30160203399</v>
      </c>
      <c r="H152" s="187">
        <v>352</v>
      </c>
      <c r="I152" s="184">
        <v>140.59635744183578</v>
      </c>
      <c r="J152" s="194">
        <v>507</v>
      </c>
      <c r="K152" s="194">
        <f t="shared" ref="K152:K215" si="3">$O$103+C152*$O$104+D152*$O$105+E152*$O$106+F152*$O$107+G152*$O$108+H152*$O$109</f>
        <v>21165319.661094021</v>
      </c>
      <c r="L152" s="194">
        <f t="shared" ref="L152:L206" si="4">K152-B152</f>
        <v>464147.501094006</v>
      </c>
      <c r="M152" s="37">
        <f t="shared" ref="M152:M206" si="5">ABS(L152/B152)</f>
        <v>2.2421314962582567E-2</v>
      </c>
    </row>
    <row r="153" spans="1:13">
      <c r="A153" s="183">
        <v>40725</v>
      </c>
      <c r="B153" s="284">
        <v>22583045.949999999</v>
      </c>
      <c r="C153" s="194">
        <f>'Weather Data'!B249</f>
        <v>29.8</v>
      </c>
      <c r="D153" s="194">
        <f>'Weather Data'!C249</f>
        <v>63.7</v>
      </c>
      <c r="E153" s="287">
        <v>31</v>
      </c>
      <c r="F153" s="194">
        <v>0</v>
      </c>
      <c r="G153" s="184">
        <f>'CDM Activity'!U85</f>
        <v>179591.6399018612</v>
      </c>
      <c r="H153" s="187">
        <v>320</v>
      </c>
      <c r="I153" s="184">
        <v>140.89741194304773</v>
      </c>
      <c r="J153" s="194">
        <v>503</v>
      </c>
      <c r="K153" s="194">
        <f t="shared" si="3"/>
        <v>23480022.223037764</v>
      </c>
      <c r="L153" s="194">
        <f t="shared" si="4"/>
        <v>896976.27303776518</v>
      </c>
      <c r="M153" s="37">
        <f t="shared" si="5"/>
        <v>3.9719011997926046E-2</v>
      </c>
    </row>
    <row r="154" spans="1:13">
      <c r="A154" s="183">
        <v>40756</v>
      </c>
      <c r="B154" s="284">
        <v>22784484.029999986</v>
      </c>
      <c r="C154" s="194">
        <f>'Weather Data'!B250</f>
        <v>22.2</v>
      </c>
      <c r="D154" s="194">
        <f>'Weather Data'!C250</f>
        <v>35.699999999999996</v>
      </c>
      <c r="E154" s="287">
        <v>31</v>
      </c>
      <c r="F154" s="194">
        <v>0</v>
      </c>
      <c r="G154" s="184">
        <f>'CDM Activity'!U86</f>
        <v>176343.97820168841</v>
      </c>
      <c r="H154" s="187">
        <v>352</v>
      </c>
      <c r="I154" s="184">
        <v>141.19911108267243</v>
      </c>
      <c r="J154" s="194">
        <v>507</v>
      </c>
      <c r="K154" s="194">
        <f t="shared" si="3"/>
        <v>22462120.081403099</v>
      </c>
      <c r="L154" s="194">
        <f t="shared" si="4"/>
        <v>-322363.94859688729</v>
      </c>
      <c r="M154" s="37">
        <f t="shared" si="5"/>
        <v>1.4148398013860464E-2</v>
      </c>
    </row>
    <row r="155" spans="1:13">
      <c r="A155" s="183">
        <v>40787</v>
      </c>
      <c r="B155" s="284">
        <v>21345135.690000005</v>
      </c>
      <c r="C155" s="194">
        <f>'Weather Data'!B251</f>
        <v>172.3</v>
      </c>
      <c r="D155" s="194">
        <f>'Weather Data'!C251</f>
        <v>9.4</v>
      </c>
      <c r="E155" s="287">
        <v>30</v>
      </c>
      <c r="F155" s="194">
        <v>1</v>
      </c>
      <c r="G155" s="184">
        <f>'CDM Activity'!U87</f>
        <v>173096.31650151563</v>
      </c>
      <c r="H155" s="187">
        <v>336</v>
      </c>
      <c r="I155" s="184">
        <v>141.50145624105357</v>
      </c>
      <c r="J155" s="194">
        <v>506</v>
      </c>
      <c r="K155" s="194">
        <f t="shared" si="3"/>
        <v>21318401.684843399</v>
      </c>
      <c r="L155" s="194">
        <f t="shared" si="4"/>
        <v>-26734.005156606436</v>
      </c>
      <c r="M155" s="37">
        <f t="shared" si="5"/>
        <v>1.2524635844376978E-3</v>
      </c>
    </row>
    <row r="156" spans="1:13">
      <c r="A156" s="183">
        <v>40817</v>
      </c>
      <c r="B156" s="284">
        <v>22769113.109999996</v>
      </c>
      <c r="C156" s="194">
        <f>'Weather Data'!B252</f>
        <v>337.20000000000005</v>
      </c>
      <c r="D156" s="194">
        <f>'Weather Data'!C252</f>
        <v>5.4</v>
      </c>
      <c r="E156" s="287">
        <v>31</v>
      </c>
      <c r="F156" s="194">
        <v>1</v>
      </c>
      <c r="G156" s="184">
        <f>'CDM Activity'!U88</f>
        <v>169848.65480134284</v>
      </c>
      <c r="H156" s="187">
        <v>320</v>
      </c>
      <c r="I156" s="184">
        <v>141.80444880149057</v>
      </c>
      <c r="J156" s="194">
        <v>508</v>
      </c>
      <c r="K156" s="194">
        <f t="shared" si="3"/>
        <v>22932431.170522097</v>
      </c>
      <c r="L156" s="194">
        <f t="shared" si="4"/>
        <v>163318.06052210182</v>
      </c>
      <c r="M156" s="37">
        <f t="shared" si="5"/>
        <v>7.1727897232138548E-3</v>
      </c>
    </row>
    <row r="157" spans="1:13">
      <c r="A157" s="183">
        <v>40848</v>
      </c>
      <c r="B157" s="284">
        <v>24230624.479999993</v>
      </c>
      <c r="C157" s="194">
        <f>'Weather Data'!B253</f>
        <v>563.20000000000005</v>
      </c>
      <c r="D157" s="194">
        <f>'Weather Data'!C253</f>
        <v>0</v>
      </c>
      <c r="E157" s="287">
        <v>30</v>
      </c>
      <c r="F157" s="194">
        <v>1</v>
      </c>
      <c r="G157" s="184">
        <f>'CDM Activity'!U89</f>
        <v>166600.99310117005</v>
      </c>
      <c r="H157" s="187">
        <v>352</v>
      </c>
      <c r="I157" s="184">
        <v>142.10809015024478</v>
      </c>
      <c r="J157" s="194">
        <v>509</v>
      </c>
      <c r="K157" s="194">
        <f t="shared" si="3"/>
        <v>24447474.976620052</v>
      </c>
      <c r="L157" s="194">
        <f t="shared" si="4"/>
        <v>216850.49662005901</v>
      </c>
      <c r="M157" s="37">
        <f t="shared" si="5"/>
        <v>8.9494390373243519E-3</v>
      </c>
    </row>
    <row r="158" spans="1:13">
      <c r="A158" s="183">
        <v>40878</v>
      </c>
      <c r="B158" s="284">
        <v>26954814.169999983</v>
      </c>
      <c r="C158" s="194">
        <f>'Weather Data'!B254</f>
        <v>769.8</v>
      </c>
      <c r="D158" s="194">
        <f>'Weather Data'!C254</f>
        <v>0</v>
      </c>
      <c r="E158" s="287">
        <v>31</v>
      </c>
      <c r="F158" s="194">
        <v>0</v>
      </c>
      <c r="G158" s="184">
        <f>'CDM Activity'!U90</f>
        <v>163353.33140099727</v>
      </c>
      <c r="H158" s="187">
        <v>336</v>
      </c>
      <c r="I158" s="184">
        <v>142.41238167654581</v>
      </c>
      <c r="J158" s="194">
        <v>512</v>
      </c>
      <c r="K158" s="194">
        <f t="shared" si="3"/>
        <v>27293791.648349822</v>
      </c>
      <c r="L158" s="194">
        <f t="shared" si="4"/>
        <v>338977.47834983841</v>
      </c>
      <c r="M158" s="37">
        <f t="shared" si="5"/>
        <v>1.2575767586894056E-2</v>
      </c>
    </row>
    <row r="159" spans="1:13">
      <c r="A159" s="183">
        <v>40909</v>
      </c>
      <c r="B159" s="284">
        <v>27978052.340000004</v>
      </c>
      <c r="C159" s="194">
        <f>'Weather Data'!B255</f>
        <v>865.69999999999993</v>
      </c>
      <c r="D159" s="194">
        <f>'Weather Data'!C255</f>
        <v>0</v>
      </c>
      <c r="E159" s="194">
        <v>31</v>
      </c>
      <c r="F159" s="194">
        <v>0</v>
      </c>
      <c r="G159" s="184">
        <f>'CDM Activity'!U91</f>
        <v>176129.07435202779</v>
      </c>
      <c r="H159" s="187">
        <v>336</v>
      </c>
      <c r="I159" s="184">
        <v>142.61257743956915</v>
      </c>
      <c r="J159" s="194">
        <v>507</v>
      </c>
      <c r="K159" s="194">
        <f t="shared" si="3"/>
        <v>28086261.150899384</v>
      </c>
      <c r="L159" s="194">
        <f t="shared" si="4"/>
        <v>108208.81089938059</v>
      </c>
      <c r="M159" s="37">
        <f t="shared" si="5"/>
        <v>3.8676320132790408E-3</v>
      </c>
    </row>
    <row r="160" spans="1:13">
      <c r="A160" s="183">
        <v>40940</v>
      </c>
      <c r="B160" s="284">
        <v>25273761.339999985</v>
      </c>
      <c r="C160" s="194">
        <f>'Weather Data'!B256</f>
        <v>693.8</v>
      </c>
      <c r="D160" s="194">
        <f>'Weather Data'!C256</f>
        <v>0</v>
      </c>
      <c r="E160" s="194">
        <v>29</v>
      </c>
      <c r="F160" s="194">
        <v>0</v>
      </c>
      <c r="G160" s="184">
        <f>'CDM Activity'!U92</f>
        <v>188904.81730305828</v>
      </c>
      <c r="H160" s="187">
        <v>320</v>
      </c>
      <c r="I160" s="184">
        <v>142.81305462716429</v>
      </c>
      <c r="J160" s="194">
        <v>512</v>
      </c>
      <c r="K160" s="194">
        <f t="shared" si="3"/>
        <v>25466894.324793153</v>
      </c>
      <c r="L160" s="194">
        <f t="shared" si="4"/>
        <v>193132.98479316756</v>
      </c>
      <c r="M160" s="37">
        <f t="shared" si="5"/>
        <v>7.6416399678310674E-3</v>
      </c>
    </row>
    <row r="161" spans="1:13">
      <c r="A161" s="183">
        <v>40969</v>
      </c>
      <c r="B161" s="284">
        <v>24803557.269999992</v>
      </c>
      <c r="C161" s="194">
        <f>'Weather Data'!B257</f>
        <v>525.4</v>
      </c>
      <c r="D161" s="194">
        <f>'Weather Data'!C257</f>
        <v>0</v>
      </c>
      <c r="E161" s="194">
        <v>31</v>
      </c>
      <c r="F161" s="194">
        <v>1</v>
      </c>
      <c r="G161" s="184">
        <f>'CDM Activity'!U93</f>
        <v>201680.56025408878</v>
      </c>
      <c r="H161" s="187">
        <v>352</v>
      </c>
      <c r="I161" s="184">
        <v>143.01381363494295</v>
      </c>
      <c r="J161" s="194">
        <v>512</v>
      </c>
      <c r="K161" s="194">
        <f t="shared" si="3"/>
        <v>24492247.51011074</v>
      </c>
      <c r="L161" s="194">
        <f t="shared" si="4"/>
        <v>-311309.75988925248</v>
      </c>
      <c r="M161" s="37">
        <f t="shared" si="5"/>
        <v>1.2551012602768192E-2</v>
      </c>
    </row>
    <row r="162" spans="1:13">
      <c r="A162" s="183">
        <v>41000</v>
      </c>
      <c r="B162" s="284">
        <v>22044979.170000002</v>
      </c>
      <c r="C162" s="194">
        <f>'Weather Data'!B258</f>
        <v>434.89999999999986</v>
      </c>
      <c r="D162" s="194">
        <f>'Weather Data'!C258</f>
        <v>0</v>
      </c>
      <c r="E162" s="194">
        <v>30</v>
      </c>
      <c r="F162" s="194">
        <v>1</v>
      </c>
      <c r="G162" s="184">
        <f>'CDM Activity'!U94</f>
        <v>214456.30320511927</v>
      </c>
      <c r="H162" s="187">
        <v>320</v>
      </c>
      <c r="I162" s="184">
        <v>143.21485485907297</v>
      </c>
      <c r="J162" s="194">
        <v>513</v>
      </c>
      <c r="K162" s="194">
        <f t="shared" si="3"/>
        <v>22927737.126360055</v>
      </c>
      <c r="L162" s="194">
        <f t="shared" si="4"/>
        <v>882757.95636005327</v>
      </c>
      <c r="M162" s="37">
        <f t="shared" si="5"/>
        <v>4.0043492423043794E-2</v>
      </c>
    </row>
    <row r="163" spans="1:13">
      <c r="A163" s="183">
        <v>41030</v>
      </c>
      <c r="B163" s="284">
        <v>21279302.760000005</v>
      </c>
      <c r="C163" s="194">
        <f>'Weather Data'!B259</f>
        <v>227.10000000000002</v>
      </c>
      <c r="D163" s="194">
        <f>'Weather Data'!C259</f>
        <v>0</v>
      </c>
      <c r="E163" s="194">
        <v>31</v>
      </c>
      <c r="F163" s="194">
        <v>1</v>
      </c>
      <c r="G163" s="184">
        <f>'CDM Activity'!U95</f>
        <v>227232.04615614977</v>
      </c>
      <c r="H163" s="187">
        <v>352</v>
      </c>
      <c r="I163" s="184">
        <v>143.41617869627913</v>
      </c>
      <c r="J163" s="194">
        <v>511</v>
      </c>
      <c r="K163" s="194">
        <f t="shared" si="3"/>
        <v>21827819.521894708</v>
      </c>
      <c r="L163" s="194">
        <f t="shared" si="4"/>
        <v>548516.76189470291</v>
      </c>
      <c r="M163" s="37">
        <f t="shared" si="5"/>
        <v>2.577700820751435E-2</v>
      </c>
    </row>
    <row r="164" spans="1:13">
      <c r="A164" s="183">
        <v>41061</v>
      </c>
      <c r="B164" s="284">
        <v>21429781.859999992</v>
      </c>
      <c r="C164" s="194">
        <f>'Weather Data'!B260</f>
        <v>64.900000000000006</v>
      </c>
      <c r="D164" s="194">
        <f>'Weather Data'!C260</f>
        <v>18.399999999999999</v>
      </c>
      <c r="E164" s="194">
        <v>30</v>
      </c>
      <c r="F164" s="194">
        <v>0</v>
      </c>
      <c r="G164" s="184">
        <f>'CDM Activity'!U96</f>
        <v>240007.78910718026</v>
      </c>
      <c r="H164" s="187">
        <v>336</v>
      </c>
      <c r="I164" s="184">
        <v>143.61778554384387</v>
      </c>
      <c r="J164" s="194">
        <v>515</v>
      </c>
      <c r="K164" s="194">
        <f t="shared" si="3"/>
        <v>21271961.75999099</v>
      </c>
      <c r="L164" s="194">
        <f t="shared" si="4"/>
        <v>-157820.10000900179</v>
      </c>
      <c r="M164" s="37">
        <f t="shared" si="5"/>
        <v>7.3645220021386557E-3</v>
      </c>
    </row>
    <row r="165" spans="1:13">
      <c r="A165" s="183">
        <v>41091</v>
      </c>
      <c r="B165" s="284">
        <v>23340060.429999981</v>
      </c>
      <c r="C165" s="194">
        <f>'Weather Data'!B261</f>
        <v>6.8</v>
      </c>
      <c r="D165" s="194">
        <f>'Weather Data'!C261</f>
        <v>66.5</v>
      </c>
      <c r="E165" s="194">
        <v>31</v>
      </c>
      <c r="F165" s="194">
        <v>0</v>
      </c>
      <c r="G165" s="184">
        <f>'CDM Activity'!U97</f>
        <v>252783.53205821075</v>
      </c>
      <c r="H165" s="187">
        <v>336</v>
      </c>
      <c r="I165" s="184">
        <v>143.81967579960809</v>
      </c>
      <c r="J165" s="194">
        <v>514</v>
      </c>
      <c r="K165" s="194">
        <f t="shared" si="3"/>
        <v>23309928.139360137</v>
      </c>
      <c r="L165" s="194">
        <f t="shared" si="4"/>
        <v>-30132.290639843792</v>
      </c>
      <c r="M165" s="37">
        <f t="shared" si="5"/>
        <v>1.2910116805487559E-3</v>
      </c>
    </row>
    <row r="166" spans="1:13">
      <c r="A166" s="183">
        <v>41122</v>
      </c>
      <c r="B166" s="284">
        <v>22638507.330000032</v>
      </c>
      <c r="C166" s="194">
        <f>'Weather Data'!B262</f>
        <v>38.499999999999986</v>
      </c>
      <c r="D166" s="194">
        <f>'Weather Data'!C262</f>
        <v>27.7</v>
      </c>
      <c r="E166" s="194">
        <v>31</v>
      </c>
      <c r="F166" s="194">
        <v>0</v>
      </c>
      <c r="G166" s="184">
        <f>'CDM Activity'!U98</f>
        <v>265559.27500924125</v>
      </c>
      <c r="H166" s="187">
        <v>352</v>
      </c>
      <c r="I166" s="184">
        <v>144.02184986197204</v>
      </c>
      <c r="J166" s="194">
        <v>515</v>
      </c>
      <c r="K166" s="194">
        <f t="shared" si="3"/>
        <v>21981494.144393355</v>
      </c>
      <c r="L166" s="194">
        <f t="shared" si="4"/>
        <v>-657013.18560667709</v>
      </c>
      <c r="M166" s="37">
        <f t="shared" si="5"/>
        <v>2.9021930466944623E-2</v>
      </c>
    </row>
    <row r="167" spans="1:13">
      <c r="A167" s="183">
        <v>41153</v>
      </c>
      <c r="B167" s="284">
        <v>21056351.920000013</v>
      </c>
      <c r="C167" s="194">
        <f>'Weather Data'!B263</f>
        <v>213.49999999999997</v>
      </c>
      <c r="D167" s="194">
        <f>'Weather Data'!C263</f>
        <v>4</v>
      </c>
      <c r="E167" s="194">
        <v>30</v>
      </c>
      <c r="F167" s="194">
        <v>1</v>
      </c>
      <c r="G167" s="184">
        <f>'CDM Activity'!U99</f>
        <v>278335.01796027174</v>
      </c>
      <c r="H167" s="187">
        <v>304</v>
      </c>
      <c r="I167" s="184">
        <v>144.22430812989595</v>
      </c>
      <c r="J167" s="194">
        <v>515</v>
      </c>
      <c r="K167" s="194">
        <f t="shared" si="3"/>
        <v>20857144.549986709</v>
      </c>
      <c r="L167" s="194">
        <f t="shared" si="4"/>
        <v>-199207.37001330405</v>
      </c>
      <c r="M167" s="37">
        <f t="shared" si="5"/>
        <v>9.460678220527383E-3</v>
      </c>
    </row>
    <row r="168" spans="1:13">
      <c r="A168" s="183">
        <v>41183</v>
      </c>
      <c r="B168" s="284">
        <v>22591003.560000002</v>
      </c>
      <c r="C168" s="194">
        <f>'Weather Data'!B264</f>
        <v>395.80000000000007</v>
      </c>
      <c r="D168" s="194">
        <f>'Weather Data'!C264</f>
        <v>0</v>
      </c>
      <c r="E168" s="194">
        <v>31</v>
      </c>
      <c r="F168" s="194">
        <v>1</v>
      </c>
      <c r="G168" s="184">
        <f>'CDM Activity'!U100</f>
        <v>291110.76091130223</v>
      </c>
      <c r="H168" s="187">
        <v>352</v>
      </c>
      <c r="I168" s="184">
        <v>144.42705100290087</v>
      </c>
      <c r="J168" s="194">
        <v>516</v>
      </c>
      <c r="K168" s="194">
        <f t="shared" si="3"/>
        <v>23095404.207622841</v>
      </c>
      <c r="L168" s="194">
        <f t="shared" si="4"/>
        <v>504400.64762283862</v>
      </c>
      <c r="M168" s="37">
        <f t="shared" si="5"/>
        <v>2.2327500692175473E-2</v>
      </c>
    </row>
    <row r="169" spans="1:13">
      <c r="A169" s="183">
        <v>41214</v>
      </c>
      <c r="B169" s="284">
        <v>24156927.709999982</v>
      </c>
      <c r="C169" s="194">
        <f>'Weather Data'!B265</f>
        <v>600.80000000000007</v>
      </c>
      <c r="D169" s="194">
        <f>'Weather Data'!C265</f>
        <v>0</v>
      </c>
      <c r="E169" s="194">
        <v>30</v>
      </c>
      <c r="F169" s="194">
        <v>1</v>
      </c>
      <c r="G169" s="184">
        <f>'CDM Activity'!U101</f>
        <v>303886.50386233273</v>
      </c>
      <c r="H169" s="187">
        <v>352</v>
      </c>
      <c r="I169" s="184">
        <v>144.63007888106955</v>
      </c>
      <c r="J169" s="194">
        <v>515</v>
      </c>
      <c r="K169" s="194">
        <f t="shared" si="3"/>
        <v>24354153.138795853</v>
      </c>
      <c r="L169" s="194">
        <f t="shared" si="4"/>
        <v>197225.42879587039</v>
      </c>
      <c r="M169" s="37">
        <f t="shared" si="5"/>
        <v>8.1643423850718856E-3</v>
      </c>
    </row>
    <row r="170" spans="1:13">
      <c r="A170" s="183">
        <v>41244</v>
      </c>
      <c r="B170" s="284">
        <v>26882954.980000008</v>
      </c>
      <c r="C170" s="194">
        <f>'Weather Data'!B266</f>
        <v>793.69999999999993</v>
      </c>
      <c r="D170" s="194">
        <f>'Weather Data'!C266</f>
        <v>0</v>
      </c>
      <c r="E170" s="194">
        <v>31</v>
      </c>
      <c r="F170" s="194">
        <v>0</v>
      </c>
      <c r="G170" s="184">
        <f>'CDM Activity'!U102</f>
        <v>316662.24681336322</v>
      </c>
      <c r="H170" s="187">
        <v>304</v>
      </c>
      <c r="I170" s="184">
        <v>144.83339216504706</v>
      </c>
      <c r="J170" s="194">
        <v>517</v>
      </c>
      <c r="K170" s="194">
        <f t="shared" si="3"/>
        <v>26771589.097662564</v>
      </c>
      <c r="L170" s="194">
        <f t="shared" si="4"/>
        <v>-111365.88233744353</v>
      </c>
      <c r="M170" s="37">
        <f t="shared" si="5"/>
        <v>4.142620572042616E-3</v>
      </c>
    </row>
    <row r="171" spans="1:13">
      <c r="A171" s="183">
        <v>41275</v>
      </c>
      <c r="B171" s="284">
        <v>28716062.250000019</v>
      </c>
      <c r="C171" s="194">
        <f>'Weather Data'!B267</f>
        <v>928.40000000000009</v>
      </c>
      <c r="D171" s="194">
        <f>'Weather Data'!C267</f>
        <v>0</v>
      </c>
      <c r="E171" s="194">
        <v>31</v>
      </c>
      <c r="F171" s="194">
        <v>0</v>
      </c>
      <c r="G171" s="184">
        <f>'CDM Activity'!U103</f>
        <v>327299.14591195819</v>
      </c>
      <c r="H171" s="187">
        <v>352</v>
      </c>
      <c r="I171" s="184">
        <v>144.98936781896037</v>
      </c>
      <c r="J171" s="194">
        <v>516</v>
      </c>
      <c r="K171" s="194">
        <f t="shared" si="3"/>
        <v>28298733.982085358</v>
      </c>
      <c r="L171" s="194">
        <f t="shared" si="4"/>
        <v>-417328.26791466027</v>
      </c>
      <c r="M171" s="37">
        <f t="shared" si="5"/>
        <v>1.4532921132480829E-2</v>
      </c>
    </row>
    <row r="172" spans="1:13">
      <c r="A172" s="183">
        <v>41306</v>
      </c>
      <c r="B172" s="284">
        <v>25735079.889999986</v>
      </c>
      <c r="C172" s="194">
        <f>'Weather Data'!B268</f>
        <v>866.59999999999991</v>
      </c>
      <c r="D172" s="194">
        <f>'Weather Data'!C268</f>
        <v>0</v>
      </c>
      <c r="E172" s="194">
        <v>28</v>
      </c>
      <c r="F172" s="194">
        <v>0</v>
      </c>
      <c r="G172" s="184">
        <f>'CDM Activity'!U104</f>
        <v>337936.04501055315</v>
      </c>
      <c r="H172" s="187">
        <v>304</v>
      </c>
      <c r="I172" s="184">
        <v>145.14551144798114</v>
      </c>
      <c r="J172" s="194">
        <v>516</v>
      </c>
      <c r="K172" s="194">
        <f t="shared" si="3"/>
        <v>25899696.21327034</v>
      </c>
      <c r="L172" s="194">
        <f t="shared" si="4"/>
        <v>164616.32327035442</v>
      </c>
      <c r="M172" s="37">
        <f t="shared" si="5"/>
        <v>6.3965732367638872E-3</v>
      </c>
    </row>
    <row r="173" spans="1:13">
      <c r="A173" s="183">
        <v>41334</v>
      </c>
      <c r="B173" s="284">
        <v>26208212.909999989</v>
      </c>
      <c r="C173" s="194">
        <f>'Weather Data'!B269</f>
        <v>767.3</v>
      </c>
      <c r="D173" s="194">
        <f>'Weather Data'!C269</f>
        <v>0</v>
      </c>
      <c r="E173" s="194">
        <v>31</v>
      </c>
      <c r="F173" s="194">
        <v>1</v>
      </c>
      <c r="G173" s="184">
        <f>'CDM Activity'!U105</f>
        <v>348572.94410914811</v>
      </c>
      <c r="H173" s="187">
        <v>320</v>
      </c>
      <c r="I173" s="184">
        <v>145.30182323300707</v>
      </c>
      <c r="J173" s="194">
        <v>516</v>
      </c>
      <c r="K173" s="194">
        <f t="shared" si="3"/>
        <v>25879792.77364793</v>
      </c>
      <c r="L173" s="194">
        <f t="shared" si="4"/>
        <v>-328420.1363520585</v>
      </c>
      <c r="M173" s="37">
        <f t="shared" si="5"/>
        <v>1.2531191557389505E-2</v>
      </c>
    </row>
    <row r="174" spans="1:13">
      <c r="A174" s="183">
        <v>41365</v>
      </c>
      <c r="B174" s="284">
        <v>22900049.009999964</v>
      </c>
      <c r="C174" s="194">
        <f>'Weather Data'!B270</f>
        <v>524.79999999999995</v>
      </c>
      <c r="D174" s="194">
        <f>'Weather Data'!C270</f>
        <v>0</v>
      </c>
      <c r="E174" s="194">
        <v>30</v>
      </c>
      <c r="F174" s="194">
        <v>1</v>
      </c>
      <c r="G174" s="184">
        <f>'CDM Activity'!U106</f>
        <v>359209.84320774308</v>
      </c>
      <c r="H174" s="187">
        <v>352</v>
      </c>
      <c r="I174" s="184">
        <v>145.45830335513068</v>
      </c>
      <c r="J174" s="194">
        <v>517</v>
      </c>
      <c r="K174" s="194">
        <f t="shared" si="3"/>
        <v>23526220.778371584</v>
      </c>
      <c r="L174" s="194">
        <f t="shared" si="4"/>
        <v>626171.76837161928</v>
      </c>
      <c r="M174" s="37">
        <f t="shared" si="5"/>
        <v>2.7343686823472883E-2</v>
      </c>
    </row>
    <row r="175" spans="1:13">
      <c r="A175" s="183">
        <v>41395</v>
      </c>
      <c r="B175" s="284">
        <v>21368507.77</v>
      </c>
      <c r="C175" s="194">
        <f>'Weather Data'!B271</f>
        <v>325.3</v>
      </c>
      <c r="D175" s="194">
        <f>'Weather Data'!C271</f>
        <v>0</v>
      </c>
      <c r="E175" s="194">
        <v>31</v>
      </c>
      <c r="F175" s="194">
        <v>1</v>
      </c>
      <c r="G175" s="184">
        <f>'CDM Activity'!U107</f>
        <v>369846.74230633804</v>
      </c>
      <c r="H175" s="187">
        <v>352</v>
      </c>
      <c r="I175" s="184">
        <v>145.6149519956395</v>
      </c>
      <c r="J175" s="194">
        <v>516</v>
      </c>
      <c r="K175" s="194">
        <f t="shared" si="3"/>
        <v>22243646.781458322</v>
      </c>
      <c r="L175" s="194">
        <f t="shared" si="4"/>
        <v>875139.01145832241</v>
      </c>
      <c r="M175" s="37">
        <f t="shared" si="5"/>
        <v>4.0954615122304465E-2</v>
      </c>
    </row>
    <row r="176" spans="1:13">
      <c r="A176" s="183">
        <v>41426</v>
      </c>
      <c r="B176" s="284">
        <v>20598949.780000005</v>
      </c>
      <c r="C176" s="194">
        <f>'Weather Data'!B272</f>
        <v>130.9</v>
      </c>
      <c r="D176" s="194">
        <f>'Weather Data'!C272</f>
        <v>5.5</v>
      </c>
      <c r="E176" s="194">
        <v>30</v>
      </c>
      <c r="F176" s="194">
        <v>0</v>
      </c>
      <c r="G176" s="184">
        <f>'CDM Activity'!U108</f>
        <v>380483.64140493301</v>
      </c>
      <c r="H176" s="187">
        <v>320</v>
      </c>
      <c r="I176" s="184">
        <v>145.77176933601632</v>
      </c>
      <c r="J176" s="194">
        <v>516</v>
      </c>
      <c r="K176" s="194">
        <f t="shared" si="3"/>
        <v>20721067.29255908</v>
      </c>
      <c r="L176" s="194">
        <f t="shared" si="4"/>
        <v>122117.51255907491</v>
      </c>
      <c r="M176" s="37">
        <f t="shared" si="5"/>
        <v>5.9283368260668132E-3</v>
      </c>
    </row>
    <row r="177" spans="1:13">
      <c r="A177" s="183">
        <v>41456</v>
      </c>
      <c r="B177" s="284">
        <v>21754518.050000001</v>
      </c>
      <c r="C177" s="194">
        <f>'Weather Data'!B273</f>
        <v>60.7</v>
      </c>
      <c r="D177" s="194">
        <f>'Weather Data'!C273</f>
        <v>28.000000000000007</v>
      </c>
      <c r="E177" s="194">
        <v>31</v>
      </c>
      <c r="F177" s="194">
        <v>0</v>
      </c>
      <c r="G177" s="184">
        <f>'CDM Activity'!U109</f>
        <v>391120.54050352797</v>
      </c>
      <c r="H177" s="187">
        <v>352</v>
      </c>
      <c r="I177" s="184">
        <v>145.92875555793933</v>
      </c>
      <c r="J177" s="194">
        <v>510</v>
      </c>
      <c r="K177" s="194">
        <f t="shared" si="3"/>
        <v>21803563.360036541</v>
      </c>
      <c r="L177" s="194">
        <f t="shared" si="4"/>
        <v>49045.310036540031</v>
      </c>
      <c r="M177" s="37">
        <f t="shared" si="5"/>
        <v>2.2544884664332993E-3</v>
      </c>
    </row>
    <row r="178" spans="1:13">
      <c r="A178" s="183">
        <v>41487</v>
      </c>
      <c r="B178" s="284">
        <v>22034828.830000017</v>
      </c>
      <c r="C178" s="194">
        <f>'Weather Data'!B274</f>
        <v>45.8</v>
      </c>
      <c r="D178" s="194">
        <f>'Weather Data'!C274</f>
        <v>41.8</v>
      </c>
      <c r="E178" s="194">
        <v>31</v>
      </c>
      <c r="F178" s="194">
        <v>0</v>
      </c>
      <c r="G178" s="184">
        <f>'CDM Activity'!U110</f>
        <v>401757.43960212293</v>
      </c>
      <c r="H178" s="187">
        <v>336</v>
      </c>
      <c r="I178" s="184">
        <v>146.08591084328242</v>
      </c>
      <c r="J178" s="194">
        <v>507</v>
      </c>
      <c r="K178" s="194">
        <f t="shared" si="3"/>
        <v>22114111.711420104</v>
      </c>
      <c r="L178" s="194">
        <f t="shared" si="4"/>
        <v>79282.881420087069</v>
      </c>
      <c r="M178" s="37">
        <f t="shared" si="5"/>
        <v>3.598071127838528E-3</v>
      </c>
    </row>
    <row r="179" spans="1:13">
      <c r="A179" s="183">
        <v>41518</v>
      </c>
      <c r="B179" s="284">
        <v>20818130.780000005</v>
      </c>
      <c r="C179" s="194">
        <f>'Weather Data'!B275</f>
        <v>178.79999999999995</v>
      </c>
      <c r="D179" s="194">
        <f>'Weather Data'!C275</f>
        <v>0</v>
      </c>
      <c r="E179" s="194">
        <v>30</v>
      </c>
      <c r="F179" s="194">
        <v>1</v>
      </c>
      <c r="G179" s="184">
        <f>'CDM Activity'!U111</f>
        <v>412394.3387007179</v>
      </c>
      <c r="H179" s="187">
        <v>320</v>
      </c>
      <c r="I179" s="184">
        <v>146.2432353741153</v>
      </c>
      <c r="J179" s="194">
        <v>513</v>
      </c>
      <c r="K179" s="194">
        <f t="shared" si="3"/>
        <v>20102657.460635886</v>
      </c>
      <c r="L179" s="194">
        <f t="shared" si="4"/>
        <v>-715473.31936411932</v>
      </c>
      <c r="M179" s="37">
        <f t="shared" si="5"/>
        <v>3.4367798287225436E-2</v>
      </c>
    </row>
    <row r="180" spans="1:13">
      <c r="A180" s="183">
        <v>41548</v>
      </c>
      <c r="B180" s="284">
        <v>22036269.400000013</v>
      </c>
      <c r="C180" s="194">
        <f>'Weather Data'!B276</f>
        <v>328.50000000000006</v>
      </c>
      <c r="D180" s="194">
        <f>'Weather Data'!C276</f>
        <v>0</v>
      </c>
      <c r="E180" s="194">
        <v>31</v>
      </c>
      <c r="F180" s="194">
        <v>1</v>
      </c>
      <c r="G180" s="184">
        <f>'CDM Activity'!U112</f>
        <v>423031.23779931286</v>
      </c>
      <c r="H180" s="187">
        <v>352</v>
      </c>
      <c r="I180" s="184">
        <v>146.4007293327038</v>
      </c>
      <c r="J180" s="194">
        <v>511</v>
      </c>
      <c r="K180" s="194">
        <f t="shared" si="3"/>
        <v>22108943.691808987</v>
      </c>
      <c r="L180" s="194">
        <f t="shared" si="4"/>
        <v>72674.291808973998</v>
      </c>
      <c r="M180" s="37">
        <f t="shared" si="5"/>
        <v>3.2979398867293733E-3</v>
      </c>
    </row>
    <row r="181" spans="1:13">
      <c r="A181" s="183">
        <v>41579</v>
      </c>
      <c r="B181" s="284">
        <v>24280735.420000028</v>
      </c>
      <c r="C181" s="194">
        <f>'Weather Data'!B277</f>
        <v>620.6</v>
      </c>
      <c r="D181" s="194">
        <f>'Weather Data'!C277</f>
        <v>0</v>
      </c>
      <c r="E181" s="194">
        <v>30</v>
      </c>
      <c r="F181" s="194">
        <v>1</v>
      </c>
      <c r="G181" s="184">
        <f>'CDM Activity'!U113</f>
        <v>433668.13689790783</v>
      </c>
      <c r="H181" s="187">
        <v>336</v>
      </c>
      <c r="I181" s="184">
        <v>146.55839290151005</v>
      </c>
      <c r="J181" s="194">
        <v>505</v>
      </c>
      <c r="K181" s="194">
        <f t="shared" si="3"/>
        <v>23998841.25182151</v>
      </c>
      <c r="L181" s="194">
        <f t="shared" si="4"/>
        <v>-281894.16817851737</v>
      </c>
      <c r="M181" s="37">
        <f t="shared" si="5"/>
        <v>1.1609787072030829E-2</v>
      </c>
    </row>
    <row r="182" spans="1:13">
      <c r="A182" s="183">
        <v>41609</v>
      </c>
      <c r="B182" s="284">
        <v>28617030.289999984</v>
      </c>
      <c r="C182" s="194">
        <f>'Weather Data'!B278</f>
        <v>1112.8999999999999</v>
      </c>
      <c r="D182" s="194">
        <f>'Weather Data'!C278</f>
        <v>0</v>
      </c>
      <c r="E182" s="194">
        <v>31</v>
      </c>
      <c r="F182" s="194">
        <v>0</v>
      </c>
      <c r="G182" s="184">
        <f>'CDM Activity'!U114</f>
        <v>444305.03599650279</v>
      </c>
      <c r="H182" s="187">
        <v>320</v>
      </c>
      <c r="I182" s="184">
        <v>146.71622626319265</v>
      </c>
      <c r="J182" s="194">
        <v>496</v>
      </c>
      <c r="K182" s="194">
        <f t="shared" si="3"/>
        <v>29279884.068991147</v>
      </c>
      <c r="L182" s="194">
        <f t="shared" si="4"/>
        <v>662853.77899116278</v>
      </c>
      <c r="M182" s="37">
        <f t="shared" si="5"/>
        <v>2.316291286251293E-2</v>
      </c>
    </row>
    <row r="183" spans="1:13">
      <c r="A183" s="183">
        <v>41640</v>
      </c>
      <c r="B183" s="284">
        <v>29731360.839999992</v>
      </c>
      <c r="C183" s="194">
        <f>'Weather Data'!B279</f>
        <v>1119.5999999999997</v>
      </c>
      <c r="D183" s="194">
        <f>'Weather Data'!C279</f>
        <v>0</v>
      </c>
      <c r="E183" s="184">
        <v>31</v>
      </c>
      <c r="F183" s="194">
        <v>0</v>
      </c>
      <c r="G183" s="184">
        <f>'CDM Activity'!U115</f>
        <v>466447.8107737375</v>
      </c>
      <c r="H183" s="187">
        <v>352</v>
      </c>
      <c r="I183" s="184">
        <v>147.04232175221028</v>
      </c>
      <c r="J183" s="197">
        <v>499</v>
      </c>
      <c r="K183" s="194">
        <f t="shared" si="3"/>
        <v>29531495.946778327</v>
      </c>
      <c r="L183" s="194">
        <f t="shared" si="4"/>
        <v>-199864.89322166517</v>
      </c>
      <c r="M183" s="37">
        <f t="shared" si="5"/>
        <v>6.722359406864783E-3</v>
      </c>
    </row>
    <row r="184" spans="1:13">
      <c r="A184" s="183">
        <v>41671</v>
      </c>
      <c r="B184" s="284">
        <v>26524870.020000014</v>
      </c>
      <c r="C184" s="194">
        <f>'Weather Data'!B280</f>
        <v>978.39999999999986</v>
      </c>
      <c r="D184" s="194">
        <f>'Weather Data'!C280</f>
        <v>0</v>
      </c>
      <c r="E184" s="184">
        <v>28</v>
      </c>
      <c r="F184" s="194">
        <v>0</v>
      </c>
      <c r="G184" s="184">
        <f>'CDM Activity'!U116</f>
        <v>488590.5855509722</v>
      </c>
      <c r="H184" s="187">
        <v>304</v>
      </c>
      <c r="I184" s="184">
        <v>147.36914202996238</v>
      </c>
      <c r="J184" s="197">
        <v>501.5</v>
      </c>
      <c r="K184" s="194">
        <f t="shared" si="3"/>
        <v>26408883.86901154</v>
      </c>
      <c r="L184" s="194">
        <f t="shared" si="4"/>
        <v>-115986.15098847449</v>
      </c>
      <c r="M184" s="37">
        <f t="shared" si="5"/>
        <v>4.3727321152194068E-3</v>
      </c>
    </row>
    <row r="185" spans="1:13">
      <c r="A185" s="183">
        <v>41699</v>
      </c>
      <c r="B185" s="284">
        <v>26573892.160000034</v>
      </c>
      <c r="C185" s="194">
        <f>'Weather Data'!B281</f>
        <v>883.5</v>
      </c>
      <c r="D185" s="194">
        <f>'Weather Data'!C281</f>
        <v>0</v>
      </c>
      <c r="E185" s="184">
        <v>31</v>
      </c>
      <c r="F185" s="194">
        <v>1</v>
      </c>
      <c r="G185" s="184">
        <f>'CDM Activity'!U117</f>
        <v>510733.36032820691</v>
      </c>
      <c r="H185" s="187">
        <v>336</v>
      </c>
      <c r="I185" s="184">
        <v>147.69668870738414</v>
      </c>
      <c r="J185" s="197">
        <v>503.25</v>
      </c>
      <c r="K185" s="194">
        <f t="shared" si="3"/>
        <v>26522563.182056513</v>
      </c>
      <c r="L185" s="194">
        <f t="shared" si="4"/>
        <v>-51328.977943520993</v>
      </c>
      <c r="M185" s="37">
        <f t="shared" si="5"/>
        <v>1.9315566434330307E-3</v>
      </c>
    </row>
    <row r="186" spans="1:13">
      <c r="A186" s="183">
        <v>41730</v>
      </c>
      <c r="B186" s="284">
        <v>22785513.130000003</v>
      </c>
      <c r="C186" s="194">
        <f>'Weather Data'!B282</f>
        <v>522.9</v>
      </c>
      <c r="D186" s="194">
        <f>'Weather Data'!C282</f>
        <v>0</v>
      </c>
      <c r="E186" s="184">
        <v>30</v>
      </c>
      <c r="F186" s="194">
        <v>1</v>
      </c>
      <c r="G186" s="184">
        <f>'CDM Activity'!U118</f>
        <v>532876.13510544156</v>
      </c>
      <c r="H186" s="187">
        <v>320</v>
      </c>
      <c r="I186" s="184">
        <v>148.02496339899133</v>
      </c>
      <c r="J186" s="197">
        <v>504.625</v>
      </c>
      <c r="K186" s="194">
        <f t="shared" si="3"/>
        <v>22718141.488682296</v>
      </c>
      <c r="L186" s="194">
        <f t="shared" si="4"/>
        <v>-67371.641317706555</v>
      </c>
      <c r="M186" s="37">
        <f t="shared" si="5"/>
        <v>2.9567752515962998E-3</v>
      </c>
    </row>
    <row r="187" spans="1:13">
      <c r="A187" s="183">
        <v>41760</v>
      </c>
      <c r="B187" s="284">
        <v>21163181.64999998</v>
      </c>
      <c r="C187" s="194">
        <f>'Weather Data'!B283</f>
        <v>266.90000000000003</v>
      </c>
      <c r="D187" s="194">
        <f>'Weather Data'!C283</f>
        <v>1.1000000000000001</v>
      </c>
      <c r="E187" s="184">
        <v>31</v>
      </c>
      <c r="F187" s="194">
        <v>1</v>
      </c>
      <c r="G187" s="184">
        <f>'CDM Activity'!U119</f>
        <v>555018.90988267621</v>
      </c>
      <c r="H187" s="187">
        <v>336</v>
      </c>
      <c r="I187" s="184">
        <v>148.35396772288814</v>
      </c>
      <c r="J187" s="197">
        <v>498.8125</v>
      </c>
      <c r="K187" s="194">
        <f t="shared" si="3"/>
        <v>21089171.985511746</v>
      </c>
      <c r="L187" s="194">
        <f t="shared" si="4"/>
        <v>-74009.664488233626</v>
      </c>
      <c r="M187" s="37">
        <f t="shared" si="5"/>
        <v>3.4970953664820855E-3</v>
      </c>
    </row>
    <row r="188" spans="1:13">
      <c r="A188" s="183">
        <v>41791</v>
      </c>
      <c r="B188" s="284">
        <v>19864970.560000002</v>
      </c>
      <c r="C188" s="194">
        <f>'Weather Data'!B284</f>
        <v>135.19999999999999</v>
      </c>
      <c r="D188" s="194">
        <f>'Weather Data'!C284</f>
        <v>6</v>
      </c>
      <c r="E188" s="184">
        <v>30</v>
      </c>
      <c r="F188" s="194">
        <v>0</v>
      </c>
      <c r="G188" s="184">
        <f>'CDM Activity'!U120</f>
        <v>577161.68465991085</v>
      </c>
      <c r="H188" s="187">
        <v>336</v>
      </c>
      <c r="I188" s="184">
        <v>148.68370330077519</v>
      </c>
      <c r="J188" s="197">
        <v>496.40625</v>
      </c>
      <c r="K188" s="194">
        <f t="shared" si="3"/>
        <v>20310028.036671445</v>
      </c>
      <c r="L188" s="194">
        <f t="shared" si="4"/>
        <v>445057.47667144239</v>
      </c>
      <c r="M188" s="37">
        <f t="shared" si="5"/>
        <v>2.2404134721830785E-2</v>
      </c>
    </row>
    <row r="189" spans="1:13">
      <c r="A189" s="183">
        <v>41821</v>
      </c>
      <c r="B189" s="284">
        <v>20551473.419999994</v>
      </c>
      <c r="C189" s="194">
        <f>'Weather Data'!B285</f>
        <v>47.199999999999989</v>
      </c>
      <c r="D189" s="194">
        <f>'Weather Data'!C285</f>
        <v>9.5</v>
      </c>
      <c r="E189" s="184">
        <v>31</v>
      </c>
      <c r="F189" s="194">
        <v>0</v>
      </c>
      <c r="G189" s="184">
        <f>'CDM Activity'!U121</f>
        <v>599304.4594371455</v>
      </c>
      <c r="H189" s="187">
        <v>352</v>
      </c>
      <c r="I189" s="184">
        <v>149.0141717579576</v>
      </c>
      <c r="J189" s="197">
        <v>495.203125</v>
      </c>
      <c r="K189" s="194">
        <f t="shared" si="3"/>
        <v>20242522.562789973</v>
      </c>
      <c r="L189" s="194">
        <f t="shared" si="4"/>
        <v>-308950.85721002147</v>
      </c>
      <c r="M189" s="37">
        <f t="shared" si="5"/>
        <v>1.5033027116652425E-2</v>
      </c>
    </row>
    <row r="190" spans="1:13">
      <c r="A190" s="183">
        <v>41852</v>
      </c>
      <c r="B190" s="284">
        <v>20809859.190000009</v>
      </c>
      <c r="C190" s="194">
        <f>'Weather Data'!B286</f>
        <v>65.200000000000017</v>
      </c>
      <c r="D190" s="194">
        <f>'Weather Data'!C286</f>
        <v>10.099999999999998</v>
      </c>
      <c r="E190" s="184">
        <v>31</v>
      </c>
      <c r="F190" s="194">
        <v>0</v>
      </c>
      <c r="G190" s="184">
        <f>'CDM Activity'!U122</f>
        <v>621447.23421438015</v>
      </c>
      <c r="H190" s="187">
        <v>320</v>
      </c>
      <c r="I190" s="184">
        <v>149.34537472335285</v>
      </c>
      <c r="J190" s="197">
        <v>491.1015625</v>
      </c>
      <c r="K190" s="194">
        <f t="shared" si="3"/>
        <v>20096011.457624536</v>
      </c>
      <c r="L190" s="194">
        <f t="shared" si="4"/>
        <v>-713847.73237547278</v>
      </c>
      <c r="M190" s="37">
        <f t="shared" si="5"/>
        <v>3.4303342750080013E-2</v>
      </c>
    </row>
    <row r="191" spans="1:13">
      <c r="A191" s="183">
        <v>41883</v>
      </c>
      <c r="B191" s="284">
        <v>19978896.649999991</v>
      </c>
      <c r="C191" s="194">
        <f>'Weather Data'!B287</f>
        <v>196.5</v>
      </c>
      <c r="D191" s="194">
        <f>'Weather Data'!C287</f>
        <v>0</v>
      </c>
      <c r="E191" s="184">
        <v>30</v>
      </c>
      <c r="F191" s="194">
        <v>1</v>
      </c>
      <c r="G191" s="184">
        <f>'CDM Activity'!U123</f>
        <v>643590.0089916148</v>
      </c>
      <c r="H191" s="187">
        <v>336</v>
      </c>
      <c r="I191" s="184">
        <v>149.67731382949896</v>
      </c>
      <c r="J191" s="197">
        <v>490.05078125</v>
      </c>
      <c r="K191" s="194">
        <f t="shared" si="3"/>
        <v>19680529.223605219</v>
      </c>
      <c r="L191" s="194">
        <f t="shared" si="4"/>
        <v>-298367.42639477178</v>
      </c>
      <c r="M191" s="37">
        <f t="shared" si="5"/>
        <v>1.4934129327645925E-2</v>
      </c>
    </row>
    <row r="192" spans="1:13">
      <c r="A192" s="183">
        <v>41913</v>
      </c>
      <c r="B192" s="284">
        <v>21777286.870000001</v>
      </c>
      <c r="C192" s="194">
        <f>'Weather Data'!B288</f>
        <v>382.59999999999997</v>
      </c>
      <c r="D192" s="194">
        <f>'Weather Data'!C288</f>
        <v>0</v>
      </c>
      <c r="E192" s="184">
        <v>31</v>
      </c>
      <c r="F192" s="194">
        <v>1</v>
      </c>
      <c r="G192" s="184">
        <f>'CDM Activity'!U124</f>
        <v>665732.78376884945</v>
      </c>
      <c r="H192" s="187">
        <v>352</v>
      </c>
      <c r="I192" s="184">
        <v>150.00999071256246</v>
      </c>
      <c r="J192" s="197">
        <v>488.525390625</v>
      </c>
      <c r="K192" s="194">
        <f t="shared" si="3"/>
        <v>21836697.534249648</v>
      </c>
      <c r="L192" s="194">
        <f t="shared" si="4"/>
        <v>59410.664249647409</v>
      </c>
      <c r="M192" s="37">
        <f t="shared" si="5"/>
        <v>2.7281022013578042E-3</v>
      </c>
    </row>
    <row r="193" spans="1:13">
      <c r="A193" s="183">
        <v>41944</v>
      </c>
      <c r="B193" s="284">
        <v>24141227.480000012</v>
      </c>
      <c r="C193" s="194">
        <f>'Weather Data'!B289</f>
        <v>647.79999999999995</v>
      </c>
      <c r="D193" s="194">
        <f>'Weather Data'!C289</f>
        <v>0</v>
      </c>
      <c r="E193" s="184">
        <v>30</v>
      </c>
      <c r="F193" s="194">
        <v>1</v>
      </c>
      <c r="G193" s="184">
        <f>'CDM Activity'!U125</f>
        <v>687875.5585460841</v>
      </c>
      <c r="H193" s="187">
        <v>304</v>
      </c>
      <c r="I193" s="184">
        <v>150.34340701234646</v>
      </c>
      <c r="J193" s="197">
        <v>487.7626953125</v>
      </c>
      <c r="K193" s="194">
        <f t="shared" si="3"/>
        <v>23197063.477474395</v>
      </c>
      <c r="L193" s="194">
        <f t="shared" si="4"/>
        <v>-944164.00252561644</v>
      </c>
      <c r="M193" s="37">
        <f t="shared" si="5"/>
        <v>3.91100246790606E-2</v>
      </c>
    </row>
    <row r="194" spans="1:13">
      <c r="A194" s="183">
        <v>41974</v>
      </c>
      <c r="B194" s="284">
        <v>26134928.269999992</v>
      </c>
      <c r="C194" s="194">
        <f>'Weather Data'!B290</f>
        <v>780.59999999999991</v>
      </c>
      <c r="D194" s="194">
        <f>'Weather Data'!C290</f>
        <v>0</v>
      </c>
      <c r="E194" s="184">
        <v>31</v>
      </c>
      <c r="F194" s="194">
        <v>0</v>
      </c>
      <c r="G194" s="184">
        <f>'CDM Activity'!U126</f>
        <v>710018.33332331874</v>
      </c>
      <c r="H194" s="187">
        <v>336</v>
      </c>
      <c r="I194" s="184">
        <v>150.67756437229883</v>
      </c>
      <c r="J194" s="197">
        <v>487.38134765625</v>
      </c>
      <c r="K194" s="194">
        <f t="shared" si="3"/>
        <v>25717681.283287924</v>
      </c>
      <c r="L194" s="194">
        <f t="shared" si="4"/>
        <v>-417246.98671206832</v>
      </c>
      <c r="M194" s="37">
        <f t="shared" si="5"/>
        <v>1.5965109312774419E-2</v>
      </c>
    </row>
    <row r="195" spans="1:13">
      <c r="A195" s="183">
        <v>42005</v>
      </c>
      <c r="B195" s="284">
        <v>27731660.080000002</v>
      </c>
      <c r="C195" s="194">
        <f>'Weather Data'!B291</f>
        <v>979.49999999999989</v>
      </c>
      <c r="D195" s="194">
        <f>'Weather Data'!C291</f>
        <v>0</v>
      </c>
      <c r="E195" s="184">
        <v>31</v>
      </c>
      <c r="F195" s="194">
        <v>0</v>
      </c>
      <c r="G195" s="184">
        <f>'CDM Activity'!U127</f>
        <v>716160.79911465605</v>
      </c>
      <c r="H195" s="187">
        <v>336</v>
      </c>
      <c r="I195" s="184">
        <v>150.98793548444445</v>
      </c>
      <c r="J195" s="197">
        <v>487.190673828125</v>
      </c>
      <c r="K195" s="194">
        <f t="shared" si="3"/>
        <v>27423463.707016051</v>
      </c>
      <c r="L195" s="194">
        <f t="shared" si="4"/>
        <v>-308196.37298395112</v>
      </c>
      <c r="M195" s="37">
        <f t="shared" si="5"/>
        <v>1.1113520506701346E-2</v>
      </c>
    </row>
    <row r="196" spans="1:13">
      <c r="A196" s="183">
        <v>42036</v>
      </c>
      <c r="B196" s="284">
        <v>25715487.790000014</v>
      </c>
      <c r="C196" s="194">
        <f>'Weather Data'!B292</f>
        <v>1053.3</v>
      </c>
      <c r="D196" s="194">
        <f>'Weather Data'!C292</f>
        <v>0</v>
      </c>
      <c r="E196" s="184">
        <v>28</v>
      </c>
      <c r="F196" s="194">
        <v>0</v>
      </c>
      <c r="G196" s="184">
        <f>'CDM Activity'!U128</f>
        <v>722303.26490599336</v>
      </c>
      <c r="H196" s="187">
        <v>304</v>
      </c>
      <c r="I196" s="184">
        <v>151.298945910264</v>
      </c>
      <c r="J196" s="197">
        <v>487.5953369140625</v>
      </c>
      <c r="K196" s="194">
        <f t="shared" si="3"/>
        <v>26344438.076081447</v>
      </c>
      <c r="L196" s="194">
        <f t="shared" si="4"/>
        <v>628950.2860814333</v>
      </c>
      <c r="M196" s="37">
        <f t="shared" si="5"/>
        <v>2.4458034442808169E-2</v>
      </c>
    </row>
    <row r="197" spans="1:13">
      <c r="A197" s="183">
        <v>42064</v>
      </c>
      <c r="B197" s="284">
        <v>25051564.360000011</v>
      </c>
      <c r="C197" s="194">
        <f>'Weather Data'!B293</f>
        <v>710.39999999999986</v>
      </c>
      <c r="D197" s="194">
        <f>'Weather Data'!C293</f>
        <v>0</v>
      </c>
      <c r="E197" s="184">
        <v>31</v>
      </c>
      <c r="F197" s="194">
        <v>1</v>
      </c>
      <c r="G197" s="184">
        <f>'CDM Activity'!U129</f>
        <v>728445.73069733067</v>
      </c>
      <c r="H197" s="187">
        <v>352</v>
      </c>
      <c r="I197" s="184">
        <v>151.61059696663892</v>
      </c>
      <c r="J197" s="197">
        <v>486.79766845703125</v>
      </c>
      <c r="K197" s="194">
        <f t="shared" si="3"/>
        <v>24487304.901241362</v>
      </c>
      <c r="L197" s="194">
        <f t="shared" si="4"/>
        <v>-564259.45875864848</v>
      </c>
      <c r="M197" s="37">
        <f t="shared" si="5"/>
        <v>2.2523921087323595E-2</v>
      </c>
    </row>
    <row r="198" spans="1:13">
      <c r="A198" s="183">
        <v>42095</v>
      </c>
      <c r="B198" s="284">
        <v>21377518.080000013</v>
      </c>
      <c r="C198" s="194">
        <f>'Weather Data'!B294</f>
        <v>432.09999999999997</v>
      </c>
      <c r="D198" s="194">
        <f>'Weather Data'!C294</f>
        <v>0</v>
      </c>
      <c r="E198" s="184">
        <v>30</v>
      </c>
      <c r="F198" s="194">
        <v>1</v>
      </c>
      <c r="G198" s="184">
        <f>'CDM Activity'!U130</f>
        <v>734588.19648866798</v>
      </c>
      <c r="H198" s="187">
        <v>336</v>
      </c>
      <c r="I198" s="184">
        <v>151.92288997316331</v>
      </c>
      <c r="J198" s="197">
        <v>485.89883422851563</v>
      </c>
      <c r="K198" s="194">
        <f t="shared" si="3"/>
        <v>21445329.638635956</v>
      </c>
      <c r="L198" s="194">
        <f t="shared" si="4"/>
        <v>67811.558635942638</v>
      </c>
      <c r="M198" s="37">
        <f t="shared" si="5"/>
        <v>3.1720968908633285E-3</v>
      </c>
    </row>
    <row r="199" spans="1:13">
      <c r="A199" s="183">
        <v>42125</v>
      </c>
      <c r="B199" s="284">
        <v>20280334.619999997</v>
      </c>
      <c r="C199" s="194">
        <f>'Weather Data'!B295</f>
        <v>276</v>
      </c>
      <c r="D199" s="194">
        <f>'Weather Data'!C295</f>
        <v>0</v>
      </c>
      <c r="E199" s="184">
        <v>31</v>
      </c>
      <c r="F199" s="194">
        <v>1</v>
      </c>
      <c r="G199" s="184">
        <f>'CDM Activity'!U131</f>
        <v>740730.66228000529</v>
      </c>
      <c r="H199" s="187">
        <v>320</v>
      </c>
      <c r="I199" s="184">
        <v>152.23582625214937</v>
      </c>
      <c r="J199" s="197">
        <v>478.94941711425781</v>
      </c>
      <c r="K199" s="194">
        <f t="shared" si="3"/>
        <v>20422202.424567133</v>
      </c>
      <c r="L199" s="194">
        <f t="shared" si="4"/>
        <v>141867.80456713587</v>
      </c>
      <c r="M199" s="37">
        <f t="shared" si="5"/>
        <v>6.9953384510346847E-3</v>
      </c>
    </row>
    <row r="200" spans="1:13">
      <c r="A200" s="183">
        <v>42156</v>
      </c>
      <c r="B200" s="284">
        <v>19371535.930000011</v>
      </c>
      <c r="C200" s="194">
        <f>'Weather Data'!B296</f>
        <v>118.60000000000004</v>
      </c>
      <c r="D200" s="194">
        <f>'Weather Data'!C296</f>
        <v>0</v>
      </c>
      <c r="E200" s="184">
        <v>30</v>
      </c>
      <c r="F200" s="194">
        <v>0</v>
      </c>
      <c r="G200" s="184">
        <f>'CDM Activity'!U132</f>
        <v>746873.12807134259</v>
      </c>
      <c r="H200" s="187">
        <v>352</v>
      </c>
      <c r="I200" s="184">
        <v>152.54940712863302</v>
      </c>
      <c r="J200" s="197">
        <v>469.47470855712891</v>
      </c>
      <c r="K200" s="194">
        <f t="shared" si="3"/>
        <v>19516215.473606996</v>
      </c>
      <c r="L200" s="194">
        <f t="shared" si="4"/>
        <v>144679.54360698536</v>
      </c>
      <c r="M200" s="37">
        <f t="shared" si="5"/>
        <v>7.468666611144926E-3</v>
      </c>
    </row>
    <row r="201" spans="1:13">
      <c r="A201" s="183">
        <v>42186</v>
      </c>
      <c r="B201" s="284">
        <v>20675017.580000002</v>
      </c>
      <c r="C201" s="194">
        <f>'Weather Data'!B297</f>
        <v>31.7</v>
      </c>
      <c r="D201" s="194">
        <f>'Weather Data'!C297</f>
        <v>38.000000000000007</v>
      </c>
      <c r="E201" s="184">
        <v>31</v>
      </c>
      <c r="F201" s="194">
        <v>0</v>
      </c>
      <c r="G201" s="184">
        <f>'CDM Activity'!U133</f>
        <v>753015.5938626799</v>
      </c>
      <c r="H201" s="187">
        <v>352</v>
      </c>
      <c r="I201" s="184">
        <v>152.86363393037959</v>
      </c>
      <c r="J201" s="197">
        <v>463.73735427856445</v>
      </c>
      <c r="K201" s="194">
        <f t="shared" si="3"/>
        <v>20883552.370657545</v>
      </c>
      <c r="L201" s="194">
        <f t="shared" si="4"/>
        <v>208534.79065754265</v>
      </c>
      <c r="M201" s="37">
        <f t="shared" si="5"/>
        <v>1.0086317452966473E-2</v>
      </c>
    </row>
    <row r="202" spans="1:13">
      <c r="A202" s="183">
        <v>42217</v>
      </c>
      <c r="B202" s="284">
        <v>20614734.829999994</v>
      </c>
      <c r="C202" s="194">
        <f>'Weather Data'!B298</f>
        <v>50.7</v>
      </c>
      <c r="D202" s="194">
        <f>'Weather Data'!C298</f>
        <v>35.4</v>
      </c>
      <c r="E202" s="184">
        <v>31</v>
      </c>
      <c r="F202" s="194">
        <v>0</v>
      </c>
      <c r="G202" s="184">
        <f>'CDM Activity'!U134</f>
        <v>759158.05965401721</v>
      </c>
      <c r="H202" s="187">
        <v>320</v>
      </c>
      <c r="I202" s="184">
        <v>153.17850798788936</v>
      </c>
      <c r="J202" s="197">
        <v>460.86867713928223</v>
      </c>
      <c r="K202" s="194">
        <f t="shared" si="3"/>
        <v>20654802.888276096</v>
      </c>
      <c r="L202" s="194">
        <f t="shared" si="4"/>
        <v>40068.058276101947</v>
      </c>
      <c r="M202" s="37">
        <f t="shared" si="5"/>
        <v>1.9436611048613695E-3</v>
      </c>
    </row>
    <row r="203" spans="1:13">
      <c r="A203" s="183">
        <v>42248</v>
      </c>
      <c r="B203" s="284">
        <v>19939072.719999995</v>
      </c>
      <c r="C203" s="194">
        <f>'Weather Data'!B299</f>
        <v>106.20000000000002</v>
      </c>
      <c r="D203" s="194">
        <f>'Weather Data'!C299</f>
        <v>15.8</v>
      </c>
      <c r="E203" s="184">
        <v>30</v>
      </c>
      <c r="F203" s="194">
        <v>1</v>
      </c>
      <c r="G203" s="184">
        <f>'CDM Activity'!U135</f>
        <v>765300.52544535452</v>
      </c>
      <c r="H203" s="187">
        <v>336</v>
      </c>
      <c r="I203" s="184">
        <v>153.4940306344032</v>
      </c>
      <c r="J203" s="197">
        <v>459.93433856964111</v>
      </c>
      <c r="K203" s="194">
        <f t="shared" si="3"/>
        <v>19216001.817919411</v>
      </c>
      <c r="L203" s="194">
        <f t="shared" si="4"/>
        <v>-723070.90208058432</v>
      </c>
      <c r="M203" s="37">
        <f t="shared" si="5"/>
        <v>3.6264018504496655E-2</v>
      </c>
    </row>
    <row r="204" spans="1:13">
      <c r="A204" s="183">
        <v>42278</v>
      </c>
      <c r="B204" s="284">
        <v>20726132.169999994</v>
      </c>
      <c r="C204" s="194">
        <f>'Weather Data'!B300</f>
        <v>345.9</v>
      </c>
      <c r="D204" s="194">
        <f>'Weather Data'!C300</f>
        <v>0</v>
      </c>
      <c r="E204" s="184">
        <v>31</v>
      </c>
      <c r="F204" s="194">
        <v>1</v>
      </c>
      <c r="G204" s="184">
        <f>'CDM Activity'!U136</f>
        <v>771442.99123669183</v>
      </c>
      <c r="H204" s="187">
        <v>336</v>
      </c>
      <c r="I204" s="184">
        <v>153.81020320590829</v>
      </c>
      <c r="J204" s="197">
        <v>459.46716928482056</v>
      </c>
      <c r="K204" s="194">
        <f t="shared" si="3"/>
        <v>21065032.11072569</v>
      </c>
      <c r="L204" s="194">
        <f t="shared" si="4"/>
        <v>338899.94072569534</v>
      </c>
      <c r="M204" s="37">
        <f t="shared" si="5"/>
        <v>1.6351335499839931E-2</v>
      </c>
    </row>
    <row r="205" spans="1:13">
      <c r="A205" s="183">
        <v>42309</v>
      </c>
      <c r="B205" s="284">
        <v>21470151.140000004</v>
      </c>
      <c r="C205" s="194">
        <f>'Weather Data'!B301</f>
        <v>469.10000000000008</v>
      </c>
      <c r="D205" s="194">
        <f>'Weather Data'!C301</f>
        <v>0</v>
      </c>
      <c r="E205" s="184">
        <v>30</v>
      </c>
      <c r="F205" s="194">
        <v>1</v>
      </c>
      <c r="G205" s="184">
        <f>'CDM Activity'!U137</f>
        <v>777585.45702802914</v>
      </c>
      <c r="H205" s="187">
        <v>320</v>
      </c>
      <c r="I205" s="184">
        <v>154.12702704114372</v>
      </c>
      <c r="J205" s="197">
        <v>459.73358464241028</v>
      </c>
      <c r="K205" s="194">
        <f t="shared" si="3"/>
        <v>21504225.686757371</v>
      </c>
      <c r="L205" s="194">
        <f t="shared" si="4"/>
        <v>34074.546757366508</v>
      </c>
      <c r="M205" s="37">
        <f t="shared" si="5"/>
        <v>1.5870659938617695E-3</v>
      </c>
    </row>
    <row r="206" spans="1:13">
      <c r="A206" s="183">
        <v>42339</v>
      </c>
      <c r="B206" s="284">
        <v>23595138.619999997</v>
      </c>
      <c r="C206" s="194">
        <f>'Weather Data'!B302</f>
        <v>564.90000000000009</v>
      </c>
      <c r="D206" s="194">
        <f>'Weather Data'!C302</f>
        <v>0</v>
      </c>
      <c r="E206" s="184">
        <v>31</v>
      </c>
      <c r="F206" s="194">
        <v>0</v>
      </c>
      <c r="G206" s="184">
        <f>'CDM Activity'!U138</f>
        <v>783727.92281936645</v>
      </c>
      <c r="H206" s="187">
        <v>352</v>
      </c>
      <c r="I206" s="184">
        <v>154.44450348160629</v>
      </c>
      <c r="J206" s="197">
        <v>459.86679232120514</v>
      </c>
      <c r="K206" s="194">
        <f t="shared" si="3"/>
        <v>23752910.241024878</v>
      </c>
      <c r="L206" s="194">
        <f t="shared" si="4"/>
        <v>157771.62102488056</v>
      </c>
      <c r="M206" s="37">
        <f t="shared" si="5"/>
        <v>6.6866155594927619E-3</v>
      </c>
    </row>
    <row r="207" spans="1:13">
      <c r="A207" s="183">
        <v>42370</v>
      </c>
      <c r="B207" s="189"/>
      <c r="C207" s="192">
        <f>'Weather Analysis - Thunder Bay'!Z8</f>
        <v>960.98000000000013</v>
      </c>
      <c r="D207" s="190">
        <f>'Weather Analysis - Thunder Bay'!Z28</f>
        <v>0</v>
      </c>
      <c r="E207" s="184">
        <v>31</v>
      </c>
      <c r="F207" s="184">
        <v>0</v>
      </c>
      <c r="G207" s="184">
        <f>'CDM Activity'!U139</f>
        <v>786816.36282233149</v>
      </c>
      <c r="H207" s="187">
        <v>320</v>
      </c>
      <c r="I207" s="193">
        <v>154.72483615659849</v>
      </c>
      <c r="J207" s="197"/>
      <c r="K207" s="194">
        <f t="shared" si="3"/>
        <v>26916498.308359865</v>
      </c>
      <c r="L207" s="194"/>
      <c r="M207" s="300">
        <f>AVERAGE(M87:M206)</f>
        <v>1.6168744017569913E-2</v>
      </c>
    </row>
    <row r="208" spans="1:13">
      <c r="A208" s="183">
        <v>42401</v>
      </c>
      <c r="B208" s="189"/>
      <c r="C208" s="192">
        <f>'Weather Analysis - Thunder Bay'!Z9</f>
        <v>875.5899999999998</v>
      </c>
      <c r="D208" s="190">
        <f>'Weather Analysis - Thunder Bay'!Z29</f>
        <v>0</v>
      </c>
      <c r="E208" s="184">
        <v>29</v>
      </c>
      <c r="F208" s="184">
        <v>0</v>
      </c>
      <c r="G208" s="184">
        <f>'CDM Activity'!U140</f>
        <v>789904.80282529653</v>
      </c>
      <c r="H208" s="187">
        <v>320</v>
      </c>
      <c r="I208" s="184">
        <v>155.00567766425806</v>
      </c>
      <c r="J208" s="197"/>
      <c r="K208" s="194">
        <f t="shared" si="3"/>
        <v>25207374.552481934</v>
      </c>
      <c r="L208" s="316"/>
      <c r="M208" s="37"/>
    </row>
    <row r="209" spans="1:13">
      <c r="A209" s="183">
        <v>42430</v>
      </c>
      <c r="B209" s="189"/>
      <c r="C209" s="192">
        <f>'Weather Analysis - Thunder Bay'!Z10</f>
        <v>702.91</v>
      </c>
      <c r="D209" s="190">
        <f>'Weather Analysis - Thunder Bay'!Z30</f>
        <v>0</v>
      </c>
      <c r="E209" s="184">
        <v>31</v>
      </c>
      <c r="F209" s="184">
        <v>1</v>
      </c>
      <c r="G209" s="184">
        <f>'CDM Activity'!U141</f>
        <v>792993.24282826157</v>
      </c>
      <c r="H209" s="187">
        <v>352</v>
      </c>
      <c r="I209" s="184">
        <v>155.2870289281687</v>
      </c>
      <c r="J209" s="197"/>
      <c r="K209" s="194">
        <f t="shared" si="3"/>
        <v>24225207.594024926</v>
      </c>
      <c r="L209" s="316"/>
      <c r="M209" s="37"/>
    </row>
    <row r="210" spans="1:13">
      <c r="A210" s="183">
        <v>42461</v>
      </c>
      <c r="B210" s="189"/>
      <c r="C210" s="192">
        <f>'Weather Analysis - Thunder Bay'!Z11</f>
        <v>450.5200000000001</v>
      </c>
      <c r="D210" s="190">
        <f>'Weather Analysis - Thunder Bay'!Z31</f>
        <v>0</v>
      </c>
      <c r="E210" s="184">
        <v>30</v>
      </c>
      <c r="F210" s="184">
        <v>1</v>
      </c>
      <c r="G210" s="184">
        <f>'CDM Activity'!U142</f>
        <v>796081.68283122662</v>
      </c>
      <c r="H210" s="187">
        <v>336</v>
      </c>
      <c r="I210" s="184">
        <v>155.56889087359048</v>
      </c>
      <c r="J210" s="197"/>
      <c r="K210" s="194">
        <f t="shared" si="3"/>
        <v>21417210.916822713</v>
      </c>
      <c r="L210" s="316"/>
      <c r="M210" s="37"/>
    </row>
    <row r="211" spans="1:13">
      <c r="A211" s="183">
        <v>42491</v>
      </c>
      <c r="B211" s="189"/>
      <c r="C211" s="192">
        <f>'Weather Analysis - Thunder Bay'!Z12</f>
        <v>271.46000000000004</v>
      </c>
      <c r="D211" s="190">
        <f>'Weather Analysis - Thunder Bay'!Z32</f>
        <v>0.47000000000000003</v>
      </c>
      <c r="E211" s="184">
        <v>31</v>
      </c>
      <c r="F211" s="184">
        <v>1</v>
      </c>
      <c r="G211" s="184">
        <f>'CDM Activity'!U143</f>
        <v>799170.12283419166</v>
      </c>
      <c r="H211" s="187">
        <v>336</v>
      </c>
      <c r="I211" s="184">
        <v>155.85126442746289</v>
      </c>
      <c r="J211" s="197"/>
      <c r="K211" s="194">
        <f t="shared" si="3"/>
        <v>20355446.591967452</v>
      </c>
      <c r="L211" s="316"/>
      <c r="M211" s="37"/>
    </row>
    <row r="212" spans="1:13">
      <c r="A212" s="183">
        <v>42522</v>
      </c>
      <c r="B212" s="189"/>
      <c r="C212" s="192">
        <f>'Weather Analysis - Thunder Bay'!Z13</f>
        <v>109.59</v>
      </c>
      <c r="D212" s="190">
        <f>'Weather Analysis - Thunder Bay'!Z33</f>
        <v>6.7</v>
      </c>
      <c r="E212" s="184">
        <v>30</v>
      </c>
      <c r="F212" s="184">
        <v>0</v>
      </c>
      <c r="G212" s="184">
        <f>'CDM Activity'!U144</f>
        <v>802258.5628371567</v>
      </c>
      <c r="H212" s="187">
        <v>352</v>
      </c>
      <c r="I212" s="184">
        <v>156.13415051840798</v>
      </c>
      <c r="J212" s="197"/>
      <c r="K212" s="194">
        <f t="shared" si="3"/>
        <v>19561589.781992424</v>
      </c>
      <c r="L212" s="316"/>
      <c r="M212" s="37"/>
    </row>
    <row r="213" spans="1:13">
      <c r="A213" s="183">
        <v>42552</v>
      </c>
      <c r="B213" s="189"/>
      <c r="C213" s="192">
        <f>'Weather Analysis - Thunder Bay'!Z14</f>
        <v>36.33</v>
      </c>
      <c r="D213" s="190">
        <f>'Weather Analysis - Thunder Bay'!Z34</f>
        <v>40.369999999999997</v>
      </c>
      <c r="E213" s="184">
        <v>31</v>
      </c>
      <c r="F213" s="184">
        <v>0</v>
      </c>
      <c r="G213" s="184">
        <f>'CDM Activity'!U145</f>
        <v>805347.00284012174</v>
      </c>
      <c r="H213" s="187">
        <v>320</v>
      </c>
      <c r="I213" s="184">
        <v>156.41755007673331</v>
      </c>
      <c r="J213" s="197"/>
      <c r="K213" s="194">
        <f t="shared" si="3"/>
        <v>20606224.958219532</v>
      </c>
      <c r="L213" s="316"/>
      <c r="M213" s="37"/>
    </row>
    <row r="214" spans="1:13">
      <c r="A214" s="183">
        <v>42583</v>
      </c>
      <c r="B214" s="189"/>
      <c r="C214" s="192">
        <f>'Weather Analysis - Thunder Bay'!Z15</f>
        <v>51.55</v>
      </c>
      <c r="D214" s="190">
        <f>'Weather Analysis - Thunder Bay'!Z35</f>
        <v>29.669999999999998</v>
      </c>
      <c r="E214" s="184">
        <v>31</v>
      </c>
      <c r="F214" s="184">
        <v>0</v>
      </c>
      <c r="G214" s="184">
        <f>'CDM Activity'!U146</f>
        <v>808435.44284308678</v>
      </c>
      <c r="H214" s="187">
        <v>352</v>
      </c>
      <c r="I214" s="184">
        <v>156.70146403443502</v>
      </c>
      <c r="J214" s="197"/>
      <c r="K214" s="194">
        <f t="shared" si="3"/>
        <v>20522517.383156035</v>
      </c>
      <c r="L214" s="316"/>
      <c r="M214" s="37"/>
    </row>
    <row r="215" spans="1:13">
      <c r="A215" s="183">
        <v>42614</v>
      </c>
      <c r="B215" s="189"/>
      <c r="C215" s="192">
        <f>'Weather Analysis - Thunder Bay'!Z16</f>
        <v>176.97</v>
      </c>
      <c r="D215" s="190">
        <f>'Weather Analysis - Thunder Bay'!Z36</f>
        <v>5.05</v>
      </c>
      <c r="E215" s="184">
        <v>30</v>
      </c>
      <c r="F215" s="184">
        <v>1</v>
      </c>
      <c r="G215" s="184">
        <f>'CDM Activity'!U147</f>
        <v>811523.88284605183</v>
      </c>
      <c r="H215" s="187">
        <v>336</v>
      </c>
      <c r="I215" s="184">
        <v>156.98589332520095</v>
      </c>
      <c r="J215" s="197"/>
      <c r="K215" s="194">
        <f t="shared" si="3"/>
        <v>19218844.959133551</v>
      </c>
      <c r="L215" s="316"/>
      <c r="M215" s="37"/>
    </row>
    <row r="216" spans="1:13">
      <c r="A216" s="183">
        <v>42644</v>
      </c>
      <c r="B216" s="189"/>
      <c r="C216" s="192">
        <f>'Weather Analysis - Thunder Bay'!Z17</f>
        <v>372.15</v>
      </c>
      <c r="D216" s="190">
        <f>'Weather Analysis - Thunder Bay'!Z37</f>
        <v>0.54</v>
      </c>
      <c r="E216" s="184">
        <v>31</v>
      </c>
      <c r="F216" s="184">
        <v>1</v>
      </c>
      <c r="G216" s="184">
        <f>'CDM Activity'!U148</f>
        <v>814612.32284901687</v>
      </c>
      <c r="H216" s="187">
        <v>320</v>
      </c>
      <c r="I216" s="184">
        <v>157.27083888441365</v>
      </c>
      <c r="J216" s="197"/>
      <c r="K216" s="194">
        <f t="shared" ref="K216:K230" si="6">$O$103+C216*$O$104+D216*$O$105+E216*$O$106+F216*$O$107+G216*$O$108+H216*$O$109</f>
        <v>21053783.674519978</v>
      </c>
      <c r="L216" s="316"/>
      <c r="M216" s="37"/>
    </row>
    <row r="217" spans="1:13">
      <c r="A217" s="183">
        <v>42675</v>
      </c>
      <c r="B217" s="189"/>
      <c r="C217" s="192">
        <f>'Weather Analysis - Thunder Bay'!Z18</f>
        <v>567.61000000000013</v>
      </c>
      <c r="D217" s="190">
        <f>'Weather Analysis - Thunder Bay'!Z38</f>
        <v>0</v>
      </c>
      <c r="E217" s="184">
        <v>30</v>
      </c>
      <c r="F217" s="184">
        <v>1</v>
      </c>
      <c r="G217" s="184">
        <f>'CDM Activity'!U149</f>
        <v>817700.76285198191</v>
      </c>
      <c r="H217" s="187">
        <v>336</v>
      </c>
      <c r="I217" s="184">
        <v>157.55630164915351</v>
      </c>
      <c r="J217" s="197"/>
      <c r="K217" s="194">
        <f t="shared" si="6"/>
        <v>22366394.999466717</v>
      </c>
      <c r="L217" s="316"/>
      <c r="M217" s="37"/>
    </row>
    <row r="218" spans="1:13">
      <c r="A218" s="183">
        <v>42705</v>
      </c>
      <c r="B218" s="189"/>
      <c r="C218" s="192">
        <f>'Weather Analysis - Thunder Bay'!Z19</f>
        <v>852.28999999999974</v>
      </c>
      <c r="D218" s="190">
        <f>'Weather Analysis - Thunder Bay'!Z39</f>
        <v>0</v>
      </c>
      <c r="E218" s="184">
        <v>31</v>
      </c>
      <c r="F218" s="184">
        <v>0</v>
      </c>
      <c r="G218" s="184">
        <f>'CDM Activity'!U150</f>
        <v>820789.20285494695</v>
      </c>
      <c r="H218" s="187">
        <v>336</v>
      </c>
      <c r="I218" s="184">
        <v>157.84228255820162</v>
      </c>
      <c r="J218" s="197"/>
      <c r="K218" s="194">
        <f t="shared" si="6"/>
        <v>26000920.810390424</v>
      </c>
      <c r="L218" s="316"/>
      <c r="M218" s="37"/>
    </row>
    <row r="219" spans="1:13">
      <c r="A219" s="183">
        <v>42736</v>
      </c>
      <c r="B219" s="189"/>
      <c r="C219" s="190">
        <f>C207</f>
        <v>960.98000000000013</v>
      </c>
      <c r="D219" s="190">
        <f>D207</f>
        <v>0</v>
      </c>
      <c r="E219" s="184">
        <v>31</v>
      </c>
      <c r="F219" s="184">
        <v>0</v>
      </c>
      <c r="G219" s="184">
        <f>'CDM Activity'!U151</f>
        <v>818175.90746782266</v>
      </c>
      <c r="H219" s="187">
        <v>336</v>
      </c>
      <c r="I219" s="184">
        <v>158.15454692394951</v>
      </c>
      <c r="J219" s="184"/>
      <c r="K219" s="194">
        <f t="shared" si="6"/>
        <v>26951289.594728895</v>
      </c>
      <c r="L219" s="316"/>
      <c r="M219" s="37"/>
    </row>
    <row r="220" spans="1:13">
      <c r="A220" s="183">
        <v>42767</v>
      </c>
      <c r="B220" s="189"/>
      <c r="C220" s="190">
        <f t="shared" ref="C220:D230" si="7">C208</f>
        <v>875.5899999999998</v>
      </c>
      <c r="D220" s="190">
        <f t="shared" si="7"/>
        <v>0</v>
      </c>
      <c r="E220" s="184">
        <v>28</v>
      </c>
      <c r="F220" s="184">
        <v>0</v>
      </c>
      <c r="G220" s="184">
        <f>'CDM Activity'!U152</f>
        <v>815562.61208069837</v>
      </c>
      <c r="H220" s="187">
        <v>304</v>
      </c>
      <c r="I220" s="184">
        <v>158.46742905214063</v>
      </c>
      <c r="J220" s="184"/>
      <c r="K220" s="194">
        <f t="shared" si="6"/>
        <v>24518765.575988218</v>
      </c>
      <c r="L220" s="316"/>
      <c r="M220" s="37"/>
    </row>
    <row r="221" spans="1:13">
      <c r="A221" s="183">
        <v>42795</v>
      </c>
      <c r="B221" s="189"/>
      <c r="C221" s="190">
        <f t="shared" si="7"/>
        <v>702.91</v>
      </c>
      <c r="D221" s="190">
        <f t="shared" si="7"/>
        <v>0</v>
      </c>
      <c r="E221" s="184">
        <v>31</v>
      </c>
      <c r="F221" s="184">
        <v>1</v>
      </c>
      <c r="G221" s="184">
        <f>'CDM Activity'!U153</f>
        <v>812949.31669357407</v>
      </c>
      <c r="H221" s="187">
        <v>368</v>
      </c>
      <c r="I221" s="184">
        <v>158.78093016491388</v>
      </c>
      <c r="J221" s="184"/>
      <c r="K221" s="194">
        <f t="shared" si="6"/>
        <v>24294830.000135958</v>
      </c>
      <c r="L221" s="316"/>
      <c r="M221" s="37"/>
    </row>
    <row r="222" spans="1:13">
      <c r="A222" s="183">
        <v>42826</v>
      </c>
      <c r="B222" s="189"/>
      <c r="C222" s="190">
        <f t="shared" si="7"/>
        <v>450.5200000000001</v>
      </c>
      <c r="D222" s="190">
        <f t="shared" si="7"/>
        <v>0</v>
      </c>
      <c r="E222" s="184">
        <v>30</v>
      </c>
      <c r="F222" s="184">
        <v>1</v>
      </c>
      <c r="G222" s="184">
        <f>'CDM Activity'!U154</f>
        <v>810336.02130644978</v>
      </c>
      <c r="H222" s="187">
        <v>304</v>
      </c>
      <c r="I222" s="184">
        <v>159.09505148682601</v>
      </c>
      <c r="J222" s="184"/>
      <c r="K222" s="194">
        <f t="shared" si="6"/>
        <v>21112518.28582615</v>
      </c>
      <c r="L222" s="316"/>
      <c r="M222" s="37"/>
    </row>
    <row r="223" spans="1:13">
      <c r="A223" s="183">
        <v>42856</v>
      </c>
      <c r="B223" s="189"/>
      <c r="C223" s="190">
        <f t="shared" si="7"/>
        <v>271.46000000000004</v>
      </c>
      <c r="D223" s="190">
        <f t="shared" si="7"/>
        <v>0.47000000000000003</v>
      </c>
      <c r="E223" s="184">
        <v>31</v>
      </c>
      <c r="F223" s="184">
        <v>1</v>
      </c>
      <c r="G223" s="184">
        <f>'CDM Activity'!U155</f>
        <v>807722.72591932549</v>
      </c>
      <c r="H223" s="187">
        <v>352</v>
      </c>
      <c r="I223" s="184">
        <v>159.4097942448563</v>
      </c>
      <c r="J223" s="184"/>
      <c r="K223" s="194">
        <f t="shared" si="6"/>
        <v>20459900.117820483</v>
      </c>
      <c r="L223" s="316"/>
      <c r="M223" s="37"/>
    </row>
    <row r="224" spans="1:13">
      <c r="A224" s="183">
        <v>42887</v>
      </c>
      <c r="B224" s="189"/>
      <c r="C224" s="190">
        <f t="shared" si="7"/>
        <v>109.59</v>
      </c>
      <c r="D224" s="190">
        <f t="shared" si="7"/>
        <v>6.7</v>
      </c>
      <c r="E224" s="184">
        <v>30</v>
      </c>
      <c r="F224" s="184">
        <v>0</v>
      </c>
      <c r="G224" s="184">
        <f>'CDM Activity'!U156</f>
        <v>805109.43053220119</v>
      </c>
      <c r="H224" s="187">
        <v>352</v>
      </c>
      <c r="I224" s="184">
        <v>159.72515966841141</v>
      </c>
      <c r="J224" s="184"/>
      <c r="K224" s="194">
        <f t="shared" si="6"/>
        <v>19552882.002056926</v>
      </c>
      <c r="L224" s="316"/>
      <c r="M224" s="37"/>
    </row>
    <row r="225" spans="1:16">
      <c r="A225" s="183">
        <v>42917</v>
      </c>
      <c r="B225" s="189"/>
      <c r="C225" s="190">
        <f t="shared" si="7"/>
        <v>36.33</v>
      </c>
      <c r="D225" s="190">
        <f t="shared" si="7"/>
        <v>40.369999999999997</v>
      </c>
      <c r="E225" s="184">
        <v>31</v>
      </c>
      <c r="F225" s="184">
        <v>0</v>
      </c>
      <c r="G225" s="184">
        <f>'CDM Activity'!U157</f>
        <v>802496.1351450769</v>
      </c>
      <c r="H225" s="187">
        <v>320</v>
      </c>
      <c r="I225" s="184">
        <v>160.0411489893302</v>
      </c>
      <c r="J225" s="184"/>
      <c r="K225" s="194">
        <f t="shared" si="6"/>
        <v>20614932.738155033</v>
      </c>
      <c r="L225" s="316"/>
      <c r="M225" s="37"/>
    </row>
    <row r="226" spans="1:16">
      <c r="A226" s="183">
        <v>42948</v>
      </c>
      <c r="B226" s="189"/>
      <c r="C226" s="190">
        <f t="shared" si="7"/>
        <v>51.55</v>
      </c>
      <c r="D226" s="190">
        <f t="shared" si="7"/>
        <v>29.669999999999998</v>
      </c>
      <c r="E226" s="184">
        <v>31</v>
      </c>
      <c r="F226" s="184">
        <v>0</v>
      </c>
      <c r="G226" s="184">
        <f>'CDM Activity'!U158</f>
        <v>799882.83975795261</v>
      </c>
      <c r="H226" s="187">
        <v>352</v>
      </c>
      <c r="I226" s="184">
        <v>160.35776344188849</v>
      </c>
      <c r="J226" s="184"/>
      <c r="K226" s="194">
        <f t="shared" si="6"/>
        <v>20548640.722962536</v>
      </c>
      <c r="L226" s="316"/>
      <c r="M226" s="37"/>
    </row>
    <row r="227" spans="1:16">
      <c r="A227" s="183">
        <v>42979</v>
      </c>
      <c r="B227" s="189"/>
      <c r="C227" s="190">
        <f t="shared" si="7"/>
        <v>176.97</v>
      </c>
      <c r="D227" s="190">
        <f t="shared" si="7"/>
        <v>5.05</v>
      </c>
      <c r="E227" s="184">
        <v>30</v>
      </c>
      <c r="F227" s="184">
        <v>1</v>
      </c>
      <c r="G227" s="184">
        <f>'CDM Activity'!U159</f>
        <v>797269.54437082831</v>
      </c>
      <c r="H227" s="187">
        <v>320</v>
      </c>
      <c r="I227" s="184">
        <v>160.67500426280395</v>
      </c>
      <c r="J227" s="184"/>
      <c r="K227" s="194">
        <f t="shared" si="6"/>
        <v>19131806.993151523</v>
      </c>
      <c r="L227" s="316"/>
      <c r="M227" s="37"/>
    </row>
    <row r="228" spans="1:16">
      <c r="A228" s="183">
        <v>43009</v>
      </c>
      <c r="B228" s="189"/>
      <c r="C228" s="190">
        <f t="shared" si="7"/>
        <v>372.15</v>
      </c>
      <c r="D228" s="190">
        <f t="shared" si="7"/>
        <v>0.54</v>
      </c>
      <c r="E228" s="184">
        <v>31</v>
      </c>
      <c r="F228" s="184">
        <v>1</v>
      </c>
      <c r="G228" s="184">
        <f>'CDM Activity'!U160</f>
        <v>794656.24898370402</v>
      </c>
      <c r="H228" s="187">
        <v>336</v>
      </c>
      <c r="I228" s="184">
        <v>160.99287269124085</v>
      </c>
      <c r="J228" s="184"/>
      <c r="K228" s="194">
        <f t="shared" si="6"/>
        <v>21245314.999728009</v>
      </c>
      <c r="L228" s="316"/>
      <c r="M228" s="37"/>
    </row>
    <row r="229" spans="1:16">
      <c r="A229" s="183">
        <v>43040</v>
      </c>
      <c r="B229" s="189"/>
      <c r="C229" s="190">
        <f t="shared" si="7"/>
        <v>567.61000000000013</v>
      </c>
      <c r="D229" s="190">
        <f t="shared" si="7"/>
        <v>0</v>
      </c>
      <c r="E229" s="184">
        <v>30</v>
      </c>
      <c r="F229" s="184">
        <v>1</v>
      </c>
      <c r="G229" s="184">
        <f>'CDM Activity'!U161</f>
        <v>792042.95359657973</v>
      </c>
      <c r="H229" s="187">
        <v>352</v>
      </c>
      <c r="I229" s="184">
        <v>161.31136996881492</v>
      </c>
      <c r="J229" s="184"/>
      <c r="K229" s="194">
        <f t="shared" si="6"/>
        <v>22575341.884545751</v>
      </c>
      <c r="L229" s="316"/>
      <c r="M229" s="37"/>
    </row>
    <row r="230" spans="1:16">
      <c r="A230" s="183">
        <v>43070</v>
      </c>
      <c r="B230" s="189"/>
      <c r="C230" s="190">
        <f t="shared" si="7"/>
        <v>852.28999999999974</v>
      </c>
      <c r="D230" s="190">
        <f t="shared" si="7"/>
        <v>0</v>
      </c>
      <c r="E230" s="184">
        <v>31</v>
      </c>
      <c r="F230" s="184">
        <v>0</v>
      </c>
      <c r="G230" s="184">
        <f>'CDM Activity'!U162</f>
        <v>789429.65820945543</v>
      </c>
      <c r="H230" s="187">
        <v>304</v>
      </c>
      <c r="I230" s="184">
        <v>161.63049733959846</v>
      </c>
      <c r="J230" s="184"/>
      <c r="K230" s="194">
        <f t="shared" si="6"/>
        <v>25835552.658361863</v>
      </c>
      <c r="L230" s="316"/>
      <c r="M230" s="37"/>
    </row>
    <row r="231" spans="1:16">
      <c r="A231" s="2"/>
      <c r="G231" s="12"/>
      <c r="L231" s="43"/>
    </row>
    <row r="232" spans="1:16">
      <c r="A232" s="2"/>
      <c r="C232" s="11"/>
      <c r="D232"/>
      <c r="G232" s="287">
        <f>SUM(G87:G230)</f>
        <v>48687717.02442082</v>
      </c>
      <c r="H232" s="195"/>
      <c r="I232" s="37"/>
      <c r="J232" s="37"/>
      <c r="K232" s="287">
        <f>SUM(K87:K230)</f>
        <v>3409547783.4439969</v>
      </c>
    </row>
    <row r="233" spans="1:16">
      <c r="A233" s="2"/>
      <c r="N233" s="198" t="s">
        <v>309</v>
      </c>
      <c r="O233" s="201" t="s">
        <v>310</v>
      </c>
      <c r="P233" s="201"/>
    </row>
    <row r="234" spans="1:16">
      <c r="A234" s="318">
        <v>2006</v>
      </c>
      <c r="B234" s="180">
        <f>SUM(B87:B98)</f>
        <v>299216792.75999993</v>
      </c>
      <c r="C234" s="37"/>
      <c r="D234" s="37"/>
      <c r="E234" s="37"/>
      <c r="F234" s="37"/>
      <c r="G234" s="37"/>
      <c r="H234" s="37"/>
      <c r="I234" s="195"/>
      <c r="J234" s="37"/>
      <c r="K234" s="180">
        <f>SUM(K87:K98)</f>
        <v>294454682.30036104</v>
      </c>
      <c r="L234" s="290">
        <f>K234-B234</f>
        <v>-4762110.4596388936</v>
      </c>
      <c r="M234" s="300">
        <f>L234/B234</f>
        <v>-1.5915251332362736E-2</v>
      </c>
      <c r="N234" s="180">
        <f>'GS &gt; 50 kW WN'!K234</f>
        <v>296437934.544644</v>
      </c>
      <c r="O234" s="317">
        <f>N234/K234</f>
        <v>1.006735339471559</v>
      </c>
    </row>
    <row r="235" spans="1:16">
      <c r="A235" s="319">
        <v>2007</v>
      </c>
      <c r="B235" s="180">
        <f>SUM(B99:B110)</f>
        <v>298981716.29999995</v>
      </c>
      <c r="C235" s="37"/>
      <c r="D235" s="37"/>
      <c r="E235" s="37"/>
      <c r="F235" s="37"/>
      <c r="G235" s="37"/>
      <c r="H235" s="37"/>
      <c r="I235" s="195"/>
      <c r="J235" s="37"/>
      <c r="K235" s="180">
        <f>SUM(K99:K110)</f>
        <v>297089508.56945634</v>
      </c>
      <c r="L235" s="290">
        <f t="shared" ref="L235:L243" si="8">K235-B235</f>
        <v>-1892207.7305436134</v>
      </c>
      <c r="M235" s="300">
        <f t="shared" ref="M235:M243" si="9">L235/B235</f>
        <v>-6.328840953755719E-3</v>
      </c>
      <c r="N235" s="180">
        <f>'GS &gt; 50 kW WN'!K235</f>
        <v>296563680.06627411</v>
      </c>
      <c r="O235" s="317">
        <f t="shared" ref="O235:O243" si="10">N235/K235</f>
        <v>0.99823006707401352</v>
      </c>
    </row>
    <row r="236" spans="1:16">
      <c r="A236" s="318">
        <v>2008</v>
      </c>
      <c r="B236" s="180">
        <f>SUM(B111:B122)</f>
        <v>297548976.91999996</v>
      </c>
      <c r="C236" s="37"/>
      <c r="D236" s="37"/>
      <c r="E236" s="37"/>
      <c r="F236" s="37"/>
      <c r="G236" s="37"/>
      <c r="H236" s="37"/>
      <c r="I236" s="195"/>
      <c r="J236" s="37"/>
      <c r="K236" s="180">
        <f>SUM(K111:K122)</f>
        <v>298601574.01046252</v>
      </c>
      <c r="L236" s="290">
        <f t="shared" si="8"/>
        <v>1052597.0904625654</v>
      </c>
      <c r="M236" s="300">
        <f t="shared" si="9"/>
        <v>3.5375590981970352E-3</v>
      </c>
      <c r="N236" s="180">
        <f>'GS &gt; 50 kW WN'!K236</f>
        <v>296386908.9162814</v>
      </c>
      <c r="O236" s="317">
        <f t="shared" si="10"/>
        <v>0.99258321024756713</v>
      </c>
    </row>
    <row r="237" spans="1:16">
      <c r="A237" s="319">
        <v>2009</v>
      </c>
      <c r="B237" s="180">
        <f>SUM(B123:B134)</f>
        <v>290804126.80000007</v>
      </c>
      <c r="C237" s="37"/>
      <c r="D237" s="37"/>
      <c r="E237" s="37"/>
      <c r="F237" s="37"/>
      <c r="G237" s="37"/>
      <c r="H237" s="37"/>
      <c r="I237" s="195"/>
      <c r="J237" s="37"/>
      <c r="K237" s="180">
        <f>SUM(K123:K134)</f>
        <v>292915536.31297141</v>
      </c>
      <c r="L237" s="290">
        <f t="shared" si="8"/>
        <v>2111409.5129713416</v>
      </c>
      <c r="M237" s="300">
        <f t="shared" si="9"/>
        <v>7.2605899242394831E-3</v>
      </c>
      <c r="N237" s="180">
        <f>'GS &gt; 50 kW WN'!K237</f>
        <v>292621841.94166219</v>
      </c>
      <c r="O237" s="317">
        <f t="shared" si="10"/>
        <v>0.99899734109359284</v>
      </c>
    </row>
    <row r="238" spans="1:16">
      <c r="A238" s="318">
        <v>2010</v>
      </c>
      <c r="B238" s="180">
        <f>SUM(B135:B146)</f>
        <v>285047816.86000013</v>
      </c>
      <c r="C238" s="37"/>
      <c r="D238" s="37"/>
      <c r="E238" s="37"/>
      <c r="F238" s="37"/>
      <c r="G238" s="37"/>
      <c r="H238" s="37"/>
      <c r="I238" s="195"/>
      <c r="J238" s="37"/>
      <c r="K238" s="180">
        <f>SUM(K135:K146)</f>
        <v>286580071.19707799</v>
      </c>
      <c r="L238" s="290">
        <f t="shared" si="8"/>
        <v>1532254.3370778561</v>
      </c>
      <c r="M238" s="300">
        <f t="shared" si="9"/>
        <v>5.3754291260908532E-3</v>
      </c>
      <c r="N238" s="180">
        <f>'GS &gt; 50 kW WN'!K238</f>
        <v>289585784.55542862</v>
      </c>
      <c r="O238" s="317">
        <f t="shared" si="10"/>
        <v>1.0104882148496768</v>
      </c>
    </row>
    <row r="239" spans="1:16">
      <c r="A239" s="318">
        <v>2011</v>
      </c>
      <c r="B239" s="180">
        <f>SUM(B147:B158)</f>
        <v>288525140.48999989</v>
      </c>
      <c r="C239" s="37"/>
      <c r="D239" s="37"/>
      <c r="E239" s="37"/>
      <c r="F239" s="37"/>
      <c r="G239" s="37"/>
      <c r="H239" s="37"/>
      <c r="I239" s="195"/>
      <c r="J239" s="37"/>
      <c r="K239" s="180">
        <f>SUM(K147:K158)</f>
        <v>291126557.52743924</v>
      </c>
      <c r="L239" s="290">
        <f t="shared" si="8"/>
        <v>2601417.0374393463</v>
      </c>
      <c r="M239" s="300">
        <f t="shared" si="9"/>
        <v>9.0162577618760741E-3</v>
      </c>
      <c r="N239" s="180">
        <f>'GS &gt; 50 kW WN'!K239</f>
        <v>289922732.47014821</v>
      </c>
      <c r="O239" s="317">
        <f t="shared" si="10"/>
        <v>0.99586494249265611</v>
      </c>
    </row>
    <row r="240" spans="1:16">
      <c r="A240" s="318">
        <v>2012</v>
      </c>
      <c r="B240" s="180">
        <f>SUM(B159:B170)</f>
        <v>283475240.67000002</v>
      </c>
      <c r="C240" s="37"/>
      <c r="D240" s="37"/>
      <c r="E240" s="37"/>
      <c r="F240" s="37"/>
      <c r="G240" s="37"/>
      <c r="H240" s="37"/>
      <c r="I240" s="195"/>
      <c r="J240" s="37"/>
      <c r="K240" s="180">
        <f>SUM(K159:K170)</f>
        <v>284442634.67187053</v>
      </c>
      <c r="L240" s="290">
        <f t="shared" si="8"/>
        <v>967394.00187051296</v>
      </c>
      <c r="M240" s="300">
        <f t="shared" si="9"/>
        <v>3.4126225612651595E-3</v>
      </c>
      <c r="N240" s="180">
        <f>'GS &gt; 50 kW WN'!K240</f>
        <v>287882756.63837278</v>
      </c>
      <c r="O240" s="317">
        <f t="shared" si="10"/>
        <v>1.0120942557379653</v>
      </c>
    </row>
    <row r="241" spans="1:15">
      <c r="A241" s="318">
        <v>2013</v>
      </c>
      <c r="B241" s="180">
        <f>SUM(B171:B182)</f>
        <v>285068374.38</v>
      </c>
      <c r="C241" s="37"/>
      <c r="D241" s="37"/>
      <c r="E241" s="37"/>
      <c r="F241" s="37"/>
      <c r="G241" s="37"/>
      <c r="H241" s="37"/>
      <c r="I241" s="195"/>
      <c r="J241" s="37"/>
      <c r="K241" s="180">
        <f>SUM(K171:K182)</f>
        <v>285977159.36610681</v>
      </c>
      <c r="L241" s="290">
        <f t="shared" si="8"/>
        <v>908784.98610681295</v>
      </c>
      <c r="M241" s="300">
        <f t="shared" si="9"/>
        <v>3.1879544270154297E-3</v>
      </c>
      <c r="N241" s="180">
        <f>'GS &gt; 50 kW WN'!K241</f>
        <v>282293405.93091059</v>
      </c>
      <c r="O241" s="317">
        <f t="shared" si="10"/>
        <v>0.98711871450376809</v>
      </c>
    </row>
    <row r="242" spans="1:15">
      <c r="A242" s="318">
        <v>2014</v>
      </c>
      <c r="B242" s="180">
        <f>SUM(B183:B194)</f>
        <v>280037460.24000001</v>
      </c>
      <c r="C242" s="37"/>
      <c r="D242" s="37"/>
      <c r="E242" s="37"/>
      <c r="F242" s="37"/>
      <c r="G242" s="37"/>
      <c r="H242" s="37"/>
      <c r="I242" s="195"/>
      <c r="J242" s="37"/>
      <c r="K242" s="180">
        <f>SUM(K183:K194)</f>
        <v>277350790.04774356</v>
      </c>
      <c r="L242" s="290">
        <f t="shared" si="8"/>
        <v>-2686670.1922564507</v>
      </c>
      <c r="M242" s="300">
        <f t="shared" si="9"/>
        <v>-9.5939671426597661E-3</v>
      </c>
      <c r="N242" s="180">
        <f>'GS &gt; 50 kW WN'!K242</f>
        <v>274612513.54853952</v>
      </c>
      <c r="O242" s="317">
        <f t="shared" si="10"/>
        <v>0.99012702830688648</v>
      </c>
    </row>
    <row r="243" spans="1:15">
      <c r="A243" s="319">
        <v>2015</v>
      </c>
      <c r="B243" s="180">
        <f>SUM(B195:B206)</f>
        <v>266548347.92000005</v>
      </c>
      <c r="C243" s="37"/>
      <c r="D243" s="37"/>
      <c r="E243" s="37"/>
      <c r="F243" s="37"/>
      <c r="G243" s="37"/>
      <c r="H243" s="37"/>
      <c r="I243" s="195"/>
      <c r="J243" s="37"/>
      <c r="K243" s="180">
        <f>SUM(K195:K206)</f>
        <v>266715479.33650997</v>
      </c>
      <c r="L243" s="290">
        <f t="shared" si="8"/>
        <v>167131.41650992632</v>
      </c>
      <c r="M243" s="300">
        <f t="shared" si="9"/>
        <v>6.2702101819099619E-4</v>
      </c>
      <c r="N243" s="180">
        <f>'GS &gt; 50 kW WN'!K243</f>
        <v>268946434.72773772</v>
      </c>
      <c r="O243" s="317">
        <f t="shared" si="10"/>
        <v>1.0083645516067441</v>
      </c>
    </row>
    <row r="244" spans="1:15">
      <c r="A244" s="318">
        <v>2016</v>
      </c>
      <c r="B244" s="180"/>
      <c r="C244" s="37"/>
      <c r="D244" s="37"/>
      <c r="E244" s="37"/>
      <c r="F244" s="37"/>
      <c r="G244" s="37"/>
      <c r="H244" s="37"/>
      <c r="I244" s="195"/>
      <c r="J244" s="37"/>
      <c r="K244" s="180">
        <f>SUM(K207:K218)</f>
        <v>267452014.53053555</v>
      </c>
      <c r="L244" s="37"/>
      <c r="M244" s="37"/>
      <c r="N244" s="180">
        <f>'GS &gt; 50 kW WN'!K244</f>
        <v>267452014.53053555</v>
      </c>
      <c r="O244" s="317"/>
    </row>
    <row r="245" spans="1:15">
      <c r="A245" s="319">
        <v>2017</v>
      </c>
      <c r="B245" s="180"/>
      <c r="C245" s="37"/>
      <c r="D245" s="37"/>
      <c r="E245" s="37"/>
      <c r="F245" s="37"/>
      <c r="G245" s="37"/>
      <c r="H245" s="37"/>
      <c r="I245" s="195"/>
      <c r="J245" s="37"/>
      <c r="K245" s="180">
        <f>SUM(K219:K230)</f>
        <v>266841775.57346129</v>
      </c>
      <c r="L245" s="37"/>
      <c r="M245" s="37"/>
      <c r="N245" s="180">
        <f>'GS &gt; 50 kW WN'!K245</f>
        <v>266841775.57346129</v>
      </c>
      <c r="O245" s="317"/>
    </row>
    <row r="246" spans="1:15" ht="13.5" thickBot="1">
      <c r="C246" s="198"/>
      <c r="H246" s="198"/>
      <c r="I246" s="23"/>
      <c r="K246" s="5"/>
    </row>
    <row r="247" spans="1:15" ht="16.5" thickTop="1" thickBot="1">
      <c r="A247" s="260" t="s">
        <v>261</v>
      </c>
      <c r="B247" s="320">
        <f>SUM(B234:B243)</f>
        <v>2875253993.3400002</v>
      </c>
      <c r="C247" s="198"/>
      <c r="H247" s="198"/>
      <c r="I247" s="23"/>
      <c r="K247" s="320">
        <f>SUM(K234:K243)</f>
        <v>2875253993.3399997</v>
      </c>
      <c r="L247" s="256">
        <f>K247-B247</f>
        <v>0</v>
      </c>
    </row>
    <row r="248" spans="1:15" ht="14.25" thickTop="1" thickBot="1">
      <c r="C248" s="198"/>
      <c r="H248" s="198"/>
      <c r="I248" s="23"/>
    </row>
    <row r="249" spans="1:15" ht="16.5" thickTop="1" thickBot="1">
      <c r="C249" s="198"/>
      <c r="H249" s="198"/>
      <c r="I249" s="23"/>
      <c r="K249" s="320">
        <f>SUM(K234:K245)</f>
        <v>3409547783.4439964</v>
      </c>
      <c r="L249" s="257">
        <f>K232-K249</f>
        <v>0</v>
      </c>
    </row>
    <row r="250" spans="1:15" ht="13.5" thickTop="1">
      <c r="C250" s="198"/>
      <c r="H250" s="198"/>
      <c r="I250" s="23"/>
      <c r="K250" s="258"/>
      <c r="L250" s="258" t="s">
        <v>47</v>
      </c>
      <c r="M250" s="258"/>
    </row>
    <row r="253" spans="1:15">
      <c r="H253" s="198"/>
      <c r="I253" s="23"/>
    </row>
    <row r="254" spans="1:15" ht="15">
      <c r="B254" s="259" t="s">
        <v>143</v>
      </c>
      <c r="C254" s="198"/>
      <c r="H254" s="198"/>
      <c r="I254" s="23"/>
    </row>
    <row r="255" spans="1:15" ht="15">
      <c r="A255" s="321">
        <v>42736</v>
      </c>
      <c r="B255" s="180"/>
      <c r="C255" s="190">
        <f>'Weather Analysis - Thunder Bay'!AA8</f>
        <v>981.22443609022571</v>
      </c>
      <c r="D255" s="190">
        <f>'Weather Analysis - Thunder Bay'!AA28</f>
        <v>0</v>
      </c>
      <c r="E255" s="194">
        <f>E219</f>
        <v>31</v>
      </c>
      <c r="F255" s="194">
        <f t="shared" ref="F255:G255" si="11">F219</f>
        <v>0</v>
      </c>
      <c r="G255" s="194">
        <f t="shared" si="11"/>
        <v>818175.90746782266</v>
      </c>
      <c r="H255" s="187">
        <f>H219</f>
        <v>336</v>
      </c>
      <c r="I255" s="187">
        <v>143.1291789570798</v>
      </c>
      <c r="J255" s="194">
        <v>352</v>
      </c>
      <c r="K255" s="194">
        <f t="shared" ref="K255:K266" si="12">$O$103+C255*$O$104+D255*$O$105+E255*$O$106+F255*$O$107+G255*$O$108+H255*$O$109</f>
        <v>27126817.11670417</v>
      </c>
      <c r="L255" s="37"/>
    </row>
    <row r="256" spans="1:15" ht="15">
      <c r="A256" s="321">
        <v>42767</v>
      </c>
      <c r="B256" s="180"/>
      <c r="C256" s="190">
        <f>'Weather Analysis - Thunder Bay'!AA9</f>
        <v>920.49842105263269</v>
      </c>
      <c r="D256" s="190">
        <f>'Weather Analysis - Thunder Bay'!AA29</f>
        <v>0</v>
      </c>
      <c r="E256" s="194">
        <f t="shared" ref="E256:H266" si="13">E220</f>
        <v>28</v>
      </c>
      <c r="F256" s="194">
        <f t="shared" si="13"/>
        <v>0</v>
      </c>
      <c r="G256" s="194">
        <f t="shared" si="13"/>
        <v>815562.61208069837</v>
      </c>
      <c r="H256" s="187">
        <f t="shared" si="13"/>
        <v>304</v>
      </c>
      <c r="I256" s="187">
        <v>143.42400163116841</v>
      </c>
      <c r="J256" s="194">
        <v>304</v>
      </c>
      <c r="K256" s="194">
        <f t="shared" si="12"/>
        <v>24908139.912129737</v>
      </c>
      <c r="L256" s="37"/>
    </row>
    <row r="257" spans="1:13" ht="15">
      <c r="A257" s="321">
        <v>42795</v>
      </c>
      <c r="B257" s="180"/>
      <c r="C257" s="190">
        <f>'Weather Analysis - Thunder Bay'!AA10</f>
        <v>728.65676691729323</v>
      </c>
      <c r="D257" s="190">
        <f>'Weather Analysis - Thunder Bay'!AA30</f>
        <v>0</v>
      </c>
      <c r="E257" s="194">
        <f t="shared" si="13"/>
        <v>31</v>
      </c>
      <c r="F257" s="194">
        <f t="shared" si="13"/>
        <v>1</v>
      </c>
      <c r="G257" s="194">
        <f t="shared" si="13"/>
        <v>812949.31669357407</v>
      </c>
      <c r="H257" s="187">
        <f t="shared" si="13"/>
        <v>368</v>
      </c>
      <c r="I257" s="187">
        <v>143.71943159169427</v>
      </c>
      <c r="J257" s="194">
        <v>320</v>
      </c>
      <c r="K257" s="194">
        <f t="shared" si="12"/>
        <v>24518064.975697935</v>
      </c>
      <c r="L257" s="37"/>
      <c r="M257"/>
    </row>
    <row r="258" spans="1:13" ht="15">
      <c r="A258" s="321">
        <v>42826</v>
      </c>
      <c r="B258" s="180"/>
      <c r="C258" s="190">
        <f>'Weather Analysis - Thunder Bay'!AA11</f>
        <v>457.84511278195487</v>
      </c>
      <c r="D258" s="190">
        <f>'Weather Analysis - Thunder Bay'!AA31</f>
        <v>0</v>
      </c>
      <c r="E258" s="194">
        <f t="shared" si="13"/>
        <v>30</v>
      </c>
      <c r="F258" s="194">
        <f t="shared" si="13"/>
        <v>1</v>
      </c>
      <c r="G258" s="194">
        <f t="shared" si="13"/>
        <v>810336.02130644978</v>
      </c>
      <c r="H258" s="187">
        <f t="shared" si="13"/>
        <v>304</v>
      </c>
      <c r="I258" s="187">
        <v>144.01547008956803</v>
      </c>
      <c r="J258" s="194">
        <v>352</v>
      </c>
      <c r="K258" s="194">
        <f t="shared" si="12"/>
        <v>21176030.002777688</v>
      </c>
      <c r="L258" s="37"/>
      <c r="M258"/>
    </row>
    <row r="259" spans="1:13" ht="15">
      <c r="A259" s="321">
        <v>42856</v>
      </c>
      <c r="B259" s="180"/>
      <c r="C259" s="190">
        <f>'Weather Analysis - Thunder Bay'!AA12</f>
        <v>271.64563909774438</v>
      </c>
      <c r="D259" s="190">
        <f>'Weather Analysis - Thunder Bay'!AA32</f>
        <v>0.20857142857142463</v>
      </c>
      <c r="E259" s="194">
        <f t="shared" si="13"/>
        <v>31</v>
      </c>
      <c r="F259" s="194">
        <f t="shared" si="13"/>
        <v>1</v>
      </c>
      <c r="G259" s="194">
        <f t="shared" si="13"/>
        <v>807722.72591932549</v>
      </c>
      <c r="H259" s="187">
        <f t="shared" si="13"/>
        <v>352</v>
      </c>
      <c r="I259" s="187">
        <v>144.31211837827698</v>
      </c>
      <c r="J259" s="194">
        <v>352</v>
      </c>
      <c r="K259" s="194">
        <f t="shared" si="12"/>
        <v>20450090.106117528</v>
      </c>
      <c r="L259" s="37"/>
      <c r="M259"/>
    </row>
    <row r="260" spans="1:13" ht="15">
      <c r="A260" s="321">
        <v>42887</v>
      </c>
      <c r="B260" s="180"/>
      <c r="C260" s="190">
        <f>'Weather Analysis - Thunder Bay'!AA13</f>
        <v>115.80518796992476</v>
      </c>
      <c r="D260" s="190">
        <f>'Weather Analysis - Thunder Bay'!AA33</f>
        <v>4.1052631578947967</v>
      </c>
      <c r="E260" s="194">
        <f t="shared" si="13"/>
        <v>30</v>
      </c>
      <c r="F260" s="194">
        <f t="shared" si="13"/>
        <v>0</v>
      </c>
      <c r="G260" s="194">
        <f t="shared" si="13"/>
        <v>805109.43053220119</v>
      </c>
      <c r="H260" s="187">
        <f t="shared" si="13"/>
        <v>352</v>
      </c>
      <c r="I260" s="187">
        <v>144.60937771389038</v>
      </c>
      <c r="J260" s="194">
        <v>320</v>
      </c>
      <c r="K260" s="194">
        <f t="shared" si="12"/>
        <v>19493428.356665544</v>
      </c>
      <c r="L260" s="37"/>
      <c r="M260"/>
    </row>
    <row r="261" spans="1:13" ht="15">
      <c r="A261" s="321">
        <v>42917</v>
      </c>
      <c r="B261" s="180"/>
      <c r="C261" s="190">
        <f>'Weather Analysis - Thunder Bay'!AA14</f>
        <v>34.996616541353319</v>
      </c>
      <c r="D261" s="190">
        <f>'Weather Analysis - Thunder Bay'!AA34</f>
        <v>41.516616541353415</v>
      </c>
      <c r="E261" s="194">
        <f t="shared" si="13"/>
        <v>31</v>
      </c>
      <c r="F261" s="194">
        <f t="shared" si="13"/>
        <v>0</v>
      </c>
      <c r="G261" s="194">
        <f t="shared" si="13"/>
        <v>802496.1351450769</v>
      </c>
      <c r="H261" s="187">
        <f t="shared" si="13"/>
        <v>320</v>
      </c>
      <c r="I261" s="187">
        <v>144.90724935506483</v>
      </c>
      <c r="J261" s="194">
        <v>352</v>
      </c>
      <c r="K261" s="194">
        <f t="shared" si="12"/>
        <v>20653457.629781876</v>
      </c>
      <c r="L261" s="37"/>
      <c r="M261"/>
    </row>
    <row r="262" spans="1:13" ht="15">
      <c r="A262" s="321">
        <v>42948</v>
      </c>
      <c r="B262" s="180"/>
      <c r="C262" s="190">
        <f>'Weather Analysis - Thunder Bay'!AA15</f>
        <v>48.162481203007474</v>
      </c>
      <c r="D262" s="190">
        <f>'Weather Analysis - Thunder Bay'!AA35</f>
        <v>33.181729323308446</v>
      </c>
      <c r="E262" s="194">
        <f t="shared" si="13"/>
        <v>31</v>
      </c>
      <c r="F262" s="194">
        <f t="shared" si="13"/>
        <v>0</v>
      </c>
      <c r="G262" s="194">
        <f t="shared" si="13"/>
        <v>799882.83975795261</v>
      </c>
      <c r="H262" s="187">
        <f t="shared" si="13"/>
        <v>352</v>
      </c>
      <c r="I262" s="187">
        <v>145.20573456304953</v>
      </c>
      <c r="J262" s="194">
        <v>336</v>
      </c>
      <c r="K262" s="194">
        <f t="shared" si="12"/>
        <v>20672666.97294018</v>
      </c>
      <c r="L262" s="37"/>
      <c r="M262"/>
    </row>
    <row r="263" spans="1:13" ht="15">
      <c r="A263" s="321">
        <v>42979</v>
      </c>
      <c r="B263" s="180"/>
      <c r="C263" s="190">
        <f>'Weather Analysis - Thunder Bay'!AA16</f>
        <v>175.57706766917295</v>
      </c>
      <c r="D263" s="190">
        <f>'Weather Analysis - Thunder Bay'!AA36</f>
        <v>5.6842857142857071</v>
      </c>
      <c r="E263" s="194">
        <f t="shared" si="13"/>
        <v>30</v>
      </c>
      <c r="F263" s="194">
        <f t="shared" si="13"/>
        <v>1</v>
      </c>
      <c r="G263" s="194">
        <f t="shared" si="13"/>
        <v>797269.54437082831</v>
      </c>
      <c r="H263" s="187">
        <f t="shared" si="13"/>
        <v>320</v>
      </c>
      <c r="I263" s="187">
        <v>145.50483460169167</v>
      </c>
      <c r="J263" s="194">
        <v>320</v>
      </c>
      <c r="K263" s="194">
        <f t="shared" si="12"/>
        <v>19147436.219600894</v>
      </c>
      <c r="L263" s="37"/>
      <c r="M263"/>
    </row>
    <row r="264" spans="1:13" ht="15">
      <c r="A264" s="321">
        <v>43009</v>
      </c>
      <c r="B264" s="180"/>
      <c r="C264" s="190">
        <f>'Weather Analysis - Thunder Bay'!AA17</f>
        <v>357.9927819548875</v>
      </c>
      <c r="D264" s="190">
        <f>'Weather Analysis - Thunder Bay'!AA37</f>
        <v>0.78360902255639076</v>
      </c>
      <c r="E264" s="194">
        <f t="shared" si="13"/>
        <v>31</v>
      </c>
      <c r="F264" s="194">
        <f t="shared" si="13"/>
        <v>1</v>
      </c>
      <c r="G264" s="194">
        <f t="shared" si="13"/>
        <v>794656.24898370402</v>
      </c>
      <c r="H264" s="187">
        <f t="shared" si="13"/>
        <v>336</v>
      </c>
      <c r="I264" s="187">
        <v>145.8045507374417</v>
      </c>
      <c r="J264" s="194">
        <v>352</v>
      </c>
      <c r="K264" s="194">
        <f t="shared" si="12"/>
        <v>21133207.336936545</v>
      </c>
      <c r="L264" s="37"/>
      <c r="M264"/>
    </row>
    <row r="265" spans="1:13" ht="15">
      <c r="A265" s="321">
        <v>43040</v>
      </c>
      <c r="B265" s="180"/>
      <c r="C265" s="190">
        <f>'Weather Analysis - Thunder Bay'!AA18</f>
        <v>558.62721804511284</v>
      </c>
      <c r="D265" s="190">
        <f>'Weather Analysis - Thunder Bay'!AA38</f>
        <v>0</v>
      </c>
      <c r="E265" s="194">
        <f t="shared" si="13"/>
        <v>30</v>
      </c>
      <c r="F265" s="194">
        <f t="shared" si="13"/>
        <v>1</v>
      </c>
      <c r="G265" s="194">
        <f t="shared" si="13"/>
        <v>792042.95359657973</v>
      </c>
      <c r="H265" s="187">
        <f t="shared" si="13"/>
        <v>352</v>
      </c>
      <c r="I265" s="187">
        <v>146.1048842393588</v>
      </c>
      <c r="J265" s="194">
        <v>336</v>
      </c>
      <c r="K265" s="194">
        <f t="shared" si="12"/>
        <v>22497457.499425884</v>
      </c>
      <c r="L265" s="37"/>
      <c r="M265"/>
    </row>
    <row r="266" spans="1:13" ht="15">
      <c r="A266" s="321">
        <v>43070</v>
      </c>
      <c r="B266" s="180"/>
      <c r="C266" s="190">
        <f>'Weather Analysis - Thunder Bay'!AA19</f>
        <v>843.2869924812029</v>
      </c>
      <c r="D266" s="190">
        <f>'Weather Analysis - Thunder Bay'!AA39</f>
        <v>0</v>
      </c>
      <c r="E266" s="194">
        <f t="shared" si="13"/>
        <v>31</v>
      </c>
      <c r="F266" s="194">
        <f t="shared" si="13"/>
        <v>0</v>
      </c>
      <c r="G266" s="194">
        <f t="shared" si="13"/>
        <v>789429.65820945543</v>
      </c>
      <c r="H266" s="187">
        <f t="shared" si="13"/>
        <v>304</v>
      </c>
      <c r="I266" s="187">
        <v>146.40583637911641</v>
      </c>
      <c r="J266" s="194">
        <v>320</v>
      </c>
      <c r="K266" s="194">
        <f t="shared" si="12"/>
        <v>25757492.909349535</v>
      </c>
      <c r="L266" s="287">
        <f>SUM(K255:K266)</f>
        <v>267534289.03812748</v>
      </c>
      <c r="M266"/>
    </row>
    <row r="267" spans="1:13">
      <c r="M267"/>
    </row>
    <row r="268" spans="1:13">
      <c r="M268"/>
    </row>
    <row r="269" spans="1:13">
      <c r="M269"/>
    </row>
    <row r="270" spans="1:13">
      <c r="M270"/>
    </row>
    <row r="271" spans="1:13">
      <c r="M271"/>
    </row>
    <row r="272" spans="1:13">
      <c r="M272"/>
    </row>
    <row r="273" spans="2:13">
      <c r="B273"/>
      <c r="C273"/>
      <c r="D273"/>
      <c r="E273"/>
      <c r="F273"/>
      <c r="G273"/>
      <c r="H273"/>
      <c r="I273"/>
      <c r="J273"/>
      <c r="K273"/>
      <c r="L273"/>
      <c r="M273"/>
    </row>
    <row r="274" spans="2:13">
      <c r="B274"/>
      <c r="C274"/>
      <c r="D274"/>
      <c r="E274"/>
      <c r="F274"/>
      <c r="G274"/>
      <c r="H274"/>
      <c r="I274"/>
      <c r="J274"/>
      <c r="K274"/>
      <c r="L274"/>
      <c r="M274"/>
    </row>
  </sheetData>
  <mergeCells count="2">
    <mergeCell ref="O233:P233"/>
    <mergeCell ref="I1:J1"/>
  </mergeCells>
  <phoneticPr fontId="0" type="noConversion"/>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74"/>
  <sheetViews>
    <sheetView topLeftCell="A234" workbookViewId="0">
      <selection sqref="A1:XFD1048576"/>
    </sheetView>
  </sheetViews>
  <sheetFormatPr defaultRowHeight="12.75"/>
  <cols>
    <col min="1" max="1" width="11.85546875" customWidth="1"/>
    <col min="2" max="2" width="18" style="5" customWidth="1"/>
    <col min="3" max="3" width="11.7109375" style="177" customWidth="1"/>
    <col min="4" max="4" width="13.42578125" style="198" customWidth="1"/>
    <col min="5" max="5" width="10.140625" style="198" customWidth="1"/>
    <col min="6" max="7" width="12.42578125" style="198" customWidth="1"/>
    <col min="8" max="8" width="14.42578125" style="23" customWidth="1"/>
    <col min="9" max="10" width="12.42578125" style="198" hidden="1" customWidth="1"/>
    <col min="11" max="11" width="15.42578125" style="198" bestFit="1" customWidth="1"/>
    <col min="12" max="12" width="17" style="198" customWidth="1"/>
    <col min="13" max="13" width="12.42578125" style="19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283"/>
      <c r="J1" s="283"/>
    </row>
    <row r="2" spans="1:13" ht="42" customHeight="1">
      <c r="A2" s="181"/>
      <c r="B2" s="261" t="s">
        <v>77</v>
      </c>
      <c r="C2" s="262" t="s">
        <v>1</v>
      </c>
      <c r="D2" s="262" t="s">
        <v>2</v>
      </c>
      <c r="E2" s="262" t="s">
        <v>3</v>
      </c>
      <c r="F2" s="262" t="s">
        <v>14</v>
      </c>
      <c r="G2" s="262" t="s">
        <v>56</v>
      </c>
      <c r="H2" s="263" t="s">
        <v>58</v>
      </c>
      <c r="I2" s="262" t="s">
        <v>4</v>
      </c>
      <c r="J2" s="262" t="s">
        <v>49</v>
      </c>
      <c r="K2" s="262" t="s">
        <v>78</v>
      </c>
      <c r="L2" s="262" t="s">
        <v>7</v>
      </c>
      <c r="M2" s="262" t="s">
        <v>8</v>
      </c>
    </row>
    <row r="3" spans="1:13" ht="12.75" hidden="1" customHeight="1">
      <c r="A3" s="191">
        <v>36161</v>
      </c>
      <c r="B3" s="284">
        <v>16478656.440000014</v>
      </c>
      <c r="C3" s="194">
        <f>'Weather Data'!B99</f>
        <v>994.7</v>
      </c>
      <c r="D3" s="194">
        <f>'Weather Data'!C99</f>
        <v>0</v>
      </c>
      <c r="E3" s="194">
        <v>31</v>
      </c>
      <c r="F3" s="194">
        <v>0</v>
      </c>
      <c r="G3" s="184">
        <v>0</v>
      </c>
      <c r="H3" s="195">
        <v>319.87200000000001</v>
      </c>
      <c r="I3" s="184">
        <v>105.44819844915847</v>
      </c>
      <c r="J3" s="194">
        <v>535</v>
      </c>
      <c r="K3" s="194"/>
      <c r="L3" s="194"/>
      <c r="M3" s="285"/>
    </row>
    <row r="4" spans="1:13" ht="12.75" hidden="1" customHeight="1">
      <c r="A4" s="191">
        <v>36192</v>
      </c>
      <c r="B4" s="284">
        <v>27689060.52999993</v>
      </c>
      <c r="C4" s="194">
        <f>'Weather Data'!B100</f>
        <v>718.7</v>
      </c>
      <c r="D4" s="194">
        <f>'Weather Data'!C100</f>
        <v>0</v>
      </c>
      <c r="E4" s="194">
        <v>28</v>
      </c>
      <c r="F4" s="194">
        <v>0</v>
      </c>
      <c r="G4" s="184">
        <v>0</v>
      </c>
      <c r="H4" s="195">
        <v>319.87200000000001</v>
      </c>
      <c r="I4" s="184">
        <v>106.08666118100913</v>
      </c>
      <c r="J4" s="194">
        <v>578</v>
      </c>
      <c r="K4" s="194"/>
      <c r="L4" s="194"/>
      <c r="M4" s="285"/>
    </row>
    <row r="5" spans="1:13" ht="12.75" hidden="1" customHeight="1">
      <c r="A5" s="191">
        <v>36220</v>
      </c>
      <c r="B5" s="284">
        <v>28367059.099999957</v>
      </c>
      <c r="C5" s="194">
        <f>'Weather Data'!B101</f>
        <v>710.1</v>
      </c>
      <c r="D5" s="194">
        <f>'Weather Data'!C101</f>
        <v>0</v>
      </c>
      <c r="E5" s="194">
        <v>31</v>
      </c>
      <c r="F5" s="194">
        <v>1</v>
      </c>
      <c r="G5" s="184">
        <v>0</v>
      </c>
      <c r="H5" s="195">
        <v>368.28</v>
      </c>
      <c r="I5" s="184">
        <v>106.72898964661303</v>
      </c>
      <c r="J5" s="194">
        <v>583</v>
      </c>
      <c r="K5" s="194"/>
      <c r="L5" s="194"/>
      <c r="M5" s="285"/>
    </row>
    <row r="6" spans="1:13" ht="12.75" hidden="1" customHeight="1">
      <c r="A6" s="191">
        <v>36251</v>
      </c>
      <c r="B6" s="284">
        <v>24673273.639999956</v>
      </c>
      <c r="C6" s="194">
        <f>'Weather Data'!B102</f>
        <v>407.7</v>
      </c>
      <c r="D6" s="194">
        <f>'Weather Data'!C102</f>
        <v>0</v>
      </c>
      <c r="E6" s="194">
        <v>30</v>
      </c>
      <c r="F6" s="194">
        <v>1</v>
      </c>
      <c r="G6" s="184">
        <v>0</v>
      </c>
      <c r="H6" s="195">
        <v>336.24</v>
      </c>
      <c r="I6" s="184">
        <v>107.37520725203085</v>
      </c>
      <c r="J6" s="194">
        <v>596</v>
      </c>
      <c r="K6" s="194"/>
      <c r="L6" s="194"/>
      <c r="M6" s="285"/>
    </row>
    <row r="7" spans="1:13" ht="12.75" hidden="1" customHeight="1">
      <c r="A7" s="191">
        <v>36281</v>
      </c>
      <c r="B7" s="284">
        <v>23679737.790000018</v>
      </c>
      <c r="C7" s="194">
        <f>'Weather Data'!B103</f>
        <v>224.7</v>
      </c>
      <c r="D7" s="194">
        <f>'Weather Data'!C103</f>
        <v>2.6</v>
      </c>
      <c r="E7" s="194">
        <v>31</v>
      </c>
      <c r="F7" s="194">
        <v>1</v>
      </c>
      <c r="G7" s="184">
        <v>0</v>
      </c>
      <c r="H7" s="195">
        <v>319.92</v>
      </c>
      <c r="I7" s="184">
        <v>108.02533754504118</v>
      </c>
      <c r="J7" s="194">
        <v>611</v>
      </c>
      <c r="K7" s="194"/>
      <c r="L7" s="194"/>
      <c r="M7" s="285"/>
    </row>
    <row r="8" spans="1:13" ht="12.75" hidden="1" customHeight="1">
      <c r="A8" s="191">
        <v>36312</v>
      </c>
      <c r="B8" s="284">
        <v>20438074.969999976</v>
      </c>
      <c r="C8" s="194">
        <f>'Weather Data'!B104</f>
        <v>91.9</v>
      </c>
      <c r="D8" s="194">
        <f>'Weather Data'!C104</f>
        <v>11.4</v>
      </c>
      <c r="E8" s="194">
        <v>30</v>
      </c>
      <c r="F8" s="194">
        <v>0</v>
      </c>
      <c r="G8" s="184">
        <v>0</v>
      </c>
      <c r="H8" s="195">
        <v>352.08</v>
      </c>
      <c r="I8" s="184">
        <v>108.6794042159986</v>
      </c>
      <c r="J8" s="194">
        <v>616</v>
      </c>
      <c r="K8" s="194"/>
      <c r="L8" s="194"/>
      <c r="M8" s="285"/>
    </row>
    <row r="9" spans="1:13" ht="12.75" hidden="1" customHeight="1">
      <c r="A9" s="191">
        <v>36342</v>
      </c>
      <c r="B9" s="284">
        <v>21927427.629999969</v>
      </c>
      <c r="C9" s="194">
        <f>'Weather Data'!B105</f>
        <v>24.2</v>
      </c>
      <c r="D9" s="194">
        <f>'Weather Data'!C105</f>
        <v>59.3</v>
      </c>
      <c r="E9" s="194">
        <v>31</v>
      </c>
      <c r="F9" s="194">
        <v>0</v>
      </c>
      <c r="G9" s="184">
        <v>0</v>
      </c>
      <c r="H9" s="195">
        <v>336.28800000000001</v>
      </c>
      <c r="I9" s="184">
        <v>109.33743109869688</v>
      </c>
      <c r="J9" s="194">
        <v>619</v>
      </c>
      <c r="K9" s="194"/>
      <c r="L9" s="194"/>
      <c r="M9" s="285"/>
    </row>
    <row r="10" spans="1:13" ht="12.75" hidden="1" customHeight="1">
      <c r="A10" s="191">
        <v>36373</v>
      </c>
      <c r="B10" s="284">
        <v>22070964.019999966</v>
      </c>
      <c r="C10" s="194">
        <f>'Weather Data'!B106</f>
        <v>74</v>
      </c>
      <c r="D10" s="194">
        <f>'Weather Data'!C106</f>
        <v>12.2</v>
      </c>
      <c r="E10" s="194">
        <v>31</v>
      </c>
      <c r="F10" s="194">
        <v>0</v>
      </c>
      <c r="G10" s="184">
        <v>0</v>
      </c>
      <c r="H10" s="195">
        <v>336.28800000000001</v>
      </c>
      <c r="I10" s="184">
        <v>109.99944217123755</v>
      </c>
      <c r="J10" s="194">
        <v>626</v>
      </c>
      <c r="K10" s="194"/>
      <c r="L10" s="194"/>
      <c r="M10" s="285"/>
    </row>
    <row r="11" spans="1:13" ht="12.75" hidden="1" customHeight="1">
      <c r="A11" s="191">
        <v>36404</v>
      </c>
      <c r="B11" s="284">
        <v>21905565.900000006</v>
      </c>
      <c r="C11" s="194">
        <f>'Weather Data'!B107</f>
        <v>194</v>
      </c>
      <c r="D11" s="194">
        <f>'Weather Data'!C107</f>
        <v>5.7</v>
      </c>
      <c r="E11" s="194">
        <v>30</v>
      </c>
      <c r="F11" s="194">
        <v>1</v>
      </c>
      <c r="G11" s="184">
        <v>0</v>
      </c>
      <c r="H11" s="195">
        <v>336.24</v>
      </c>
      <c r="I11" s="184">
        <v>110.66546155690358</v>
      </c>
      <c r="J11" s="194">
        <v>640</v>
      </c>
      <c r="K11" s="194"/>
      <c r="L11" s="194"/>
      <c r="M11" s="285"/>
    </row>
    <row r="12" spans="1:13" ht="12.75" hidden="1" customHeight="1">
      <c r="A12" s="191">
        <v>36434</v>
      </c>
      <c r="B12" s="284">
        <v>23608817.460000038</v>
      </c>
      <c r="C12" s="194">
        <f>'Weather Data'!B108</f>
        <v>423.1</v>
      </c>
      <c r="D12" s="194">
        <f>'Weather Data'!C108</f>
        <v>0</v>
      </c>
      <c r="E12" s="194">
        <v>31</v>
      </c>
      <c r="F12" s="194">
        <v>1</v>
      </c>
      <c r="G12" s="184">
        <v>0</v>
      </c>
      <c r="H12" s="195">
        <v>319.92</v>
      </c>
      <c r="I12" s="184">
        <v>111.33551352503846</v>
      </c>
      <c r="J12" s="194">
        <v>647</v>
      </c>
      <c r="K12" s="194"/>
      <c r="L12" s="194"/>
      <c r="M12" s="285"/>
    </row>
    <row r="13" spans="1:13" ht="12.75" hidden="1" customHeight="1">
      <c r="A13" s="191">
        <v>36465</v>
      </c>
      <c r="B13" s="284">
        <v>24880228.719999958</v>
      </c>
      <c r="C13" s="194">
        <f>'Weather Data'!B109</f>
        <v>500.7</v>
      </c>
      <c r="D13" s="194">
        <f>'Weather Data'!C109</f>
        <v>0</v>
      </c>
      <c r="E13" s="194">
        <v>30</v>
      </c>
      <c r="F13" s="194">
        <v>1</v>
      </c>
      <c r="G13" s="184">
        <v>0</v>
      </c>
      <c r="H13" s="195">
        <v>352.08</v>
      </c>
      <c r="I13" s="184">
        <v>112.00962249193054</v>
      </c>
      <c r="J13" s="194">
        <v>647</v>
      </c>
      <c r="K13" s="194"/>
      <c r="L13" s="194"/>
      <c r="M13" s="285"/>
    </row>
    <row r="14" spans="1:13" ht="12.75" hidden="1" customHeight="1">
      <c r="A14" s="191">
        <v>36495</v>
      </c>
      <c r="B14" s="284">
        <v>28520683.069999959</v>
      </c>
      <c r="C14" s="194">
        <f>'Weather Data'!B110</f>
        <v>817.1</v>
      </c>
      <c r="D14" s="194">
        <f>'Weather Data'!C110</f>
        <v>0</v>
      </c>
      <c r="E14" s="194">
        <v>31</v>
      </c>
      <c r="F14" s="194">
        <v>0</v>
      </c>
      <c r="G14" s="184">
        <v>0</v>
      </c>
      <c r="H14" s="195">
        <v>336.28800000000001</v>
      </c>
      <c r="I14" s="184">
        <v>112.68781302170287</v>
      </c>
      <c r="J14" s="194">
        <v>333</v>
      </c>
      <c r="K14" s="194"/>
      <c r="L14" s="194"/>
      <c r="M14" s="285"/>
    </row>
    <row r="15" spans="1:13" ht="12.75" hidden="1" customHeight="1">
      <c r="A15" s="191">
        <v>36526</v>
      </c>
      <c r="B15" s="284">
        <v>30116382.980000038</v>
      </c>
      <c r="C15" s="194">
        <f>'Weather Data'!B111</f>
        <v>963.5</v>
      </c>
      <c r="D15" s="194">
        <f>'Weather Data'!C111</f>
        <v>0</v>
      </c>
      <c r="E15" s="194">
        <v>31</v>
      </c>
      <c r="F15" s="194">
        <v>0</v>
      </c>
      <c r="G15" s="184">
        <v>0</v>
      </c>
      <c r="H15" s="195">
        <v>319.92</v>
      </c>
      <c r="I15" s="184">
        <v>113.20550742744629</v>
      </c>
      <c r="J15" s="194">
        <v>647</v>
      </c>
      <c r="K15" s="194"/>
      <c r="L15" s="194"/>
      <c r="M15" s="285"/>
    </row>
    <row r="16" spans="1:13" ht="12.75" hidden="1" customHeight="1">
      <c r="A16" s="191">
        <v>36557</v>
      </c>
      <c r="B16" s="284">
        <v>26672243.319999967</v>
      </c>
      <c r="C16" s="194">
        <f>'Weather Data'!B112</f>
        <v>711.5</v>
      </c>
      <c r="D16" s="194">
        <f>'Weather Data'!C112</f>
        <v>0</v>
      </c>
      <c r="E16" s="194">
        <v>29</v>
      </c>
      <c r="F16" s="194">
        <v>0</v>
      </c>
      <c r="G16" s="184">
        <v>0</v>
      </c>
      <c r="H16" s="195">
        <v>336.16799999999995</v>
      </c>
      <c r="I16" s="184">
        <v>113.72558015157706</v>
      </c>
      <c r="J16" s="194">
        <v>601</v>
      </c>
      <c r="K16" s="194"/>
      <c r="L16" s="194"/>
      <c r="M16" s="285"/>
    </row>
    <row r="17" spans="1:13" ht="12.75" hidden="1" customHeight="1">
      <c r="A17" s="191">
        <v>36586</v>
      </c>
      <c r="B17" s="284">
        <v>25141921.97000001</v>
      </c>
      <c r="C17" s="194">
        <f>'Weather Data'!B113</f>
        <v>574.6</v>
      </c>
      <c r="D17" s="194">
        <f>'Weather Data'!C113</f>
        <v>0</v>
      </c>
      <c r="E17" s="194">
        <v>31</v>
      </c>
      <c r="F17" s="194">
        <v>1</v>
      </c>
      <c r="G17" s="184">
        <v>0</v>
      </c>
      <c r="H17" s="195">
        <v>368.28</v>
      </c>
      <c r="I17" s="184">
        <v>114.24804212022897</v>
      </c>
      <c r="J17" s="194">
        <v>562</v>
      </c>
      <c r="K17" s="194"/>
      <c r="L17" s="194"/>
      <c r="M17" s="285"/>
    </row>
    <row r="18" spans="1:13" ht="15" hidden="1" customHeight="1">
      <c r="A18" s="191">
        <v>36617</v>
      </c>
      <c r="B18" s="284">
        <v>22143191.730000012</v>
      </c>
      <c r="C18" s="194">
        <f>'Weather Data'!B114</f>
        <v>485.6</v>
      </c>
      <c r="D18" s="194">
        <f>'Weather Data'!C114</f>
        <v>0</v>
      </c>
      <c r="E18" s="194">
        <v>30</v>
      </c>
      <c r="F18" s="194">
        <v>1</v>
      </c>
      <c r="G18" s="184">
        <v>0</v>
      </c>
      <c r="H18" s="195">
        <v>303.83999999999997</v>
      </c>
      <c r="I18" s="184">
        <v>114.77290430973115</v>
      </c>
      <c r="J18" s="194">
        <v>517</v>
      </c>
      <c r="K18" s="194"/>
      <c r="L18" s="194"/>
      <c r="M18" s="285"/>
    </row>
    <row r="19" spans="1:13" ht="12.75" hidden="1" customHeight="1">
      <c r="A19" s="191">
        <v>36647</v>
      </c>
      <c r="B19" s="284">
        <v>20987165.360000011</v>
      </c>
      <c r="C19" s="194">
        <f>'Weather Data'!B115</f>
        <v>260.5</v>
      </c>
      <c r="D19" s="194">
        <f>'Weather Data'!C115</f>
        <v>0</v>
      </c>
      <c r="E19" s="194">
        <v>31</v>
      </c>
      <c r="F19" s="194">
        <v>1</v>
      </c>
      <c r="G19" s="184">
        <v>0</v>
      </c>
      <c r="H19" s="195">
        <v>351.91199999999998</v>
      </c>
      <c r="I19" s="184">
        <v>115.30017774683859</v>
      </c>
      <c r="J19" s="194">
        <v>497</v>
      </c>
      <c r="K19" s="194"/>
      <c r="L19" s="194"/>
      <c r="M19" s="285"/>
    </row>
    <row r="20" spans="1:13" ht="12.75" hidden="1" customHeight="1">
      <c r="A20" s="191">
        <v>36678</v>
      </c>
      <c r="B20" s="284">
        <v>19836289.700000007</v>
      </c>
      <c r="C20" s="194">
        <f>'Weather Data'!B116</f>
        <v>155.69999999999999</v>
      </c>
      <c r="D20" s="194">
        <f>'Weather Data'!C116</f>
        <v>2.2999999999999998</v>
      </c>
      <c r="E20" s="194">
        <v>30</v>
      </c>
      <c r="F20" s="194">
        <v>0</v>
      </c>
      <c r="G20" s="184">
        <v>0</v>
      </c>
      <c r="H20" s="195">
        <v>352.08</v>
      </c>
      <c r="I20" s="184">
        <v>115.82987350896386</v>
      </c>
      <c r="J20" s="194">
        <v>452</v>
      </c>
      <c r="K20" s="194"/>
      <c r="L20" s="194"/>
      <c r="M20" s="285"/>
    </row>
    <row r="21" spans="1:13" ht="12.75" hidden="1" customHeight="1">
      <c r="A21" s="191">
        <v>36708</v>
      </c>
      <c r="B21" s="284">
        <v>21238166.920000013</v>
      </c>
      <c r="C21" s="194">
        <f>'Weather Data'!B117</f>
        <v>55.7</v>
      </c>
      <c r="D21" s="194">
        <f>'Weather Data'!C117</f>
        <v>20.8</v>
      </c>
      <c r="E21" s="194">
        <v>31</v>
      </c>
      <c r="F21" s="194">
        <v>0</v>
      </c>
      <c r="G21" s="184">
        <v>0</v>
      </c>
      <c r="H21" s="195">
        <v>319.92</v>
      </c>
      <c r="I21" s="184">
        <v>116.36200272440982</v>
      </c>
      <c r="J21" s="194">
        <v>431</v>
      </c>
      <c r="K21" s="194"/>
      <c r="L21" s="194"/>
      <c r="M21" s="285"/>
    </row>
    <row r="22" spans="1:13" ht="12.75" hidden="1" customHeight="1">
      <c r="A22" s="191">
        <v>36739</v>
      </c>
      <c r="B22" s="284">
        <v>21418208.409999985</v>
      </c>
      <c r="C22" s="194">
        <f>'Weather Data'!B118</f>
        <v>63.4</v>
      </c>
      <c r="D22" s="194">
        <f>'Weather Data'!C118</f>
        <v>9.8000000000000007</v>
      </c>
      <c r="E22" s="194">
        <v>31</v>
      </c>
      <c r="F22" s="194">
        <v>0</v>
      </c>
      <c r="G22" s="184">
        <v>0</v>
      </c>
      <c r="H22" s="195">
        <v>351.91199999999998</v>
      </c>
      <c r="I22" s="184">
        <v>116.89657657260338</v>
      </c>
      <c r="J22" s="194">
        <v>429</v>
      </c>
      <c r="K22" s="194"/>
      <c r="L22" s="194"/>
      <c r="M22" s="285"/>
    </row>
    <row r="23" spans="1:13" ht="12.75" hidden="1" customHeight="1">
      <c r="A23" s="191">
        <v>36770</v>
      </c>
      <c r="B23" s="284">
        <v>20859271.22000001</v>
      </c>
      <c r="C23" s="194">
        <f>'Weather Data'!B119</f>
        <v>223.3</v>
      </c>
      <c r="D23" s="194">
        <f>'Weather Data'!C119</f>
        <v>0</v>
      </c>
      <c r="E23" s="194">
        <v>30</v>
      </c>
      <c r="F23" s="194">
        <v>1</v>
      </c>
      <c r="G23" s="184">
        <v>0</v>
      </c>
      <c r="H23" s="195">
        <v>319.68</v>
      </c>
      <c r="I23" s="184">
        <v>117.43360628433041</v>
      </c>
      <c r="J23" s="194">
        <v>428</v>
      </c>
      <c r="K23" s="194"/>
      <c r="L23" s="194"/>
      <c r="M23" s="285"/>
    </row>
    <row r="24" spans="1:13" ht="12.75" hidden="1" customHeight="1">
      <c r="A24" s="191">
        <v>36800</v>
      </c>
      <c r="B24" s="284">
        <v>22319549.140000019</v>
      </c>
      <c r="C24" s="194">
        <f>'Weather Data'!B120</f>
        <v>372.2</v>
      </c>
      <c r="D24" s="194">
        <f>'Weather Data'!C120</f>
        <v>0</v>
      </c>
      <c r="E24" s="194">
        <v>31</v>
      </c>
      <c r="F24" s="194">
        <v>1</v>
      </c>
      <c r="G24" s="184">
        <v>0</v>
      </c>
      <c r="H24" s="195">
        <v>336.28800000000001</v>
      </c>
      <c r="I24" s="184">
        <v>117.97310314197166</v>
      </c>
      <c r="J24" s="194">
        <v>434</v>
      </c>
      <c r="K24" s="194"/>
      <c r="L24" s="194"/>
      <c r="M24" s="285"/>
    </row>
    <row r="25" spans="1:13" ht="12.75" hidden="1" customHeight="1">
      <c r="A25" s="191">
        <v>36831</v>
      </c>
      <c r="B25" s="284">
        <v>24898434.920000006</v>
      </c>
      <c r="C25" s="194">
        <f>'Weather Data'!B121</f>
        <v>561.6</v>
      </c>
      <c r="D25" s="194">
        <f>'Weather Data'!C121</f>
        <v>0</v>
      </c>
      <c r="E25" s="194">
        <v>30</v>
      </c>
      <c r="F25" s="194">
        <v>1</v>
      </c>
      <c r="G25" s="184">
        <v>0</v>
      </c>
      <c r="H25" s="195">
        <v>352.08</v>
      </c>
      <c r="I25" s="184">
        <v>118.51507847973981</v>
      </c>
      <c r="J25" s="194">
        <v>438</v>
      </c>
      <c r="K25" s="194"/>
      <c r="L25" s="194"/>
      <c r="M25" s="285"/>
    </row>
    <row r="26" spans="1:13" ht="12.75" hidden="1" customHeight="1">
      <c r="A26" s="191">
        <v>36861</v>
      </c>
      <c r="B26" s="284">
        <v>29608811.340000007</v>
      </c>
      <c r="C26" s="194">
        <f>'Weather Data'!B122</f>
        <v>1041.3</v>
      </c>
      <c r="D26" s="194">
        <f>'Weather Data'!C122</f>
        <v>0</v>
      </c>
      <c r="E26" s="194">
        <v>31</v>
      </c>
      <c r="F26" s="194">
        <v>0</v>
      </c>
      <c r="G26" s="184">
        <v>0</v>
      </c>
      <c r="H26" s="195">
        <v>304.29599999999999</v>
      </c>
      <c r="I26" s="184">
        <v>119.05954368391765</v>
      </c>
      <c r="J26" s="194">
        <v>439</v>
      </c>
      <c r="K26" s="194"/>
      <c r="L26" s="194"/>
      <c r="M26" s="285"/>
    </row>
    <row r="27" spans="1:13" ht="12.75" hidden="1" customHeight="1">
      <c r="A27" s="191">
        <v>36892</v>
      </c>
      <c r="B27" s="284">
        <v>29257179.950000018</v>
      </c>
      <c r="C27" s="194">
        <f>'Weather Data'!B123</f>
        <v>898.8</v>
      </c>
      <c r="D27" s="194">
        <f>'Weather Data'!C123</f>
        <v>0</v>
      </c>
      <c r="E27" s="194">
        <v>31</v>
      </c>
      <c r="F27" s="194">
        <v>0</v>
      </c>
      <c r="G27" s="184">
        <v>0</v>
      </c>
      <c r="H27" s="195">
        <v>351.91199999999998</v>
      </c>
      <c r="I27" s="184">
        <v>119.23206305749976</v>
      </c>
      <c r="J27" s="194">
        <v>473</v>
      </c>
      <c r="K27" s="194"/>
      <c r="L27" s="194"/>
      <c r="M27" s="285"/>
    </row>
    <row r="28" spans="1:13" ht="12.75" hidden="1" customHeight="1">
      <c r="A28" s="191">
        <v>36925</v>
      </c>
      <c r="B28" s="284">
        <v>27178450.539999988</v>
      </c>
      <c r="C28" s="194">
        <f>'Weather Data'!B124</f>
        <v>918.9</v>
      </c>
      <c r="D28" s="194">
        <f>'Weather Data'!C124</f>
        <v>0</v>
      </c>
      <c r="E28" s="194">
        <v>28</v>
      </c>
      <c r="F28" s="194">
        <v>0</v>
      </c>
      <c r="G28" s="184">
        <v>0</v>
      </c>
      <c r="H28" s="195">
        <v>319.87200000000001</v>
      </c>
      <c r="I28" s="184">
        <v>119.40483241468957</v>
      </c>
      <c r="J28" s="194">
        <v>477</v>
      </c>
      <c r="K28" s="194"/>
      <c r="L28" s="194"/>
      <c r="M28" s="285"/>
    </row>
    <row r="29" spans="1:13" ht="12.75" hidden="1" customHeight="1">
      <c r="A29" s="191">
        <v>36958</v>
      </c>
      <c r="B29" s="284">
        <v>26804323.800000008</v>
      </c>
      <c r="C29" s="194">
        <f>'Weather Data'!B125</f>
        <v>702.7</v>
      </c>
      <c r="D29" s="194">
        <f>'Weather Data'!C125</f>
        <v>0</v>
      </c>
      <c r="E29" s="194">
        <v>31</v>
      </c>
      <c r="F29" s="194">
        <v>1</v>
      </c>
      <c r="G29" s="184">
        <v>0</v>
      </c>
      <c r="H29" s="195">
        <v>351.91199999999998</v>
      </c>
      <c r="I29" s="184">
        <v>119.57785211771773</v>
      </c>
      <c r="J29" s="194">
        <v>476</v>
      </c>
      <c r="K29" s="194"/>
      <c r="L29" s="194"/>
      <c r="M29" s="285"/>
    </row>
    <row r="30" spans="1:13" ht="12.75" hidden="1" customHeight="1">
      <c r="A30" s="191">
        <v>36991</v>
      </c>
      <c r="B30" s="284">
        <v>22932702.839999989</v>
      </c>
      <c r="C30" s="194">
        <f>'Weather Data'!B126</f>
        <v>430.7</v>
      </c>
      <c r="D30" s="194">
        <f>'Weather Data'!C126</f>
        <v>0</v>
      </c>
      <c r="E30" s="194">
        <v>30</v>
      </c>
      <c r="F30" s="194">
        <v>1</v>
      </c>
      <c r="G30" s="184">
        <v>0</v>
      </c>
      <c r="H30" s="195">
        <v>319.68</v>
      </c>
      <c r="I30" s="184">
        <v>119.75112252933975</v>
      </c>
      <c r="J30" s="194">
        <v>474</v>
      </c>
      <c r="K30" s="194"/>
      <c r="L30" s="194"/>
      <c r="M30" s="285"/>
    </row>
    <row r="31" spans="1:13" ht="12.75" hidden="1" customHeight="1">
      <c r="A31" s="191">
        <v>37024</v>
      </c>
      <c r="B31" s="284">
        <v>21898868.649999999</v>
      </c>
      <c r="C31" s="194">
        <f>'Weather Data'!B127</f>
        <v>239.9</v>
      </c>
      <c r="D31" s="194">
        <f>'Weather Data'!C127</f>
        <v>0</v>
      </c>
      <c r="E31" s="194">
        <v>31</v>
      </c>
      <c r="F31" s="194">
        <v>1</v>
      </c>
      <c r="G31" s="184">
        <v>0</v>
      </c>
      <c r="H31" s="195">
        <v>351.91199999999998</v>
      </c>
      <c r="I31" s="184">
        <v>119.92464401283681</v>
      </c>
      <c r="J31" s="194">
        <v>476</v>
      </c>
      <c r="K31" s="194"/>
      <c r="L31" s="194"/>
      <c r="M31" s="285"/>
    </row>
    <row r="32" spans="1:13" ht="12.75" hidden="1" customHeight="1">
      <c r="A32" s="191">
        <v>37057</v>
      </c>
      <c r="B32" s="284">
        <v>21021876.090000004</v>
      </c>
      <c r="C32" s="194">
        <f>'Weather Data'!B128</f>
        <v>114</v>
      </c>
      <c r="D32" s="194">
        <f>'Weather Data'!C128</f>
        <v>15.2</v>
      </c>
      <c r="E32" s="194">
        <v>30</v>
      </c>
      <c r="F32" s="194">
        <v>0</v>
      </c>
      <c r="G32" s="184">
        <v>0</v>
      </c>
      <c r="H32" s="195">
        <v>336.24</v>
      </c>
      <c r="I32" s="184">
        <v>120.09841693201646</v>
      </c>
      <c r="J32" s="194">
        <v>477</v>
      </c>
      <c r="K32" s="194"/>
      <c r="L32" s="194"/>
      <c r="M32" s="285"/>
    </row>
    <row r="33" spans="1:13" ht="12.75" hidden="1" customHeight="1">
      <c r="A33" s="191">
        <v>37090</v>
      </c>
      <c r="B33" s="284">
        <v>21695834.309999999</v>
      </c>
      <c r="C33" s="194">
        <f>'Weather Data'!B129</f>
        <v>67.2</v>
      </c>
      <c r="D33" s="194">
        <f>'Weather Data'!C129</f>
        <v>29.7</v>
      </c>
      <c r="E33" s="194">
        <v>31</v>
      </c>
      <c r="F33" s="194">
        <v>0</v>
      </c>
      <c r="G33" s="184">
        <v>0</v>
      </c>
      <c r="H33" s="195">
        <v>336.28800000000001</v>
      </c>
      <c r="I33" s="184">
        <v>120.27244165121344</v>
      </c>
      <c r="J33" s="194">
        <v>476</v>
      </c>
      <c r="K33" s="194"/>
      <c r="L33" s="194"/>
      <c r="M33" s="285"/>
    </row>
    <row r="34" spans="1:13" ht="12.75" hidden="1" customHeight="1">
      <c r="A34" s="191">
        <v>37123</v>
      </c>
      <c r="B34" s="284">
        <v>22267606.790000003</v>
      </c>
      <c r="C34" s="194">
        <f>'Weather Data'!B130</f>
        <v>40.200000000000003</v>
      </c>
      <c r="D34" s="194">
        <f>'Weather Data'!C130</f>
        <v>56.1</v>
      </c>
      <c r="E34" s="194">
        <v>31</v>
      </c>
      <c r="F34" s="194">
        <v>0</v>
      </c>
      <c r="G34" s="184">
        <v>0</v>
      </c>
      <c r="H34" s="195">
        <v>351.91199999999998</v>
      </c>
      <c r="I34" s="184">
        <v>120.4467185352904</v>
      </c>
      <c r="J34" s="194">
        <v>475</v>
      </c>
      <c r="K34" s="194"/>
      <c r="L34" s="194"/>
      <c r="M34" s="285"/>
    </row>
    <row r="35" spans="1:13" ht="12.75" hidden="1" customHeight="1">
      <c r="A35" s="191">
        <v>37156</v>
      </c>
      <c r="B35" s="284">
        <v>20970044.239999998</v>
      </c>
      <c r="C35" s="194">
        <f>'Weather Data'!B131</f>
        <v>187.7</v>
      </c>
      <c r="D35" s="194">
        <f>'Weather Data'!C131</f>
        <v>6.8</v>
      </c>
      <c r="E35" s="194">
        <v>30</v>
      </c>
      <c r="F35" s="194">
        <v>1</v>
      </c>
      <c r="G35" s="184">
        <v>0</v>
      </c>
      <c r="H35" s="195">
        <v>303.83999999999997</v>
      </c>
      <c r="I35" s="184">
        <v>120.62124794963869</v>
      </c>
      <c r="J35" s="194">
        <v>474</v>
      </c>
      <c r="K35" s="194"/>
      <c r="L35" s="194"/>
      <c r="M35" s="285"/>
    </row>
    <row r="36" spans="1:13" ht="12.75" hidden="1" customHeight="1">
      <c r="A36" s="191">
        <v>37189</v>
      </c>
      <c r="B36" s="284">
        <v>22726743.390000008</v>
      </c>
      <c r="C36" s="194">
        <f>'Weather Data'!B132</f>
        <v>408.6</v>
      </c>
      <c r="D36" s="194">
        <f>'Weather Data'!C132</f>
        <v>0</v>
      </c>
      <c r="E36" s="194">
        <v>31</v>
      </c>
      <c r="F36" s="194">
        <v>1</v>
      </c>
      <c r="G36" s="184">
        <v>0</v>
      </c>
      <c r="H36" s="195">
        <v>351.91199999999998</v>
      </c>
      <c r="I36" s="184">
        <v>120.79603026017911</v>
      </c>
      <c r="J36" s="194">
        <v>476</v>
      </c>
      <c r="K36" s="194"/>
      <c r="L36" s="194"/>
      <c r="M36" s="285"/>
    </row>
    <row r="37" spans="1:13" ht="12.75" hidden="1" customHeight="1">
      <c r="A37" s="191">
        <v>37222</v>
      </c>
      <c r="B37" s="284">
        <v>23917781.749999996</v>
      </c>
      <c r="C37" s="194">
        <f>'Weather Data'!B133</f>
        <v>458.8</v>
      </c>
      <c r="D37" s="194">
        <f>'Weather Data'!C133</f>
        <v>0</v>
      </c>
      <c r="E37" s="194">
        <v>30</v>
      </c>
      <c r="F37" s="194">
        <v>1</v>
      </c>
      <c r="G37" s="184">
        <v>0</v>
      </c>
      <c r="H37" s="195">
        <v>352.08</v>
      </c>
      <c r="I37" s="184">
        <v>120.9710658333627</v>
      </c>
      <c r="J37" s="194">
        <v>478</v>
      </c>
      <c r="K37" s="194"/>
      <c r="L37" s="194"/>
      <c r="M37" s="285"/>
    </row>
    <row r="38" spans="1:13" ht="12.75" hidden="1" customHeight="1">
      <c r="A38" s="191">
        <v>37255</v>
      </c>
      <c r="B38" s="284">
        <v>26175856.450000007</v>
      </c>
      <c r="C38" s="194">
        <f>'Weather Data'!B134</f>
        <v>716.4</v>
      </c>
      <c r="D38" s="194">
        <f>'Weather Data'!C134</f>
        <v>0</v>
      </c>
      <c r="E38" s="194">
        <v>31</v>
      </c>
      <c r="F38" s="194">
        <v>0</v>
      </c>
      <c r="G38" s="184">
        <v>0</v>
      </c>
      <c r="H38" s="195">
        <v>304.29599999999999</v>
      </c>
      <c r="I38" s="184">
        <v>121.1463550361714</v>
      </c>
      <c r="J38" s="194">
        <v>477</v>
      </c>
      <c r="K38" s="194"/>
      <c r="L38" s="194"/>
      <c r="M38" s="285"/>
    </row>
    <row r="39" spans="1:13" ht="12.75" hidden="1" customHeight="1">
      <c r="A39" s="196">
        <v>37275</v>
      </c>
      <c r="B39" s="284">
        <v>28530794.519999996</v>
      </c>
      <c r="C39" s="194">
        <f>'Weather Data'!B135</f>
        <v>873.9</v>
      </c>
      <c r="D39" s="194">
        <f>'Weather Data'!C135</f>
        <v>0</v>
      </c>
      <c r="E39" s="194">
        <v>31</v>
      </c>
      <c r="F39" s="194">
        <v>0</v>
      </c>
      <c r="G39" s="184">
        <v>0</v>
      </c>
      <c r="H39" s="195">
        <v>351.91199999999998</v>
      </c>
      <c r="I39" s="184">
        <v>121.50450639216388</v>
      </c>
      <c r="J39" s="194">
        <v>477</v>
      </c>
      <c r="K39" s="194"/>
      <c r="L39" s="194"/>
      <c r="M39" s="285"/>
    </row>
    <row r="40" spans="1:13" ht="12.75" hidden="1" customHeight="1">
      <c r="A40" s="191">
        <v>37308</v>
      </c>
      <c r="B40" s="284">
        <v>26198686.230000004</v>
      </c>
      <c r="C40" s="194">
        <f>'Weather Data'!B136</f>
        <v>733</v>
      </c>
      <c r="D40" s="194">
        <f>'Weather Data'!C136</f>
        <v>0</v>
      </c>
      <c r="E40" s="194">
        <v>28</v>
      </c>
      <c r="F40" s="194">
        <v>0</v>
      </c>
      <c r="G40" s="184">
        <v>0</v>
      </c>
      <c r="H40" s="195">
        <v>319.87200000000001</v>
      </c>
      <c r="I40" s="184">
        <v>121.86371656989111</v>
      </c>
      <c r="J40" s="194">
        <v>475</v>
      </c>
      <c r="K40" s="194"/>
      <c r="L40" s="194"/>
      <c r="M40" s="285"/>
    </row>
    <row r="41" spans="1:13" ht="12.75" hidden="1" customHeight="1">
      <c r="A41" s="191">
        <v>37341</v>
      </c>
      <c r="B41" s="284">
        <v>27472385.659999985</v>
      </c>
      <c r="C41" s="194">
        <f>'Weather Data'!B137</f>
        <v>804.7</v>
      </c>
      <c r="D41" s="194">
        <f>'Weather Data'!C137</f>
        <v>0</v>
      </c>
      <c r="E41" s="194">
        <v>31</v>
      </c>
      <c r="F41" s="194">
        <v>1</v>
      </c>
      <c r="G41" s="184">
        <v>0</v>
      </c>
      <c r="H41" s="195">
        <v>319.92</v>
      </c>
      <c r="I41" s="184">
        <v>122.22398869960362</v>
      </c>
      <c r="J41" s="194">
        <v>478</v>
      </c>
      <c r="K41" s="194"/>
      <c r="L41" s="194"/>
      <c r="M41" s="285"/>
    </row>
    <row r="42" spans="1:13" ht="12.75" hidden="1" customHeight="1">
      <c r="A42" s="191">
        <v>37374</v>
      </c>
      <c r="B42" s="284">
        <v>23674635.879999995</v>
      </c>
      <c r="C42" s="194">
        <f>'Weather Data'!B138</f>
        <v>462.3</v>
      </c>
      <c r="D42" s="194">
        <f>'Weather Data'!C138</f>
        <v>0</v>
      </c>
      <c r="E42" s="194">
        <v>30</v>
      </c>
      <c r="F42" s="194">
        <v>1</v>
      </c>
      <c r="G42" s="184">
        <v>0</v>
      </c>
      <c r="H42" s="195">
        <v>352.08</v>
      </c>
      <c r="I42" s="184">
        <v>122.58532592080604</v>
      </c>
      <c r="J42" s="194">
        <v>480</v>
      </c>
      <c r="K42" s="194"/>
      <c r="L42" s="194"/>
      <c r="M42" s="285"/>
    </row>
    <row r="43" spans="1:13" ht="12.75" hidden="1" customHeight="1">
      <c r="A43" s="191">
        <v>37407</v>
      </c>
      <c r="B43" s="284">
        <v>22507067.52</v>
      </c>
      <c r="C43" s="194">
        <f>'Weather Data'!B139</f>
        <v>335</v>
      </c>
      <c r="D43" s="194">
        <f>'Weather Data'!C139</f>
        <v>0.5</v>
      </c>
      <c r="E43" s="194">
        <v>31</v>
      </c>
      <c r="F43" s="194">
        <v>1</v>
      </c>
      <c r="G43" s="184">
        <v>0</v>
      </c>
      <c r="H43" s="195">
        <v>351.91199999999998</v>
      </c>
      <c r="I43" s="184">
        <v>122.9477313822845</v>
      </c>
      <c r="J43" s="194">
        <v>485</v>
      </c>
      <c r="K43" s="194"/>
      <c r="L43" s="194"/>
      <c r="M43" s="285"/>
    </row>
    <row r="44" spans="1:13" ht="12.75" hidden="1" customHeight="1">
      <c r="A44" s="191">
        <v>37408</v>
      </c>
      <c r="B44" s="284">
        <v>22085684.420000009</v>
      </c>
      <c r="C44" s="194">
        <f>'Weather Data'!B140</f>
        <v>114.4</v>
      </c>
      <c r="D44" s="194">
        <f>'Weather Data'!C140</f>
        <v>14.2</v>
      </c>
      <c r="E44" s="194">
        <v>30</v>
      </c>
      <c r="F44" s="194">
        <v>0</v>
      </c>
      <c r="G44" s="184">
        <v>0</v>
      </c>
      <c r="H44" s="195">
        <v>319.68</v>
      </c>
      <c r="I44" s="184">
        <v>123.31120824213403</v>
      </c>
      <c r="J44" s="194">
        <v>484</v>
      </c>
      <c r="K44" s="194"/>
      <c r="L44" s="194"/>
      <c r="M44" s="285"/>
    </row>
    <row r="45" spans="1:13" ht="12.75" hidden="1" customHeight="1">
      <c r="A45" s="191">
        <v>37440</v>
      </c>
      <c r="B45" s="284">
        <v>23193555.539999992</v>
      </c>
      <c r="C45" s="194">
        <f>'Weather Data'!B141</f>
        <v>17.899999999999999</v>
      </c>
      <c r="D45" s="194">
        <f>'Weather Data'!C141</f>
        <v>79.3</v>
      </c>
      <c r="E45" s="194">
        <v>31</v>
      </c>
      <c r="F45" s="194">
        <v>0</v>
      </c>
      <c r="G45" s="184">
        <v>0</v>
      </c>
      <c r="H45" s="195">
        <v>351.91199999999998</v>
      </c>
      <c r="I45" s="184">
        <v>123.67575966778612</v>
      </c>
      <c r="J45" s="194">
        <v>478</v>
      </c>
      <c r="K45" s="194"/>
      <c r="L45" s="194"/>
      <c r="M45" s="285"/>
    </row>
    <row r="46" spans="1:13" ht="12.75" hidden="1" customHeight="1">
      <c r="A46" s="191">
        <v>37473</v>
      </c>
      <c r="B46" s="284">
        <v>22417126.280000005</v>
      </c>
      <c r="C46" s="194">
        <f>'Weather Data'!B142</f>
        <v>49.7</v>
      </c>
      <c r="D46" s="194">
        <f>'Weather Data'!C142</f>
        <v>15.5</v>
      </c>
      <c r="E46" s="194">
        <v>31</v>
      </c>
      <c r="F46" s="194">
        <v>0</v>
      </c>
      <c r="G46" s="184">
        <v>0</v>
      </c>
      <c r="H46" s="195">
        <v>336.28800000000001</v>
      </c>
      <c r="I46" s="184">
        <v>124.04138883603632</v>
      </c>
      <c r="J46" s="194">
        <v>481</v>
      </c>
      <c r="K46" s="194"/>
      <c r="L46" s="194"/>
      <c r="M46" s="285"/>
    </row>
    <row r="47" spans="1:13" ht="12.75" hidden="1" customHeight="1">
      <c r="A47" s="191">
        <v>37506</v>
      </c>
      <c r="B47" s="284">
        <v>21763821.530000001</v>
      </c>
      <c r="C47" s="194">
        <f>'Weather Data'!B143</f>
        <v>143.5</v>
      </c>
      <c r="D47" s="194">
        <f>'Weather Data'!C143</f>
        <v>20.9</v>
      </c>
      <c r="E47" s="194">
        <v>30</v>
      </c>
      <c r="F47" s="194">
        <v>1</v>
      </c>
      <c r="G47" s="184">
        <v>0</v>
      </c>
      <c r="H47" s="195">
        <v>319.68</v>
      </c>
      <c r="I47" s="184">
        <v>124.40809893307186</v>
      </c>
      <c r="J47" s="194">
        <v>483</v>
      </c>
      <c r="K47" s="194"/>
      <c r="L47" s="194"/>
      <c r="M47" s="285"/>
    </row>
    <row r="48" spans="1:13" ht="12.75" hidden="1" customHeight="1">
      <c r="A48" s="191">
        <v>37539</v>
      </c>
      <c r="B48" s="284">
        <v>23906576.679999992</v>
      </c>
      <c r="C48" s="194">
        <f>'Weather Data'!B144</f>
        <v>510.1</v>
      </c>
      <c r="D48" s="194">
        <f>'Weather Data'!C144</f>
        <v>0</v>
      </c>
      <c r="E48" s="194">
        <v>31</v>
      </c>
      <c r="F48" s="194">
        <v>1</v>
      </c>
      <c r="G48" s="184">
        <v>0</v>
      </c>
      <c r="H48" s="195">
        <v>351.91199999999998</v>
      </c>
      <c r="I48" s="184">
        <v>124.7758931544995</v>
      </c>
      <c r="J48" s="194">
        <v>488</v>
      </c>
      <c r="K48" s="194"/>
      <c r="L48" s="194"/>
      <c r="M48" s="285"/>
    </row>
    <row r="49" spans="1:13" ht="12.75" hidden="1" customHeight="1">
      <c r="A49" s="191">
        <v>37572</v>
      </c>
      <c r="B49" s="284">
        <v>25919156.050000008</v>
      </c>
      <c r="C49" s="194">
        <f>'Weather Data'!B145</f>
        <v>668</v>
      </c>
      <c r="D49" s="194">
        <f>'Weather Data'!C145</f>
        <v>0</v>
      </c>
      <c r="E49" s="194">
        <v>30</v>
      </c>
      <c r="F49" s="194">
        <v>1</v>
      </c>
      <c r="G49" s="184">
        <v>0</v>
      </c>
      <c r="H49" s="195">
        <v>336.24</v>
      </c>
      <c r="I49" s="184">
        <v>125.14477470537335</v>
      </c>
      <c r="J49" s="194">
        <v>491</v>
      </c>
      <c r="K49" s="194"/>
      <c r="L49" s="194"/>
      <c r="M49" s="285"/>
    </row>
    <row r="50" spans="1:13" ht="12.75" hidden="1" customHeight="1">
      <c r="A50" s="183">
        <v>37605</v>
      </c>
      <c r="B50" s="284">
        <v>27992722.820000011</v>
      </c>
      <c r="C50" s="194">
        <f>'Weather Data'!B146</f>
        <v>785.6</v>
      </c>
      <c r="D50" s="194">
        <f>'Weather Data'!C146</f>
        <v>0</v>
      </c>
      <c r="E50" s="184">
        <v>31</v>
      </c>
      <c r="F50" s="184">
        <v>0</v>
      </c>
      <c r="G50" s="184">
        <v>0</v>
      </c>
      <c r="H50" s="185">
        <v>319.92</v>
      </c>
      <c r="I50" s="184">
        <v>125.51474680022261</v>
      </c>
      <c r="J50" s="194">
        <v>488</v>
      </c>
      <c r="K50" s="194"/>
      <c r="L50" s="194"/>
      <c r="M50" s="286"/>
    </row>
    <row r="51" spans="1:13" ht="12.75" hidden="1" customHeight="1">
      <c r="A51" s="191">
        <v>37622</v>
      </c>
      <c r="B51" s="284">
        <v>30247356.060000006</v>
      </c>
      <c r="C51" s="194">
        <f>'Weather Data'!B147</f>
        <v>907.4</v>
      </c>
      <c r="D51" s="194">
        <f>'Weather Data'!C147</f>
        <v>0</v>
      </c>
      <c r="E51" s="194">
        <v>31</v>
      </c>
      <c r="F51" s="194">
        <v>0</v>
      </c>
      <c r="G51" s="184">
        <v>0</v>
      </c>
      <c r="H51" s="195">
        <v>351.91199999999998</v>
      </c>
      <c r="I51" s="184">
        <v>125.66024937363977</v>
      </c>
      <c r="J51" s="194">
        <v>489</v>
      </c>
      <c r="K51" s="194"/>
      <c r="L51" s="194"/>
      <c r="M51" s="285"/>
    </row>
    <row r="52" spans="1:13" ht="12.75" hidden="1" customHeight="1">
      <c r="A52" s="191">
        <v>37653</v>
      </c>
      <c r="B52" s="284">
        <v>28460283.130000003</v>
      </c>
      <c r="C52" s="194">
        <f>'Weather Data'!B148</f>
        <v>969.6</v>
      </c>
      <c r="D52" s="194">
        <f>'Weather Data'!C148</f>
        <v>0</v>
      </c>
      <c r="E52" s="194">
        <v>28</v>
      </c>
      <c r="F52" s="194">
        <v>0</v>
      </c>
      <c r="G52" s="184">
        <v>0</v>
      </c>
      <c r="H52" s="195">
        <v>319.87200000000001</v>
      </c>
      <c r="I52" s="184">
        <v>125.80592062045517</v>
      </c>
      <c r="J52" s="194">
        <v>492</v>
      </c>
      <c r="K52" s="194"/>
      <c r="L52" s="194"/>
      <c r="M52" s="285"/>
    </row>
    <row r="53" spans="1:13" ht="12.75" hidden="1" customHeight="1">
      <c r="A53" s="191">
        <v>37681</v>
      </c>
      <c r="B53" s="284">
        <v>28715021.629999995</v>
      </c>
      <c r="C53" s="194">
        <f>'Weather Data'!B149</f>
        <v>765.1</v>
      </c>
      <c r="D53" s="194">
        <f>'Weather Data'!C149</f>
        <v>0</v>
      </c>
      <c r="E53" s="194">
        <v>31</v>
      </c>
      <c r="F53" s="194">
        <v>1</v>
      </c>
      <c r="G53" s="184">
        <v>0</v>
      </c>
      <c r="H53" s="195">
        <v>336.28800000000001</v>
      </c>
      <c r="I53" s="184">
        <v>125.9517607362029</v>
      </c>
      <c r="J53" s="194">
        <v>505</v>
      </c>
      <c r="K53" s="194"/>
      <c r="L53" s="194"/>
      <c r="M53" s="285"/>
    </row>
    <row r="54" spans="1:13" ht="12.75" hidden="1" customHeight="1">
      <c r="A54" s="191">
        <v>37712</v>
      </c>
      <c r="B54" s="284">
        <v>23920979.839999989</v>
      </c>
      <c r="C54" s="194">
        <f>'Weather Data'!B150</f>
        <v>499.3</v>
      </c>
      <c r="D54" s="194">
        <f>'Weather Data'!C150</f>
        <v>0</v>
      </c>
      <c r="E54" s="194">
        <v>30</v>
      </c>
      <c r="F54" s="194">
        <v>1</v>
      </c>
      <c r="G54" s="184">
        <v>0</v>
      </c>
      <c r="H54" s="195">
        <v>336.24</v>
      </c>
      <c r="I54" s="184">
        <v>126.09776991664374</v>
      </c>
      <c r="J54" s="194">
        <v>499</v>
      </c>
      <c r="K54" s="194"/>
      <c r="L54" s="194"/>
      <c r="M54" s="285"/>
    </row>
    <row r="55" spans="1:13" ht="12.75" hidden="1" customHeight="1">
      <c r="A55" s="191">
        <v>37742</v>
      </c>
      <c r="B55" s="284">
        <v>22761853.509999983</v>
      </c>
      <c r="C55" s="194">
        <f>'Weather Data'!B151</f>
        <v>276.39999999999998</v>
      </c>
      <c r="D55" s="194">
        <f>'Weather Data'!C151</f>
        <v>0</v>
      </c>
      <c r="E55" s="194">
        <v>31</v>
      </c>
      <c r="F55" s="194">
        <v>1</v>
      </c>
      <c r="G55" s="184">
        <v>0</v>
      </c>
      <c r="H55" s="195">
        <v>336.28800000000001</v>
      </c>
      <c r="I55" s="184">
        <v>126.2439483577654</v>
      </c>
      <c r="J55" s="194">
        <v>499</v>
      </c>
      <c r="K55" s="194"/>
      <c r="L55" s="194"/>
      <c r="M55" s="285"/>
    </row>
    <row r="56" spans="1:13" ht="12.75" hidden="1" customHeight="1">
      <c r="A56" s="191">
        <v>37773</v>
      </c>
      <c r="B56" s="284">
        <v>21516931.129999999</v>
      </c>
      <c r="C56" s="194">
        <f>'Weather Data'!B152</f>
        <v>129.30000000000001</v>
      </c>
      <c r="D56" s="194">
        <f>'Weather Data'!C152</f>
        <v>0</v>
      </c>
      <c r="E56" s="194">
        <v>30</v>
      </c>
      <c r="F56" s="194">
        <v>0</v>
      </c>
      <c r="G56" s="184">
        <v>0</v>
      </c>
      <c r="H56" s="195">
        <v>336.24</v>
      </c>
      <c r="I56" s="184">
        <v>126.3902962557828</v>
      </c>
      <c r="J56" s="194">
        <v>503</v>
      </c>
      <c r="K56" s="194"/>
      <c r="L56" s="194"/>
      <c r="M56" s="285"/>
    </row>
    <row r="57" spans="1:13" ht="12.75" hidden="1" customHeight="1">
      <c r="A57" s="191">
        <v>37803</v>
      </c>
      <c r="B57" s="284">
        <v>22581221.450000003</v>
      </c>
      <c r="C57" s="194">
        <f>'Weather Data'!B153</f>
        <v>29.9</v>
      </c>
      <c r="D57" s="194">
        <f>'Weather Data'!C153</f>
        <v>18.2</v>
      </c>
      <c r="E57" s="194">
        <v>31</v>
      </c>
      <c r="F57" s="194">
        <v>0</v>
      </c>
      <c r="G57" s="184">
        <v>0</v>
      </c>
      <c r="H57" s="195">
        <v>351.91199999999998</v>
      </c>
      <c r="I57" s="184">
        <v>126.5368138071383</v>
      </c>
      <c r="J57" s="194">
        <v>500</v>
      </c>
      <c r="K57" s="194"/>
      <c r="L57" s="194"/>
      <c r="M57" s="285"/>
    </row>
    <row r="58" spans="1:13" ht="12.75" hidden="1" customHeight="1">
      <c r="A58" s="191">
        <v>37834</v>
      </c>
      <c r="B58" s="284">
        <v>22725768.199999981</v>
      </c>
      <c r="C58" s="194">
        <f>'Weather Data'!B154</f>
        <v>35.6</v>
      </c>
      <c r="D58" s="194">
        <f>'Weather Data'!C154</f>
        <v>50.9</v>
      </c>
      <c r="E58" s="194">
        <v>31</v>
      </c>
      <c r="F58" s="194">
        <v>0</v>
      </c>
      <c r="G58" s="184">
        <v>0</v>
      </c>
      <c r="H58" s="195">
        <v>319.92</v>
      </c>
      <c r="I58" s="184">
        <v>126.68350120850199</v>
      </c>
      <c r="J58" s="194">
        <v>499</v>
      </c>
      <c r="K58" s="194"/>
      <c r="L58" s="194"/>
      <c r="M58" s="285"/>
    </row>
    <row r="59" spans="1:13" ht="12.75" hidden="1" customHeight="1">
      <c r="A59" s="191">
        <v>37865</v>
      </c>
      <c r="B59" s="284">
        <v>22003813.639999993</v>
      </c>
      <c r="C59" s="194">
        <f>'Weather Data'!B155</f>
        <v>164</v>
      </c>
      <c r="D59" s="194">
        <f>'Weather Data'!C155</f>
        <v>6.7</v>
      </c>
      <c r="E59" s="194">
        <v>30</v>
      </c>
      <c r="F59" s="194">
        <v>1</v>
      </c>
      <c r="G59" s="184">
        <v>0</v>
      </c>
      <c r="H59" s="195">
        <v>336.24</v>
      </c>
      <c r="I59" s="184">
        <v>126.83035865677196</v>
      </c>
      <c r="J59" s="194">
        <v>503</v>
      </c>
      <c r="K59" s="194"/>
      <c r="L59" s="194"/>
      <c r="M59" s="285"/>
    </row>
    <row r="60" spans="1:13" ht="12.75" hidden="1" customHeight="1">
      <c r="A60" s="191">
        <v>37895</v>
      </c>
      <c r="B60" s="284">
        <v>24158122.459999993</v>
      </c>
      <c r="C60" s="194">
        <f>'Weather Data'!B156</f>
        <v>414.2</v>
      </c>
      <c r="D60" s="194">
        <f>'Weather Data'!C156</f>
        <v>0</v>
      </c>
      <c r="E60" s="194">
        <v>31</v>
      </c>
      <c r="F60" s="194">
        <v>1</v>
      </c>
      <c r="G60" s="184">
        <v>0</v>
      </c>
      <c r="H60" s="195">
        <v>351.91199999999998</v>
      </c>
      <c r="I60" s="184">
        <v>126.97738634907456</v>
      </c>
      <c r="J60" s="194">
        <v>499</v>
      </c>
      <c r="K60" s="194"/>
      <c r="L60" s="194"/>
      <c r="M60" s="285"/>
    </row>
    <row r="61" spans="1:13" ht="12.75" hidden="1" customHeight="1">
      <c r="A61" s="191">
        <v>37926</v>
      </c>
      <c r="B61" s="284">
        <v>25919367.380000006</v>
      </c>
      <c r="C61" s="194">
        <f>'Weather Data'!B157</f>
        <v>632.9</v>
      </c>
      <c r="D61" s="194">
        <f>'Weather Data'!C157</f>
        <v>0</v>
      </c>
      <c r="E61" s="194">
        <v>30</v>
      </c>
      <c r="F61" s="194">
        <v>1</v>
      </c>
      <c r="G61" s="184">
        <v>0</v>
      </c>
      <c r="H61" s="195">
        <v>319.68</v>
      </c>
      <c r="I61" s="184">
        <v>127.12458448276465</v>
      </c>
      <c r="J61" s="194">
        <v>500</v>
      </c>
      <c r="K61" s="194"/>
      <c r="L61" s="194"/>
      <c r="M61" s="285"/>
    </row>
    <row r="62" spans="1:13" ht="12.75" hidden="1" customHeight="1">
      <c r="A62" s="191">
        <v>37956</v>
      </c>
      <c r="B62" s="284">
        <v>27963038.760000017</v>
      </c>
      <c r="C62" s="194">
        <f>'Weather Data'!B158</f>
        <v>785.9</v>
      </c>
      <c r="D62" s="194">
        <f>'Weather Data'!C158</f>
        <v>0</v>
      </c>
      <c r="E62" s="194">
        <v>31</v>
      </c>
      <c r="F62" s="194">
        <v>0</v>
      </c>
      <c r="G62" s="184">
        <v>0</v>
      </c>
      <c r="H62" s="195">
        <v>336.28800000000001</v>
      </c>
      <c r="I62" s="184">
        <v>127.27195325542573</v>
      </c>
      <c r="J62" s="194">
        <v>501</v>
      </c>
      <c r="K62" s="194"/>
      <c r="L62" s="194"/>
      <c r="M62" s="285"/>
    </row>
    <row r="63" spans="1:13" ht="12.75" hidden="1" customHeight="1">
      <c r="A63" s="191">
        <v>37987</v>
      </c>
      <c r="B63" s="284">
        <v>30937974.93</v>
      </c>
      <c r="C63" s="194">
        <f>'Weather Data'!B159</f>
        <v>1140.5999999999999</v>
      </c>
      <c r="D63" s="194">
        <f>'Weather Data'!C159</f>
        <v>0</v>
      </c>
      <c r="E63" s="194">
        <v>31</v>
      </c>
      <c r="F63" s="194">
        <v>0</v>
      </c>
      <c r="G63" s="184">
        <v>0</v>
      </c>
      <c r="H63" s="195">
        <v>336.28800000000001</v>
      </c>
      <c r="I63" s="184">
        <v>127.53411264087498</v>
      </c>
      <c r="J63" s="194">
        <v>499</v>
      </c>
      <c r="K63" s="194"/>
      <c r="L63" s="194"/>
      <c r="M63" s="285"/>
    </row>
    <row r="64" spans="1:13" ht="12.75" hidden="1" customHeight="1">
      <c r="A64" s="191">
        <v>38018</v>
      </c>
      <c r="B64" s="284">
        <v>27306089.359999992</v>
      </c>
      <c r="C64" s="194">
        <f>'Weather Data'!B160</f>
        <v>778.3</v>
      </c>
      <c r="D64" s="194">
        <f>'Weather Data'!C160</f>
        <v>0</v>
      </c>
      <c r="E64" s="194">
        <v>29</v>
      </c>
      <c r="F64" s="194">
        <v>0</v>
      </c>
      <c r="G64" s="184">
        <v>0</v>
      </c>
      <c r="H64" s="195">
        <v>320.16000000000003</v>
      </c>
      <c r="I64" s="184">
        <v>127.79681203173486</v>
      </c>
      <c r="J64" s="194">
        <v>486</v>
      </c>
      <c r="K64" s="194"/>
      <c r="L64" s="194"/>
      <c r="M64" s="285"/>
    </row>
    <row r="65" spans="1:41" ht="12.75" hidden="1" customHeight="1">
      <c r="A65" s="191">
        <v>38047</v>
      </c>
      <c r="B65" s="284">
        <v>26515207.210000012</v>
      </c>
      <c r="C65" s="194">
        <f>'Weather Data'!B161</f>
        <v>684.3</v>
      </c>
      <c r="D65" s="194">
        <f>'Weather Data'!C161</f>
        <v>0</v>
      </c>
      <c r="E65" s="194">
        <v>31</v>
      </c>
      <c r="F65" s="194">
        <v>1</v>
      </c>
      <c r="G65" s="184">
        <v>0</v>
      </c>
      <c r="H65" s="195">
        <v>368.28</v>
      </c>
      <c r="I65" s="184">
        <v>128.06005254032812</v>
      </c>
      <c r="J65" s="194">
        <v>460</v>
      </c>
      <c r="K65" s="194"/>
      <c r="L65" s="194"/>
      <c r="M65" s="285"/>
    </row>
    <row r="66" spans="1:41" ht="12.75" hidden="1" customHeight="1">
      <c r="A66" s="191">
        <v>38078</v>
      </c>
      <c r="B66" s="284">
        <v>23016461.999999993</v>
      </c>
      <c r="C66" s="194">
        <f>'Weather Data'!B162</f>
        <v>472.4</v>
      </c>
      <c r="D66" s="194">
        <f>'Weather Data'!C162</f>
        <v>0</v>
      </c>
      <c r="E66" s="194">
        <v>30</v>
      </c>
      <c r="F66" s="194">
        <v>1</v>
      </c>
      <c r="G66" s="184">
        <v>0</v>
      </c>
      <c r="H66" s="195">
        <v>336.24</v>
      </c>
      <c r="I66" s="184">
        <v>128.32383528126866</v>
      </c>
      <c r="J66" s="194">
        <v>457</v>
      </c>
      <c r="K66" s="194"/>
      <c r="L66" s="194"/>
      <c r="M66" s="285"/>
    </row>
    <row r="67" spans="1:41" ht="12.75" hidden="1" customHeight="1">
      <c r="A67" s="191">
        <v>38108</v>
      </c>
      <c r="B67" s="284">
        <v>21892354.059999995</v>
      </c>
      <c r="C67" s="194">
        <f>'Weather Data'!B163</f>
        <v>333.2</v>
      </c>
      <c r="D67" s="194">
        <f>'Weather Data'!C163</f>
        <v>0</v>
      </c>
      <c r="E67" s="194">
        <v>31</v>
      </c>
      <c r="F67" s="194">
        <v>1</v>
      </c>
      <c r="G67" s="184">
        <v>0</v>
      </c>
      <c r="H67" s="195">
        <v>319.92</v>
      </c>
      <c r="I67" s="184">
        <v>128.58816137146633</v>
      </c>
      <c r="J67" s="194">
        <v>459</v>
      </c>
      <c r="K67" s="194"/>
      <c r="L67" s="194"/>
      <c r="M67" s="285"/>
    </row>
    <row r="68" spans="1:41" ht="12.75" hidden="1" customHeight="1">
      <c r="A68" s="191">
        <v>38139</v>
      </c>
      <c r="B68" s="284">
        <v>20420158.799999997</v>
      </c>
      <c r="C68" s="194">
        <f>'Weather Data'!B164</f>
        <v>145.80000000000001</v>
      </c>
      <c r="D68" s="194">
        <f>'Weather Data'!C164</f>
        <v>3.1</v>
      </c>
      <c r="E68" s="194">
        <v>30</v>
      </c>
      <c r="F68" s="194">
        <v>0</v>
      </c>
      <c r="G68" s="184">
        <v>0</v>
      </c>
      <c r="H68" s="195">
        <v>352.08</v>
      </c>
      <c r="I68" s="184">
        <v>128.85303193013166</v>
      </c>
      <c r="J68" s="194">
        <v>459</v>
      </c>
      <c r="K68" s="194"/>
      <c r="L68" s="194"/>
      <c r="M68" s="285"/>
    </row>
    <row r="69" spans="1:41" ht="12.75" hidden="1" customHeight="1">
      <c r="A69" s="191">
        <v>38169</v>
      </c>
      <c r="B69" s="284">
        <v>21540775.229999993</v>
      </c>
      <c r="C69" s="194">
        <f>'Weather Data'!B165</f>
        <v>67.400000000000006</v>
      </c>
      <c r="D69" s="194">
        <f>'Weather Data'!C165</f>
        <v>22</v>
      </c>
      <c r="E69" s="194">
        <v>31</v>
      </c>
      <c r="F69" s="194">
        <v>0</v>
      </c>
      <c r="G69" s="184">
        <v>0</v>
      </c>
      <c r="H69" s="195">
        <v>336.28800000000001</v>
      </c>
      <c r="I69" s="184">
        <v>129.11844807878055</v>
      </c>
      <c r="J69" s="194">
        <v>461</v>
      </c>
      <c r="K69" s="194"/>
      <c r="L69" s="194"/>
      <c r="M69" s="285"/>
    </row>
    <row r="70" spans="1:41" ht="12.75" hidden="1" customHeight="1">
      <c r="A70" s="191">
        <v>38200</v>
      </c>
      <c r="B70" s="284">
        <v>21313848.719999999</v>
      </c>
      <c r="C70" s="194">
        <f>'Weather Data'!B166</f>
        <v>123</v>
      </c>
      <c r="D70" s="194">
        <f>'Weather Data'!C166</f>
        <v>1.8</v>
      </c>
      <c r="E70" s="194">
        <v>31</v>
      </c>
      <c r="F70" s="194">
        <v>0</v>
      </c>
      <c r="G70" s="184">
        <v>0</v>
      </c>
      <c r="H70" s="195">
        <v>336.28800000000001</v>
      </c>
      <c r="I70" s="184">
        <v>129.38441094123903</v>
      </c>
      <c r="J70" s="194">
        <v>463</v>
      </c>
      <c r="K70" s="194"/>
      <c r="L70" s="194"/>
      <c r="M70" s="285"/>
    </row>
    <row r="71" spans="1:41" ht="12.75" hidden="1" customHeight="1">
      <c r="A71" s="191">
        <v>38231</v>
      </c>
      <c r="B71" s="284">
        <v>21313093.559999991</v>
      </c>
      <c r="C71" s="194">
        <f>'Weather Data'!B167</f>
        <v>132.9</v>
      </c>
      <c r="D71" s="194">
        <f>'Weather Data'!C167</f>
        <v>4.7</v>
      </c>
      <c r="E71" s="194">
        <v>30</v>
      </c>
      <c r="F71" s="194">
        <v>1</v>
      </c>
      <c r="G71" s="184">
        <v>0</v>
      </c>
      <c r="H71" s="195">
        <v>336.24</v>
      </c>
      <c r="I71" s="184">
        <v>129.65092164364802</v>
      </c>
      <c r="J71" s="194">
        <v>466</v>
      </c>
      <c r="K71" s="194"/>
      <c r="L71" s="194"/>
      <c r="M71" s="285"/>
    </row>
    <row r="72" spans="1:41" ht="12.75" hidden="1" customHeight="1">
      <c r="A72" s="191">
        <v>38261</v>
      </c>
      <c r="B72" s="284">
        <v>22910607.509999979</v>
      </c>
      <c r="C72" s="194">
        <f>'Weather Data'!B168</f>
        <v>372.7</v>
      </c>
      <c r="D72" s="194">
        <f>'Weather Data'!C168</f>
        <v>0</v>
      </c>
      <c r="E72" s="194">
        <v>31</v>
      </c>
      <c r="F72" s="194">
        <v>1</v>
      </c>
      <c r="G72" s="184">
        <v>0</v>
      </c>
      <c r="H72" s="195">
        <v>319.92</v>
      </c>
      <c r="I72" s="184">
        <v>129.91798131446814</v>
      </c>
      <c r="J72" s="194">
        <v>465</v>
      </c>
      <c r="K72" s="194"/>
      <c r="L72" s="194"/>
      <c r="M72" s="285"/>
    </row>
    <row r="73" spans="1:41" ht="12.75" hidden="1" customHeight="1">
      <c r="A73" s="191">
        <v>38292</v>
      </c>
      <c r="B73" s="284">
        <v>24309383.419999991</v>
      </c>
      <c r="C73" s="194">
        <f>'Weather Data'!B169</f>
        <v>554.9</v>
      </c>
      <c r="D73" s="194">
        <f>'Weather Data'!C169</f>
        <v>0</v>
      </c>
      <c r="E73" s="194">
        <v>30</v>
      </c>
      <c r="F73" s="194">
        <v>1</v>
      </c>
      <c r="G73" s="184">
        <v>0</v>
      </c>
      <c r="H73" s="195">
        <v>352.08</v>
      </c>
      <c r="I73" s="184">
        <v>130.18559108448443</v>
      </c>
      <c r="J73" s="194">
        <v>465</v>
      </c>
      <c r="K73" s="194"/>
      <c r="L73" s="194"/>
      <c r="M73" s="285"/>
    </row>
    <row r="74" spans="1:41" ht="12.75" hidden="1" customHeight="1">
      <c r="A74" s="191">
        <v>38322</v>
      </c>
      <c r="B74" s="284">
        <v>28308962.869999982</v>
      </c>
      <c r="C74" s="194">
        <f>'Weather Data'!B170</f>
        <v>926.6</v>
      </c>
      <c r="D74" s="194">
        <f>'Weather Data'!C170</f>
        <v>0</v>
      </c>
      <c r="E74" s="194">
        <v>31</v>
      </c>
      <c r="F74" s="194">
        <v>0</v>
      </c>
      <c r="G74" s="184">
        <v>0</v>
      </c>
      <c r="H74" s="195">
        <v>336.28800000000001</v>
      </c>
      <c r="I74" s="184">
        <v>130.45375208681136</v>
      </c>
      <c r="J74" s="194">
        <v>464</v>
      </c>
      <c r="K74" s="194"/>
      <c r="L74" s="194"/>
      <c r="M74" s="285"/>
    </row>
    <row r="75" spans="1:41" ht="12.75" hidden="1" customHeight="1">
      <c r="A75" s="191">
        <v>38353</v>
      </c>
      <c r="B75" s="284">
        <v>29981056.320000004</v>
      </c>
      <c r="C75" s="194">
        <f>'Weather Data'!B171</f>
        <v>1084.3</v>
      </c>
      <c r="D75" s="194">
        <f>'Weather Data'!C171</f>
        <v>0</v>
      </c>
      <c r="E75" s="194">
        <v>31</v>
      </c>
      <c r="F75" s="194">
        <v>0</v>
      </c>
      <c r="G75" s="184">
        <v>0</v>
      </c>
      <c r="H75" s="195">
        <v>319.92</v>
      </c>
      <c r="I75" s="184">
        <v>130.74370215685079</v>
      </c>
      <c r="J75" s="194">
        <v>466</v>
      </c>
      <c r="K75" s="194"/>
      <c r="L75" s="194"/>
      <c r="M75" s="285"/>
    </row>
    <row r="76" spans="1:41" s="9" customFormat="1" ht="12.75" hidden="1" customHeight="1">
      <c r="A76" s="191">
        <v>38384</v>
      </c>
      <c r="B76" s="284">
        <v>26021216.539999973</v>
      </c>
      <c r="C76" s="194">
        <f>'Weather Data'!B172</f>
        <v>755.9</v>
      </c>
      <c r="D76" s="194">
        <f>'Weather Data'!C172</f>
        <v>0</v>
      </c>
      <c r="E76" s="194">
        <v>28</v>
      </c>
      <c r="F76" s="194">
        <v>0</v>
      </c>
      <c r="G76" s="184">
        <v>0</v>
      </c>
      <c r="H76" s="195">
        <v>319.87200000000001</v>
      </c>
      <c r="I76" s="184">
        <v>131.0342966778299</v>
      </c>
      <c r="J76" s="194">
        <v>466</v>
      </c>
      <c r="K76" s="194"/>
      <c r="L76" s="194"/>
      <c r="M76" s="285"/>
      <c r="N76"/>
      <c r="O76"/>
      <c r="P76"/>
      <c r="Q76"/>
      <c r="R76"/>
      <c r="S76"/>
      <c r="T76"/>
      <c r="U76"/>
      <c r="V76"/>
      <c r="W76"/>
      <c r="X76"/>
      <c r="Y76"/>
      <c r="Z76"/>
      <c r="AA76"/>
      <c r="AB76"/>
      <c r="AC76"/>
      <c r="AD76"/>
      <c r="AE76"/>
      <c r="AF76"/>
      <c r="AG76"/>
      <c r="AH76"/>
      <c r="AI76"/>
      <c r="AJ76"/>
      <c r="AK76"/>
      <c r="AL76"/>
      <c r="AM76"/>
      <c r="AN76"/>
      <c r="AO76"/>
    </row>
    <row r="77" spans="1:41" ht="12.75" hidden="1" customHeight="1">
      <c r="A77" s="191">
        <v>38412</v>
      </c>
      <c r="B77" s="284">
        <v>27186436.039999992</v>
      </c>
      <c r="C77" s="194">
        <f>'Weather Data'!B173</f>
        <v>814.1</v>
      </c>
      <c r="D77" s="194">
        <f>'Weather Data'!C173</f>
        <v>0</v>
      </c>
      <c r="E77" s="194">
        <v>31</v>
      </c>
      <c r="F77" s="194">
        <v>1</v>
      </c>
      <c r="G77" s="184">
        <v>0</v>
      </c>
      <c r="H77" s="195">
        <v>351.91199999999998</v>
      </c>
      <c r="I77" s="184">
        <v>131.32553708212293</v>
      </c>
      <c r="J77" s="194">
        <v>487</v>
      </c>
      <c r="K77" s="194"/>
      <c r="L77" s="194"/>
      <c r="M77" s="285"/>
    </row>
    <row r="78" spans="1:41" ht="12.75" hidden="1" customHeight="1">
      <c r="A78" s="191">
        <v>38443</v>
      </c>
      <c r="B78" s="284">
        <v>23539059.55999998</v>
      </c>
      <c r="C78" s="194">
        <f>'Weather Data'!B174</f>
        <v>408.1</v>
      </c>
      <c r="D78" s="194">
        <f>'Weather Data'!C174</f>
        <v>0</v>
      </c>
      <c r="E78" s="194">
        <v>30</v>
      </c>
      <c r="F78" s="194">
        <v>1</v>
      </c>
      <c r="G78" s="184">
        <v>0</v>
      </c>
      <c r="H78" s="195">
        <v>336.24</v>
      </c>
      <c r="I78" s="184">
        <v>131.61742480528775</v>
      </c>
      <c r="J78" s="194">
        <v>481</v>
      </c>
      <c r="K78" s="194"/>
      <c r="L78" s="194"/>
      <c r="M78" s="285"/>
    </row>
    <row r="79" spans="1:41" ht="12.75" hidden="1" customHeight="1">
      <c r="A79" s="191">
        <v>38473</v>
      </c>
      <c r="B79" s="284">
        <v>23356657.370000008</v>
      </c>
      <c r="C79" s="194">
        <f>'Weather Data'!B175</f>
        <v>306.2</v>
      </c>
      <c r="D79" s="194">
        <f>'Weather Data'!C175</f>
        <v>0</v>
      </c>
      <c r="E79" s="194">
        <v>31</v>
      </c>
      <c r="F79" s="194">
        <v>1</v>
      </c>
      <c r="G79" s="184">
        <v>0</v>
      </c>
      <c r="H79" s="195">
        <v>336.28800000000001</v>
      </c>
      <c r="I79" s="184">
        <v>131.90996128607298</v>
      </c>
      <c r="J79" s="194">
        <v>483</v>
      </c>
      <c r="K79" s="194"/>
      <c r="L79" s="194"/>
      <c r="M79" s="285"/>
    </row>
    <row r="80" spans="1:41" ht="12.75" hidden="1" customHeight="1">
      <c r="A80" s="191">
        <v>38504</v>
      </c>
      <c r="B80" s="284">
        <v>22845169.659999996</v>
      </c>
      <c r="C80" s="194">
        <f>'Weather Data'!B176</f>
        <v>72.599999999999994</v>
      </c>
      <c r="D80" s="194">
        <f>'Weather Data'!C176</f>
        <v>16.8</v>
      </c>
      <c r="E80" s="194">
        <v>30</v>
      </c>
      <c r="F80" s="194">
        <v>0</v>
      </c>
      <c r="G80" s="184">
        <v>0</v>
      </c>
      <c r="H80" s="195">
        <v>352.08</v>
      </c>
      <c r="I80" s="184">
        <v>132.20314796642501</v>
      </c>
      <c r="J80" s="194">
        <v>482</v>
      </c>
      <c r="K80" s="194"/>
      <c r="L80" s="194"/>
      <c r="M80" s="285"/>
    </row>
    <row r="81" spans="1:41" ht="12.75" hidden="1" customHeight="1">
      <c r="A81" s="191">
        <v>38534</v>
      </c>
      <c r="B81" s="284">
        <v>23894015.750000004</v>
      </c>
      <c r="C81" s="194">
        <f>'Weather Data'!B177</f>
        <v>45.3</v>
      </c>
      <c r="D81" s="194">
        <f>'Weather Data'!C177</f>
        <v>53</v>
      </c>
      <c r="E81" s="194">
        <v>31</v>
      </c>
      <c r="F81" s="194">
        <v>0</v>
      </c>
      <c r="G81" s="184">
        <v>0</v>
      </c>
      <c r="H81" s="195">
        <v>319.92</v>
      </c>
      <c r="I81" s="184">
        <v>132.49698629149512</v>
      </c>
      <c r="J81" s="194">
        <v>484</v>
      </c>
      <c r="K81" s="194"/>
      <c r="L81" s="194"/>
      <c r="M81" s="285"/>
    </row>
    <row r="82" spans="1:41" ht="12.75" hidden="1" customHeight="1">
      <c r="A82" s="191">
        <v>38565</v>
      </c>
      <c r="B82" s="284">
        <v>23530513.359999999</v>
      </c>
      <c r="C82" s="194">
        <f>'Weather Data'!B178</f>
        <v>46.3</v>
      </c>
      <c r="D82" s="194">
        <f>'Weather Data'!C178</f>
        <v>29.6</v>
      </c>
      <c r="E82" s="194">
        <v>31</v>
      </c>
      <c r="F82" s="194">
        <v>0</v>
      </c>
      <c r="G82" s="184">
        <v>0</v>
      </c>
      <c r="H82" s="195">
        <v>351.91199999999998</v>
      </c>
      <c r="I82" s="184">
        <v>132.79147770964664</v>
      </c>
      <c r="J82" s="194">
        <v>480</v>
      </c>
      <c r="K82" s="194"/>
      <c r="L82" s="194"/>
      <c r="M82" s="285"/>
    </row>
    <row r="83" spans="1:41" ht="12.75" hidden="1" customHeight="1">
      <c r="A83" s="191">
        <v>38596</v>
      </c>
      <c r="B83" s="284">
        <v>22573270.269999996</v>
      </c>
      <c r="C83" s="194">
        <f>'Weather Data'!B179</f>
        <v>148.80000000000001</v>
      </c>
      <c r="D83" s="194">
        <f>'Weather Data'!C179</f>
        <v>15.2</v>
      </c>
      <c r="E83" s="194">
        <v>30</v>
      </c>
      <c r="F83" s="194">
        <v>1</v>
      </c>
      <c r="G83" s="184">
        <v>0</v>
      </c>
      <c r="H83" s="195">
        <v>336.24</v>
      </c>
      <c r="I83" s="184">
        <v>133.08662367246211</v>
      </c>
      <c r="J83" s="194">
        <v>481</v>
      </c>
      <c r="K83" s="194"/>
      <c r="L83" s="194"/>
      <c r="M83" s="285"/>
    </row>
    <row r="84" spans="1:41" ht="12.75" hidden="1" customHeight="1">
      <c r="A84" s="191">
        <v>38626</v>
      </c>
      <c r="B84" s="284">
        <v>23998835.469999999</v>
      </c>
      <c r="C84" s="194">
        <f>'Weather Data'!B180</f>
        <v>347.3</v>
      </c>
      <c r="D84" s="194">
        <f>'Weather Data'!C180</f>
        <v>0</v>
      </c>
      <c r="E84" s="194">
        <v>31</v>
      </c>
      <c r="F84" s="194">
        <v>1</v>
      </c>
      <c r="G84" s="184">
        <v>0</v>
      </c>
      <c r="H84" s="195">
        <v>319.92</v>
      </c>
      <c r="I84" s="184">
        <v>133.38242563475035</v>
      </c>
      <c r="J84" s="194">
        <v>483</v>
      </c>
      <c r="K84" s="194"/>
      <c r="L84" s="194"/>
      <c r="M84" s="285"/>
    </row>
    <row r="85" spans="1:41" ht="12.75" hidden="1" customHeight="1">
      <c r="A85" s="191">
        <v>38657</v>
      </c>
      <c r="B85" s="284">
        <v>26134846.600000005</v>
      </c>
      <c r="C85" s="194">
        <f>'Weather Data'!B181</f>
        <v>606.9</v>
      </c>
      <c r="D85" s="194">
        <f>'Weather Data'!C181</f>
        <v>0</v>
      </c>
      <c r="E85" s="194">
        <v>30</v>
      </c>
      <c r="F85" s="194">
        <v>1</v>
      </c>
      <c r="G85" s="184">
        <v>0</v>
      </c>
      <c r="H85" s="195">
        <v>352.08</v>
      </c>
      <c r="I85" s="184">
        <v>133.67888505455369</v>
      </c>
      <c r="J85" s="194">
        <v>482</v>
      </c>
      <c r="K85" s="194"/>
      <c r="L85" s="194"/>
      <c r="M85" s="285"/>
    </row>
    <row r="86" spans="1:41" ht="12.75" hidden="1" customHeight="1">
      <c r="A86" s="191">
        <v>38687</v>
      </c>
      <c r="B86" s="284">
        <v>29015604.499999993</v>
      </c>
      <c r="C86" s="194">
        <f>'Weather Data'!B182</f>
        <v>833.4</v>
      </c>
      <c r="D86" s="194">
        <f>'Weather Data'!C182</f>
        <v>0</v>
      </c>
      <c r="E86" s="194">
        <v>31</v>
      </c>
      <c r="F86" s="194">
        <v>0</v>
      </c>
      <c r="G86" s="184">
        <v>0</v>
      </c>
      <c r="H86" s="195">
        <v>319.92</v>
      </c>
      <c r="I86" s="184">
        <v>133.97600339315525</v>
      </c>
      <c r="J86" s="194">
        <v>483</v>
      </c>
      <c r="K86" s="194"/>
      <c r="L86" s="194"/>
      <c r="M86" s="285"/>
    </row>
    <row r="87" spans="1:41" s="21" customFormat="1" ht="15">
      <c r="A87" s="191">
        <v>38718</v>
      </c>
      <c r="B87" s="284">
        <v>28857836.470000003</v>
      </c>
      <c r="C87" s="194">
        <f>'Residential WN'!C87</f>
        <v>960.98000000000013</v>
      </c>
      <c r="D87" s="194">
        <f>'Residential WN'!D87</f>
        <v>0</v>
      </c>
      <c r="E87" s="194">
        <v>31</v>
      </c>
      <c r="F87" s="194">
        <v>0</v>
      </c>
      <c r="G87" s="184">
        <f>'CDM Activity'!U19</f>
        <v>0</v>
      </c>
      <c r="H87" s="195">
        <v>336.28800000000001</v>
      </c>
      <c r="I87" s="184">
        <v>134.25197202423305</v>
      </c>
      <c r="J87" s="194">
        <v>484</v>
      </c>
      <c r="K87" s="194">
        <f>$O$103+C87*$O$104+D87*$O$105+E87*$O$106+F87*$O$107+G87*$O$108+H87*$O$109</f>
        <v>29452702.198259301</v>
      </c>
      <c r="L87" s="194"/>
      <c r="M87" s="285"/>
      <c r="N87" s="260" t="s">
        <v>15</v>
      </c>
      <c r="O87"/>
      <c r="P87"/>
      <c r="Q87"/>
      <c r="R87"/>
      <c r="S87"/>
      <c r="T87"/>
      <c r="U87"/>
      <c r="V87"/>
      <c r="W87"/>
      <c r="X87"/>
      <c r="Y87"/>
      <c r="Z87"/>
      <c r="AA87"/>
      <c r="AB87"/>
      <c r="AC87"/>
      <c r="AD87"/>
      <c r="AE87"/>
      <c r="AF87"/>
      <c r="AG87"/>
      <c r="AH87"/>
      <c r="AI87"/>
      <c r="AJ87"/>
      <c r="AK87"/>
      <c r="AL87"/>
      <c r="AM87"/>
      <c r="AN87"/>
      <c r="AO87"/>
    </row>
    <row r="88" spans="1:41" ht="13.5" thickBot="1">
      <c r="A88" s="191">
        <v>38749</v>
      </c>
      <c r="B88" s="284">
        <v>27077340.080000006</v>
      </c>
      <c r="C88" s="194">
        <f>'Residential WN'!C88</f>
        <v>875.5899999999998</v>
      </c>
      <c r="D88" s="194">
        <f>'Residential WN'!D88</f>
        <v>0</v>
      </c>
      <c r="E88" s="194">
        <v>28</v>
      </c>
      <c r="F88" s="194">
        <v>0</v>
      </c>
      <c r="G88" s="184">
        <f>'CDM Activity'!U20</f>
        <v>0</v>
      </c>
      <c r="H88" s="195">
        <v>319.87200000000001</v>
      </c>
      <c r="I88" s="184">
        <v>134.52850910550649</v>
      </c>
      <c r="J88" s="194">
        <v>483</v>
      </c>
      <c r="K88" s="194">
        <f t="shared" ref="K88:K151" si="0">$O$103+C88*$O$104+D88*$O$105+E88*$O$106+F88*$O$107+G88*$O$108+H88*$O$109</f>
        <v>27139377.915063467</v>
      </c>
      <c r="L88" s="194"/>
      <c r="M88" s="285"/>
    </row>
    <row r="89" spans="1:41">
      <c r="A89" s="191">
        <v>38777</v>
      </c>
      <c r="B89" s="284">
        <v>27505939.540000007</v>
      </c>
      <c r="C89" s="194">
        <f>'Residential WN'!C89</f>
        <v>702.91</v>
      </c>
      <c r="D89" s="194">
        <f>'Residential WN'!D89</f>
        <v>0</v>
      </c>
      <c r="E89" s="194">
        <v>31</v>
      </c>
      <c r="F89" s="194">
        <v>1</v>
      </c>
      <c r="G89" s="184">
        <f>'CDM Activity'!U21</f>
        <v>0</v>
      </c>
      <c r="H89" s="195">
        <v>368.28</v>
      </c>
      <c r="I89" s="184">
        <v>134.80561580788986</v>
      </c>
      <c r="J89" s="194">
        <v>492</v>
      </c>
      <c r="K89" s="194">
        <f t="shared" si="0"/>
        <v>26780213.052018449</v>
      </c>
      <c r="L89" s="194"/>
      <c r="M89" s="285"/>
      <c r="N89" s="33" t="s">
        <v>16</v>
      </c>
      <c r="O89" s="33"/>
    </row>
    <row r="90" spans="1:41">
      <c r="A90" s="191">
        <v>38808</v>
      </c>
      <c r="B90" s="284">
        <v>23111766.710000001</v>
      </c>
      <c r="C90" s="194">
        <f>'Residential WN'!C90</f>
        <v>450.5200000000001</v>
      </c>
      <c r="D90" s="194">
        <f>'Residential WN'!D90</f>
        <v>0</v>
      </c>
      <c r="E90" s="194">
        <v>30</v>
      </c>
      <c r="F90" s="194">
        <v>1</v>
      </c>
      <c r="G90" s="184">
        <f>'CDM Activity'!U22</f>
        <v>0</v>
      </c>
      <c r="H90" s="195">
        <v>303.83999999999997</v>
      </c>
      <c r="I90" s="184">
        <v>135.08329330470943</v>
      </c>
      <c r="J90" s="194">
        <v>505</v>
      </c>
      <c r="K90" s="194">
        <f t="shared" si="0"/>
        <v>23586328.342295464</v>
      </c>
      <c r="L90" s="194"/>
      <c r="M90" s="285"/>
      <c r="N90" s="24" t="s">
        <v>17</v>
      </c>
      <c r="O90" s="36">
        <v>0.98423152291865723</v>
      </c>
    </row>
    <row r="91" spans="1:41">
      <c r="A91" s="191">
        <v>38838</v>
      </c>
      <c r="B91" s="284">
        <v>22990549.949999992</v>
      </c>
      <c r="C91" s="194">
        <f>'Residential WN'!C91</f>
        <v>271.46000000000004</v>
      </c>
      <c r="D91" s="194">
        <f>'Residential WN'!D91</f>
        <v>0.47000000000000003</v>
      </c>
      <c r="E91" s="194">
        <v>31</v>
      </c>
      <c r="F91" s="194">
        <v>1</v>
      </c>
      <c r="G91" s="184">
        <f>'CDM Activity'!U23</f>
        <v>0</v>
      </c>
      <c r="H91" s="195">
        <v>351.91199999999998</v>
      </c>
      <c r="I91" s="184">
        <v>135.36154277170829</v>
      </c>
      <c r="J91" s="194">
        <v>495</v>
      </c>
      <c r="K91" s="194">
        <f t="shared" si="0"/>
        <v>22926315.638577722</v>
      </c>
      <c r="L91" s="194"/>
      <c r="M91" s="285"/>
      <c r="N91" s="24" t="s">
        <v>18</v>
      </c>
      <c r="O91" s="36">
        <v>0.96871169070677932</v>
      </c>
    </row>
    <row r="92" spans="1:41">
      <c r="A92" s="191">
        <v>38869</v>
      </c>
      <c r="B92" s="284">
        <v>22533456.889999997</v>
      </c>
      <c r="C92" s="194">
        <f>'Residential WN'!C92</f>
        <v>109.59</v>
      </c>
      <c r="D92" s="194">
        <f>'Residential WN'!D92</f>
        <v>6.7</v>
      </c>
      <c r="E92" s="194">
        <v>30</v>
      </c>
      <c r="F92" s="194">
        <v>0</v>
      </c>
      <c r="G92" s="184">
        <f>'CDM Activity'!U24</f>
        <v>0</v>
      </c>
      <c r="H92" s="195">
        <v>352.08</v>
      </c>
      <c r="I92" s="184">
        <v>135.64036538705133</v>
      </c>
      <c r="J92" s="194">
        <v>493</v>
      </c>
      <c r="K92" s="194">
        <f t="shared" si="0"/>
        <v>22012686.448296048</v>
      </c>
      <c r="L92" s="194"/>
      <c r="M92" s="285"/>
      <c r="N92" s="24" t="s">
        <v>19</v>
      </c>
      <c r="O92" s="36">
        <v>0.96705036454961713</v>
      </c>
    </row>
    <row r="93" spans="1:41">
      <c r="A93" s="191">
        <v>38899</v>
      </c>
      <c r="B93" s="284">
        <v>24301815.839999992</v>
      </c>
      <c r="C93" s="194">
        <f>'Residential WN'!C93</f>
        <v>36.33</v>
      </c>
      <c r="D93" s="194">
        <f>'Residential WN'!D93</f>
        <v>40.369999999999997</v>
      </c>
      <c r="E93" s="194">
        <v>31</v>
      </c>
      <c r="F93" s="194">
        <v>0</v>
      </c>
      <c r="G93" s="184">
        <f>'CDM Activity'!U25</f>
        <v>0</v>
      </c>
      <c r="H93" s="195">
        <v>319.92</v>
      </c>
      <c r="I93" s="184">
        <v>135.9197623313303</v>
      </c>
      <c r="J93" s="194">
        <v>497</v>
      </c>
      <c r="K93" s="194">
        <f t="shared" si="0"/>
        <v>23065449.284130018</v>
      </c>
      <c r="L93" s="194"/>
      <c r="M93" s="285"/>
      <c r="N93" s="24" t="s">
        <v>20</v>
      </c>
      <c r="O93" s="42">
        <v>503691.20921435161</v>
      </c>
    </row>
    <row r="94" spans="1:41" ht="13.5" thickBot="1">
      <c r="A94" s="191">
        <v>38930</v>
      </c>
      <c r="B94" s="284">
        <v>23835759.899999991</v>
      </c>
      <c r="C94" s="194">
        <f>'Residential WN'!C94</f>
        <v>51.55</v>
      </c>
      <c r="D94" s="194">
        <f>'Residential WN'!D94</f>
        <v>29.669999999999998</v>
      </c>
      <c r="E94" s="194">
        <v>31</v>
      </c>
      <c r="F94" s="194">
        <v>0</v>
      </c>
      <c r="G94" s="184">
        <f>'CDM Activity'!U26</f>
        <v>0</v>
      </c>
      <c r="H94" s="195">
        <v>351.91199999999998</v>
      </c>
      <c r="I94" s="184">
        <v>136.19973478756879</v>
      </c>
      <c r="J94" s="194">
        <v>493</v>
      </c>
      <c r="K94" s="194">
        <f t="shared" si="0"/>
        <v>22991109.848897152</v>
      </c>
      <c r="L94" s="194"/>
      <c r="M94" s="285"/>
      <c r="N94" s="31" t="s">
        <v>21</v>
      </c>
      <c r="O94" s="31">
        <v>120</v>
      </c>
    </row>
    <row r="95" spans="1:41">
      <c r="A95" s="191">
        <v>38961</v>
      </c>
      <c r="B95" s="284">
        <v>22400469.269999985</v>
      </c>
      <c r="C95" s="194">
        <f>'Residential WN'!C95</f>
        <v>176.97</v>
      </c>
      <c r="D95" s="194">
        <f>'Residential WN'!D95</f>
        <v>5.05</v>
      </c>
      <c r="E95" s="194">
        <v>30</v>
      </c>
      <c r="F95" s="194">
        <v>1</v>
      </c>
      <c r="G95" s="184">
        <f>'CDM Activity'!U27</f>
        <v>0</v>
      </c>
      <c r="H95" s="195">
        <v>319.68</v>
      </c>
      <c r="I95" s="184">
        <v>136.48028394122719</v>
      </c>
      <c r="J95" s="194">
        <v>492</v>
      </c>
      <c r="K95" s="194">
        <f t="shared" si="0"/>
        <v>21564400.622926533</v>
      </c>
      <c r="L95" s="194"/>
      <c r="M95" s="285"/>
    </row>
    <row r="96" spans="1:41" ht="13.5" thickBot="1">
      <c r="A96" s="191">
        <v>38991</v>
      </c>
      <c r="B96" s="284">
        <v>24231401.169999972</v>
      </c>
      <c r="C96" s="194">
        <f>'Residential WN'!C96</f>
        <v>372.15</v>
      </c>
      <c r="D96" s="194">
        <f>'Residential WN'!D96</f>
        <v>0.54</v>
      </c>
      <c r="E96" s="194">
        <v>31</v>
      </c>
      <c r="F96" s="194">
        <v>1</v>
      </c>
      <c r="G96" s="184">
        <f>'CDM Activity'!U28</f>
        <v>0</v>
      </c>
      <c r="H96" s="195">
        <v>336.28800000000001</v>
      </c>
      <c r="I96" s="184">
        <v>136.76141098020776</v>
      </c>
      <c r="J96" s="194">
        <v>491</v>
      </c>
      <c r="K96" s="194">
        <f t="shared" si="0"/>
        <v>23674888.418790542</v>
      </c>
      <c r="L96" s="194"/>
      <c r="M96" s="285"/>
      <c r="N96" t="s">
        <v>22</v>
      </c>
    </row>
    <row r="97" spans="1:20">
      <c r="A97" s="191">
        <v>39022</v>
      </c>
      <c r="B97" s="284">
        <v>25214980.610000018</v>
      </c>
      <c r="C97" s="194">
        <f>'Residential WN'!C97</f>
        <v>567.61000000000013</v>
      </c>
      <c r="D97" s="194">
        <f>'Residential WN'!D97</f>
        <v>0</v>
      </c>
      <c r="E97" s="194">
        <v>30</v>
      </c>
      <c r="F97" s="194">
        <v>1</v>
      </c>
      <c r="G97" s="184">
        <f>'CDM Activity'!U29</f>
        <v>0</v>
      </c>
      <c r="H97" s="195">
        <v>352.08</v>
      </c>
      <c r="I97" s="184">
        <v>137.04311709485967</v>
      </c>
      <c r="J97" s="194">
        <v>491</v>
      </c>
      <c r="K97" s="194">
        <f t="shared" si="0"/>
        <v>24995235.672747165</v>
      </c>
      <c r="L97" s="194"/>
      <c r="M97" s="285"/>
      <c r="N97" s="32"/>
      <c r="O97" s="32" t="s">
        <v>26</v>
      </c>
      <c r="P97" s="32" t="s">
        <v>27</v>
      </c>
      <c r="Q97" s="32" t="s">
        <v>28</v>
      </c>
      <c r="R97" s="32" t="s">
        <v>29</v>
      </c>
      <c r="S97" s="32" t="s">
        <v>30</v>
      </c>
    </row>
    <row r="98" spans="1:20">
      <c r="A98" s="191">
        <v>39052</v>
      </c>
      <c r="B98" s="284">
        <v>27155476.329999983</v>
      </c>
      <c r="C98" s="194">
        <f>'Residential WN'!C98</f>
        <v>852.28999999999974</v>
      </c>
      <c r="D98" s="194">
        <f>'Residential WN'!D98</f>
        <v>0</v>
      </c>
      <c r="E98" s="194">
        <v>31</v>
      </c>
      <c r="F98" s="194">
        <v>0</v>
      </c>
      <c r="G98" s="184">
        <f>'CDM Activity'!U30</f>
        <v>0</v>
      </c>
      <c r="H98" s="195">
        <v>304.29599999999999</v>
      </c>
      <c r="I98" s="184">
        <v>137.32540347798411</v>
      </c>
      <c r="J98" s="194">
        <v>494</v>
      </c>
      <c r="K98" s="194">
        <f t="shared" si="0"/>
        <v>28249227.102642141</v>
      </c>
      <c r="L98" s="194"/>
      <c r="M98" s="285"/>
      <c r="N98" s="24" t="s">
        <v>23</v>
      </c>
      <c r="O98" s="24">
        <v>6</v>
      </c>
      <c r="P98" s="24">
        <v>887604777150135.37</v>
      </c>
      <c r="Q98" s="24">
        <v>147934129525022.56</v>
      </c>
      <c r="R98" s="24">
        <v>583.09543043703741</v>
      </c>
      <c r="S98" s="24">
        <v>1.5408456067373706E-82</v>
      </c>
    </row>
    <row r="99" spans="1:20">
      <c r="A99" s="191">
        <v>39083</v>
      </c>
      <c r="B99" s="284">
        <v>29662727.760000009</v>
      </c>
      <c r="C99" s="194">
        <f>'Residential WN'!C99</f>
        <v>960.98000000000013</v>
      </c>
      <c r="D99" s="194">
        <f>'Residential WN'!D99</f>
        <v>0</v>
      </c>
      <c r="E99" s="194">
        <v>31</v>
      </c>
      <c r="F99" s="194">
        <v>0</v>
      </c>
      <c r="G99" s="184">
        <f>'CDM Activity'!U31</f>
        <v>0</v>
      </c>
      <c r="H99" s="195">
        <v>351.91199999999998</v>
      </c>
      <c r="I99" s="184">
        <v>137.552207546647</v>
      </c>
      <c r="J99" s="194">
        <v>493</v>
      </c>
      <c r="K99" s="194">
        <f t="shared" si="0"/>
        <v>29580210.507575832</v>
      </c>
      <c r="L99" s="194"/>
      <c r="M99" s="285"/>
      <c r="N99" s="24" t="s">
        <v>24</v>
      </c>
      <c r="O99" s="24">
        <v>113</v>
      </c>
      <c r="P99" s="24">
        <v>28668646269099.176</v>
      </c>
      <c r="Q99" s="24">
        <v>253704834239.8157</v>
      </c>
      <c r="R99" s="24"/>
      <c r="S99" s="24"/>
    </row>
    <row r="100" spans="1:20" ht="13.5" thickBot="1">
      <c r="A100" s="191">
        <v>39114</v>
      </c>
      <c r="B100" s="284">
        <v>28296502.539999969</v>
      </c>
      <c r="C100" s="194">
        <f>'Residential WN'!C100</f>
        <v>875.5899999999998</v>
      </c>
      <c r="D100" s="194">
        <f>'Residential WN'!D100</f>
        <v>0</v>
      </c>
      <c r="E100" s="194">
        <v>28</v>
      </c>
      <c r="F100" s="194">
        <v>0</v>
      </c>
      <c r="G100" s="184">
        <f>'CDM Activity'!U32</f>
        <v>0</v>
      </c>
      <c r="H100" s="195">
        <v>319.87200000000001</v>
      </c>
      <c r="I100" s="184">
        <v>137.77938620066888</v>
      </c>
      <c r="J100" s="194">
        <v>492</v>
      </c>
      <c r="K100" s="194">
        <f t="shared" si="0"/>
        <v>27139377.915063467</v>
      </c>
      <c r="L100" s="194"/>
      <c r="M100" s="285"/>
      <c r="N100" s="31" t="s">
        <v>5</v>
      </c>
      <c r="O100" s="31">
        <v>119</v>
      </c>
      <c r="P100" s="31">
        <v>916273423419234.5</v>
      </c>
      <c r="Q100" s="31"/>
      <c r="R100" s="31"/>
      <c r="S100" s="31"/>
    </row>
    <row r="101" spans="1:20" ht="13.5" thickBot="1">
      <c r="A101" s="191">
        <v>39142</v>
      </c>
      <c r="B101" s="284">
        <v>27525692.98999998</v>
      </c>
      <c r="C101" s="194">
        <f>'Residential WN'!C101</f>
        <v>702.91</v>
      </c>
      <c r="D101" s="194">
        <f>'Residential WN'!D101</f>
        <v>0</v>
      </c>
      <c r="E101" s="194">
        <v>31</v>
      </c>
      <c r="F101" s="194">
        <v>1</v>
      </c>
      <c r="G101" s="184">
        <f>'CDM Activity'!U33</f>
        <v>0</v>
      </c>
      <c r="H101" s="195">
        <v>351.91199999999998</v>
      </c>
      <c r="I101" s="184">
        <v>138.00694005870795</v>
      </c>
      <c r="J101" s="194">
        <v>494</v>
      </c>
      <c r="K101" s="194">
        <f t="shared" si="0"/>
        <v>26646632.91844875</v>
      </c>
      <c r="L101" s="194"/>
      <c r="M101" s="285"/>
    </row>
    <row r="102" spans="1:20">
      <c r="A102" s="191">
        <v>39173</v>
      </c>
      <c r="B102" s="284">
        <v>23410934.150000002</v>
      </c>
      <c r="C102" s="194">
        <f>'Residential WN'!C102</f>
        <v>450.5200000000001</v>
      </c>
      <c r="D102" s="194">
        <f>'Residential WN'!D102</f>
        <v>0</v>
      </c>
      <c r="E102" s="194">
        <v>30</v>
      </c>
      <c r="F102" s="194">
        <v>1</v>
      </c>
      <c r="G102" s="184">
        <f>'CDM Activity'!U34</f>
        <v>0</v>
      </c>
      <c r="H102" s="195">
        <v>319.68</v>
      </c>
      <c r="I102" s="184">
        <v>138.23486974044414</v>
      </c>
      <c r="J102" s="194">
        <v>511</v>
      </c>
      <c r="K102" s="194">
        <f t="shared" si="0"/>
        <v>23715599.439298399</v>
      </c>
      <c r="L102" s="194"/>
      <c r="M102" s="285"/>
      <c r="N102" s="32"/>
      <c r="O102" s="32" t="s">
        <v>31</v>
      </c>
      <c r="P102" s="32" t="s">
        <v>20</v>
      </c>
      <c r="Q102" s="32" t="s">
        <v>32</v>
      </c>
      <c r="R102" s="32" t="s">
        <v>33</v>
      </c>
      <c r="S102" s="32" t="s">
        <v>34</v>
      </c>
      <c r="T102" s="32" t="s">
        <v>35</v>
      </c>
    </row>
    <row r="103" spans="1:20">
      <c r="A103" s="191">
        <v>39203</v>
      </c>
      <c r="B103" s="284">
        <v>22478351.149999984</v>
      </c>
      <c r="C103" s="194">
        <f>'Residential WN'!C103</f>
        <v>271.46000000000004</v>
      </c>
      <c r="D103" s="194">
        <f>'Residential WN'!D103</f>
        <v>0.47000000000000003</v>
      </c>
      <c r="E103" s="194">
        <v>31</v>
      </c>
      <c r="F103" s="194">
        <v>1</v>
      </c>
      <c r="G103" s="184">
        <f>'CDM Activity'!U35</f>
        <v>0</v>
      </c>
      <c r="H103" s="195">
        <v>351.91199999999998</v>
      </c>
      <c r="I103" s="184">
        <v>138.46317586658083</v>
      </c>
      <c r="J103" s="194">
        <v>502</v>
      </c>
      <c r="K103" s="194">
        <f t="shared" si="0"/>
        <v>22926315.638577722</v>
      </c>
      <c r="L103" s="194"/>
      <c r="M103" s="285"/>
      <c r="N103" s="24" t="s">
        <v>25</v>
      </c>
      <c r="O103" s="42">
        <v>3506624.058376973</v>
      </c>
      <c r="P103" s="42">
        <v>1777452.1406885218</v>
      </c>
      <c r="Q103" s="34">
        <v>1.972837399165432</v>
      </c>
      <c r="R103" s="24">
        <v>5.0956166722624686E-2</v>
      </c>
      <c r="S103" s="42">
        <v>-14829.212554673199</v>
      </c>
      <c r="T103" s="42">
        <v>7028077.3293086197</v>
      </c>
    </row>
    <row r="104" spans="1:20">
      <c r="A104" s="191">
        <v>39234</v>
      </c>
      <c r="B104" s="284">
        <v>22018767.950000007</v>
      </c>
      <c r="C104" s="194">
        <f>'Residential WN'!C104</f>
        <v>109.59</v>
      </c>
      <c r="D104" s="194">
        <f>'Residential WN'!D104</f>
        <v>6.7</v>
      </c>
      <c r="E104" s="194">
        <v>30</v>
      </c>
      <c r="F104" s="194">
        <v>0</v>
      </c>
      <c r="G104" s="184">
        <f>'CDM Activity'!U36</f>
        <v>0</v>
      </c>
      <c r="H104" s="195">
        <v>336.24</v>
      </c>
      <c r="I104" s="184">
        <v>138.69185905884657</v>
      </c>
      <c r="J104" s="194">
        <v>500</v>
      </c>
      <c r="K104" s="194">
        <f t="shared" si="0"/>
        <v>21883415.351293109</v>
      </c>
      <c r="L104" s="194"/>
      <c r="M104" s="285"/>
      <c r="N104" s="24" t="s">
        <v>1</v>
      </c>
      <c r="O104" s="42">
        <v>8670.4080663439308</v>
      </c>
      <c r="P104" s="42">
        <v>184.79599848219354</v>
      </c>
      <c r="Q104" s="34">
        <v>46.918808510777296</v>
      </c>
      <c r="R104" s="24">
        <v>6.2165138503195157E-76</v>
      </c>
      <c r="S104" s="42">
        <v>8304.2938636525869</v>
      </c>
      <c r="T104" s="42">
        <v>9036.5222690352748</v>
      </c>
    </row>
    <row r="105" spans="1:20">
      <c r="A105" s="191">
        <v>39264</v>
      </c>
      <c r="B105" s="284">
        <v>23322571.340000018</v>
      </c>
      <c r="C105" s="194">
        <f>'Residential WN'!C105</f>
        <v>36.33</v>
      </c>
      <c r="D105" s="194">
        <f>'Residential WN'!D105</f>
        <v>40.369999999999997</v>
      </c>
      <c r="E105" s="194">
        <v>31</v>
      </c>
      <c r="F105" s="194">
        <v>0</v>
      </c>
      <c r="G105" s="184">
        <f>'CDM Activity'!U37</f>
        <v>0</v>
      </c>
      <c r="H105" s="195">
        <v>336.28800000000001</v>
      </c>
      <c r="I105" s="184">
        <v>138.92091993999671</v>
      </c>
      <c r="J105" s="194">
        <v>501</v>
      </c>
      <c r="K105" s="194">
        <f t="shared" si="0"/>
        <v>23199029.417699717</v>
      </c>
      <c r="L105" s="194"/>
      <c r="M105" s="285"/>
      <c r="N105" s="24" t="s">
        <v>2</v>
      </c>
      <c r="O105" s="42">
        <v>43681.447559706176</v>
      </c>
      <c r="P105" s="42">
        <v>4444.238101634015</v>
      </c>
      <c r="Q105" s="34">
        <v>9.8287820230976823</v>
      </c>
      <c r="R105" s="24">
        <v>7.5521983882419984E-17</v>
      </c>
      <c r="S105" s="42">
        <v>34876.610320186563</v>
      </c>
      <c r="T105" s="42">
        <v>52486.284799225788</v>
      </c>
    </row>
    <row r="106" spans="1:20">
      <c r="A106" s="191">
        <v>39295</v>
      </c>
      <c r="B106" s="284">
        <v>23240376.049999986</v>
      </c>
      <c r="C106" s="194">
        <f>'Residential WN'!C106</f>
        <v>51.55</v>
      </c>
      <c r="D106" s="194">
        <f>'Residential WN'!D106</f>
        <v>29.669999999999998</v>
      </c>
      <c r="E106" s="194">
        <v>31</v>
      </c>
      <c r="F106" s="194">
        <v>0</v>
      </c>
      <c r="G106" s="184">
        <f>'CDM Activity'!U38</f>
        <v>0</v>
      </c>
      <c r="H106" s="195">
        <v>351.91199999999998</v>
      </c>
      <c r="I106" s="184">
        <v>139.15035913381516</v>
      </c>
      <c r="J106" s="194">
        <v>503</v>
      </c>
      <c r="K106" s="194">
        <f t="shared" si="0"/>
        <v>22991109.848897152</v>
      </c>
      <c r="L106" s="194"/>
      <c r="M106" s="285"/>
      <c r="N106" s="24" t="s">
        <v>3</v>
      </c>
      <c r="O106" s="42">
        <v>479662.09141468065</v>
      </c>
      <c r="P106" s="42">
        <v>65938.13665975965</v>
      </c>
      <c r="Q106" s="34">
        <v>7.2744259348688285</v>
      </c>
      <c r="R106" s="24">
        <v>4.8968554665147626E-11</v>
      </c>
      <c r="S106" s="42">
        <v>349026.75012796489</v>
      </c>
      <c r="T106" s="42">
        <v>610297.43270139641</v>
      </c>
    </row>
    <row r="107" spans="1:20">
      <c r="A107" s="191">
        <v>39326</v>
      </c>
      <c r="B107" s="284">
        <v>22268047.419999991</v>
      </c>
      <c r="C107" s="194">
        <f>'Residential WN'!C107</f>
        <v>176.97</v>
      </c>
      <c r="D107" s="194">
        <f>'Residential WN'!D107</f>
        <v>5.05</v>
      </c>
      <c r="E107" s="194">
        <v>30</v>
      </c>
      <c r="F107" s="194">
        <v>1</v>
      </c>
      <c r="G107" s="184">
        <f>'CDM Activity'!U39</f>
        <v>0</v>
      </c>
      <c r="H107" s="195">
        <v>303.83999999999997</v>
      </c>
      <c r="I107" s="184">
        <v>139.38017726511606</v>
      </c>
      <c r="J107" s="194">
        <v>503</v>
      </c>
      <c r="K107" s="194">
        <f t="shared" si="0"/>
        <v>21435129.525923595</v>
      </c>
      <c r="L107" s="194"/>
      <c r="M107" s="285"/>
      <c r="N107" s="24" t="s">
        <v>14</v>
      </c>
      <c r="O107" s="42">
        <v>-696005.37944570312</v>
      </c>
      <c r="P107" s="42">
        <v>110513.41656475034</v>
      </c>
      <c r="Q107" s="34">
        <v>-6.297926542139888</v>
      </c>
      <c r="R107" s="24">
        <v>5.9534639782743943E-9</v>
      </c>
      <c r="S107" s="42">
        <v>-914952.38979559741</v>
      </c>
      <c r="T107" s="42">
        <v>-477058.36909580877</v>
      </c>
    </row>
    <row r="108" spans="1:20">
      <c r="A108" s="191">
        <v>39356</v>
      </c>
      <c r="B108" s="284">
        <v>23250601.389999993</v>
      </c>
      <c r="C108" s="194">
        <f>'Residential WN'!C108</f>
        <v>372.15</v>
      </c>
      <c r="D108" s="194">
        <f>'Residential WN'!D108</f>
        <v>0.54</v>
      </c>
      <c r="E108" s="194">
        <v>31</v>
      </c>
      <c r="F108" s="194">
        <v>1</v>
      </c>
      <c r="G108" s="184">
        <f>'CDM Activity'!U40</f>
        <v>0</v>
      </c>
      <c r="H108" s="195">
        <v>351.91199999999998</v>
      </c>
      <c r="I108" s="184">
        <v>139.61037495974546</v>
      </c>
      <c r="J108" s="194">
        <v>502</v>
      </c>
      <c r="K108" s="194">
        <f t="shared" si="0"/>
        <v>23802396.728107072</v>
      </c>
      <c r="L108" s="194"/>
      <c r="M108" s="285"/>
      <c r="N108" s="24" t="s">
        <v>56</v>
      </c>
      <c r="O108" s="34">
        <v>-3.0544314457790578</v>
      </c>
      <c r="P108" s="34">
        <v>0.18700618932835394</v>
      </c>
      <c r="Q108" s="34">
        <v>-16.333317398473632</v>
      </c>
      <c r="R108" s="24">
        <v>1.6035807580651036E-31</v>
      </c>
      <c r="S108" s="34">
        <v>-3.4249244351653725</v>
      </c>
      <c r="T108" s="34">
        <v>-2.6839384563927431</v>
      </c>
    </row>
    <row r="109" spans="1:20" ht="13.5" thickBot="1">
      <c r="A109" s="191">
        <v>39387</v>
      </c>
      <c r="B109" s="284">
        <v>25216488.030000024</v>
      </c>
      <c r="C109" s="194">
        <f>'Residential WN'!C109</f>
        <v>567.61000000000013</v>
      </c>
      <c r="D109" s="194">
        <f>'Residential WN'!D109</f>
        <v>0</v>
      </c>
      <c r="E109" s="194">
        <v>30</v>
      </c>
      <c r="F109" s="194">
        <v>1</v>
      </c>
      <c r="G109" s="184">
        <f>'CDM Activity'!U41</f>
        <v>0</v>
      </c>
      <c r="H109" s="195">
        <v>352.08</v>
      </c>
      <c r="I109" s="184">
        <v>139.84095284458306</v>
      </c>
      <c r="J109" s="194">
        <v>500</v>
      </c>
      <c r="K109" s="194">
        <f t="shared" si="0"/>
        <v>24995235.672747165</v>
      </c>
      <c r="L109" s="194"/>
      <c r="M109" s="285"/>
      <c r="N109" s="31" t="s">
        <v>58</v>
      </c>
      <c r="O109" s="35">
        <v>8161.0541037207213</v>
      </c>
      <c r="P109" s="35">
        <v>3015.6865955156709</v>
      </c>
      <c r="Q109" s="35">
        <v>2.7062010077095602</v>
      </c>
      <c r="R109" s="31">
        <v>7.8612165435617033E-3</v>
      </c>
      <c r="S109" s="35">
        <v>2186.4350505350058</v>
      </c>
      <c r="T109" s="35">
        <v>14135.673156906436</v>
      </c>
    </row>
    <row r="110" spans="1:20">
      <c r="A110" s="191">
        <v>39417</v>
      </c>
      <c r="B110" s="284">
        <v>28290655.52999999</v>
      </c>
      <c r="C110" s="194">
        <f>'Residential WN'!C110</f>
        <v>852.28999999999974</v>
      </c>
      <c r="D110" s="194">
        <f>'Residential WN'!D110</f>
        <v>0</v>
      </c>
      <c r="E110" s="194">
        <v>31</v>
      </c>
      <c r="F110" s="194">
        <v>0</v>
      </c>
      <c r="G110" s="184">
        <f>'CDM Activity'!U42</f>
        <v>0</v>
      </c>
      <c r="H110" s="195">
        <v>304.29599999999999</v>
      </c>
      <c r="I110" s="184">
        <v>140.07191154754381</v>
      </c>
      <c r="J110" s="194">
        <v>505</v>
      </c>
      <c r="K110" s="194">
        <f t="shared" si="0"/>
        <v>28249227.102642141</v>
      </c>
      <c r="L110" s="194"/>
      <c r="M110" s="285"/>
    </row>
    <row r="111" spans="1:20">
      <c r="A111" s="191">
        <v>39448</v>
      </c>
      <c r="B111" s="284">
        <v>29938301.859999973</v>
      </c>
      <c r="C111" s="194">
        <f>'Residential WN'!C111</f>
        <v>960.98000000000013</v>
      </c>
      <c r="D111" s="194">
        <f>'Residential WN'!D111</f>
        <v>0</v>
      </c>
      <c r="E111" s="194">
        <v>31</v>
      </c>
      <c r="F111" s="194">
        <v>0</v>
      </c>
      <c r="G111" s="184">
        <f>'CDM Activity'!U43</f>
        <v>1664.0584928561793</v>
      </c>
      <c r="H111" s="187">
        <v>352</v>
      </c>
      <c r="I111" s="184">
        <v>139.96642175819056</v>
      </c>
      <c r="J111" s="37">
        <v>506</v>
      </c>
      <c r="K111" s="194">
        <f t="shared" si="0"/>
        <v>29575845.927748766</v>
      </c>
      <c r="L111" s="194"/>
      <c r="M111" s="37"/>
    </row>
    <row r="112" spans="1:20">
      <c r="A112" s="191">
        <v>39479</v>
      </c>
      <c r="B112" s="284">
        <v>28649711.050000001</v>
      </c>
      <c r="C112" s="194">
        <f>'Residential WN'!C112</f>
        <v>875.5899999999998</v>
      </c>
      <c r="D112" s="194">
        <f>'Residential WN'!D112</f>
        <v>0</v>
      </c>
      <c r="E112" s="194">
        <v>29</v>
      </c>
      <c r="F112" s="194">
        <v>0</v>
      </c>
      <c r="G112" s="184">
        <f>'CDM Activity'!U44</f>
        <v>3328.1169857123587</v>
      </c>
      <c r="H112" s="187">
        <v>320</v>
      </c>
      <c r="I112" s="184">
        <v>139.86101141442734</v>
      </c>
      <c r="J112" s="37">
        <v>508</v>
      </c>
      <c r="K112" s="194">
        <f t="shared" si="0"/>
        <v>27609919.116227034</v>
      </c>
      <c r="L112" s="194"/>
      <c r="M112" s="37"/>
    </row>
    <row r="113" spans="1:13">
      <c r="A113" s="191">
        <v>39508</v>
      </c>
      <c r="B113" s="284">
        <v>27818185.449999981</v>
      </c>
      <c r="C113" s="194">
        <f>'Residential WN'!C113</f>
        <v>702.91</v>
      </c>
      <c r="D113" s="194">
        <f>'Residential WN'!D113</f>
        <v>0</v>
      </c>
      <c r="E113" s="194">
        <v>31</v>
      </c>
      <c r="F113" s="194">
        <v>1</v>
      </c>
      <c r="G113" s="184">
        <f>'CDM Activity'!U45</f>
        <v>4992.175478568538</v>
      </c>
      <c r="H113" s="187">
        <v>304</v>
      </c>
      <c r="I113" s="184">
        <v>139.75568045642274</v>
      </c>
      <c r="J113" s="37">
        <v>507</v>
      </c>
      <c r="K113" s="194">
        <f t="shared" si="0"/>
        <v>26240372.236466698</v>
      </c>
      <c r="L113" s="194"/>
      <c r="M113" s="37"/>
    </row>
    <row r="114" spans="1:13">
      <c r="A114" s="191">
        <v>39539</v>
      </c>
      <c r="B114" s="284">
        <v>23652657.520000007</v>
      </c>
      <c r="C114" s="194">
        <f>'Residential WN'!C114</f>
        <v>450.5200000000001</v>
      </c>
      <c r="D114" s="194">
        <f>'Residential WN'!D114</f>
        <v>0</v>
      </c>
      <c r="E114" s="194">
        <v>30</v>
      </c>
      <c r="F114" s="194">
        <v>1</v>
      </c>
      <c r="G114" s="184">
        <f>'CDM Activity'!U46</f>
        <v>6656.2339714247173</v>
      </c>
      <c r="H114" s="187">
        <v>352</v>
      </c>
      <c r="I114" s="184">
        <v>139.65042882439042</v>
      </c>
      <c r="J114" s="37">
        <v>511</v>
      </c>
      <c r="K114" s="194">
        <f t="shared" si="0"/>
        <v>23959033.697577871</v>
      </c>
      <c r="L114" s="194"/>
      <c r="M114" s="37"/>
    </row>
    <row r="115" spans="1:13">
      <c r="A115" s="191">
        <v>39569</v>
      </c>
      <c r="B115" s="284">
        <v>22308792.069999997</v>
      </c>
      <c r="C115" s="194">
        <f>'Residential WN'!C115</f>
        <v>271.46000000000004</v>
      </c>
      <c r="D115" s="194">
        <f>'Residential WN'!D115</f>
        <v>0.47000000000000003</v>
      </c>
      <c r="E115" s="194">
        <v>31</v>
      </c>
      <c r="F115" s="194">
        <v>1</v>
      </c>
      <c r="G115" s="184">
        <f>'CDM Activity'!U47</f>
        <v>8320.2924642808975</v>
      </c>
      <c r="H115" s="187">
        <v>336</v>
      </c>
      <c r="I115" s="184">
        <v>139.54525645858905</v>
      </c>
      <c r="J115" s="37">
        <v>506</v>
      </c>
      <c r="K115" s="194">
        <f t="shared" si="0"/>
        <v>22771043.182738341</v>
      </c>
      <c r="L115" s="194"/>
      <c r="M115" s="37"/>
    </row>
    <row r="116" spans="1:13">
      <c r="A116" s="191">
        <v>39600</v>
      </c>
      <c r="B116" s="284">
        <v>21249644.889999986</v>
      </c>
      <c r="C116" s="194">
        <f>'Residential WN'!C116</f>
        <v>109.59</v>
      </c>
      <c r="D116" s="194">
        <f>'Residential WN'!D116</f>
        <v>6.7</v>
      </c>
      <c r="E116" s="194">
        <v>30</v>
      </c>
      <c r="F116" s="194">
        <v>0</v>
      </c>
      <c r="G116" s="184">
        <f>'CDM Activity'!U48</f>
        <v>9984.3509571370778</v>
      </c>
      <c r="H116" s="187">
        <v>336</v>
      </c>
      <c r="I116" s="184">
        <v>139.44016329932234</v>
      </c>
      <c r="J116" s="37">
        <v>503</v>
      </c>
      <c r="K116" s="194">
        <f t="shared" si="0"/>
        <v>21850960.182779044</v>
      </c>
      <c r="L116" s="194"/>
      <c r="M116" s="37"/>
    </row>
    <row r="117" spans="1:13">
      <c r="A117" s="191">
        <v>39630</v>
      </c>
      <c r="B117" s="284">
        <v>22972303.899999972</v>
      </c>
      <c r="C117" s="194">
        <f>'Residential WN'!C117</f>
        <v>36.33</v>
      </c>
      <c r="D117" s="194">
        <f>'Residential WN'!D117</f>
        <v>40.369999999999997</v>
      </c>
      <c r="E117" s="194">
        <v>31</v>
      </c>
      <c r="F117" s="194">
        <v>0</v>
      </c>
      <c r="G117" s="184">
        <f>'CDM Activity'!U49</f>
        <v>11648.409449993258</v>
      </c>
      <c r="H117" s="187">
        <v>352</v>
      </c>
      <c r="I117" s="184">
        <v>139.3351492869389</v>
      </c>
      <c r="J117" s="37">
        <v>504</v>
      </c>
      <c r="K117" s="194">
        <f t="shared" si="0"/>
        <v>23291676.631660011</v>
      </c>
      <c r="L117" s="194"/>
      <c r="M117" s="37"/>
    </row>
    <row r="118" spans="1:13">
      <c r="A118" s="191">
        <v>39661</v>
      </c>
      <c r="B118" s="284">
        <v>22825574.800000034</v>
      </c>
      <c r="C118" s="194">
        <f>'Residential WN'!C118</f>
        <v>51.55</v>
      </c>
      <c r="D118" s="194">
        <f>'Residential WN'!D118</f>
        <v>29.669999999999998</v>
      </c>
      <c r="E118" s="194">
        <v>31</v>
      </c>
      <c r="F118" s="194">
        <v>0</v>
      </c>
      <c r="G118" s="184">
        <f>'CDM Activity'!U50</f>
        <v>13312.467942849438</v>
      </c>
      <c r="H118" s="187">
        <v>320</v>
      </c>
      <c r="I118" s="184">
        <v>139.23021436183228</v>
      </c>
      <c r="J118" s="37">
        <v>504</v>
      </c>
      <c r="K118" s="194">
        <f t="shared" si="0"/>
        <v>22690012.269633651</v>
      </c>
      <c r="L118" s="194"/>
      <c r="M118" s="37"/>
    </row>
    <row r="119" spans="1:13">
      <c r="A119" s="191">
        <v>39692</v>
      </c>
      <c r="B119" s="284">
        <v>21467207.539999992</v>
      </c>
      <c r="C119" s="194">
        <f>'Residential WN'!C119</f>
        <v>176.97</v>
      </c>
      <c r="D119" s="194">
        <f>'Residential WN'!D119</f>
        <v>5.05</v>
      </c>
      <c r="E119" s="194">
        <v>30</v>
      </c>
      <c r="F119" s="194">
        <v>1</v>
      </c>
      <c r="G119" s="184">
        <f>'CDM Activity'!U51</f>
        <v>14976.526435705618</v>
      </c>
      <c r="H119" s="187">
        <v>336</v>
      </c>
      <c r="I119" s="184">
        <v>139.12535846444095</v>
      </c>
      <c r="J119" s="37">
        <v>504</v>
      </c>
      <c r="K119" s="194">
        <f t="shared" si="0"/>
        <v>21651844.252605494</v>
      </c>
      <c r="L119" s="194"/>
      <c r="M119" s="37"/>
    </row>
    <row r="120" spans="1:13">
      <c r="A120" s="191">
        <v>39722</v>
      </c>
      <c r="B120" s="284">
        <v>22467926.269999996</v>
      </c>
      <c r="C120" s="194">
        <f>'Residential WN'!C120</f>
        <v>372.15</v>
      </c>
      <c r="D120" s="194">
        <f>'Residential WN'!D120</f>
        <v>0.54</v>
      </c>
      <c r="E120" s="194">
        <v>31</v>
      </c>
      <c r="F120" s="194">
        <v>1</v>
      </c>
      <c r="G120" s="184">
        <f>'CDM Activity'!U52</f>
        <v>16640.584928561799</v>
      </c>
      <c r="H120" s="187">
        <v>352</v>
      </c>
      <c r="I120" s="184">
        <v>139.02058153524823</v>
      </c>
      <c r="J120" s="37">
        <v>510</v>
      </c>
      <c r="K120" s="194">
        <f t="shared" si="0"/>
        <v>23752287.374986243</v>
      </c>
      <c r="L120" s="194"/>
      <c r="M120" s="37"/>
    </row>
    <row r="121" spans="1:13">
      <c r="A121" s="191">
        <v>39753</v>
      </c>
      <c r="B121" s="284">
        <v>24892281.799999986</v>
      </c>
      <c r="C121" s="194">
        <f>'Residential WN'!C121</f>
        <v>567.61000000000013</v>
      </c>
      <c r="D121" s="194">
        <f>'Residential WN'!D121</f>
        <v>0</v>
      </c>
      <c r="E121" s="194">
        <v>30</v>
      </c>
      <c r="F121" s="194">
        <v>1</v>
      </c>
      <c r="G121" s="184">
        <f>'CDM Activity'!U53</f>
        <v>18304.643421417979</v>
      </c>
      <c r="H121" s="187">
        <v>304</v>
      </c>
      <c r="I121" s="184">
        <v>138.91588351478222</v>
      </c>
      <c r="J121" s="37">
        <v>517</v>
      </c>
      <c r="K121" s="194">
        <f t="shared" si="0"/>
        <v>24546941.912970122</v>
      </c>
      <c r="L121" s="194"/>
      <c r="M121" s="37"/>
    </row>
    <row r="122" spans="1:13">
      <c r="A122" s="191">
        <v>39783</v>
      </c>
      <c r="B122" s="284">
        <v>29306389.769999992</v>
      </c>
      <c r="C122" s="194">
        <f>'Residential WN'!C122</f>
        <v>852.28999999999974</v>
      </c>
      <c r="D122" s="194">
        <f>'Residential WN'!D122</f>
        <v>0</v>
      </c>
      <c r="E122" s="194">
        <v>31</v>
      </c>
      <c r="F122" s="194">
        <v>0</v>
      </c>
      <c r="G122" s="184">
        <f>'CDM Activity'!U54</f>
        <v>19968.701914274159</v>
      </c>
      <c r="H122" s="187">
        <v>336</v>
      </c>
      <c r="I122" s="184">
        <v>138.8112643436159</v>
      </c>
      <c r="J122" s="37">
        <v>507</v>
      </c>
      <c r="K122" s="194">
        <f t="shared" si="0"/>
        <v>28446972.130888153</v>
      </c>
      <c r="L122" s="194"/>
      <c r="M122" s="188"/>
    </row>
    <row r="123" spans="1:13">
      <c r="A123" s="191">
        <v>39814</v>
      </c>
      <c r="B123" s="284">
        <v>30390902.34999999</v>
      </c>
      <c r="C123" s="194">
        <f>'Residential WN'!C123</f>
        <v>960.98000000000013</v>
      </c>
      <c r="D123" s="194">
        <f>'Residential WN'!D123</f>
        <v>0</v>
      </c>
      <c r="E123" s="194">
        <v>31</v>
      </c>
      <c r="F123" s="194">
        <v>0</v>
      </c>
      <c r="G123" s="184">
        <f>'CDM Activity'!U55</f>
        <v>32350.641219676876</v>
      </c>
      <c r="H123" s="187">
        <v>336</v>
      </c>
      <c r="I123" s="184">
        <v>138.43555825854429</v>
      </c>
      <c r="J123" s="37">
        <v>507</v>
      </c>
      <c r="K123" s="194">
        <f t="shared" si="0"/>
        <v>29351538.998844933</v>
      </c>
      <c r="L123" s="194"/>
      <c r="M123" s="37"/>
    </row>
    <row r="124" spans="1:13">
      <c r="A124" s="191">
        <v>39845</v>
      </c>
      <c r="B124" s="284">
        <v>26265717.409999982</v>
      </c>
      <c r="C124" s="194">
        <f>'Residential WN'!C124</f>
        <v>875.5899999999998</v>
      </c>
      <c r="D124" s="194">
        <f>'Residential WN'!D124</f>
        <v>0</v>
      </c>
      <c r="E124" s="194">
        <v>28</v>
      </c>
      <c r="F124" s="194">
        <v>0</v>
      </c>
      <c r="G124" s="184">
        <f>'CDM Activity'!U56</f>
        <v>44732.580525079597</v>
      </c>
      <c r="H124" s="187">
        <v>304</v>
      </c>
      <c r="I124" s="184">
        <v>138.06086905825526</v>
      </c>
      <c r="J124" s="37">
        <v>509</v>
      </c>
      <c r="K124" s="194">
        <f t="shared" si="0"/>
        <v>26873213.063722566</v>
      </c>
      <c r="L124" s="194"/>
      <c r="M124" s="37"/>
    </row>
    <row r="125" spans="1:13">
      <c r="A125" s="191">
        <v>39873</v>
      </c>
      <c r="B125" s="284">
        <v>27254363.600000005</v>
      </c>
      <c r="C125" s="194">
        <f>'Residential WN'!C125</f>
        <v>702.91</v>
      </c>
      <c r="D125" s="194">
        <f>'Residential WN'!D125</f>
        <v>0</v>
      </c>
      <c r="E125" s="194">
        <v>31</v>
      </c>
      <c r="F125" s="194">
        <v>1</v>
      </c>
      <c r="G125" s="184">
        <f>'CDM Activity'!U57</f>
        <v>57114.519830482313</v>
      </c>
      <c r="H125" s="187">
        <v>352</v>
      </c>
      <c r="I125" s="184">
        <v>137.68719399045199</v>
      </c>
      <c r="J125" s="37">
        <v>505</v>
      </c>
      <c r="K125" s="194">
        <f t="shared" si="0"/>
        <v>26472898.70582908</v>
      </c>
      <c r="L125" s="194"/>
      <c r="M125" s="37"/>
    </row>
    <row r="126" spans="1:13">
      <c r="A126" s="191">
        <v>39904</v>
      </c>
      <c r="B126" s="284">
        <v>23432984.210000034</v>
      </c>
      <c r="C126" s="194">
        <f>'Residential WN'!C126</f>
        <v>450.5200000000001</v>
      </c>
      <c r="D126" s="194">
        <f>'Residential WN'!D126</f>
        <v>0</v>
      </c>
      <c r="E126" s="194">
        <v>30</v>
      </c>
      <c r="F126" s="194">
        <v>1</v>
      </c>
      <c r="G126" s="184">
        <f>'CDM Activity'!U58</f>
        <v>69496.45913588503</v>
      </c>
      <c r="H126" s="187">
        <v>320</v>
      </c>
      <c r="I126" s="184">
        <v>137.31453031028698</v>
      </c>
      <c r="J126" s="37">
        <v>509</v>
      </c>
      <c r="K126" s="194">
        <f t="shared" si="0"/>
        <v>23505938.806456644</v>
      </c>
      <c r="L126" s="194"/>
      <c r="M126" s="287"/>
    </row>
    <row r="127" spans="1:13">
      <c r="A127" s="191">
        <v>39934</v>
      </c>
      <c r="B127" s="284">
        <v>22194838.930000022</v>
      </c>
      <c r="C127" s="194">
        <f>'Residential WN'!C127</f>
        <v>271.46000000000004</v>
      </c>
      <c r="D127" s="194">
        <f>'Residential WN'!D127</f>
        <v>0.47000000000000003</v>
      </c>
      <c r="E127" s="194">
        <v>31</v>
      </c>
      <c r="F127" s="194">
        <v>1</v>
      </c>
      <c r="G127" s="184">
        <f>'CDM Activity'!U59</f>
        <v>81878.398441287747</v>
      </c>
      <c r="H127" s="187">
        <v>320</v>
      </c>
      <c r="I127" s="184">
        <v>136.94287528034204</v>
      </c>
      <c r="J127" s="37">
        <v>511</v>
      </c>
      <c r="K127" s="194">
        <f t="shared" si="0"/>
        <v>22415788.125090692</v>
      </c>
      <c r="L127" s="194"/>
      <c r="M127" s="37"/>
    </row>
    <row r="128" spans="1:13">
      <c r="A128" s="191">
        <v>39965</v>
      </c>
      <c r="B128" s="284">
        <v>21369186.910000023</v>
      </c>
      <c r="C128" s="194">
        <f>'Residential WN'!C128</f>
        <v>109.59</v>
      </c>
      <c r="D128" s="194">
        <f>'Residential WN'!D128</f>
        <v>6.7</v>
      </c>
      <c r="E128" s="194">
        <v>30</v>
      </c>
      <c r="F128" s="194">
        <v>0</v>
      </c>
      <c r="G128" s="184">
        <f>'CDM Activity'!U60</f>
        <v>94260.337746690464</v>
      </c>
      <c r="H128" s="187">
        <v>352</v>
      </c>
      <c r="I128" s="184">
        <v>136.57222617060793</v>
      </c>
      <c r="J128" s="37">
        <v>512</v>
      </c>
      <c r="K128" s="194">
        <f t="shared" si="0"/>
        <v>21724121.824264504</v>
      </c>
      <c r="L128" s="194"/>
      <c r="M128" s="37"/>
    </row>
    <row r="129" spans="1:13">
      <c r="A129" s="191">
        <v>39995</v>
      </c>
      <c r="B129" s="284">
        <v>21789412.370000005</v>
      </c>
      <c r="C129" s="194">
        <f>'Residential WN'!C129</f>
        <v>36.33</v>
      </c>
      <c r="D129" s="194">
        <f>'Residential WN'!D129</f>
        <v>40.369999999999997</v>
      </c>
      <c r="E129" s="194">
        <v>31</v>
      </c>
      <c r="F129" s="194">
        <v>0</v>
      </c>
      <c r="G129" s="184">
        <f>'CDM Activity'!U61</f>
        <v>106642.27705209318</v>
      </c>
      <c r="H129" s="187">
        <v>352</v>
      </c>
      <c r="I129" s="184">
        <v>136.20258025846454</v>
      </c>
      <c r="J129" s="37">
        <v>517</v>
      </c>
      <c r="K129" s="194">
        <f t="shared" si="0"/>
        <v>23001524.375299983</v>
      </c>
      <c r="L129" s="194"/>
      <c r="M129" s="37"/>
    </row>
    <row r="130" spans="1:13">
      <c r="A130" s="191">
        <v>40026</v>
      </c>
      <c r="B130" s="284">
        <v>21831315.479999978</v>
      </c>
      <c r="C130" s="194">
        <f>'Residential WN'!C130</f>
        <v>51.55</v>
      </c>
      <c r="D130" s="194">
        <f>'Residential WN'!D130</f>
        <v>29.669999999999998</v>
      </c>
      <c r="E130" s="194">
        <v>31</v>
      </c>
      <c r="F130" s="194">
        <v>0</v>
      </c>
      <c r="G130" s="184">
        <f>'CDM Activity'!U62</f>
        <v>119024.2163574959</v>
      </c>
      <c r="H130" s="187">
        <v>320</v>
      </c>
      <c r="I130" s="184">
        <v>135.83393482866074</v>
      </c>
      <c r="J130" s="37">
        <v>509</v>
      </c>
      <c r="K130" s="194">
        <f t="shared" si="0"/>
        <v>22367122.98108767</v>
      </c>
      <c r="L130" s="194"/>
      <c r="M130" s="37"/>
    </row>
    <row r="131" spans="1:13">
      <c r="A131" s="191">
        <v>40057</v>
      </c>
      <c r="B131" s="284">
        <v>21746633.179999996</v>
      </c>
      <c r="C131" s="194">
        <f>'Residential WN'!C131</f>
        <v>176.97</v>
      </c>
      <c r="D131" s="194">
        <f>'Residential WN'!D131</f>
        <v>5.05</v>
      </c>
      <c r="E131" s="194">
        <v>30</v>
      </c>
      <c r="F131" s="194">
        <v>1</v>
      </c>
      <c r="G131" s="184">
        <f>'CDM Activity'!U63</f>
        <v>131406.15566289861</v>
      </c>
      <c r="H131" s="187">
        <v>336</v>
      </c>
      <c r="I131" s="184">
        <v>135.46628717329455</v>
      </c>
      <c r="J131" s="37">
        <v>500</v>
      </c>
      <c r="K131" s="194">
        <f t="shared" si="0"/>
        <v>21296217.93187356</v>
      </c>
      <c r="L131" s="194"/>
      <c r="M131" s="37"/>
    </row>
    <row r="132" spans="1:13">
      <c r="A132" s="191">
        <v>40087</v>
      </c>
      <c r="B132" s="284">
        <v>22881653.959999997</v>
      </c>
      <c r="C132" s="194">
        <f>'Residential WN'!C132</f>
        <v>372.15</v>
      </c>
      <c r="D132" s="194">
        <f>'Residential WN'!D132</f>
        <v>0.54</v>
      </c>
      <c r="E132" s="194">
        <v>31</v>
      </c>
      <c r="F132" s="194">
        <v>1</v>
      </c>
      <c r="G132" s="184">
        <f>'CDM Activity'!U64</f>
        <v>143788.09496830133</v>
      </c>
      <c r="H132" s="187">
        <v>336</v>
      </c>
      <c r="I132" s="184">
        <v>135.09963459179312</v>
      </c>
      <c r="J132" s="37">
        <v>498</v>
      </c>
      <c r="K132" s="194">
        <f t="shared" si="0"/>
        <v>23233347.156408824</v>
      </c>
      <c r="L132" s="194"/>
      <c r="M132" s="37"/>
    </row>
    <row r="133" spans="1:13">
      <c r="A133" s="191">
        <v>40118</v>
      </c>
      <c r="B133" s="284">
        <v>23647813.830000006</v>
      </c>
      <c r="C133" s="194">
        <f>'Residential WN'!C133</f>
        <v>567.61000000000013</v>
      </c>
      <c r="D133" s="194">
        <f>'Residential WN'!D133</f>
        <v>0</v>
      </c>
      <c r="E133" s="194">
        <v>30</v>
      </c>
      <c r="F133" s="194">
        <v>1</v>
      </c>
      <c r="G133" s="184">
        <f>'CDM Activity'!U65</f>
        <v>156170.03427370405</v>
      </c>
      <c r="H133" s="187">
        <v>320</v>
      </c>
      <c r="I133" s="184">
        <v>134.733974390893</v>
      </c>
      <c r="J133" s="37">
        <v>496</v>
      </c>
      <c r="K133" s="194">
        <f t="shared" si="0"/>
        <v>24256418.393525809</v>
      </c>
      <c r="L133" s="194"/>
      <c r="M133" s="37"/>
    </row>
    <row r="134" spans="1:13">
      <c r="A134" s="191">
        <v>40148</v>
      </c>
      <c r="B134" s="284">
        <v>27999304.569999997</v>
      </c>
      <c r="C134" s="194">
        <f>'Residential WN'!C134</f>
        <v>852.28999999999974</v>
      </c>
      <c r="D134" s="194">
        <f>'Residential WN'!D134</f>
        <v>0</v>
      </c>
      <c r="E134" s="194">
        <v>31</v>
      </c>
      <c r="F134" s="194">
        <v>0</v>
      </c>
      <c r="G134" s="184">
        <f>'CDM Activity'!U66</f>
        <v>168551.97357910677</v>
      </c>
      <c r="H134" s="187">
        <v>352</v>
      </c>
      <c r="I134" s="184">
        <v>134.36930388462019</v>
      </c>
      <c r="J134" s="37">
        <v>500</v>
      </c>
      <c r="K134" s="194">
        <f t="shared" si="0"/>
        <v>28123711.579257887</v>
      </c>
      <c r="L134" s="194"/>
      <c r="M134" s="37"/>
    </row>
    <row r="135" spans="1:13">
      <c r="A135" s="191">
        <v>40179</v>
      </c>
      <c r="B135" s="284">
        <v>28838475.690000013</v>
      </c>
      <c r="C135" s="194">
        <f>'Residential WN'!C135</f>
        <v>960.98000000000013</v>
      </c>
      <c r="D135" s="194">
        <f>'Residential WN'!D135</f>
        <v>0</v>
      </c>
      <c r="E135" s="194">
        <v>31</v>
      </c>
      <c r="F135" s="194">
        <v>0</v>
      </c>
      <c r="G135" s="184">
        <f>'CDM Activity'!U67</f>
        <v>171366.41509777043</v>
      </c>
      <c r="H135" s="187">
        <v>320</v>
      </c>
      <c r="I135" s="184">
        <v>134.73334561620703</v>
      </c>
      <c r="J135" s="194">
        <v>500</v>
      </c>
      <c r="K135" s="194">
        <f t="shared" si="0"/>
        <v>28796347.981992841</v>
      </c>
      <c r="L135" s="194"/>
      <c r="M135" s="37"/>
    </row>
    <row r="136" spans="1:13">
      <c r="A136" s="191">
        <v>40210</v>
      </c>
      <c r="B136" s="284">
        <v>25306729.540000018</v>
      </c>
      <c r="C136" s="194">
        <f>'Residential WN'!C136</f>
        <v>875.5899999999998</v>
      </c>
      <c r="D136" s="194">
        <f>'Residential WN'!D136</f>
        <v>0</v>
      </c>
      <c r="E136" s="194">
        <v>28</v>
      </c>
      <c r="F136" s="194">
        <v>0</v>
      </c>
      <c r="G136" s="184">
        <f>'CDM Activity'!U68</f>
        <v>174180.85661643409</v>
      </c>
      <c r="H136" s="187">
        <v>304</v>
      </c>
      <c r="I136" s="184">
        <v>135.09837363244745</v>
      </c>
      <c r="J136" s="194">
        <v>499</v>
      </c>
      <c r="K136" s="194">
        <f t="shared" si="0"/>
        <v>26477822.178627241</v>
      </c>
      <c r="L136" s="194"/>
      <c r="M136" s="37"/>
    </row>
    <row r="137" spans="1:13">
      <c r="A137" s="191">
        <v>40238</v>
      </c>
      <c r="B137" s="284">
        <v>24777899.930000026</v>
      </c>
      <c r="C137" s="194">
        <f>'Residential WN'!C137</f>
        <v>702.91</v>
      </c>
      <c r="D137" s="194">
        <f>'Residential WN'!D137</f>
        <v>0</v>
      </c>
      <c r="E137" s="194">
        <v>31</v>
      </c>
      <c r="F137" s="194">
        <v>1</v>
      </c>
      <c r="G137" s="184">
        <f>'CDM Activity'!U69</f>
        <v>176995.29813509775</v>
      </c>
      <c r="H137" s="187">
        <v>368</v>
      </c>
      <c r="I137" s="184">
        <v>135.46439060544563</v>
      </c>
      <c r="J137" s="194">
        <v>504</v>
      </c>
      <c r="K137" s="194">
        <f t="shared" si="0"/>
        <v>26237307.952490527</v>
      </c>
      <c r="L137" s="194"/>
      <c r="M137" s="37"/>
    </row>
    <row r="138" spans="1:13">
      <c r="A138" s="191">
        <v>40269</v>
      </c>
      <c r="B138" s="284">
        <v>21809289.850000009</v>
      </c>
      <c r="C138" s="194">
        <f>'Residential WN'!C138</f>
        <v>450.5200000000001</v>
      </c>
      <c r="D138" s="194">
        <f>'Residential WN'!D138</f>
        <v>0</v>
      </c>
      <c r="E138" s="194">
        <v>30</v>
      </c>
      <c r="F138" s="194">
        <v>1</v>
      </c>
      <c r="G138" s="184">
        <f>'CDM Activity'!U70</f>
        <v>179809.73965376141</v>
      </c>
      <c r="H138" s="187">
        <v>320</v>
      </c>
      <c r="I138" s="184">
        <v>135.83139921454512</v>
      </c>
      <c r="J138" s="194">
        <v>502</v>
      </c>
      <c r="K138" s="194">
        <f t="shared" si="0"/>
        <v>23168994.453555796</v>
      </c>
      <c r="L138" s="194"/>
      <c r="M138" s="37"/>
    </row>
    <row r="139" spans="1:13">
      <c r="A139" s="191">
        <v>40299</v>
      </c>
      <c r="B139" s="284">
        <v>21546572.909999996</v>
      </c>
      <c r="C139" s="194">
        <f>'Residential WN'!C139</f>
        <v>271.46000000000004</v>
      </c>
      <c r="D139" s="194">
        <f>'Residential WN'!D139</f>
        <v>0.47000000000000003</v>
      </c>
      <c r="E139" s="194">
        <v>31</v>
      </c>
      <c r="F139" s="194">
        <v>1</v>
      </c>
      <c r="G139" s="184">
        <f>'CDM Activity'!U71</f>
        <v>182624.18117242507</v>
      </c>
      <c r="H139" s="187">
        <v>320</v>
      </c>
      <c r="I139" s="184">
        <v>136.19940214634852</v>
      </c>
      <c r="J139" s="194">
        <v>504</v>
      </c>
      <c r="K139" s="194">
        <f t="shared" si="0"/>
        <v>22108067.038287081</v>
      </c>
      <c r="L139" s="194"/>
      <c r="M139" s="37"/>
    </row>
    <row r="140" spans="1:13">
      <c r="A140" s="191">
        <v>40330</v>
      </c>
      <c r="B140" s="284">
        <v>21152488.750000004</v>
      </c>
      <c r="C140" s="194">
        <f>'Residential WN'!C140</f>
        <v>109.59</v>
      </c>
      <c r="D140" s="194">
        <f>'Residential WN'!D140</f>
        <v>6.7</v>
      </c>
      <c r="E140" s="194">
        <v>30</v>
      </c>
      <c r="F140" s="194">
        <v>0</v>
      </c>
      <c r="G140" s="184">
        <f>'CDM Activity'!U72</f>
        <v>185438.62269108873</v>
      </c>
      <c r="H140" s="187">
        <v>352</v>
      </c>
      <c r="I140" s="184">
        <v>136.56840209473719</v>
      </c>
      <c r="J140" s="194">
        <v>507</v>
      </c>
      <c r="K140" s="194">
        <f t="shared" si="0"/>
        <v>21445624.003558129</v>
      </c>
      <c r="L140" s="194"/>
      <c r="M140" s="37"/>
    </row>
    <row r="141" spans="1:13">
      <c r="A141" s="191">
        <v>40360</v>
      </c>
      <c r="B141" s="284">
        <v>23012031.620000001</v>
      </c>
      <c r="C141" s="194">
        <f>'Residential WN'!C141</f>
        <v>36.33</v>
      </c>
      <c r="D141" s="194">
        <f>'Residential WN'!D141</f>
        <v>40.369999999999997</v>
      </c>
      <c r="E141" s="194">
        <v>31</v>
      </c>
      <c r="F141" s="194">
        <v>0</v>
      </c>
      <c r="G141" s="184">
        <f>'CDM Activity'!U73</f>
        <v>188253.0642097524</v>
      </c>
      <c r="H141" s="187">
        <v>336</v>
      </c>
      <c r="I141" s="184">
        <v>136.93840176089088</v>
      </c>
      <c r="J141" s="194">
        <v>508</v>
      </c>
      <c r="K141" s="194">
        <f t="shared" si="0"/>
        <v>22621672.955031317</v>
      </c>
      <c r="L141" s="194"/>
      <c r="M141" s="37"/>
    </row>
    <row r="142" spans="1:13">
      <c r="A142" s="191">
        <v>40391</v>
      </c>
      <c r="B142" s="284">
        <v>22901514.910000049</v>
      </c>
      <c r="C142" s="194">
        <f>'Residential WN'!C142</f>
        <v>51.55</v>
      </c>
      <c r="D142" s="194">
        <f>'Residential WN'!D142</f>
        <v>29.669999999999998</v>
      </c>
      <c r="E142" s="194">
        <v>31</v>
      </c>
      <c r="F142" s="194">
        <v>0</v>
      </c>
      <c r="G142" s="184">
        <f>'CDM Activity'!U74</f>
        <v>191067.50572841606</v>
      </c>
      <c r="H142" s="187">
        <v>336</v>
      </c>
      <c r="I142" s="184">
        <v>137.30940385330757</v>
      </c>
      <c r="J142" s="194">
        <v>505</v>
      </c>
      <c r="K142" s="194">
        <f t="shared" si="0"/>
        <v>22277648.558235303</v>
      </c>
      <c r="L142" s="194"/>
      <c r="M142" s="37"/>
    </row>
    <row r="143" spans="1:13">
      <c r="A143" s="191">
        <v>40422</v>
      </c>
      <c r="B143" s="284">
        <v>21432268.879999973</v>
      </c>
      <c r="C143" s="194">
        <f>'Residential WN'!C143</f>
        <v>176.97</v>
      </c>
      <c r="D143" s="194">
        <f>'Residential WN'!D143</f>
        <v>5.05</v>
      </c>
      <c r="E143" s="194">
        <v>30</v>
      </c>
      <c r="F143" s="194">
        <v>1</v>
      </c>
      <c r="G143" s="184">
        <f>'CDM Activity'!U75</f>
        <v>193881.94724707972</v>
      </c>
      <c r="H143" s="187">
        <v>336</v>
      </c>
      <c r="I143" s="184">
        <v>137.68141108782325</v>
      </c>
      <c r="J143" s="194">
        <v>510</v>
      </c>
      <c r="K143" s="194">
        <f t="shared" si="0"/>
        <v>21105389.909458898</v>
      </c>
      <c r="L143" s="194"/>
      <c r="M143" s="37"/>
    </row>
    <row r="144" spans="1:13">
      <c r="A144" s="191">
        <v>40452</v>
      </c>
      <c r="B144" s="284">
        <v>22472903.979999989</v>
      </c>
      <c r="C144" s="194">
        <f>'Residential WN'!C144</f>
        <v>372.15</v>
      </c>
      <c r="D144" s="194">
        <f>'Residential WN'!D144</f>
        <v>0.54</v>
      </c>
      <c r="E144" s="194">
        <v>31</v>
      </c>
      <c r="F144" s="194">
        <v>1</v>
      </c>
      <c r="G144" s="184">
        <f>'CDM Activity'!U76</f>
        <v>196696.38876574338</v>
      </c>
      <c r="H144" s="187">
        <v>320</v>
      </c>
      <c r="I144" s="184">
        <v>138.0544261876318</v>
      </c>
      <c r="J144" s="194">
        <v>510</v>
      </c>
      <c r="K144" s="194">
        <f t="shared" si="0"/>
        <v>22941165.534431867</v>
      </c>
      <c r="L144" s="194"/>
      <c r="M144" s="37"/>
    </row>
    <row r="145" spans="1:13">
      <c r="A145" s="191">
        <v>40483</v>
      </c>
      <c r="B145" s="284">
        <v>24030452.420000006</v>
      </c>
      <c r="C145" s="194">
        <f>'Residential WN'!C145</f>
        <v>567.61000000000013</v>
      </c>
      <c r="D145" s="194">
        <f>'Residential WN'!D145</f>
        <v>0</v>
      </c>
      <c r="E145" s="194">
        <v>30</v>
      </c>
      <c r="F145" s="194">
        <v>1</v>
      </c>
      <c r="G145" s="184">
        <f>'CDM Activity'!U77</f>
        <v>199510.83028440704</v>
      </c>
      <c r="H145" s="187">
        <v>336</v>
      </c>
      <c r="I145" s="184">
        <v>138.42845188330503</v>
      </c>
      <c r="J145" s="194">
        <v>515</v>
      </c>
      <c r="K145" s="194">
        <f t="shared" si="0"/>
        <v>24254613.768965155</v>
      </c>
      <c r="L145" s="194"/>
      <c r="M145" s="37"/>
    </row>
    <row r="146" spans="1:13">
      <c r="A146" s="191">
        <v>40513</v>
      </c>
      <c r="B146" s="284">
        <v>27767188.379999999</v>
      </c>
      <c r="C146" s="194">
        <f>'Residential WN'!C146</f>
        <v>852.28999999999974</v>
      </c>
      <c r="D146" s="194">
        <f>'Residential WN'!D146</f>
        <v>0</v>
      </c>
      <c r="E146" s="194">
        <v>31</v>
      </c>
      <c r="F146" s="194">
        <v>0</v>
      </c>
      <c r="G146" s="184">
        <f>'CDM Activity'!U78</f>
        <v>202325.2718030707</v>
      </c>
      <c r="H146" s="187">
        <v>368</v>
      </c>
      <c r="I146" s="184">
        <v>138.80349091281266</v>
      </c>
      <c r="J146" s="194">
        <v>516</v>
      </c>
      <c r="K146" s="194">
        <f t="shared" si="0"/>
        <v>28151130.220794469</v>
      </c>
      <c r="L146" s="194"/>
      <c r="M146" s="37"/>
    </row>
    <row r="147" spans="1:13">
      <c r="A147" s="183">
        <v>40544</v>
      </c>
      <c r="B147" s="284">
        <v>29631691.289999962</v>
      </c>
      <c r="C147" s="194">
        <f>'Residential WN'!C147</f>
        <v>960.98000000000013</v>
      </c>
      <c r="D147" s="194">
        <f>'Residential WN'!D147</f>
        <v>0</v>
      </c>
      <c r="E147" s="287">
        <v>31</v>
      </c>
      <c r="F147" s="194">
        <v>0</v>
      </c>
      <c r="G147" s="184">
        <f>'CDM Activity'!U79</f>
        <v>199077.61010289792</v>
      </c>
      <c r="H147" s="187">
        <v>336</v>
      </c>
      <c r="I147" s="184">
        <v>139.10070640604135</v>
      </c>
      <c r="J147" s="194">
        <v>499</v>
      </c>
      <c r="K147" s="194">
        <f t="shared" si="0"/>
        <v>28842282.902228594</v>
      </c>
      <c r="L147" s="194"/>
      <c r="M147" s="37"/>
    </row>
    <row r="148" spans="1:13">
      <c r="A148" s="183">
        <v>40575</v>
      </c>
      <c r="B148" s="284">
        <v>26046838.789999999</v>
      </c>
      <c r="C148" s="194">
        <f>'Residential WN'!C148</f>
        <v>875.5899999999998</v>
      </c>
      <c r="D148" s="194">
        <f>'Residential WN'!D148</f>
        <v>0</v>
      </c>
      <c r="E148" s="287">
        <v>28</v>
      </c>
      <c r="F148" s="194">
        <v>0</v>
      </c>
      <c r="G148" s="184">
        <f>'CDM Activity'!U80</f>
        <v>195829.94840272513</v>
      </c>
      <c r="H148" s="187">
        <v>304</v>
      </c>
      <c r="I148" s="184">
        <v>139.39855831733732</v>
      </c>
      <c r="J148" s="194">
        <v>500</v>
      </c>
      <c r="K148" s="194">
        <f t="shared" si="0"/>
        <v>26411696.511902638</v>
      </c>
      <c r="L148" s="194"/>
      <c r="M148" s="37"/>
    </row>
    <row r="149" spans="1:13">
      <c r="A149" s="183">
        <v>40603</v>
      </c>
      <c r="B149" s="284">
        <v>26570003.080000009</v>
      </c>
      <c r="C149" s="194">
        <f>'Residential WN'!C149</f>
        <v>702.91</v>
      </c>
      <c r="D149" s="194">
        <f>'Residential WN'!D149</f>
        <v>0</v>
      </c>
      <c r="E149" s="287">
        <v>31</v>
      </c>
      <c r="F149" s="194">
        <v>1</v>
      </c>
      <c r="G149" s="184">
        <f>'CDM Activity'!U81</f>
        <v>192582.28670255234</v>
      </c>
      <c r="H149" s="187">
        <v>368</v>
      </c>
      <c r="I149" s="184">
        <v>139.69704800944226</v>
      </c>
      <c r="J149" s="194">
        <v>505</v>
      </c>
      <c r="K149" s="194">
        <f t="shared" si="0"/>
        <v>26189698.564465094</v>
      </c>
      <c r="L149" s="194"/>
      <c r="M149" s="37"/>
    </row>
    <row r="150" spans="1:13">
      <c r="A150" s="183">
        <v>40634</v>
      </c>
      <c r="B150" s="284">
        <v>23083598.169999979</v>
      </c>
      <c r="C150" s="194">
        <f>'Residential WN'!C150</f>
        <v>450.5200000000001</v>
      </c>
      <c r="D150" s="194">
        <f>'Residential WN'!D150</f>
        <v>0</v>
      </c>
      <c r="E150" s="287">
        <v>30</v>
      </c>
      <c r="F150" s="194">
        <v>1</v>
      </c>
      <c r="G150" s="184">
        <f>'CDM Activity'!U82</f>
        <v>189334.62500237956</v>
      </c>
      <c r="H150" s="187">
        <v>320</v>
      </c>
      <c r="I150" s="184">
        <v>139.99617684801592</v>
      </c>
      <c r="J150" s="194">
        <v>506</v>
      </c>
      <c r="K150" s="194">
        <f t="shared" si="0"/>
        <v>23139901.344229538</v>
      </c>
      <c r="L150" s="194"/>
      <c r="M150" s="37"/>
    </row>
    <row r="151" spans="1:13">
      <c r="A151" s="183">
        <v>40664</v>
      </c>
      <c r="B151" s="284">
        <v>21824619.570000008</v>
      </c>
      <c r="C151" s="194">
        <f>'Residential WN'!C151</f>
        <v>271.46000000000004</v>
      </c>
      <c r="D151" s="194">
        <f>'Residential WN'!D151</f>
        <v>0.47000000000000003</v>
      </c>
      <c r="E151" s="287">
        <v>31</v>
      </c>
      <c r="F151" s="194">
        <v>1</v>
      </c>
      <c r="G151" s="184">
        <f>'CDM Activity'!U83</f>
        <v>186086.96330220677</v>
      </c>
      <c r="H151" s="187">
        <v>336</v>
      </c>
      <c r="I151" s="184">
        <v>140.29594620164227</v>
      </c>
      <c r="J151" s="194">
        <v>507</v>
      </c>
      <c r="K151" s="194">
        <f t="shared" si="0"/>
        <v>22228067.073319525</v>
      </c>
      <c r="L151" s="194"/>
      <c r="M151" s="37"/>
    </row>
    <row r="152" spans="1:13">
      <c r="A152" s="183">
        <v>40695</v>
      </c>
      <c r="B152" s="284">
        <v>20701172.160000015</v>
      </c>
      <c r="C152" s="194">
        <f>'Residential WN'!C152</f>
        <v>109.59</v>
      </c>
      <c r="D152" s="194">
        <f>'Residential WN'!D152</f>
        <v>6.7</v>
      </c>
      <c r="E152" s="287">
        <v>30</v>
      </c>
      <c r="F152" s="194">
        <v>0</v>
      </c>
      <c r="G152" s="184">
        <f>'CDM Activity'!U84</f>
        <v>182839.30160203399</v>
      </c>
      <c r="H152" s="187">
        <v>352</v>
      </c>
      <c r="I152" s="184">
        <v>140.59635744183578</v>
      </c>
      <c r="J152" s="194">
        <v>507</v>
      </c>
      <c r="K152" s="194">
        <f t="shared" ref="K152:K215" si="1">$O$103+C152*$O$104+D152*$O$105+E152*$O$106+F152*$O$107+G152*$O$108+H152*$O$109</f>
        <v>21453563.451630216</v>
      </c>
      <c r="L152" s="194"/>
      <c r="M152" s="37"/>
    </row>
    <row r="153" spans="1:13">
      <c r="A153" s="183">
        <v>40725</v>
      </c>
      <c r="B153" s="284">
        <v>22583045.949999999</v>
      </c>
      <c r="C153" s="194">
        <f>'Residential WN'!C153</f>
        <v>36.33</v>
      </c>
      <c r="D153" s="194">
        <f>'Residential WN'!D153</f>
        <v>40.369999999999997</v>
      </c>
      <c r="E153" s="287">
        <v>31</v>
      </c>
      <c r="F153" s="194">
        <v>0</v>
      </c>
      <c r="G153" s="184">
        <f>'CDM Activity'!U85</f>
        <v>179591.6399018612</v>
      </c>
      <c r="H153" s="187">
        <v>320</v>
      </c>
      <c r="I153" s="184">
        <v>140.89741194304773</v>
      </c>
      <c r="J153" s="194">
        <v>503</v>
      </c>
      <c r="K153" s="194">
        <f t="shared" si="1"/>
        <v>22517551.816143043</v>
      </c>
      <c r="L153" s="194"/>
      <c r="M153" s="37"/>
    </row>
    <row r="154" spans="1:13">
      <c r="A154" s="183">
        <v>40756</v>
      </c>
      <c r="B154" s="284">
        <v>22784484.029999986</v>
      </c>
      <c r="C154" s="194">
        <f>'Residential WN'!C154</f>
        <v>51.55</v>
      </c>
      <c r="D154" s="194">
        <f>'Residential WN'!D154</f>
        <v>29.669999999999998</v>
      </c>
      <c r="E154" s="287">
        <v>31</v>
      </c>
      <c r="F154" s="194">
        <v>0</v>
      </c>
      <c r="G154" s="184">
        <f>'CDM Activity'!U86</f>
        <v>176343.97820168841</v>
      </c>
      <c r="H154" s="187">
        <v>352</v>
      </c>
      <c r="I154" s="184">
        <v>141.19911108267243</v>
      </c>
      <c r="J154" s="194">
        <v>507</v>
      </c>
      <c r="K154" s="194">
        <f t="shared" si="1"/>
        <v>22453197.429365266</v>
      </c>
      <c r="L154" s="194"/>
      <c r="M154" s="37"/>
    </row>
    <row r="155" spans="1:13">
      <c r="A155" s="183">
        <v>40787</v>
      </c>
      <c r="B155" s="284">
        <v>21345135.690000005</v>
      </c>
      <c r="C155" s="194">
        <f>'Residential WN'!C155</f>
        <v>176.97</v>
      </c>
      <c r="D155" s="194">
        <f>'Residential WN'!D155</f>
        <v>5.05</v>
      </c>
      <c r="E155" s="287">
        <v>30</v>
      </c>
      <c r="F155" s="194">
        <v>1</v>
      </c>
      <c r="G155" s="184">
        <f>'CDM Activity'!U87</f>
        <v>173096.31650151563</v>
      </c>
      <c r="H155" s="187">
        <v>336</v>
      </c>
      <c r="I155" s="184">
        <v>141.50145624105357</v>
      </c>
      <c r="J155" s="194">
        <v>506</v>
      </c>
      <c r="K155" s="194">
        <f t="shared" si="1"/>
        <v>21168878.193628501</v>
      </c>
      <c r="L155" s="194"/>
      <c r="M155" s="37"/>
    </row>
    <row r="156" spans="1:13">
      <c r="A156" s="183">
        <v>40817</v>
      </c>
      <c r="B156" s="284">
        <v>22769113.109999996</v>
      </c>
      <c r="C156" s="194">
        <f>'Residential WN'!C156</f>
        <v>372.15</v>
      </c>
      <c r="D156" s="194">
        <f>'Residential WN'!D156</f>
        <v>0.54</v>
      </c>
      <c r="E156" s="287">
        <v>31</v>
      </c>
      <c r="F156" s="194">
        <v>1</v>
      </c>
      <c r="G156" s="184">
        <f>'CDM Activity'!U88</f>
        <v>169848.65480134284</v>
      </c>
      <c r="H156" s="187">
        <v>320</v>
      </c>
      <c r="I156" s="184">
        <v>141.80444880149057</v>
      </c>
      <c r="J156" s="194">
        <v>508</v>
      </c>
      <c r="K156" s="194">
        <f t="shared" si="1"/>
        <v>23023170.097300645</v>
      </c>
      <c r="L156" s="194"/>
      <c r="M156" s="37"/>
    </row>
    <row r="157" spans="1:13">
      <c r="A157" s="183">
        <v>40848</v>
      </c>
      <c r="B157" s="284">
        <v>24230624.479999993</v>
      </c>
      <c r="C157" s="194">
        <f>'Residential WN'!C157</f>
        <v>567.61000000000013</v>
      </c>
      <c r="D157" s="194">
        <f>'Residential WN'!D157</f>
        <v>0</v>
      </c>
      <c r="E157" s="287">
        <v>30</v>
      </c>
      <c r="F157" s="194">
        <v>1</v>
      </c>
      <c r="G157" s="184">
        <f>'CDM Activity'!U89</f>
        <v>166600.99310117005</v>
      </c>
      <c r="H157" s="187">
        <v>352</v>
      </c>
      <c r="I157" s="184">
        <v>142.10809015024478</v>
      </c>
      <c r="J157" s="194">
        <v>509</v>
      </c>
      <c r="K157" s="194">
        <f t="shared" si="1"/>
        <v>24485711.476192635</v>
      </c>
      <c r="L157" s="194"/>
      <c r="M157" s="37"/>
    </row>
    <row r="158" spans="1:13">
      <c r="A158" s="183">
        <v>40878</v>
      </c>
      <c r="B158" s="284">
        <v>26954814.169999983</v>
      </c>
      <c r="C158" s="194">
        <f>'Residential WN'!C158</f>
        <v>852.28999999999974</v>
      </c>
      <c r="D158" s="194">
        <f>'Residential WN'!D158</f>
        <v>0</v>
      </c>
      <c r="E158" s="287">
        <v>31</v>
      </c>
      <c r="F158" s="194">
        <v>0</v>
      </c>
      <c r="G158" s="184">
        <f>'CDM Activity'!U90</f>
        <v>163353.33140099727</v>
      </c>
      <c r="H158" s="187">
        <v>336</v>
      </c>
      <c r="I158" s="184">
        <v>142.41238167654581</v>
      </c>
      <c r="J158" s="194">
        <v>512</v>
      </c>
      <c r="K158" s="194">
        <f t="shared" si="1"/>
        <v>28009013.60974253</v>
      </c>
      <c r="L158" s="194"/>
      <c r="M158" s="37"/>
    </row>
    <row r="159" spans="1:13">
      <c r="A159" s="183">
        <v>40909</v>
      </c>
      <c r="B159" s="284">
        <v>27978052.340000004</v>
      </c>
      <c r="C159" s="194">
        <f>'Residential WN'!C159</f>
        <v>960.98000000000013</v>
      </c>
      <c r="D159" s="194">
        <f>'Residential WN'!D159</f>
        <v>0</v>
      </c>
      <c r="E159" s="194">
        <v>31</v>
      </c>
      <c r="F159" s="194">
        <v>0</v>
      </c>
      <c r="G159" s="184">
        <f>'CDM Activity'!U91</f>
        <v>176129.07435202779</v>
      </c>
      <c r="H159" s="187">
        <v>336</v>
      </c>
      <c r="I159" s="184">
        <v>142.61257743956915</v>
      </c>
      <c r="J159" s="194">
        <v>507</v>
      </c>
      <c r="K159" s="194">
        <f t="shared" si="1"/>
        <v>28912377.631460637</v>
      </c>
      <c r="L159" s="194"/>
      <c r="M159" s="37"/>
    </row>
    <row r="160" spans="1:13">
      <c r="A160" s="183">
        <v>40940</v>
      </c>
      <c r="B160" s="284">
        <v>25273761.339999985</v>
      </c>
      <c r="C160" s="194">
        <f>'Residential WN'!C160</f>
        <v>875.5899999999998</v>
      </c>
      <c r="D160" s="194">
        <f>'Residential WN'!D160</f>
        <v>0</v>
      </c>
      <c r="E160" s="194">
        <v>29</v>
      </c>
      <c r="F160" s="194">
        <v>0</v>
      </c>
      <c r="G160" s="184">
        <f>'CDM Activity'!U92</f>
        <v>188904.81730305828</v>
      </c>
      <c r="H160" s="187">
        <v>320</v>
      </c>
      <c r="I160" s="184">
        <v>142.81305462716429</v>
      </c>
      <c r="J160" s="194">
        <v>512</v>
      </c>
      <c r="K160" s="194">
        <f t="shared" si="1"/>
        <v>27043087.807173818</v>
      </c>
      <c r="L160" s="194"/>
      <c r="M160" s="37"/>
    </row>
    <row r="161" spans="1:13">
      <c r="A161" s="183">
        <v>40969</v>
      </c>
      <c r="B161" s="284">
        <v>24803557.269999992</v>
      </c>
      <c r="C161" s="194">
        <f>'Residential WN'!C161</f>
        <v>702.91</v>
      </c>
      <c r="D161" s="194">
        <f>'Residential WN'!D161</f>
        <v>0</v>
      </c>
      <c r="E161" s="194">
        <v>31</v>
      </c>
      <c r="F161" s="194">
        <v>1</v>
      </c>
      <c r="G161" s="184">
        <f>'CDM Activity'!U93</f>
        <v>201680.56025408878</v>
      </c>
      <c r="H161" s="187">
        <v>352</v>
      </c>
      <c r="I161" s="184">
        <v>143.01381363494295</v>
      </c>
      <c r="J161" s="194">
        <v>512</v>
      </c>
      <c r="K161" s="194">
        <f t="shared" si="1"/>
        <v>26031331.64596745</v>
      </c>
      <c r="L161" s="194"/>
      <c r="M161" s="37"/>
    </row>
    <row r="162" spans="1:13">
      <c r="A162" s="183">
        <v>41000</v>
      </c>
      <c r="B162" s="284">
        <v>22044979.170000002</v>
      </c>
      <c r="C162" s="194">
        <f>'Residential WN'!C162</f>
        <v>450.5200000000001</v>
      </c>
      <c r="D162" s="194">
        <f>'Residential WN'!D162</f>
        <v>0</v>
      </c>
      <c r="E162" s="194">
        <v>30</v>
      </c>
      <c r="F162" s="194">
        <v>1</v>
      </c>
      <c r="G162" s="184">
        <f>'CDM Activity'!U94</f>
        <v>214456.30320511927</v>
      </c>
      <c r="H162" s="187">
        <v>320</v>
      </c>
      <c r="I162" s="184">
        <v>143.21485485907297</v>
      </c>
      <c r="J162" s="194">
        <v>513</v>
      </c>
      <c r="K162" s="194">
        <f t="shared" si="1"/>
        <v>23063168.900356349</v>
      </c>
      <c r="L162" s="194"/>
      <c r="M162" s="37"/>
    </row>
    <row r="163" spans="1:13">
      <c r="A163" s="183">
        <v>41030</v>
      </c>
      <c r="B163" s="284">
        <v>21279302.760000005</v>
      </c>
      <c r="C163" s="194">
        <f>'Residential WN'!C163</f>
        <v>271.46000000000004</v>
      </c>
      <c r="D163" s="194">
        <f>'Residential WN'!D163</f>
        <v>0.47000000000000003</v>
      </c>
      <c r="E163" s="194">
        <v>31</v>
      </c>
      <c r="F163" s="194">
        <v>1</v>
      </c>
      <c r="G163" s="184">
        <f>'CDM Activity'!U95</f>
        <v>227232.04615614977</v>
      </c>
      <c r="H163" s="187">
        <v>352</v>
      </c>
      <c r="I163" s="184">
        <v>143.41617869627913</v>
      </c>
      <c r="J163" s="194">
        <v>511</v>
      </c>
      <c r="K163" s="194">
        <f t="shared" si="1"/>
        <v>22232969.104070786</v>
      </c>
      <c r="L163" s="194"/>
      <c r="M163" s="37"/>
    </row>
    <row r="164" spans="1:13">
      <c r="A164" s="183">
        <v>41061</v>
      </c>
      <c r="B164" s="284">
        <v>21429781.859999992</v>
      </c>
      <c r="C164" s="194">
        <f>'Residential WN'!C164</f>
        <v>109.59</v>
      </c>
      <c r="D164" s="194">
        <f>'Residential WN'!D164</f>
        <v>6.7</v>
      </c>
      <c r="E164" s="194">
        <v>30</v>
      </c>
      <c r="F164" s="194">
        <v>0</v>
      </c>
      <c r="G164" s="184">
        <f>'CDM Activity'!U96</f>
        <v>240007.78910718026</v>
      </c>
      <c r="H164" s="187">
        <v>336</v>
      </c>
      <c r="I164" s="184">
        <v>143.61778554384387</v>
      </c>
      <c r="J164" s="194">
        <v>515</v>
      </c>
      <c r="K164" s="194">
        <f t="shared" si="1"/>
        <v>21148369.360027339</v>
      </c>
      <c r="L164" s="194"/>
      <c r="M164" s="37"/>
    </row>
    <row r="165" spans="1:13">
      <c r="A165" s="183">
        <v>41091</v>
      </c>
      <c r="B165" s="284">
        <v>23340060.429999981</v>
      </c>
      <c r="C165" s="194">
        <f>'Residential WN'!C165</f>
        <v>36.33</v>
      </c>
      <c r="D165" s="194">
        <f>'Residential WN'!D165</f>
        <v>40.369999999999997</v>
      </c>
      <c r="E165" s="194">
        <v>31</v>
      </c>
      <c r="F165" s="194">
        <v>0</v>
      </c>
      <c r="G165" s="184">
        <f>'CDM Activity'!U97</f>
        <v>252783.53205821075</v>
      </c>
      <c r="H165" s="187">
        <v>336</v>
      </c>
      <c r="I165" s="184">
        <v>143.81967579960809</v>
      </c>
      <c r="J165" s="194">
        <v>514</v>
      </c>
      <c r="K165" s="194">
        <f t="shared" si="1"/>
        <v>22424569.064824149</v>
      </c>
      <c r="L165" s="194"/>
      <c r="M165" s="37"/>
    </row>
    <row r="166" spans="1:13">
      <c r="A166" s="183">
        <v>41122</v>
      </c>
      <c r="B166" s="284">
        <v>22638507.330000032</v>
      </c>
      <c r="C166" s="194">
        <f>'Residential WN'!C166</f>
        <v>51.55</v>
      </c>
      <c r="D166" s="194">
        <f>'Residential WN'!D166</f>
        <v>29.669999999999998</v>
      </c>
      <c r="E166" s="194">
        <v>31</v>
      </c>
      <c r="F166" s="194">
        <v>0</v>
      </c>
      <c r="G166" s="184">
        <f>'CDM Activity'!U98</f>
        <v>265559.27500924125</v>
      </c>
      <c r="H166" s="187">
        <v>352</v>
      </c>
      <c r="I166" s="184">
        <v>144.02184986197204</v>
      </c>
      <c r="J166" s="194">
        <v>515</v>
      </c>
      <c r="K166" s="194">
        <f t="shared" si="1"/>
        <v>22180695.421351764</v>
      </c>
      <c r="L166" s="194"/>
      <c r="M166" s="37"/>
    </row>
    <row r="167" spans="1:13">
      <c r="A167" s="183">
        <v>41153</v>
      </c>
      <c r="B167" s="284">
        <v>21056351.920000013</v>
      </c>
      <c r="C167" s="194">
        <f>'Residential WN'!C167</f>
        <v>176.97</v>
      </c>
      <c r="D167" s="194">
        <f>'Residential WN'!D167</f>
        <v>5.05</v>
      </c>
      <c r="E167" s="194">
        <v>30</v>
      </c>
      <c r="F167" s="194">
        <v>1</v>
      </c>
      <c r="G167" s="184">
        <f>'CDM Activity'!U99</f>
        <v>278335.01796027174</v>
      </c>
      <c r="H167" s="187">
        <v>304</v>
      </c>
      <c r="I167" s="184">
        <v>144.22430812989595</v>
      </c>
      <c r="J167" s="194">
        <v>515</v>
      </c>
      <c r="K167" s="194">
        <f t="shared" si="1"/>
        <v>20586280.063260857</v>
      </c>
      <c r="L167" s="194"/>
      <c r="M167" s="37"/>
    </row>
    <row r="168" spans="1:13">
      <c r="A168" s="183">
        <v>41183</v>
      </c>
      <c r="B168" s="284">
        <v>22591003.560000002</v>
      </c>
      <c r="C168" s="194">
        <f>'Residential WN'!C168</f>
        <v>372.15</v>
      </c>
      <c r="D168" s="194">
        <f>'Residential WN'!D168</f>
        <v>0.54</v>
      </c>
      <c r="E168" s="194">
        <v>31</v>
      </c>
      <c r="F168" s="194">
        <v>1</v>
      </c>
      <c r="G168" s="184">
        <f>'CDM Activity'!U100</f>
        <v>291110.76091130223</v>
      </c>
      <c r="H168" s="187">
        <v>352</v>
      </c>
      <c r="I168" s="184">
        <v>144.42705100290087</v>
      </c>
      <c r="J168" s="194">
        <v>516</v>
      </c>
      <c r="K168" s="194">
        <f t="shared" si="1"/>
        <v>22913937.038536049</v>
      </c>
      <c r="L168" s="194"/>
      <c r="M168" s="37"/>
    </row>
    <row r="169" spans="1:13">
      <c r="A169" s="183">
        <v>41214</v>
      </c>
      <c r="B169" s="284">
        <v>24156927.709999982</v>
      </c>
      <c r="C169" s="194">
        <f>'Residential WN'!C169</f>
        <v>567.61000000000013</v>
      </c>
      <c r="D169" s="194">
        <f>'Residential WN'!D169</f>
        <v>0</v>
      </c>
      <c r="E169" s="194">
        <v>30</v>
      </c>
      <c r="F169" s="194">
        <v>1</v>
      </c>
      <c r="G169" s="184">
        <f>'CDM Activity'!U101</f>
        <v>303886.50386233273</v>
      </c>
      <c r="H169" s="187">
        <v>352</v>
      </c>
      <c r="I169" s="184">
        <v>144.63007888106955</v>
      </c>
      <c r="J169" s="194">
        <v>515</v>
      </c>
      <c r="K169" s="194">
        <f t="shared" si="1"/>
        <v>24066382.295073897</v>
      </c>
      <c r="L169" s="194"/>
      <c r="M169" s="37"/>
    </row>
    <row r="170" spans="1:13">
      <c r="A170" s="183">
        <v>41244</v>
      </c>
      <c r="B170" s="284">
        <v>26882954.980000008</v>
      </c>
      <c r="C170" s="194">
        <f>'Residential WN'!C170</f>
        <v>852.28999999999974</v>
      </c>
      <c r="D170" s="194">
        <f>'Residential WN'!D170</f>
        <v>0</v>
      </c>
      <c r="E170" s="194">
        <v>31</v>
      </c>
      <c r="F170" s="194">
        <v>0</v>
      </c>
      <c r="G170" s="184">
        <f>'CDM Activity'!U102</f>
        <v>316662.24681336322</v>
      </c>
      <c r="H170" s="187">
        <v>304</v>
      </c>
      <c r="I170" s="184">
        <v>144.83339216504706</v>
      </c>
      <c r="J170" s="194">
        <v>517</v>
      </c>
      <c r="K170" s="194">
        <f t="shared" si="1"/>
        <v>27279588.306269653</v>
      </c>
      <c r="L170" s="194"/>
      <c r="M170" s="37"/>
    </row>
    <row r="171" spans="1:13">
      <c r="A171" s="183">
        <v>41275</v>
      </c>
      <c r="B171" s="284">
        <v>28716062.250000019</v>
      </c>
      <c r="C171" s="194">
        <f>'Residential WN'!C171</f>
        <v>960.98000000000013</v>
      </c>
      <c r="D171" s="194">
        <f>'Residential WN'!D171</f>
        <v>0</v>
      </c>
      <c r="E171" s="194">
        <v>31</v>
      </c>
      <c r="F171" s="194">
        <v>0</v>
      </c>
      <c r="G171" s="184">
        <f>'CDM Activity'!U103</f>
        <v>327299.14591195819</v>
      </c>
      <c r="H171" s="187">
        <v>352</v>
      </c>
      <c r="I171" s="184">
        <v>144.98936781896037</v>
      </c>
      <c r="J171" s="194">
        <v>516</v>
      </c>
      <c r="K171" s="194">
        <f t="shared" si="1"/>
        <v>28581215.876886845</v>
      </c>
      <c r="L171" s="194"/>
      <c r="M171" s="37"/>
    </row>
    <row r="172" spans="1:13">
      <c r="A172" s="183">
        <v>41306</v>
      </c>
      <c r="B172" s="284">
        <v>25735079.889999986</v>
      </c>
      <c r="C172" s="194">
        <f>'Residential WN'!C172</f>
        <v>875.5899999999998</v>
      </c>
      <c r="D172" s="194">
        <f>'Residential WN'!D172</f>
        <v>0</v>
      </c>
      <c r="E172" s="194">
        <v>28</v>
      </c>
      <c r="F172" s="194">
        <v>0</v>
      </c>
      <c r="G172" s="184">
        <f>'CDM Activity'!U104</f>
        <v>337936.04501055315</v>
      </c>
      <c r="H172" s="187">
        <v>304</v>
      </c>
      <c r="I172" s="184">
        <v>145.14551144798114</v>
      </c>
      <c r="J172" s="194">
        <v>516</v>
      </c>
      <c r="K172" s="194">
        <f t="shared" si="1"/>
        <v>25977643.181786772</v>
      </c>
      <c r="L172" s="194"/>
      <c r="M172" s="37"/>
    </row>
    <row r="173" spans="1:13">
      <c r="A173" s="183">
        <v>41334</v>
      </c>
      <c r="B173" s="284">
        <v>26208212.909999989</v>
      </c>
      <c r="C173" s="194">
        <f>'Residential WN'!C173</f>
        <v>702.91</v>
      </c>
      <c r="D173" s="194">
        <f>'Residential WN'!D173</f>
        <v>0</v>
      </c>
      <c r="E173" s="194">
        <v>31</v>
      </c>
      <c r="F173" s="194">
        <v>1</v>
      </c>
      <c r="G173" s="184">
        <f>'CDM Activity'!U105</f>
        <v>348572.94410914811</v>
      </c>
      <c r="H173" s="187">
        <v>320</v>
      </c>
      <c r="I173" s="184">
        <v>145.30182323300707</v>
      </c>
      <c r="J173" s="194">
        <v>516</v>
      </c>
      <c r="K173" s="194">
        <f t="shared" si="1"/>
        <v>25321505.198256046</v>
      </c>
      <c r="L173" s="194"/>
      <c r="M173" s="37"/>
    </row>
    <row r="174" spans="1:13">
      <c r="A174" s="183">
        <v>41365</v>
      </c>
      <c r="B174" s="284">
        <v>22900049.009999964</v>
      </c>
      <c r="C174" s="194">
        <f>'Residential WN'!C174</f>
        <v>450.5200000000001</v>
      </c>
      <c r="D174" s="194">
        <f>'Residential WN'!D174</f>
        <v>0</v>
      </c>
      <c r="E174" s="194">
        <v>30</v>
      </c>
      <c r="F174" s="194">
        <v>1</v>
      </c>
      <c r="G174" s="184">
        <f>'CDM Activity'!U106</f>
        <v>359209.84320774308</v>
      </c>
      <c r="H174" s="187">
        <v>352</v>
      </c>
      <c r="I174" s="184">
        <v>145.45830335513068</v>
      </c>
      <c r="J174" s="194">
        <v>517</v>
      </c>
      <c r="K174" s="194">
        <f t="shared" si="1"/>
        <v>22882182.86720356</v>
      </c>
      <c r="L174" s="194"/>
      <c r="M174" s="37"/>
    </row>
    <row r="175" spans="1:13">
      <c r="A175" s="183">
        <v>41395</v>
      </c>
      <c r="B175" s="284">
        <v>21368507.77</v>
      </c>
      <c r="C175" s="194">
        <f>'Residential WN'!C175</f>
        <v>271.46000000000004</v>
      </c>
      <c r="D175" s="194">
        <f>'Residential WN'!D175</f>
        <v>0.47000000000000003</v>
      </c>
      <c r="E175" s="194">
        <v>31</v>
      </c>
      <c r="F175" s="194">
        <v>1</v>
      </c>
      <c r="G175" s="184">
        <f>'CDM Activity'!U107</f>
        <v>369846.74230633804</v>
      </c>
      <c r="H175" s="187">
        <v>352</v>
      </c>
      <c r="I175" s="184">
        <v>145.6149519956395</v>
      </c>
      <c r="J175" s="194">
        <v>516</v>
      </c>
      <c r="K175" s="194">
        <f t="shared" si="1"/>
        <v>21797362.291519426</v>
      </c>
      <c r="L175" s="194"/>
      <c r="M175" s="37"/>
    </row>
    <row r="176" spans="1:13">
      <c r="A176" s="183">
        <v>41426</v>
      </c>
      <c r="B176" s="284">
        <v>20598949.780000005</v>
      </c>
      <c r="C176" s="194">
        <f>'Residential WN'!C176</f>
        <v>109.59</v>
      </c>
      <c r="D176" s="194">
        <f>'Residential WN'!D176</f>
        <v>6.7</v>
      </c>
      <c r="E176" s="194">
        <v>30</v>
      </c>
      <c r="F176" s="194">
        <v>0</v>
      </c>
      <c r="G176" s="184">
        <f>'CDM Activity'!U108</f>
        <v>380483.64140493301</v>
      </c>
      <c r="H176" s="187">
        <v>320</v>
      </c>
      <c r="I176" s="184">
        <v>145.77176933601632</v>
      </c>
      <c r="J176" s="194">
        <v>516</v>
      </c>
      <c r="K176" s="194">
        <f t="shared" si="1"/>
        <v>20588718.633736938</v>
      </c>
      <c r="L176" s="194"/>
      <c r="M176" s="37"/>
    </row>
    <row r="177" spans="1:13">
      <c r="A177" s="183">
        <v>41456</v>
      </c>
      <c r="B177" s="284">
        <v>21754518.050000001</v>
      </c>
      <c r="C177" s="194">
        <f>'Residential WN'!C177</f>
        <v>36.33</v>
      </c>
      <c r="D177" s="194">
        <f>'Residential WN'!D177</f>
        <v>40.369999999999997</v>
      </c>
      <c r="E177" s="194">
        <v>31</v>
      </c>
      <c r="F177" s="194">
        <v>0</v>
      </c>
      <c r="G177" s="184">
        <f>'CDM Activity'!U109</f>
        <v>391120.54050352797</v>
      </c>
      <c r="H177" s="187">
        <v>352</v>
      </c>
      <c r="I177" s="184">
        <v>145.92875555793933</v>
      </c>
      <c r="J177" s="194">
        <v>510</v>
      </c>
      <c r="K177" s="194">
        <f t="shared" si="1"/>
        <v>22132605.021773301</v>
      </c>
      <c r="L177" s="194"/>
      <c r="M177" s="37"/>
    </row>
    <row r="178" spans="1:13">
      <c r="A178" s="183">
        <v>41487</v>
      </c>
      <c r="B178" s="284">
        <v>22034828.830000017</v>
      </c>
      <c r="C178" s="194">
        <f>'Residential WN'!C178</f>
        <v>51.55</v>
      </c>
      <c r="D178" s="194">
        <f>'Residential WN'!D178</f>
        <v>29.669999999999998</v>
      </c>
      <c r="E178" s="194">
        <v>31</v>
      </c>
      <c r="F178" s="194">
        <v>0</v>
      </c>
      <c r="G178" s="184">
        <f>'CDM Activity'!U110</f>
        <v>401757.43960212293</v>
      </c>
      <c r="H178" s="187">
        <v>336</v>
      </c>
      <c r="I178" s="184">
        <v>146.08591084328242</v>
      </c>
      <c r="J178" s="194">
        <v>507</v>
      </c>
      <c r="K178" s="194">
        <f t="shared" si="1"/>
        <v>21634110.598902345</v>
      </c>
      <c r="L178" s="194"/>
      <c r="M178" s="37"/>
    </row>
    <row r="179" spans="1:13">
      <c r="A179" s="183">
        <v>41518</v>
      </c>
      <c r="B179" s="284">
        <v>20818130.780000005</v>
      </c>
      <c r="C179" s="194">
        <f>'Residential WN'!C179</f>
        <v>176.97</v>
      </c>
      <c r="D179" s="194">
        <f>'Residential WN'!D179</f>
        <v>5.05</v>
      </c>
      <c r="E179" s="194">
        <v>30</v>
      </c>
      <c r="F179" s="194">
        <v>1</v>
      </c>
      <c r="G179" s="184">
        <f>'CDM Activity'!U111</f>
        <v>412394.3387007179</v>
      </c>
      <c r="H179" s="187">
        <v>320</v>
      </c>
      <c r="I179" s="184">
        <v>146.2432353741153</v>
      </c>
      <c r="J179" s="194">
        <v>513</v>
      </c>
      <c r="K179" s="194">
        <f t="shared" si="1"/>
        <v>20307381.92405099</v>
      </c>
      <c r="L179" s="194"/>
      <c r="M179" s="37"/>
    </row>
    <row r="180" spans="1:13">
      <c r="A180" s="183">
        <v>41548</v>
      </c>
      <c r="B180" s="284">
        <v>22036269.400000013</v>
      </c>
      <c r="C180" s="194">
        <f>'Residential WN'!C180</f>
        <v>372.15</v>
      </c>
      <c r="D180" s="194">
        <f>'Residential WN'!D180</f>
        <v>0.54</v>
      </c>
      <c r="E180" s="194">
        <v>31</v>
      </c>
      <c r="F180" s="194">
        <v>1</v>
      </c>
      <c r="G180" s="184">
        <f>'CDM Activity'!U112</f>
        <v>423031.23779931286</v>
      </c>
      <c r="H180" s="187">
        <v>352</v>
      </c>
      <c r="I180" s="184">
        <v>146.4007293327038</v>
      </c>
      <c r="J180" s="194">
        <v>511</v>
      </c>
      <c r="K180" s="194">
        <f t="shared" si="1"/>
        <v>22510994.985587139</v>
      </c>
      <c r="L180" s="194"/>
      <c r="M180" s="37"/>
    </row>
    <row r="181" spans="1:13">
      <c r="A181" s="183">
        <v>41579</v>
      </c>
      <c r="B181" s="284">
        <v>24280735.420000028</v>
      </c>
      <c r="C181" s="194">
        <f>'Residential WN'!C181</f>
        <v>567.61000000000013</v>
      </c>
      <c r="D181" s="194">
        <f>'Residential WN'!D181</f>
        <v>0</v>
      </c>
      <c r="E181" s="194">
        <v>30</v>
      </c>
      <c r="F181" s="194">
        <v>1</v>
      </c>
      <c r="G181" s="184">
        <f>'CDM Activity'!U113</f>
        <v>433668.13689790783</v>
      </c>
      <c r="H181" s="187">
        <v>336</v>
      </c>
      <c r="I181" s="184">
        <v>146.55839290151005</v>
      </c>
      <c r="J181" s="194">
        <v>505</v>
      </c>
      <c r="K181" s="194">
        <f t="shared" si="1"/>
        <v>23539396.328385949</v>
      </c>
      <c r="L181" s="194"/>
      <c r="M181" s="37"/>
    </row>
    <row r="182" spans="1:13">
      <c r="A182" s="183">
        <v>41609</v>
      </c>
      <c r="B182" s="284">
        <v>28617030.289999984</v>
      </c>
      <c r="C182" s="194">
        <f>'Residential WN'!C182</f>
        <v>852.28999999999974</v>
      </c>
      <c r="D182" s="194">
        <f>'Residential WN'!D182</f>
        <v>0</v>
      </c>
      <c r="E182" s="194">
        <v>31</v>
      </c>
      <c r="F182" s="194">
        <v>0</v>
      </c>
      <c r="G182" s="184">
        <f>'CDM Activity'!U114</f>
        <v>444305.03599650279</v>
      </c>
      <c r="H182" s="187">
        <v>320</v>
      </c>
      <c r="I182" s="184">
        <v>146.71622626319265</v>
      </c>
      <c r="J182" s="194">
        <v>496</v>
      </c>
      <c r="K182" s="194">
        <f t="shared" si="1"/>
        <v>27020289.022821255</v>
      </c>
      <c r="L182" s="194"/>
      <c r="M182" s="37"/>
    </row>
    <row r="183" spans="1:13">
      <c r="A183" s="183">
        <v>41640</v>
      </c>
      <c r="B183" s="284">
        <v>29731360.839999992</v>
      </c>
      <c r="C183" s="194">
        <f>'Residential WN'!C183</f>
        <v>960.98000000000013</v>
      </c>
      <c r="D183" s="194">
        <f>'Residential WN'!D183</f>
        <v>0</v>
      </c>
      <c r="E183" s="184">
        <v>31</v>
      </c>
      <c r="F183" s="194">
        <v>0</v>
      </c>
      <c r="G183" s="184">
        <f>'CDM Activity'!U115</f>
        <v>466447.8107737375</v>
      </c>
      <c r="H183" s="187">
        <v>352</v>
      </c>
      <c r="I183" s="184">
        <v>147.04232175221028</v>
      </c>
      <c r="J183" s="197">
        <v>499</v>
      </c>
      <c r="K183" s="194">
        <f t="shared" si="1"/>
        <v>28156195.819294855</v>
      </c>
      <c r="L183" s="194"/>
      <c r="M183" s="37"/>
    </row>
    <row r="184" spans="1:13">
      <c r="A184" s="183">
        <v>41671</v>
      </c>
      <c r="B184" s="284">
        <v>26524870.020000014</v>
      </c>
      <c r="C184" s="194">
        <f>'Residential WN'!C184</f>
        <v>875.5899999999998</v>
      </c>
      <c r="D184" s="194">
        <f>'Residential WN'!D184</f>
        <v>0</v>
      </c>
      <c r="E184" s="184">
        <v>28</v>
      </c>
      <c r="F184" s="194">
        <v>0</v>
      </c>
      <c r="G184" s="184">
        <f>'CDM Activity'!U116</f>
        <v>488590.5855509722</v>
      </c>
      <c r="H184" s="187">
        <v>304</v>
      </c>
      <c r="I184" s="184">
        <v>147.36914202996238</v>
      </c>
      <c r="J184" s="197">
        <v>501.5</v>
      </c>
      <c r="K184" s="194">
        <f t="shared" si="1"/>
        <v>25517479.215710718</v>
      </c>
      <c r="L184" s="194"/>
      <c r="M184" s="37"/>
    </row>
    <row r="185" spans="1:13">
      <c r="A185" s="183">
        <v>41699</v>
      </c>
      <c r="B185" s="284">
        <v>26573892.160000034</v>
      </c>
      <c r="C185" s="194">
        <f>'Residential WN'!C185</f>
        <v>702.91</v>
      </c>
      <c r="D185" s="194">
        <f>'Residential WN'!D185</f>
        <v>0</v>
      </c>
      <c r="E185" s="184">
        <v>31</v>
      </c>
      <c r="F185" s="194">
        <v>1</v>
      </c>
      <c r="G185" s="184">
        <f>'CDM Activity'!U117</f>
        <v>510733.36032820691</v>
      </c>
      <c r="H185" s="187">
        <v>336</v>
      </c>
      <c r="I185" s="184">
        <v>147.69668870738414</v>
      </c>
      <c r="J185" s="197">
        <v>503.25</v>
      </c>
      <c r="K185" s="194">
        <f t="shared" si="1"/>
        <v>24956774.189355467</v>
      </c>
      <c r="L185" s="194"/>
      <c r="M185" s="37"/>
    </row>
    <row r="186" spans="1:13">
      <c r="A186" s="183">
        <v>41730</v>
      </c>
      <c r="B186" s="284">
        <v>22785513.130000003</v>
      </c>
      <c r="C186" s="194">
        <f>'Residential WN'!C186</f>
        <v>450.5200000000001</v>
      </c>
      <c r="D186" s="194">
        <f>'Residential WN'!D186</f>
        <v>0</v>
      </c>
      <c r="E186" s="184">
        <v>30</v>
      </c>
      <c r="F186" s="194">
        <v>1</v>
      </c>
      <c r="G186" s="184">
        <f>'CDM Activity'!U118</f>
        <v>532876.13510544156</v>
      </c>
      <c r="H186" s="187">
        <v>320</v>
      </c>
      <c r="I186" s="184">
        <v>148.02496339899133</v>
      </c>
      <c r="J186" s="197">
        <v>504.625</v>
      </c>
      <c r="K186" s="194">
        <f t="shared" si="1"/>
        <v>22090577.352840323</v>
      </c>
      <c r="L186" s="194"/>
      <c r="M186" s="37"/>
    </row>
    <row r="187" spans="1:13">
      <c r="A187" s="183">
        <v>41760</v>
      </c>
      <c r="B187" s="284">
        <v>21163181.64999998</v>
      </c>
      <c r="C187" s="194">
        <f>'Residential WN'!C187</f>
        <v>271.46000000000004</v>
      </c>
      <c r="D187" s="194">
        <f>'Residential WN'!D187</f>
        <v>0.47000000000000003</v>
      </c>
      <c r="E187" s="184">
        <v>31</v>
      </c>
      <c r="F187" s="194">
        <v>1</v>
      </c>
      <c r="G187" s="184">
        <f>'CDM Activity'!U119</f>
        <v>555018.90988267621</v>
      </c>
      <c r="H187" s="187">
        <v>336</v>
      </c>
      <c r="I187" s="184">
        <v>148.35396772288814</v>
      </c>
      <c r="J187" s="197">
        <v>498.8125</v>
      </c>
      <c r="K187" s="194">
        <f t="shared" si="1"/>
        <v>21101189.73433166</v>
      </c>
      <c r="L187" s="194"/>
      <c r="M187" s="37"/>
    </row>
    <row r="188" spans="1:13">
      <c r="A188" s="183">
        <v>41791</v>
      </c>
      <c r="B188" s="284">
        <v>19864970.560000002</v>
      </c>
      <c r="C188" s="194">
        <f>'Residential WN'!C188</f>
        <v>109.59</v>
      </c>
      <c r="D188" s="194">
        <f>'Residential WN'!D188</f>
        <v>6.7</v>
      </c>
      <c r="E188" s="184">
        <v>30</v>
      </c>
      <c r="F188" s="194">
        <v>0</v>
      </c>
      <c r="G188" s="184">
        <f>'CDM Activity'!U120</f>
        <v>577161.68465991085</v>
      </c>
      <c r="H188" s="187">
        <v>336</v>
      </c>
      <c r="I188" s="184">
        <v>148.68370330077519</v>
      </c>
      <c r="J188" s="197">
        <v>496.40625</v>
      </c>
      <c r="K188" s="194">
        <f t="shared" si="1"/>
        <v>20118555.899384171</v>
      </c>
      <c r="L188" s="194"/>
      <c r="M188" s="37"/>
    </row>
    <row r="189" spans="1:13">
      <c r="A189" s="183">
        <v>41821</v>
      </c>
      <c r="B189" s="284">
        <v>20551473.419999994</v>
      </c>
      <c r="C189" s="194">
        <f>'Residential WN'!C189</f>
        <v>36.33</v>
      </c>
      <c r="D189" s="194">
        <f>'Residential WN'!D189</f>
        <v>40.369999999999997</v>
      </c>
      <c r="E189" s="184">
        <v>31</v>
      </c>
      <c r="F189" s="194">
        <v>0</v>
      </c>
      <c r="G189" s="184">
        <f>'CDM Activity'!U121</f>
        <v>599304.4594371455</v>
      </c>
      <c r="H189" s="187">
        <v>352</v>
      </c>
      <c r="I189" s="184">
        <v>149.0141717579576</v>
      </c>
      <c r="J189" s="197">
        <v>495.203125</v>
      </c>
      <c r="K189" s="194">
        <f t="shared" si="1"/>
        <v>21496721.513276942</v>
      </c>
      <c r="L189" s="194"/>
      <c r="M189" s="37"/>
    </row>
    <row r="190" spans="1:13">
      <c r="A190" s="183">
        <v>41852</v>
      </c>
      <c r="B190" s="284">
        <v>20809859.190000009</v>
      </c>
      <c r="C190" s="194">
        <f>'Residential WN'!C190</f>
        <v>51.55</v>
      </c>
      <c r="D190" s="194">
        <f>'Residential WN'!D190</f>
        <v>29.669999999999998</v>
      </c>
      <c r="E190" s="184">
        <v>31</v>
      </c>
      <c r="F190" s="194">
        <v>0</v>
      </c>
      <c r="G190" s="184">
        <f>'CDM Activity'!U122</f>
        <v>621447.23421438015</v>
      </c>
      <c r="H190" s="187">
        <v>320</v>
      </c>
      <c r="I190" s="184">
        <v>149.34537472335285</v>
      </c>
      <c r="J190" s="197">
        <v>491.1015625</v>
      </c>
      <c r="K190" s="194">
        <f t="shared" si="1"/>
        <v>20832506.31626239</v>
      </c>
      <c r="L190" s="194"/>
      <c r="M190" s="37"/>
    </row>
    <row r="191" spans="1:13">
      <c r="A191" s="183">
        <v>41883</v>
      </c>
      <c r="B191" s="284">
        <v>19978896.649999991</v>
      </c>
      <c r="C191" s="194">
        <f>'Residential WN'!C191</f>
        <v>176.97</v>
      </c>
      <c r="D191" s="194">
        <f>'Residential WN'!D191</f>
        <v>5.05</v>
      </c>
      <c r="E191" s="184">
        <v>30</v>
      </c>
      <c r="F191" s="194">
        <v>1</v>
      </c>
      <c r="G191" s="184">
        <f>'CDM Activity'!U123</f>
        <v>643590.0089916148</v>
      </c>
      <c r="H191" s="187">
        <v>336</v>
      </c>
      <c r="I191" s="184">
        <v>149.67731382949896</v>
      </c>
      <c r="J191" s="197">
        <v>490.05078125</v>
      </c>
      <c r="K191" s="194">
        <f t="shared" si="1"/>
        <v>19731787.464246038</v>
      </c>
      <c r="L191" s="194"/>
      <c r="M191" s="37"/>
    </row>
    <row r="192" spans="1:13">
      <c r="A192" s="183">
        <v>41913</v>
      </c>
      <c r="B192" s="284">
        <v>21777286.870000001</v>
      </c>
      <c r="C192" s="194">
        <f>'Residential WN'!C192</f>
        <v>372.15</v>
      </c>
      <c r="D192" s="194">
        <f>'Residential WN'!D192</f>
        <v>0.54</v>
      </c>
      <c r="E192" s="184">
        <v>31</v>
      </c>
      <c r="F192" s="194">
        <v>1</v>
      </c>
      <c r="G192" s="184">
        <f>'CDM Activity'!U124</f>
        <v>665732.78376884945</v>
      </c>
      <c r="H192" s="187">
        <v>352</v>
      </c>
      <c r="I192" s="184">
        <v>150.00999071256246</v>
      </c>
      <c r="J192" s="197">
        <v>488.525390625</v>
      </c>
      <c r="K192" s="194">
        <f t="shared" si="1"/>
        <v>21769679.751638595</v>
      </c>
      <c r="L192" s="194"/>
      <c r="M192" s="37"/>
    </row>
    <row r="193" spans="1:13">
      <c r="A193" s="183">
        <v>41944</v>
      </c>
      <c r="B193" s="284">
        <v>24141227.480000012</v>
      </c>
      <c r="C193" s="194">
        <f>'Residential WN'!C193</f>
        <v>567.61000000000013</v>
      </c>
      <c r="D193" s="194">
        <f>'Residential WN'!D193</f>
        <v>0</v>
      </c>
      <c r="E193" s="184">
        <v>30</v>
      </c>
      <c r="F193" s="194">
        <v>1</v>
      </c>
      <c r="G193" s="184">
        <f>'CDM Activity'!U125</f>
        <v>687875.5585460841</v>
      </c>
      <c r="H193" s="187">
        <v>304</v>
      </c>
      <c r="I193" s="184">
        <v>150.34340701234646</v>
      </c>
      <c r="J193" s="197">
        <v>487.7626953125</v>
      </c>
      <c r="K193" s="194">
        <f t="shared" si="1"/>
        <v>22501783.454634279</v>
      </c>
      <c r="L193" s="194"/>
      <c r="M193" s="37"/>
    </row>
    <row r="194" spans="1:13">
      <c r="A194" s="183">
        <v>41974</v>
      </c>
      <c r="B194" s="284">
        <v>26134928.269999992</v>
      </c>
      <c r="C194" s="194">
        <f>'Residential WN'!C194</f>
        <v>852.28999999999974</v>
      </c>
      <c r="D194" s="194">
        <f>'Residential WN'!D194</f>
        <v>0</v>
      </c>
      <c r="E194" s="184">
        <v>31</v>
      </c>
      <c r="F194" s="194">
        <v>0</v>
      </c>
      <c r="G194" s="184">
        <f>'CDM Activity'!U126</f>
        <v>710018.33332331874</v>
      </c>
      <c r="H194" s="187">
        <v>336</v>
      </c>
      <c r="I194" s="184">
        <v>150.67756437229883</v>
      </c>
      <c r="J194" s="197">
        <v>487.38134765625</v>
      </c>
      <c r="K194" s="194">
        <f t="shared" si="1"/>
        <v>26339262.837564122</v>
      </c>
      <c r="L194" s="194"/>
      <c r="M194" s="37"/>
    </row>
    <row r="195" spans="1:13">
      <c r="A195" s="183">
        <v>42005</v>
      </c>
      <c r="B195" s="284">
        <v>27731660.080000002</v>
      </c>
      <c r="C195" s="194">
        <f>'Residential WN'!C195</f>
        <v>960.98000000000013</v>
      </c>
      <c r="D195" s="194">
        <f>'Residential WN'!D195</f>
        <v>0</v>
      </c>
      <c r="E195" s="184">
        <v>31</v>
      </c>
      <c r="F195" s="194">
        <v>0</v>
      </c>
      <c r="G195" s="184">
        <f>'CDM Activity'!U127</f>
        <v>716160.79911465605</v>
      </c>
      <c r="H195" s="187">
        <v>336</v>
      </c>
      <c r="I195" s="184">
        <v>150.98793548444445</v>
      </c>
      <c r="J195" s="197">
        <v>487.190673828125</v>
      </c>
      <c r="K195" s="194">
        <f t="shared" si="1"/>
        <v>27262887.749627363</v>
      </c>
      <c r="L195" s="194"/>
      <c r="M195" s="37"/>
    </row>
    <row r="196" spans="1:13">
      <c r="A196" s="183">
        <v>42036</v>
      </c>
      <c r="B196" s="284">
        <v>25715487.790000014</v>
      </c>
      <c r="C196" s="194">
        <f>'Residential WN'!C196</f>
        <v>875.5899999999998</v>
      </c>
      <c r="D196" s="194">
        <f>'Residential WN'!D196</f>
        <v>0</v>
      </c>
      <c r="E196" s="184">
        <v>28</v>
      </c>
      <c r="F196" s="194">
        <v>0</v>
      </c>
      <c r="G196" s="184">
        <f>'CDM Activity'!U128</f>
        <v>722303.26490599336</v>
      </c>
      <c r="H196" s="187">
        <v>304</v>
      </c>
      <c r="I196" s="184">
        <v>151.298945910264</v>
      </c>
      <c r="J196" s="197">
        <v>487.5953369140625</v>
      </c>
      <c r="K196" s="194">
        <f t="shared" si="1"/>
        <v>24803619.858611465</v>
      </c>
      <c r="L196" s="194"/>
      <c r="M196" s="37"/>
    </row>
    <row r="197" spans="1:13">
      <c r="A197" s="183">
        <v>42064</v>
      </c>
      <c r="B197" s="284">
        <v>25051564.360000011</v>
      </c>
      <c r="C197" s="194">
        <f>'Residential WN'!C197</f>
        <v>702.91</v>
      </c>
      <c r="D197" s="194">
        <f>'Residential WN'!D197</f>
        <v>0</v>
      </c>
      <c r="E197" s="184">
        <v>31</v>
      </c>
      <c r="F197" s="194">
        <v>1</v>
      </c>
      <c r="G197" s="184">
        <f>'CDM Activity'!U129</f>
        <v>728445.73069733067</v>
      </c>
      <c r="H197" s="187">
        <v>352</v>
      </c>
      <c r="I197" s="184">
        <v>151.61059696663892</v>
      </c>
      <c r="J197" s="197">
        <v>486.79766845703125</v>
      </c>
      <c r="K197" s="194">
        <f t="shared" si="1"/>
        <v>24422363.544824447</v>
      </c>
      <c r="L197" s="194"/>
      <c r="M197" s="37"/>
    </row>
    <row r="198" spans="1:13">
      <c r="A198" s="183">
        <v>42095</v>
      </c>
      <c r="B198" s="284">
        <v>21377518.080000013</v>
      </c>
      <c r="C198" s="194">
        <f>'Residential WN'!C198</f>
        <v>450.5200000000001</v>
      </c>
      <c r="D198" s="194">
        <f>'Residential WN'!D198</f>
        <v>0</v>
      </c>
      <c r="E198" s="184">
        <v>30</v>
      </c>
      <c r="F198" s="194">
        <v>1</v>
      </c>
      <c r="G198" s="184">
        <f>'CDM Activity'!U130</f>
        <v>734588.19648866798</v>
      </c>
      <c r="H198" s="187">
        <v>336</v>
      </c>
      <c r="I198" s="184">
        <v>151.92288997316331</v>
      </c>
      <c r="J198" s="197">
        <v>485.89883422851563</v>
      </c>
      <c r="K198" s="194">
        <f t="shared" si="1"/>
        <v>21605038.555218011</v>
      </c>
      <c r="L198" s="194"/>
      <c r="M198" s="37"/>
    </row>
    <row r="199" spans="1:13">
      <c r="A199" s="183">
        <v>42125</v>
      </c>
      <c r="B199" s="284">
        <v>20280334.619999997</v>
      </c>
      <c r="C199" s="194">
        <f>'Residential WN'!C199</f>
        <v>271.46000000000004</v>
      </c>
      <c r="D199" s="194">
        <f>'Residential WN'!D199</f>
        <v>0.47000000000000003</v>
      </c>
      <c r="E199" s="184">
        <v>31</v>
      </c>
      <c r="F199" s="194">
        <v>1</v>
      </c>
      <c r="G199" s="184">
        <f>'CDM Activity'!U131</f>
        <v>740730.66228000529</v>
      </c>
      <c r="H199" s="187">
        <v>320</v>
      </c>
      <c r="I199" s="184">
        <v>152.23582625214937</v>
      </c>
      <c r="J199" s="197">
        <v>478.94941711425781</v>
      </c>
      <c r="K199" s="194">
        <f t="shared" si="1"/>
        <v>20403369.052298993</v>
      </c>
      <c r="L199" s="194"/>
      <c r="M199" s="37"/>
    </row>
    <row r="200" spans="1:13">
      <c r="A200" s="183">
        <v>42156</v>
      </c>
      <c r="B200" s="284">
        <v>19371535.930000011</v>
      </c>
      <c r="C200" s="194">
        <f>'Residential WN'!C200</f>
        <v>109.59</v>
      </c>
      <c r="D200" s="194">
        <f>'Residential WN'!D200</f>
        <v>6.7</v>
      </c>
      <c r="E200" s="184">
        <v>30</v>
      </c>
      <c r="F200" s="194">
        <v>0</v>
      </c>
      <c r="G200" s="184">
        <f>'CDM Activity'!U132</f>
        <v>746873.12807134259</v>
      </c>
      <c r="H200" s="187">
        <v>352</v>
      </c>
      <c r="I200" s="184">
        <v>152.54940712863302</v>
      </c>
      <c r="J200" s="197">
        <v>469.47470855712891</v>
      </c>
      <c r="K200" s="194">
        <f t="shared" si="1"/>
        <v>19730760.79557927</v>
      </c>
      <c r="L200" s="194"/>
      <c r="M200" s="37"/>
    </row>
    <row r="201" spans="1:13">
      <c r="A201" s="183">
        <v>42186</v>
      </c>
      <c r="B201" s="284">
        <v>20675017.580000002</v>
      </c>
      <c r="C201" s="194">
        <f>'Residential WN'!C201</f>
        <v>36.33</v>
      </c>
      <c r="D201" s="194">
        <f>'Residential WN'!D201</f>
        <v>40.369999999999997</v>
      </c>
      <c r="E201" s="184">
        <v>31</v>
      </c>
      <c r="F201" s="194">
        <v>0</v>
      </c>
      <c r="G201" s="184">
        <f>'CDM Activity'!U133</f>
        <v>753015.5938626799</v>
      </c>
      <c r="H201" s="187">
        <v>352</v>
      </c>
      <c r="I201" s="184">
        <v>152.86363393037959</v>
      </c>
      <c r="J201" s="197">
        <v>463.73735427856445</v>
      </c>
      <c r="K201" s="194">
        <f t="shared" si="1"/>
        <v>21027221.390721217</v>
      </c>
      <c r="L201" s="194"/>
      <c r="M201" s="37"/>
    </row>
    <row r="202" spans="1:13">
      <c r="A202" s="183">
        <v>42217</v>
      </c>
      <c r="B202" s="284">
        <v>20614734.829999994</v>
      </c>
      <c r="C202" s="194">
        <f>'Residential WN'!C202</f>
        <v>51.55</v>
      </c>
      <c r="D202" s="194">
        <f>'Residential WN'!D202</f>
        <v>29.669999999999998</v>
      </c>
      <c r="E202" s="184">
        <v>31</v>
      </c>
      <c r="F202" s="194">
        <v>0</v>
      </c>
      <c r="G202" s="184">
        <f>'CDM Activity'!U134</f>
        <v>759158.05965401721</v>
      </c>
      <c r="H202" s="187">
        <v>320</v>
      </c>
      <c r="I202" s="184">
        <v>153.17850798788936</v>
      </c>
      <c r="J202" s="197">
        <v>460.86867713928223</v>
      </c>
      <c r="K202" s="194">
        <f t="shared" si="1"/>
        <v>20411878.040615372</v>
      </c>
      <c r="L202" s="194"/>
      <c r="M202" s="37"/>
    </row>
    <row r="203" spans="1:13">
      <c r="A203" s="183">
        <v>42248</v>
      </c>
      <c r="B203" s="284">
        <v>19939072.719999995</v>
      </c>
      <c r="C203" s="194">
        <f>'Residential WN'!C203</f>
        <v>176.97</v>
      </c>
      <c r="D203" s="194">
        <f>'Residential WN'!D203</f>
        <v>5.05</v>
      </c>
      <c r="E203" s="184">
        <v>30</v>
      </c>
      <c r="F203" s="194">
        <v>1</v>
      </c>
      <c r="G203" s="184">
        <f>'CDM Activity'!U135</f>
        <v>765300.52544535452</v>
      </c>
      <c r="H203" s="187">
        <v>336</v>
      </c>
      <c r="I203" s="184">
        <v>153.4940306344032</v>
      </c>
      <c r="J203" s="197">
        <v>459.93433856964111</v>
      </c>
      <c r="K203" s="194">
        <f t="shared" si="1"/>
        <v>19360031.035507727</v>
      </c>
      <c r="L203" s="194"/>
      <c r="M203" s="37"/>
    </row>
    <row r="204" spans="1:13">
      <c r="A204" s="183">
        <v>42278</v>
      </c>
      <c r="B204" s="284">
        <v>20726132.169999994</v>
      </c>
      <c r="C204" s="194">
        <f>'Residential WN'!C204</f>
        <v>372.15</v>
      </c>
      <c r="D204" s="194">
        <f>'Residential WN'!D204</f>
        <v>0.54</v>
      </c>
      <c r="E204" s="184">
        <v>31</v>
      </c>
      <c r="F204" s="194">
        <v>1</v>
      </c>
      <c r="G204" s="184">
        <f>'CDM Activity'!U136</f>
        <v>771442.99123669183</v>
      </c>
      <c r="H204" s="187">
        <v>336</v>
      </c>
      <c r="I204" s="184">
        <v>153.81020320590829</v>
      </c>
      <c r="J204" s="197">
        <v>459.46716928482056</v>
      </c>
      <c r="K204" s="194">
        <f t="shared" si="1"/>
        <v>21316218.30414946</v>
      </c>
      <c r="L204" s="194"/>
      <c r="M204" s="37"/>
    </row>
    <row r="205" spans="1:13">
      <c r="A205" s="183">
        <v>42309</v>
      </c>
      <c r="B205" s="284">
        <v>21470151.140000004</v>
      </c>
      <c r="C205" s="194">
        <f>'Residential WN'!C205</f>
        <v>567.61000000000013</v>
      </c>
      <c r="D205" s="194">
        <f>'Residential WN'!D205</f>
        <v>0</v>
      </c>
      <c r="E205" s="184">
        <v>30</v>
      </c>
      <c r="F205" s="194">
        <v>1</v>
      </c>
      <c r="G205" s="184">
        <f>'CDM Activity'!U137</f>
        <v>777585.45702802914</v>
      </c>
      <c r="H205" s="187">
        <v>320</v>
      </c>
      <c r="I205" s="184">
        <v>154.12702704114372</v>
      </c>
      <c r="J205" s="197">
        <v>459.73358464241028</v>
      </c>
      <c r="K205" s="194">
        <f t="shared" si="1"/>
        <v>22358347.58537291</v>
      </c>
      <c r="L205" s="194"/>
      <c r="M205" s="37"/>
    </row>
    <row r="206" spans="1:13">
      <c r="A206" s="183">
        <v>42339</v>
      </c>
      <c r="B206" s="284">
        <v>23595138.619999997</v>
      </c>
      <c r="C206" s="194">
        <f>'Residential WN'!C206</f>
        <v>852.28999999999974</v>
      </c>
      <c r="D206" s="194">
        <f>'Residential WN'!D206</f>
        <v>0</v>
      </c>
      <c r="E206" s="184">
        <v>31</v>
      </c>
      <c r="F206" s="194">
        <v>0</v>
      </c>
      <c r="G206" s="184">
        <f>'CDM Activity'!U138</f>
        <v>783727.92281936645</v>
      </c>
      <c r="H206" s="187">
        <v>352</v>
      </c>
      <c r="I206" s="184">
        <v>154.44450348160629</v>
      </c>
      <c r="J206" s="197">
        <v>459.86679232120514</v>
      </c>
      <c r="K206" s="194">
        <f t="shared" si="1"/>
        <v>26244698.815211456</v>
      </c>
      <c r="L206" s="194"/>
      <c r="M206" s="37"/>
    </row>
    <row r="207" spans="1:13">
      <c r="A207" s="183">
        <v>42370</v>
      </c>
      <c r="B207" s="189"/>
      <c r="C207" s="192">
        <f>'Residential WN'!C207</f>
        <v>960.98000000000013</v>
      </c>
      <c r="D207" s="190">
        <f>'Residential WN'!D207</f>
        <v>0</v>
      </c>
      <c r="E207" s="184">
        <v>31</v>
      </c>
      <c r="F207" s="184">
        <v>0</v>
      </c>
      <c r="G207" s="184">
        <f>'CDM Activity'!U139</f>
        <v>786816.36282233149</v>
      </c>
      <c r="H207" s="187">
        <v>320</v>
      </c>
      <c r="I207" s="193">
        <v>154.72483615659849</v>
      </c>
      <c r="J207" s="197"/>
      <c r="K207" s="194">
        <f t="shared" si="1"/>
        <v>26916498.308359865</v>
      </c>
      <c r="L207" s="194"/>
      <c r="M207" s="300"/>
    </row>
    <row r="208" spans="1:13">
      <c r="A208" s="183">
        <v>42401</v>
      </c>
      <c r="B208" s="189"/>
      <c r="C208" s="192">
        <f>'Residential WN'!C208</f>
        <v>875.5899999999998</v>
      </c>
      <c r="D208" s="190">
        <f>'Residential WN'!D208</f>
        <v>0</v>
      </c>
      <c r="E208" s="184">
        <v>29</v>
      </c>
      <c r="F208" s="184">
        <v>0</v>
      </c>
      <c r="G208" s="184">
        <f>'CDM Activity'!U140</f>
        <v>789904.80282529653</v>
      </c>
      <c r="H208" s="187">
        <v>320</v>
      </c>
      <c r="I208" s="184">
        <v>155.00567766425806</v>
      </c>
      <c r="J208" s="197"/>
      <c r="K208" s="194">
        <f t="shared" si="1"/>
        <v>25207374.552481934</v>
      </c>
      <c r="L208" s="316"/>
      <c r="M208" s="37"/>
    </row>
    <row r="209" spans="1:13">
      <c r="A209" s="183">
        <v>42430</v>
      </c>
      <c r="B209" s="189"/>
      <c r="C209" s="192">
        <f>'Residential WN'!C209</f>
        <v>702.91</v>
      </c>
      <c r="D209" s="190">
        <f>'Residential WN'!D209</f>
        <v>0</v>
      </c>
      <c r="E209" s="184">
        <v>31</v>
      </c>
      <c r="F209" s="184">
        <v>1</v>
      </c>
      <c r="G209" s="184">
        <f>'CDM Activity'!U141</f>
        <v>792993.24282826157</v>
      </c>
      <c r="H209" s="187">
        <v>352</v>
      </c>
      <c r="I209" s="184">
        <v>155.2870289281687</v>
      </c>
      <c r="J209" s="197"/>
      <c r="K209" s="194">
        <f t="shared" si="1"/>
        <v>24225207.594024926</v>
      </c>
      <c r="L209" s="316"/>
      <c r="M209" s="37"/>
    </row>
    <row r="210" spans="1:13">
      <c r="A210" s="183">
        <v>42461</v>
      </c>
      <c r="B210" s="189"/>
      <c r="C210" s="192">
        <f>'Residential WN'!C210</f>
        <v>450.5200000000001</v>
      </c>
      <c r="D210" s="190">
        <f>'Residential WN'!D210</f>
        <v>0</v>
      </c>
      <c r="E210" s="184">
        <v>30</v>
      </c>
      <c r="F210" s="184">
        <v>1</v>
      </c>
      <c r="G210" s="184">
        <f>'CDM Activity'!U142</f>
        <v>796081.68283122662</v>
      </c>
      <c r="H210" s="187">
        <v>336</v>
      </c>
      <c r="I210" s="184">
        <v>155.56889087359048</v>
      </c>
      <c r="J210" s="197"/>
      <c r="K210" s="194">
        <f t="shared" si="1"/>
        <v>21417210.916822713</v>
      </c>
      <c r="L210" s="316"/>
      <c r="M210" s="37"/>
    </row>
    <row r="211" spans="1:13">
      <c r="A211" s="183">
        <v>42491</v>
      </c>
      <c r="B211" s="189"/>
      <c r="C211" s="192">
        <f>'Residential WN'!C211</f>
        <v>271.46000000000004</v>
      </c>
      <c r="D211" s="190">
        <f>'Residential WN'!D211</f>
        <v>0.47000000000000003</v>
      </c>
      <c r="E211" s="184">
        <v>31</v>
      </c>
      <c r="F211" s="184">
        <v>1</v>
      </c>
      <c r="G211" s="184">
        <f>'CDM Activity'!U143</f>
        <v>799170.12283419166</v>
      </c>
      <c r="H211" s="187">
        <v>336</v>
      </c>
      <c r="I211" s="184">
        <v>155.85126442746289</v>
      </c>
      <c r="J211" s="197"/>
      <c r="K211" s="194">
        <f t="shared" si="1"/>
        <v>20355446.591967452</v>
      </c>
      <c r="L211" s="316"/>
      <c r="M211" s="37"/>
    </row>
    <row r="212" spans="1:13">
      <c r="A212" s="183">
        <v>42522</v>
      </c>
      <c r="B212" s="189"/>
      <c r="C212" s="192">
        <f>'Residential WN'!C212</f>
        <v>109.59</v>
      </c>
      <c r="D212" s="190">
        <f>'Residential WN'!D212</f>
        <v>6.7</v>
      </c>
      <c r="E212" s="184">
        <v>30</v>
      </c>
      <c r="F212" s="184">
        <v>0</v>
      </c>
      <c r="G212" s="184">
        <f>'CDM Activity'!U144</f>
        <v>802258.5628371567</v>
      </c>
      <c r="H212" s="187">
        <v>352</v>
      </c>
      <c r="I212" s="184">
        <v>156.13415051840798</v>
      </c>
      <c r="J212" s="197"/>
      <c r="K212" s="194">
        <f t="shared" si="1"/>
        <v>19561589.781992424</v>
      </c>
      <c r="L212" s="316"/>
      <c r="M212" s="37"/>
    </row>
    <row r="213" spans="1:13">
      <c r="A213" s="183">
        <v>42552</v>
      </c>
      <c r="B213" s="189"/>
      <c r="C213" s="192">
        <f>'Residential WN'!C213</f>
        <v>36.33</v>
      </c>
      <c r="D213" s="190">
        <f>'Residential WN'!D213</f>
        <v>40.369999999999997</v>
      </c>
      <c r="E213" s="184">
        <v>31</v>
      </c>
      <c r="F213" s="184">
        <v>0</v>
      </c>
      <c r="G213" s="184">
        <f>'CDM Activity'!U145</f>
        <v>805347.00284012174</v>
      </c>
      <c r="H213" s="187">
        <v>320</v>
      </c>
      <c r="I213" s="184">
        <v>156.41755007673331</v>
      </c>
      <c r="J213" s="197"/>
      <c r="K213" s="194">
        <f t="shared" si="1"/>
        <v>20606224.958219532</v>
      </c>
      <c r="L213" s="316"/>
      <c r="M213" s="37"/>
    </row>
    <row r="214" spans="1:13">
      <c r="A214" s="183">
        <v>42583</v>
      </c>
      <c r="B214" s="189"/>
      <c r="C214" s="192">
        <f>'Residential WN'!C214</f>
        <v>51.55</v>
      </c>
      <c r="D214" s="190">
        <f>'Residential WN'!D214</f>
        <v>29.669999999999998</v>
      </c>
      <c r="E214" s="184">
        <v>31</v>
      </c>
      <c r="F214" s="184">
        <v>0</v>
      </c>
      <c r="G214" s="184">
        <f>'CDM Activity'!U146</f>
        <v>808435.44284308678</v>
      </c>
      <c r="H214" s="187">
        <v>352</v>
      </c>
      <c r="I214" s="184">
        <v>156.70146403443502</v>
      </c>
      <c r="J214" s="197"/>
      <c r="K214" s="194">
        <f t="shared" si="1"/>
        <v>20522517.383156035</v>
      </c>
      <c r="L214" s="316"/>
      <c r="M214" s="37"/>
    </row>
    <row r="215" spans="1:13">
      <c r="A215" s="183">
        <v>42614</v>
      </c>
      <c r="B215" s="189"/>
      <c r="C215" s="192">
        <f>'Residential WN'!C215</f>
        <v>176.97</v>
      </c>
      <c r="D215" s="190">
        <f>'Residential WN'!D215</f>
        <v>5.05</v>
      </c>
      <c r="E215" s="184">
        <v>30</v>
      </c>
      <c r="F215" s="184">
        <v>1</v>
      </c>
      <c r="G215" s="184">
        <f>'CDM Activity'!U147</f>
        <v>811523.88284605183</v>
      </c>
      <c r="H215" s="187">
        <v>336</v>
      </c>
      <c r="I215" s="184">
        <v>156.98589332520095</v>
      </c>
      <c r="J215" s="197"/>
      <c r="K215" s="194">
        <f t="shared" si="1"/>
        <v>19218844.959133551</v>
      </c>
      <c r="L215" s="316"/>
      <c r="M215" s="37"/>
    </row>
    <row r="216" spans="1:13">
      <c r="A216" s="183">
        <v>42644</v>
      </c>
      <c r="B216" s="189"/>
      <c r="C216" s="192">
        <f>'Residential WN'!C216</f>
        <v>372.15</v>
      </c>
      <c r="D216" s="190">
        <f>'Residential WN'!D216</f>
        <v>0.54</v>
      </c>
      <c r="E216" s="184">
        <v>31</v>
      </c>
      <c r="F216" s="184">
        <v>1</v>
      </c>
      <c r="G216" s="184">
        <f>'CDM Activity'!U148</f>
        <v>814612.32284901687</v>
      </c>
      <c r="H216" s="187">
        <v>320</v>
      </c>
      <c r="I216" s="184">
        <v>157.27083888441365</v>
      </c>
      <c r="J216" s="197"/>
      <c r="K216" s="194">
        <f t="shared" ref="K216:K230" si="2">$O$103+C216*$O$104+D216*$O$105+E216*$O$106+F216*$O$107+G216*$O$108+H216*$O$109</f>
        <v>21053783.674519978</v>
      </c>
      <c r="L216" s="316"/>
      <c r="M216" s="37"/>
    </row>
    <row r="217" spans="1:13">
      <c r="A217" s="183">
        <v>42675</v>
      </c>
      <c r="B217" s="189"/>
      <c r="C217" s="192">
        <f>'Residential WN'!C217</f>
        <v>567.61000000000013</v>
      </c>
      <c r="D217" s="190">
        <f>'Residential WN'!D217</f>
        <v>0</v>
      </c>
      <c r="E217" s="184">
        <v>30</v>
      </c>
      <c r="F217" s="184">
        <v>1</v>
      </c>
      <c r="G217" s="184">
        <f>'CDM Activity'!U149</f>
        <v>817700.76285198191</v>
      </c>
      <c r="H217" s="187">
        <v>336</v>
      </c>
      <c r="I217" s="184">
        <v>157.55630164915351</v>
      </c>
      <c r="J217" s="197"/>
      <c r="K217" s="194">
        <f t="shared" si="2"/>
        <v>22366394.999466717</v>
      </c>
      <c r="L217" s="316"/>
      <c r="M217" s="37"/>
    </row>
    <row r="218" spans="1:13">
      <c r="A218" s="183">
        <v>42705</v>
      </c>
      <c r="B218" s="189"/>
      <c r="C218" s="192">
        <f>'Residential WN'!C218</f>
        <v>852.28999999999974</v>
      </c>
      <c r="D218" s="190">
        <f>'Residential WN'!D218</f>
        <v>0</v>
      </c>
      <c r="E218" s="184">
        <v>31</v>
      </c>
      <c r="F218" s="184">
        <v>0</v>
      </c>
      <c r="G218" s="184">
        <f>'CDM Activity'!U150</f>
        <v>820789.20285494695</v>
      </c>
      <c r="H218" s="187">
        <v>336</v>
      </c>
      <c r="I218" s="184">
        <v>157.84228255820162</v>
      </c>
      <c r="J218" s="197"/>
      <c r="K218" s="194">
        <f t="shared" si="2"/>
        <v>26000920.810390424</v>
      </c>
      <c r="L218" s="316"/>
      <c r="M218" s="37"/>
    </row>
    <row r="219" spans="1:13">
      <c r="A219" s="183">
        <v>42736</v>
      </c>
      <c r="B219" s="189"/>
      <c r="C219" s="190">
        <f>'Residential WN'!C219</f>
        <v>960.98000000000013</v>
      </c>
      <c r="D219" s="190">
        <f>'Residential WN'!D219</f>
        <v>0</v>
      </c>
      <c r="E219" s="184">
        <v>31</v>
      </c>
      <c r="F219" s="184">
        <v>0</v>
      </c>
      <c r="G219" s="184">
        <f>'CDM Activity'!U151</f>
        <v>818175.90746782266</v>
      </c>
      <c r="H219" s="187">
        <v>336</v>
      </c>
      <c r="I219" s="184">
        <v>158.15454692394951</v>
      </c>
      <c r="J219" s="184"/>
      <c r="K219" s="194">
        <f t="shared" si="2"/>
        <v>26951289.594728895</v>
      </c>
      <c r="L219" s="316"/>
      <c r="M219" s="37"/>
    </row>
    <row r="220" spans="1:13">
      <c r="A220" s="183">
        <v>42767</v>
      </c>
      <c r="B220" s="189"/>
      <c r="C220" s="190">
        <f>'Residential WN'!C220</f>
        <v>875.5899999999998</v>
      </c>
      <c r="D220" s="190">
        <f>'Residential WN'!D220</f>
        <v>0</v>
      </c>
      <c r="E220" s="184">
        <v>28</v>
      </c>
      <c r="F220" s="184">
        <v>0</v>
      </c>
      <c r="G220" s="184">
        <f>'CDM Activity'!U152</f>
        <v>815562.61208069837</v>
      </c>
      <c r="H220" s="187">
        <v>304</v>
      </c>
      <c r="I220" s="184">
        <v>158.46742905214063</v>
      </c>
      <c r="J220" s="184"/>
      <c r="K220" s="194">
        <f t="shared" si="2"/>
        <v>24518765.575988218</v>
      </c>
      <c r="L220" s="316"/>
      <c r="M220" s="37"/>
    </row>
    <row r="221" spans="1:13">
      <c r="A221" s="183">
        <v>42795</v>
      </c>
      <c r="B221" s="189"/>
      <c r="C221" s="190">
        <f>'Residential WN'!C221</f>
        <v>702.91</v>
      </c>
      <c r="D221" s="190">
        <f>'Residential WN'!D221</f>
        <v>0</v>
      </c>
      <c r="E221" s="184">
        <v>31</v>
      </c>
      <c r="F221" s="184">
        <v>1</v>
      </c>
      <c r="G221" s="184">
        <f>'CDM Activity'!U153</f>
        <v>812949.31669357407</v>
      </c>
      <c r="H221" s="187">
        <v>368</v>
      </c>
      <c r="I221" s="184">
        <v>158.78093016491388</v>
      </c>
      <c r="J221" s="184"/>
      <c r="K221" s="194">
        <f t="shared" si="2"/>
        <v>24294830.000135958</v>
      </c>
      <c r="L221" s="316"/>
      <c r="M221" s="37"/>
    </row>
    <row r="222" spans="1:13">
      <c r="A222" s="183">
        <v>42826</v>
      </c>
      <c r="B222" s="189"/>
      <c r="C222" s="190">
        <f>'Residential WN'!C222</f>
        <v>450.5200000000001</v>
      </c>
      <c r="D222" s="190">
        <f>'Residential WN'!D222</f>
        <v>0</v>
      </c>
      <c r="E222" s="184">
        <v>30</v>
      </c>
      <c r="F222" s="184">
        <v>1</v>
      </c>
      <c r="G222" s="184">
        <f>'CDM Activity'!U154</f>
        <v>810336.02130644978</v>
      </c>
      <c r="H222" s="187">
        <v>304</v>
      </c>
      <c r="I222" s="184">
        <v>159.09505148682601</v>
      </c>
      <c r="J222" s="184"/>
      <c r="K222" s="194">
        <f t="shared" si="2"/>
        <v>21112518.28582615</v>
      </c>
      <c r="L222" s="316"/>
      <c r="M222" s="37"/>
    </row>
    <row r="223" spans="1:13">
      <c r="A223" s="183">
        <v>42856</v>
      </c>
      <c r="B223" s="189"/>
      <c r="C223" s="190">
        <f>'Residential WN'!C223</f>
        <v>271.46000000000004</v>
      </c>
      <c r="D223" s="190">
        <f>'Residential WN'!D223</f>
        <v>0.47000000000000003</v>
      </c>
      <c r="E223" s="184">
        <v>31</v>
      </c>
      <c r="F223" s="184">
        <v>1</v>
      </c>
      <c r="G223" s="184">
        <f>'CDM Activity'!U155</f>
        <v>807722.72591932549</v>
      </c>
      <c r="H223" s="187">
        <v>352</v>
      </c>
      <c r="I223" s="184">
        <v>159.4097942448563</v>
      </c>
      <c r="J223" s="184"/>
      <c r="K223" s="194">
        <f t="shared" si="2"/>
        <v>20459900.117820483</v>
      </c>
      <c r="L223" s="316"/>
      <c r="M223" s="37"/>
    </row>
    <row r="224" spans="1:13">
      <c r="A224" s="183">
        <v>42887</v>
      </c>
      <c r="B224" s="189"/>
      <c r="C224" s="190">
        <f>'Residential WN'!C224</f>
        <v>109.59</v>
      </c>
      <c r="D224" s="190">
        <f>'Residential WN'!D224</f>
        <v>6.7</v>
      </c>
      <c r="E224" s="184">
        <v>30</v>
      </c>
      <c r="F224" s="184">
        <v>0</v>
      </c>
      <c r="G224" s="184">
        <f>'CDM Activity'!U156</f>
        <v>805109.43053220119</v>
      </c>
      <c r="H224" s="187">
        <v>352</v>
      </c>
      <c r="I224" s="184">
        <v>159.72515966841141</v>
      </c>
      <c r="J224" s="184"/>
      <c r="K224" s="194">
        <f t="shared" si="2"/>
        <v>19552882.002056926</v>
      </c>
      <c r="L224" s="316"/>
      <c r="M224" s="37"/>
    </row>
    <row r="225" spans="1:16">
      <c r="A225" s="183">
        <v>42917</v>
      </c>
      <c r="B225" s="189"/>
      <c r="C225" s="190">
        <f>'Residential WN'!C225</f>
        <v>36.33</v>
      </c>
      <c r="D225" s="190">
        <f>'Residential WN'!D225</f>
        <v>40.369999999999997</v>
      </c>
      <c r="E225" s="184">
        <v>31</v>
      </c>
      <c r="F225" s="184">
        <v>0</v>
      </c>
      <c r="G225" s="184">
        <f>'CDM Activity'!U157</f>
        <v>802496.1351450769</v>
      </c>
      <c r="H225" s="187">
        <v>320</v>
      </c>
      <c r="I225" s="184">
        <v>160.0411489893302</v>
      </c>
      <c r="J225" s="184"/>
      <c r="K225" s="194">
        <f t="shared" si="2"/>
        <v>20614932.738155033</v>
      </c>
      <c r="L225" s="316"/>
      <c r="M225" s="37"/>
    </row>
    <row r="226" spans="1:16">
      <c r="A226" s="183">
        <v>42948</v>
      </c>
      <c r="B226" s="189"/>
      <c r="C226" s="190">
        <f>'Residential WN'!C226</f>
        <v>51.55</v>
      </c>
      <c r="D226" s="190">
        <f>'Residential WN'!D226</f>
        <v>29.669999999999998</v>
      </c>
      <c r="E226" s="184">
        <v>31</v>
      </c>
      <c r="F226" s="184">
        <v>0</v>
      </c>
      <c r="G226" s="184">
        <f>'CDM Activity'!U158</f>
        <v>799882.83975795261</v>
      </c>
      <c r="H226" s="187">
        <v>352</v>
      </c>
      <c r="I226" s="184">
        <v>160.35776344188849</v>
      </c>
      <c r="J226" s="184"/>
      <c r="K226" s="194">
        <f t="shared" si="2"/>
        <v>20548640.722962536</v>
      </c>
      <c r="L226" s="316"/>
      <c r="M226" s="37"/>
    </row>
    <row r="227" spans="1:16">
      <c r="A227" s="183">
        <v>42979</v>
      </c>
      <c r="B227" s="189"/>
      <c r="C227" s="190">
        <f>'Residential WN'!C227</f>
        <v>176.97</v>
      </c>
      <c r="D227" s="190">
        <f>'Residential WN'!D227</f>
        <v>5.05</v>
      </c>
      <c r="E227" s="184">
        <v>30</v>
      </c>
      <c r="F227" s="184">
        <v>1</v>
      </c>
      <c r="G227" s="184">
        <f>'CDM Activity'!U159</f>
        <v>797269.54437082831</v>
      </c>
      <c r="H227" s="187">
        <v>320</v>
      </c>
      <c r="I227" s="184">
        <v>160.67500426280395</v>
      </c>
      <c r="J227" s="184"/>
      <c r="K227" s="194">
        <f t="shared" si="2"/>
        <v>19131806.993151523</v>
      </c>
      <c r="L227" s="316"/>
      <c r="M227" s="37"/>
    </row>
    <row r="228" spans="1:16">
      <c r="A228" s="183">
        <v>43009</v>
      </c>
      <c r="B228" s="189"/>
      <c r="C228" s="190">
        <f>'Residential WN'!C228</f>
        <v>372.15</v>
      </c>
      <c r="D228" s="190">
        <f>'Residential WN'!D228</f>
        <v>0.54</v>
      </c>
      <c r="E228" s="184">
        <v>31</v>
      </c>
      <c r="F228" s="184">
        <v>1</v>
      </c>
      <c r="G228" s="184">
        <f>'CDM Activity'!U160</f>
        <v>794656.24898370402</v>
      </c>
      <c r="H228" s="187">
        <v>336</v>
      </c>
      <c r="I228" s="184">
        <v>160.99287269124085</v>
      </c>
      <c r="J228" s="184"/>
      <c r="K228" s="194">
        <f t="shared" si="2"/>
        <v>21245314.999728009</v>
      </c>
      <c r="L228" s="316"/>
      <c r="M228" s="37"/>
    </row>
    <row r="229" spans="1:16">
      <c r="A229" s="183">
        <v>43040</v>
      </c>
      <c r="B229" s="189"/>
      <c r="C229" s="190">
        <f>'Residential WN'!C229</f>
        <v>567.61000000000013</v>
      </c>
      <c r="D229" s="190">
        <f>'Residential WN'!D229</f>
        <v>0</v>
      </c>
      <c r="E229" s="184">
        <v>30</v>
      </c>
      <c r="F229" s="184">
        <v>1</v>
      </c>
      <c r="G229" s="184">
        <f>'CDM Activity'!U161</f>
        <v>792042.95359657973</v>
      </c>
      <c r="H229" s="187">
        <v>352</v>
      </c>
      <c r="I229" s="184">
        <v>161.31136996881492</v>
      </c>
      <c r="J229" s="184"/>
      <c r="K229" s="194">
        <f t="shared" si="2"/>
        <v>22575341.884545751</v>
      </c>
      <c r="L229" s="316"/>
      <c r="M229" s="37"/>
    </row>
    <row r="230" spans="1:16">
      <c r="A230" s="183">
        <v>43070</v>
      </c>
      <c r="B230" s="189"/>
      <c r="C230" s="190">
        <f>'Residential WN'!C230</f>
        <v>852.28999999999974</v>
      </c>
      <c r="D230" s="190">
        <f>'Residential WN'!D230</f>
        <v>0</v>
      </c>
      <c r="E230" s="184">
        <v>31</v>
      </c>
      <c r="F230" s="184">
        <v>0</v>
      </c>
      <c r="G230" s="184">
        <f>'CDM Activity'!U162</f>
        <v>789429.65820945543</v>
      </c>
      <c r="H230" s="187">
        <v>304</v>
      </c>
      <c r="I230" s="184">
        <v>161.63049733959846</v>
      </c>
      <c r="J230" s="184"/>
      <c r="K230" s="194">
        <f t="shared" si="2"/>
        <v>25835552.658361863</v>
      </c>
      <c r="L230" s="316"/>
      <c r="M230" s="37"/>
    </row>
    <row r="231" spans="1:16">
      <c r="A231" s="2"/>
      <c r="G231" s="12"/>
      <c r="L231" s="43"/>
    </row>
    <row r="232" spans="1:16">
      <c r="A232" s="2"/>
      <c r="C232" s="11"/>
      <c r="D232"/>
      <c r="G232" s="287"/>
      <c r="H232" s="195"/>
      <c r="I232" s="37"/>
      <c r="J232" s="37"/>
      <c r="K232" s="287">
        <f>SUM(K87:K230)</f>
        <v>3409547783.4439979</v>
      </c>
    </row>
    <row r="233" spans="1:16">
      <c r="A233" s="2"/>
      <c r="N233" s="198"/>
      <c r="O233" s="201"/>
      <c r="P233" s="201"/>
    </row>
    <row r="234" spans="1:16">
      <c r="A234" s="318">
        <v>2006</v>
      </c>
      <c r="B234" s="180">
        <f>SUM(B87:B98)</f>
        <v>299216792.75999993</v>
      </c>
      <c r="C234" s="37"/>
      <c r="D234" s="37"/>
      <c r="E234" s="37"/>
      <c r="F234" s="37"/>
      <c r="G234" s="37"/>
      <c r="H234" s="37"/>
      <c r="I234" s="195"/>
      <c r="J234" s="37"/>
      <c r="K234" s="180">
        <f>SUM(K87:K98)</f>
        <v>296437934.544644</v>
      </c>
      <c r="L234" s="290">
        <f>K234-B234</f>
        <v>-2778858.2153559327</v>
      </c>
      <c r="M234" s="300">
        <f>L234/B234</f>
        <v>-9.2871064813024682E-3</v>
      </c>
      <c r="N234" s="180"/>
      <c r="O234" s="317"/>
    </row>
    <row r="235" spans="1:16">
      <c r="A235" s="319">
        <v>2007</v>
      </c>
      <c r="B235" s="180">
        <f>SUM(B99:B110)</f>
        <v>298981716.29999995</v>
      </c>
      <c r="C235" s="37"/>
      <c r="D235" s="37"/>
      <c r="E235" s="37"/>
      <c r="F235" s="37"/>
      <c r="G235" s="37"/>
      <c r="H235" s="37"/>
      <c r="I235" s="195"/>
      <c r="J235" s="37"/>
      <c r="K235" s="180">
        <f>SUM(K99:K110)</f>
        <v>296563680.06627411</v>
      </c>
      <c r="L235" s="290">
        <f t="shared" ref="L235:L243" si="3">K235-B235</f>
        <v>-2418036.2337258458</v>
      </c>
      <c r="M235" s="300">
        <f t="shared" ref="M235:M243" si="4">L235/B235</f>
        <v>-8.0875722557548456E-3</v>
      </c>
      <c r="N235" s="180"/>
      <c r="O235" s="317"/>
    </row>
    <row r="236" spans="1:16">
      <c r="A236" s="318">
        <v>2008</v>
      </c>
      <c r="B236" s="180">
        <f>SUM(B111:B122)</f>
        <v>297548976.91999996</v>
      </c>
      <c r="C236" s="37"/>
      <c r="D236" s="37"/>
      <c r="E236" s="37"/>
      <c r="F236" s="37"/>
      <c r="G236" s="37"/>
      <c r="H236" s="37"/>
      <c r="I236" s="195"/>
      <c r="J236" s="37"/>
      <c r="K236" s="180">
        <f>SUM(K111:K122)</f>
        <v>296386908.9162814</v>
      </c>
      <c r="L236" s="290">
        <f t="shared" si="3"/>
        <v>-1162068.003718555</v>
      </c>
      <c r="M236" s="300">
        <f t="shared" si="4"/>
        <v>-3.9054679863039575E-3</v>
      </c>
      <c r="N236" s="180"/>
      <c r="O236" s="317"/>
    </row>
    <row r="237" spans="1:16">
      <c r="A237" s="319">
        <v>2009</v>
      </c>
      <c r="B237" s="180">
        <f>SUM(B123:B134)</f>
        <v>290804126.80000007</v>
      </c>
      <c r="C237" s="37"/>
      <c r="D237" s="37"/>
      <c r="E237" s="37"/>
      <c r="F237" s="37"/>
      <c r="G237" s="37"/>
      <c r="H237" s="37"/>
      <c r="I237" s="195"/>
      <c r="J237" s="37"/>
      <c r="K237" s="180">
        <f>SUM(K123:K134)</f>
        <v>292621841.94166219</v>
      </c>
      <c r="L237" s="290">
        <f t="shared" si="3"/>
        <v>1817715.1416621208</v>
      </c>
      <c r="M237" s="300">
        <f t="shared" si="4"/>
        <v>6.2506511226790486E-3</v>
      </c>
      <c r="N237" s="180"/>
      <c r="O237" s="317"/>
    </row>
    <row r="238" spans="1:16">
      <c r="A238" s="318">
        <v>2010</v>
      </c>
      <c r="B238" s="180">
        <f>SUM(B135:B146)</f>
        <v>285047816.86000013</v>
      </c>
      <c r="C238" s="37"/>
      <c r="D238" s="37"/>
      <c r="E238" s="37"/>
      <c r="F238" s="37"/>
      <c r="G238" s="37"/>
      <c r="H238" s="37"/>
      <c r="I238" s="195"/>
      <c r="J238" s="37"/>
      <c r="K238" s="180">
        <f>SUM(K135:K146)</f>
        <v>289585784.55542862</v>
      </c>
      <c r="L238" s="290">
        <f t="shared" si="3"/>
        <v>4537967.6954284906</v>
      </c>
      <c r="M238" s="300">
        <f t="shared" si="4"/>
        <v>1.5920022631351328E-2</v>
      </c>
      <c r="N238" s="180"/>
      <c r="O238" s="317"/>
    </row>
    <row r="239" spans="1:16">
      <c r="A239" s="318">
        <v>2011</v>
      </c>
      <c r="B239" s="180">
        <f>SUM(B147:B158)</f>
        <v>288525140.48999989</v>
      </c>
      <c r="C239" s="37"/>
      <c r="D239" s="37"/>
      <c r="E239" s="37"/>
      <c r="F239" s="37"/>
      <c r="G239" s="37"/>
      <c r="H239" s="37"/>
      <c r="I239" s="195"/>
      <c r="J239" s="37"/>
      <c r="K239" s="180">
        <f>SUM(K147:K158)</f>
        <v>289922732.47014821</v>
      </c>
      <c r="L239" s="290">
        <f t="shared" si="3"/>
        <v>1397591.9801483154</v>
      </c>
      <c r="M239" s="300">
        <f t="shared" si="4"/>
        <v>4.8439175101857553E-3</v>
      </c>
      <c r="N239" s="180"/>
      <c r="O239" s="317"/>
    </row>
    <row r="240" spans="1:16">
      <c r="A240" s="318">
        <v>2012</v>
      </c>
      <c r="B240" s="180">
        <f>SUM(B159:B170)</f>
        <v>283475240.67000002</v>
      </c>
      <c r="C240" s="37"/>
      <c r="D240" s="37"/>
      <c r="E240" s="37"/>
      <c r="F240" s="37"/>
      <c r="G240" s="37"/>
      <c r="H240" s="37"/>
      <c r="I240" s="195"/>
      <c r="J240" s="37"/>
      <c r="K240" s="180">
        <f>SUM(K159:K170)</f>
        <v>287882756.63837278</v>
      </c>
      <c r="L240" s="290">
        <f t="shared" si="3"/>
        <v>4407515.9683727622</v>
      </c>
      <c r="M240" s="300">
        <f t="shared" si="4"/>
        <v>1.554815142922359E-2</v>
      </c>
      <c r="N240" s="180"/>
      <c r="O240" s="317"/>
    </row>
    <row r="241" spans="1:15">
      <c r="A241" s="318">
        <v>2013</v>
      </c>
      <c r="B241" s="180">
        <f>SUM(B171:B182)</f>
        <v>285068374.38</v>
      </c>
      <c r="C241" s="37"/>
      <c r="D241" s="37"/>
      <c r="E241" s="37"/>
      <c r="F241" s="37"/>
      <c r="G241" s="37"/>
      <c r="H241" s="37"/>
      <c r="I241" s="195"/>
      <c r="J241" s="37"/>
      <c r="K241" s="180">
        <f>SUM(K171:K182)</f>
        <v>282293405.93091059</v>
      </c>
      <c r="L241" s="290">
        <f t="shared" si="3"/>
        <v>-2774968.4490894079</v>
      </c>
      <c r="M241" s="300">
        <f t="shared" si="4"/>
        <v>-9.7343960203397986E-3</v>
      </c>
      <c r="N241" s="180"/>
      <c r="O241" s="317"/>
    </row>
    <row r="242" spans="1:15">
      <c r="A242" s="318">
        <v>2014</v>
      </c>
      <c r="B242" s="180">
        <f>SUM(B183:B194)</f>
        <v>280037460.24000001</v>
      </c>
      <c r="C242" s="37"/>
      <c r="D242" s="37"/>
      <c r="E242" s="37"/>
      <c r="F242" s="37"/>
      <c r="G242" s="37"/>
      <c r="H242" s="37"/>
      <c r="I242" s="195"/>
      <c r="J242" s="37"/>
      <c r="K242" s="180">
        <f>SUM(K183:K194)</f>
        <v>274612513.54853952</v>
      </c>
      <c r="L242" s="290">
        <f t="shared" si="3"/>
        <v>-5424946.6914604902</v>
      </c>
      <c r="M242" s="300">
        <f t="shared" si="4"/>
        <v>-1.9372217869749131E-2</v>
      </c>
      <c r="N242" s="180"/>
      <c r="O242" s="317"/>
    </row>
    <row r="243" spans="1:15">
      <c r="A243" s="319">
        <v>2015</v>
      </c>
      <c r="B243" s="180">
        <f>SUM(B195:B206)</f>
        <v>266548347.92000005</v>
      </c>
      <c r="C243" s="37"/>
      <c r="D243" s="37"/>
      <c r="E243" s="37"/>
      <c r="F243" s="37"/>
      <c r="G243" s="37"/>
      <c r="H243" s="37"/>
      <c r="I243" s="195"/>
      <c r="J243" s="37"/>
      <c r="K243" s="180">
        <f>SUM(K195:K206)</f>
        <v>268946434.72773772</v>
      </c>
      <c r="L243" s="290">
        <f t="shared" si="3"/>
        <v>2398086.8077376783</v>
      </c>
      <c r="M243" s="300">
        <f t="shared" si="4"/>
        <v>8.9968173746003601E-3</v>
      </c>
      <c r="N243" s="180"/>
      <c r="O243" s="317"/>
    </row>
    <row r="244" spans="1:15">
      <c r="A244" s="318">
        <v>2016</v>
      </c>
      <c r="B244" s="180"/>
      <c r="C244" s="37"/>
      <c r="D244" s="37"/>
      <c r="E244" s="37"/>
      <c r="F244" s="37"/>
      <c r="G244" s="37"/>
      <c r="H244" s="37"/>
      <c r="I244" s="195"/>
      <c r="J244" s="37"/>
      <c r="K244" s="180">
        <f>SUM(K207:K218)</f>
        <v>267452014.53053555</v>
      </c>
      <c r="L244" s="37"/>
      <c r="M244" s="37"/>
      <c r="N244" s="180"/>
      <c r="O244" s="317"/>
    </row>
    <row r="245" spans="1:15">
      <c r="A245" s="319">
        <v>2017</v>
      </c>
      <c r="B245" s="180"/>
      <c r="C245" s="37"/>
      <c r="D245" s="37"/>
      <c r="E245" s="37"/>
      <c r="F245" s="37"/>
      <c r="G245" s="37"/>
      <c r="H245" s="37"/>
      <c r="I245" s="195"/>
      <c r="J245" s="37"/>
      <c r="K245" s="180">
        <f>SUM(K219:K230)</f>
        <v>266841775.57346129</v>
      </c>
      <c r="L245" s="37"/>
      <c r="M245" s="37"/>
      <c r="N245" s="180"/>
      <c r="O245" s="317"/>
    </row>
    <row r="246" spans="1:15" ht="13.5" thickBot="1">
      <c r="C246" s="198"/>
      <c r="H246" s="198"/>
      <c r="I246" s="23"/>
      <c r="K246" s="5"/>
    </row>
    <row r="247" spans="1:15" ht="16.5" thickTop="1" thickBot="1">
      <c r="A247" s="260" t="s">
        <v>261</v>
      </c>
      <c r="B247" s="320">
        <f>SUM(B234:B243)</f>
        <v>2875253993.3400002</v>
      </c>
      <c r="C247" s="198"/>
      <c r="H247" s="198"/>
      <c r="I247" s="23"/>
      <c r="K247" s="320">
        <f>SUM(K234:K243)</f>
        <v>2875253993.3399992</v>
      </c>
      <c r="L247" s="256">
        <f>K247-B247</f>
        <v>0</v>
      </c>
    </row>
    <row r="248" spans="1:15" ht="14.25" thickTop="1" thickBot="1">
      <c r="C248" s="198"/>
      <c r="H248" s="198"/>
      <c r="I248" s="23"/>
    </row>
    <row r="249" spans="1:15" ht="16.5" thickTop="1" thickBot="1">
      <c r="C249" s="198"/>
      <c r="H249" s="198"/>
      <c r="I249" s="23"/>
      <c r="K249" s="320">
        <f>SUM(K234:K245)</f>
        <v>3409547783.4439964</v>
      </c>
      <c r="L249" s="257">
        <f>K232-K249</f>
        <v>0</v>
      </c>
    </row>
    <row r="250" spans="1:15" ht="13.5" thickTop="1">
      <c r="C250" s="198"/>
      <c r="H250" s="198"/>
      <c r="I250" s="23"/>
      <c r="K250" s="258"/>
      <c r="L250" s="258" t="s">
        <v>47</v>
      </c>
      <c r="M250" s="258"/>
    </row>
    <row r="253" spans="1:15">
      <c r="H253" s="198"/>
      <c r="I253" s="23"/>
    </row>
    <row r="254" spans="1:15" ht="15">
      <c r="B254" s="259" t="s">
        <v>143</v>
      </c>
      <c r="C254" s="198"/>
      <c r="H254" s="198"/>
      <c r="I254" s="23"/>
    </row>
    <row r="255" spans="1:15" ht="15">
      <c r="A255" s="321">
        <v>42736</v>
      </c>
      <c r="B255" s="180"/>
      <c r="C255" s="190">
        <f>'Weather Analysis - Thunder Bay'!AA8</f>
        <v>981.22443609022571</v>
      </c>
      <c r="D255" s="190">
        <f>'Weather Analysis - Thunder Bay'!AA28</f>
        <v>0</v>
      </c>
      <c r="E255" s="194">
        <f>E219</f>
        <v>31</v>
      </c>
      <c r="F255" s="194">
        <f t="shared" ref="F255:G255" si="5">F219</f>
        <v>0</v>
      </c>
      <c r="G255" s="194">
        <f t="shared" si="5"/>
        <v>818175.90746782266</v>
      </c>
      <c r="H255" s="187">
        <f>H219</f>
        <v>336</v>
      </c>
      <c r="I255" s="187">
        <v>143.1291789570798</v>
      </c>
      <c r="J255" s="194">
        <v>352</v>
      </c>
      <c r="K255" s="194">
        <f t="shared" ref="K255:K266" si="6">$O$103+C255*$O$104+D255*$O$105+E255*$O$106+F255*$O$107+G255*$O$108+H255*$O$109</f>
        <v>27126817.11670417</v>
      </c>
      <c r="L255" s="37"/>
    </row>
    <row r="256" spans="1:15" ht="15">
      <c r="A256" s="321">
        <v>42767</v>
      </c>
      <c r="B256" s="180"/>
      <c r="C256" s="190">
        <f>'Weather Analysis - Thunder Bay'!AA9</f>
        <v>920.49842105263269</v>
      </c>
      <c r="D256" s="190">
        <f>'Weather Analysis - Thunder Bay'!AA29</f>
        <v>0</v>
      </c>
      <c r="E256" s="194">
        <f t="shared" ref="E256:H266" si="7">E220</f>
        <v>28</v>
      </c>
      <c r="F256" s="194">
        <f t="shared" si="7"/>
        <v>0</v>
      </c>
      <c r="G256" s="194">
        <f t="shared" si="7"/>
        <v>815562.61208069837</v>
      </c>
      <c r="H256" s="187">
        <f t="shared" si="7"/>
        <v>304</v>
      </c>
      <c r="I256" s="187">
        <v>143.42400163116841</v>
      </c>
      <c r="J256" s="194">
        <v>304</v>
      </c>
      <c r="K256" s="194">
        <f t="shared" si="6"/>
        <v>24908139.912129737</v>
      </c>
      <c r="L256" s="37"/>
    </row>
    <row r="257" spans="1:13" ht="15">
      <c r="A257" s="321">
        <v>42795</v>
      </c>
      <c r="B257" s="180"/>
      <c r="C257" s="190">
        <f>'Weather Analysis - Thunder Bay'!AA10</f>
        <v>728.65676691729323</v>
      </c>
      <c r="D257" s="190">
        <f>'Weather Analysis - Thunder Bay'!AA30</f>
        <v>0</v>
      </c>
      <c r="E257" s="194">
        <f t="shared" si="7"/>
        <v>31</v>
      </c>
      <c r="F257" s="194">
        <f t="shared" si="7"/>
        <v>1</v>
      </c>
      <c r="G257" s="194">
        <f t="shared" si="7"/>
        <v>812949.31669357407</v>
      </c>
      <c r="H257" s="187">
        <f t="shared" si="7"/>
        <v>368</v>
      </c>
      <c r="I257" s="187">
        <v>143.71943159169427</v>
      </c>
      <c r="J257" s="194">
        <v>320</v>
      </c>
      <c r="K257" s="194">
        <f t="shared" si="6"/>
        <v>24518064.975697935</v>
      </c>
      <c r="L257" s="37"/>
      <c r="M257"/>
    </row>
    <row r="258" spans="1:13" ht="15">
      <c r="A258" s="321">
        <v>42826</v>
      </c>
      <c r="B258" s="180"/>
      <c r="C258" s="190">
        <f>'Weather Analysis - Thunder Bay'!AA11</f>
        <v>457.84511278195487</v>
      </c>
      <c r="D258" s="190">
        <f>'Weather Analysis - Thunder Bay'!AA31</f>
        <v>0</v>
      </c>
      <c r="E258" s="194">
        <f t="shared" si="7"/>
        <v>30</v>
      </c>
      <c r="F258" s="194">
        <f t="shared" si="7"/>
        <v>1</v>
      </c>
      <c r="G258" s="194">
        <f t="shared" si="7"/>
        <v>810336.02130644978</v>
      </c>
      <c r="H258" s="187">
        <f t="shared" si="7"/>
        <v>304</v>
      </c>
      <c r="I258" s="187">
        <v>144.01547008956803</v>
      </c>
      <c r="J258" s="194">
        <v>352</v>
      </c>
      <c r="K258" s="194">
        <f t="shared" si="6"/>
        <v>21176030.002777688</v>
      </c>
      <c r="L258" s="37"/>
      <c r="M258"/>
    </row>
    <row r="259" spans="1:13" ht="15">
      <c r="A259" s="321">
        <v>42856</v>
      </c>
      <c r="B259" s="180"/>
      <c r="C259" s="190">
        <f>'Weather Analysis - Thunder Bay'!AA12</f>
        <v>271.64563909774438</v>
      </c>
      <c r="D259" s="190">
        <f>'Weather Analysis - Thunder Bay'!AA32</f>
        <v>0.20857142857142463</v>
      </c>
      <c r="E259" s="194">
        <f t="shared" si="7"/>
        <v>31</v>
      </c>
      <c r="F259" s="194">
        <f t="shared" si="7"/>
        <v>1</v>
      </c>
      <c r="G259" s="194">
        <f t="shared" si="7"/>
        <v>807722.72591932549</v>
      </c>
      <c r="H259" s="187">
        <f t="shared" si="7"/>
        <v>352</v>
      </c>
      <c r="I259" s="187">
        <v>144.31211837827698</v>
      </c>
      <c r="J259" s="194">
        <v>352</v>
      </c>
      <c r="K259" s="194">
        <f t="shared" si="6"/>
        <v>20450090.106117528</v>
      </c>
      <c r="L259" s="37"/>
      <c r="M259"/>
    </row>
    <row r="260" spans="1:13" ht="15">
      <c r="A260" s="321">
        <v>42887</v>
      </c>
      <c r="B260" s="180"/>
      <c r="C260" s="190">
        <f>'Weather Analysis - Thunder Bay'!AA13</f>
        <v>115.80518796992476</v>
      </c>
      <c r="D260" s="190">
        <f>'Weather Analysis - Thunder Bay'!AA33</f>
        <v>4.1052631578947967</v>
      </c>
      <c r="E260" s="194">
        <f t="shared" si="7"/>
        <v>30</v>
      </c>
      <c r="F260" s="194">
        <f t="shared" si="7"/>
        <v>0</v>
      </c>
      <c r="G260" s="194">
        <f t="shared" si="7"/>
        <v>805109.43053220119</v>
      </c>
      <c r="H260" s="187">
        <f t="shared" si="7"/>
        <v>352</v>
      </c>
      <c r="I260" s="187">
        <v>144.60937771389038</v>
      </c>
      <c r="J260" s="194">
        <v>320</v>
      </c>
      <c r="K260" s="194">
        <f t="shared" si="6"/>
        <v>19493428.356665544</v>
      </c>
      <c r="L260" s="37"/>
      <c r="M260"/>
    </row>
    <row r="261" spans="1:13" ht="15">
      <c r="A261" s="321">
        <v>42917</v>
      </c>
      <c r="B261" s="180"/>
      <c r="C261" s="190">
        <f>'Weather Analysis - Thunder Bay'!AA14</f>
        <v>34.996616541353319</v>
      </c>
      <c r="D261" s="190">
        <f>'Weather Analysis - Thunder Bay'!AA34</f>
        <v>41.516616541353415</v>
      </c>
      <c r="E261" s="194">
        <f t="shared" si="7"/>
        <v>31</v>
      </c>
      <c r="F261" s="194">
        <f t="shared" si="7"/>
        <v>0</v>
      </c>
      <c r="G261" s="194">
        <f t="shared" si="7"/>
        <v>802496.1351450769</v>
      </c>
      <c r="H261" s="187">
        <f t="shared" si="7"/>
        <v>320</v>
      </c>
      <c r="I261" s="187">
        <v>144.90724935506483</v>
      </c>
      <c r="J261" s="194">
        <v>352</v>
      </c>
      <c r="K261" s="194">
        <f t="shared" si="6"/>
        <v>20653457.629781876</v>
      </c>
      <c r="L261" s="37"/>
      <c r="M261"/>
    </row>
    <row r="262" spans="1:13" ht="15">
      <c r="A262" s="321">
        <v>42948</v>
      </c>
      <c r="B262" s="180"/>
      <c r="C262" s="190">
        <f>'Weather Analysis - Thunder Bay'!AA15</f>
        <v>48.162481203007474</v>
      </c>
      <c r="D262" s="190">
        <f>'Weather Analysis - Thunder Bay'!AA35</f>
        <v>33.181729323308446</v>
      </c>
      <c r="E262" s="194">
        <f t="shared" si="7"/>
        <v>31</v>
      </c>
      <c r="F262" s="194">
        <f t="shared" si="7"/>
        <v>0</v>
      </c>
      <c r="G262" s="194">
        <f t="shared" si="7"/>
        <v>799882.83975795261</v>
      </c>
      <c r="H262" s="187">
        <f t="shared" si="7"/>
        <v>352</v>
      </c>
      <c r="I262" s="187">
        <v>145.20573456304953</v>
      </c>
      <c r="J262" s="194">
        <v>336</v>
      </c>
      <c r="K262" s="194">
        <f t="shared" si="6"/>
        <v>20672666.97294018</v>
      </c>
      <c r="L262" s="37"/>
      <c r="M262"/>
    </row>
    <row r="263" spans="1:13" ht="15">
      <c r="A263" s="321">
        <v>42979</v>
      </c>
      <c r="B263" s="180"/>
      <c r="C263" s="190">
        <f>'Weather Analysis - Thunder Bay'!AA16</f>
        <v>175.57706766917295</v>
      </c>
      <c r="D263" s="190">
        <f>'Weather Analysis - Thunder Bay'!AA36</f>
        <v>5.6842857142857071</v>
      </c>
      <c r="E263" s="194">
        <f t="shared" si="7"/>
        <v>30</v>
      </c>
      <c r="F263" s="194">
        <f t="shared" si="7"/>
        <v>1</v>
      </c>
      <c r="G263" s="194">
        <f t="shared" si="7"/>
        <v>797269.54437082831</v>
      </c>
      <c r="H263" s="187">
        <f t="shared" si="7"/>
        <v>320</v>
      </c>
      <c r="I263" s="187">
        <v>145.50483460169167</v>
      </c>
      <c r="J263" s="194">
        <v>320</v>
      </c>
      <c r="K263" s="194">
        <f t="shared" si="6"/>
        <v>19147436.219600894</v>
      </c>
      <c r="L263" s="37"/>
      <c r="M263"/>
    </row>
    <row r="264" spans="1:13" ht="15">
      <c r="A264" s="321">
        <v>43009</v>
      </c>
      <c r="B264" s="180"/>
      <c r="C264" s="190">
        <f>'Weather Analysis - Thunder Bay'!AA17</f>
        <v>357.9927819548875</v>
      </c>
      <c r="D264" s="190">
        <f>'Weather Analysis - Thunder Bay'!AA37</f>
        <v>0.78360902255639076</v>
      </c>
      <c r="E264" s="194">
        <f t="shared" si="7"/>
        <v>31</v>
      </c>
      <c r="F264" s="194">
        <f t="shared" si="7"/>
        <v>1</v>
      </c>
      <c r="G264" s="194">
        <f t="shared" si="7"/>
        <v>794656.24898370402</v>
      </c>
      <c r="H264" s="187">
        <f t="shared" si="7"/>
        <v>336</v>
      </c>
      <c r="I264" s="187">
        <v>145.8045507374417</v>
      </c>
      <c r="J264" s="194">
        <v>352</v>
      </c>
      <c r="K264" s="194">
        <f t="shared" si="6"/>
        <v>21133207.336936545</v>
      </c>
      <c r="L264" s="37"/>
      <c r="M264"/>
    </row>
    <row r="265" spans="1:13" ht="15">
      <c r="A265" s="321">
        <v>43040</v>
      </c>
      <c r="B265" s="180"/>
      <c r="C265" s="190">
        <f>'Weather Analysis - Thunder Bay'!AA18</f>
        <v>558.62721804511284</v>
      </c>
      <c r="D265" s="190">
        <f>'Weather Analysis - Thunder Bay'!AA38</f>
        <v>0</v>
      </c>
      <c r="E265" s="194">
        <f t="shared" si="7"/>
        <v>30</v>
      </c>
      <c r="F265" s="194">
        <f t="shared" si="7"/>
        <v>1</v>
      </c>
      <c r="G265" s="194">
        <f t="shared" si="7"/>
        <v>792042.95359657973</v>
      </c>
      <c r="H265" s="187">
        <f t="shared" si="7"/>
        <v>352</v>
      </c>
      <c r="I265" s="187">
        <v>146.1048842393588</v>
      </c>
      <c r="J265" s="194">
        <v>336</v>
      </c>
      <c r="K265" s="194">
        <f t="shared" si="6"/>
        <v>22497457.499425884</v>
      </c>
      <c r="L265" s="37"/>
      <c r="M265"/>
    </row>
    <row r="266" spans="1:13" ht="15">
      <c r="A266" s="321">
        <v>43070</v>
      </c>
      <c r="B266" s="180"/>
      <c r="C266" s="190">
        <f>'Weather Analysis - Thunder Bay'!AA19</f>
        <v>843.2869924812029</v>
      </c>
      <c r="D266" s="190">
        <f>'Weather Analysis - Thunder Bay'!AA39</f>
        <v>0</v>
      </c>
      <c r="E266" s="194">
        <f t="shared" si="7"/>
        <v>31</v>
      </c>
      <c r="F266" s="194">
        <f t="shared" si="7"/>
        <v>0</v>
      </c>
      <c r="G266" s="194">
        <f t="shared" si="7"/>
        <v>789429.65820945543</v>
      </c>
      <c r="H266" s="187">
        <f t="shared" si="7"/>
        <v>304</v>
      </c>
      <c r="I266" s="187">
        <v>146.40583637911641</v>
      </c>
      <c r="J266" s="194">
        <v>320</v>
      </c>
      <c r="K266" s="194">
        <f t="shared" si="6"/>
        <v>25757492.909349535</v>
      </c>
      <c r="L266" s="287">
        <f>SUM(K255:K266)</f>
        <v>267534289.03812748</v>
      </c>
      <c r="M266"/>
    </row>
    <row r="267" spans="1:13">
      <c r="M267"/>
    </row>
    <row r="268" spans="1:13">
      <c r="M268"/>
    </row>
    <row r="269" spans="1:13">
      <c r="M269"/>
    </row>
    <row r="270" spans="1:13">
      <c r="M270"/>
    </row>
    <row r="271" spans="1:13">
      <c r="M271"/>
    </row>
    <row r="272" spans="1:13">
      <c r="M272"/>
    </row>
    <row r="273" spans="2:13">
      <c r="B273"/>
      <c r="C273"/>
      <c r="D273"/>
      <c r="E273"/>
      <c r="F273"/>
      <c r="G273"/>
      <c r="H273"/>
      <c r="I273"/>
      <c r="J273"/>
      <c r="K273"/>
      <c r="L273"/>
      <c r="M273"/>
    </row>
    <row r="274" spans="2:13">
      <c r="B274"/>
      <c r="C274"/>
      <c r="D274"/>
      <c r="E274"/>
      <c r="F274"/>
      <c r="G274"/>
      <c r="H274"/>
      <c r="I274"/>
      <c r="J274"/>
      <c r="K274"/>
      <c r="L274"/>
      <c r="M274"/>
    </row>
  </sheetData>
  <mergeCells count="2">
    <mergeCell ref="O233:P233"/>
    <mergeCell ref="I1:J1"/>
  </mergeCells>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74"/>
  <sheetViews>
    <sheetView workbookViewId="0">
      <selection sqref="A1:XFD1048576"/>
    </sheetView>
  </sheetViews>
  <sheetFormatPr defaultRowHeight="12.75"/>
  <cols>
    <col min="1" max="1" width="11.85546875" customWidth="1"/>
    <col min="2" max="2" width="18" style="5" customWidth="1"/>
    <col min="3" max="3" width="11.7109375" style="177" customWidth="1"/>
    <col min="4" max="4" width="13.42578125" style="198" customWidth="1"/>
    <col min="5" max="5" width="10.140625" style="198" customWidth="1"/>
    <col min="6" max="7" width="12.42578125" style="198" customWidth="1"/>
    <col min="8" max="8" width="14.42578125" style="23" customWidth="1"/>
    <col min="9" max="10" width="12.42578125" style="198" hidden="1" customWidth="1"/>
    <col min="11" max="11" width="15.42578125" style="198" bestFit="1" customWidth="1"/>
    <col min="12" max="12" width="17" style="198" customWidth="1"/>
    <col min="13" max="13" width="12.42578125" style="19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5">
      <c r="G1"/>
      <c r="I1" s="283"/>
      <c r="J1" s="283"/>
    </row>
    <row r="2" spans="1:15" ht="42" customHeight="1">
      <c r="A2" s="181"/>
      <c r="B2" s="261" t="s">
        <v>77</v>
      </c>
      <c r="C2" s="262" t="s">
        <v>1</v>
      </c>
      <c r="D2" s="262" t="s">
        <v>2</v>
      </c>
      <c r="E2" s="262" t="s">
        <v>3</v>
      </c>
      <c r="F2" s="262" t="s">
        <v>14</v>
      </c>
      <c r="G2" s="262" t="s">
        <v>56</v>
      </c>
      <c r="H2" s="263" t="s">
        <v>4</v>
      </c>
      <c r="I2" s="262" t="s">
        <v>49</v>
      </c>
      <c r="J2" s="262" t="s">
        <v>58</v>
      </c>
      <c r="K2" s="262" t="s">
        <v>78</v>
      </c>
      <c r="L2" s="262" t="s">
        <v>7</v>
      </c>
      <c r="M2" s="262" t="s">
        <v>8</v>
      </c>
    </row>
    <row r="3" spans="1:15" ht="12.75" hidden="1" customHeight="1">
      <c r="A3" s="191">
        <v>36161</v>
      </c>
      <c r="B3" s="284">
        <v>9862037.5</v>
      </c>
      <c r="C3" s="194">
        <f>'Weather Data'!B99</f>
        <v>994.7</v>
      </c>
      <c r="D3" s="194">
        <f>'Weather Data'!C99</f>
        <v>0</v>
      </c>
      <c r="E3" s="194">
        <v>30</v>
      </c>
      <c r="F3" s="194">
        <v>0</v>
      </c>
      <c r="G3" s="184">
        <v>0</v>
      </c>
      <c r="H3" s="195">
        <v>105.44819844915847</v>
      </c>
      <c r="I3" s="184">
        <v>14</v>
      </c>
      <c r="J3" s="194">
        <v>320</v>
      </c>
      <c r="K3" s="194"/>
      <c r="L3" s="194"/>
      <c r="M3" s="285"/>
    </row>
    <row r="4" spans="1:15" ht="12.75" hidden="1" customHeight="1">
      <c r="A4" s="191">
        <v>36192</v>
      </c>
      <c r="B4" s="284">
        <v>11690812.520000001</v>
      </c>
      <c r="C4" s="194">
        <f>'Weather Data'!B100</f>
        <v>718.7</v>
      </c>
      <c r="D4" s="194">
        <f>'Weather Data'!C100</f>
        <v>0</v>
      </c>
      <c r="E4" s="194">
        <v>28</v>
      </c>
      <c r="F4" s="194">
        <v>0</v>
      </c>
      <c r="G4" s="184">
        <v>0</v>
      </c>
      <c r="H4" s="195">
        <v>106.08666118100913</v>
      </c>
      <c r="I4" s="184">
        <v>17</v>
      </c>
      <c r="J4" s="194">
        <v>319.87200000000001</v>
      </c>
      <c r="K4" s="194"/>
      <c r="L4" s="194"/>
      <c r="M4" s="285"/>
    </row>
    <row r="5" spans="1:15" ht="12.75" hidden="1" customHeight="1">
      <c r="A5" s="191">
        <v>36220</v>
      </c>
      <c r="B5" s="284">
        <v>11740010.240000002</v>
      </c>
      <c r="C5" s="194">
        <f>'Weather Data'!B101</f>
        <v>710.1</v>
      </c>
      <c r="D5" s="194">
        <f>'Weather Data'!C101</f>
        <v>0</v>
      </c>
      <c r="E5" s="194">
        <v>31</v>
      </c>
      <c r="F5" s="194">
        <v>1</v>
      </c>
      <c r="G5" s="184">
        <v>0</v>
      </c>
      <c r="H5" s="195">
        <v>106.72898964661303</v>
      </c>
      <c r="I5" s="184">
        <v>17</v>
      </c>
      <c r="J5" s="194">
        <v>368.28</v>
      </c>
      <c r="K5" s="194"/>
      <c r="L5" s="194"/>
      <c r="M5" s="285"/>
    </row>
    <row r="6" spans="1:15" ht="12.75" hidden="1" customHeight="1">
      <c r="A6" s="191">
        <v>36251</v>
      </c>
      <c r="B6" s="284">
        <v>12027362.889999999</v>
      </c>
      <c r="C6" s="194">
        <f>'Weather Data'!B102</f>
        <v>407.7</v>
      </c>
      <c r="D6" s="194">
        <f>'Weather Data'!C102</f>
        <v>0</v>
      </c>
      <c r="E6" s="194">
        <v>30</v>
      </c>
      <c r="F6" s="194">
        <v>1</v>
      </c>
      <c r="G6" s="184">
        <v>0</v>
      </c>
      <c r="H6" s="195">
        <v>107.37520725203085</v>
      </c>
      <c r="I6" s="184">
        <v>17</v>
      </c>
      <c r="J6" s="194">
        <v>336.24</v>
      </c>
      <c r="K6" s="194"/>
      <c r="L6" s="194"/>
      <c r="M6" s="285"/>
    </row>
    <row r="7" spans="1:15" ht="12.75" hidden="1" customHeight="1">
      <c r="A7" s="191">
        <v>36281</v>
      </c>
      <c r="B7" s="284">
        <v>13222460.050000001</v>
      </c>
      <c r="C7" s="194">
        <f>'Weather Data'!B103</f>
        <v>224.7</v>
      </c>
      <c r="D7" s="194">
        <f>'Weather Data'!C103</f>
        <v>2.6</v>
      </c>
      <c r="E7" s="194">
        <v>31</v>
      </c>
      <c r="F7" s="194">
        <v>1</v>
      </c>
      <c r="G7" s="184">
        <v>0</v>
      </c>
      <c r="H7" s="195">
        <v>108.02533754504118</v>
      </c>
      <c r="I7" s="184">
        <v>18</v>
      </c>
      <c r="J7" s="194">
        <v>319.92</v>
      </c>
      <c r="K7" s="194"/>
      <c r="L7" s="194"/>
      <c r="M7" s="285"/>
    </row>
    <row r="8" spans="1:15" ht="12.75" hidden="1" customHeight="1">
      <c r="A8" s="191">
        <v>36312</v>
      </c>
      <c r="B8" s="284">
        <v>13183429.859999999</v>
      </c>
      <c r="C8" s="194">
        <f>'Weather Data'!B104</f>
        <v>91.9</v>
      </c>
      <c r="D8" s="194">
        <f>'Weather Data'!C104</f>
        <v>11.4</v>
      </c>
      <c r="E8" s="194">
        <v>30</v>
      </c>
      <c r="F8" s="194">
        <v>0</v>
      </c>
      <c r="G8" s="184">
        <v>0</v>
      </c>
      <c r="H8" s="195">
        <v>108.6794042159986</v>
      </c>
      <c r="I8" s="184">
        <v>18</v>
      </c>
      <c r="J8" s="194">
        <v>352.08</v>
      </c>
      <c r="K8" s="194"/>
      <c r="L8" s="194"/>
      <c r="M8" s="285"/>
    </row>
    <row r="9" spans="1:15" ht="12.75" hidden="1" customHeight="1">
      <c r="A9" s="191">
        <v>36342</v>
      </c>
      <c r="B9" s="284">
        <v>13766070.739999998</v>
      </c>
      <c r="C9" s="194">
        <f>'Weather Data'!B105</f>
        <v>24.2</v>
      </c>
      <c r="D9" s="194">
        <f>'Weather Data'!C105</f>
        <v>59.3</v>
      </c>
      <c r="E9" s="194">
        <v>31</v>
      </c>
      <c r="F9" s="194">
        <v>0</v>
      </c>
      <c r="G9" s="184">
        <v>0</v>
      </c>
      <c r="H9" s="195">
        <v>109.33743109869688</v>
      </c>
      <c r="I9" s="184">
        <v>18</v>
      </c>
      <c r="J9" s="194">
        <v>336.28800000000001</v>
      </c>
      <c r="K9" s="194"/>
      <c r="L9" s="194"/>
      <c r="M9" s="285"/>
    </row>
    <row r="10" spans="1:15" ht="12.75" hidden="1" customHeight="1">
      <c r="A10" s="191">
        <v>36373</v>
      </c>
      <c r="B10" s="284">
        <v>12805554.739999998</v>
      </c>
      <c r="C10" s="194">
        <f>'Weather Data'!B106</f>
        <v>74</v>
      </c>
      <c r="D10" s="194">
        <f>'Weather Data'!C106</f>
        <v>12.2</v>
      </c>
      <c r="E10" s="194">
        <v>31</v>
      </c>
      <c r="F10" s="194">
        <v>0</v>
      </c>
      <c r="G10" s="184">
        <v>0</v>
      </c>
      <c r="H10" s="195">
        <v>109.99944217123755</v>
      </c>
      <c r="I10" s="184">
        <v>18</v>
      </c>
      <c r="J10" s="194">
        <v>336.28800000000001</v>
      </c>
      <c r="K10" s="194"/>
      <c r="L10" s="194"/>
      <c r="M10" s="285"/>
    </row>
    <row r="11" spans="1:15" ht="12.75" hidden="1" customHeight="1">
      <c r="A11" s="191">
        <v>36404</v>
      </c>
      <c r="B11" s="284">
        <v>12976915.74</v>
      </c>
      <c r="C11" s="194">
        <f>'Weather Data'!B107</f>
        <v>194</v>
      </c>
      <c r="D11" s="194">
        <f>'Weather Data'!C107</f>
        <v>5.7</v>
      </c>
      <c r="E11" s="194">
        <v>30</v>
      </c>
      <c r="F11" s="194">
        <v>1</v>
      </c>
      <c r="G11" s="184">
        <v>0</v>
      </c>
      <c r="H11" s="195">
        <v>110.66546155690358</v>
      </c>
      <c r="I11" s="184">
        <v>18</v>
      </c>
      <c r="J11" s="194">
        <v>336.24</v>
      </c>
      <c r="K11" s="194"/>
      <c r="L11" s="194"/>
      <c r="M11" s="285"/>
      <c r="N11" t="s">
        <v>277</v>
      </c>
    </row>
    <row r="12" spans="1:15" ht="12.75" hidden="1" customHeight="1">
      <c r="A12" s="191">
        <v>36434</v>
      </c>
      <c r="B12" s="284">
        <v>14064243.83</v>
      </c>
      <c r="C12" s="194">
        <f>'Weather Data'!B108</f>
        <v>423.1</v>
      </c>
      <c r="D12" s="194">
        <f>'Weather Data'!C108</f>
        <v>0</v>
      </c>
      <c r="E12" s="194">
        <v>31</v>
      </c>
      <c r="F12" s="194">
        <v>1</v>
      </c>
      <c r="G12" s="184">
        <v>0</v>
      </c>
      <c r="H12" s="195">
        <v>111.33551352503846</v>
      </c>
      <c r="I12" s="184">
        <v>17</v>
      </c>
      <c r="J12" s="194">
        <v>319.92</v>
      </c>
      <c r="K12" s="194"/>
      <c r="L12" s="194"/>
      <c r="M12" s="285"/>
    </row>
    <row r="13" spans="1:15" ht="12.75" hidden="1" customHeight="1">
      <c r="A13" s="191">
        <v>36465</v>
      </c>
      <c r="B13" s="284">
        <v>14094673.089999998</v>
      </c>
      <c r="C13" s="194">
        <f>'Weather Data'!B109</f>
        <v>500.7</v>
      </c>
      <c r="D13" s="194">
        <f>'Weather Data'!C109</f>
        <v>0</v>
      </c>
      <c r="E13" s="194">
        <v>30</v>
      </c>
      <c r="F13" s="194">
        <v>1</v>
      </c>
      <c r="G13" s="184">
        <v>0</v>
      </c>
      <c r="H13" s="195">
        <v>112.00962249193054</v>
      </c>
      <c r="I13" s="184">
        <v>17</v>
      </c>
      <c r="J13" s="194">
        <v>352.08</v>
      </c>
      <c r="K13" s="194"/>
      <c r="L13" s="194"/>
      <c r="M13" s="285"/>
      <c r="N13" t="s">
        <v>278</v>
      </c>
    </row>
    <row r="14" spans="1:15" ht="12.75" hidden="1" customHeight="1">
      <c r="A14" s="191">
        <v>36495</v>
      </c>
      <c r="B14" s="284">
        <v>14344112.389999999</v>
      </c>
      <c r="C14" s="194">
        <f>'Weather Data'!B110</f>
        <v>817.1</v>
      </c>
      <c r="D14" s="194">
        <f>'Weather Data'!C110</f>
        <v>0</v>
      </c>
      <c r="E14" s="194">
        <v>31</v>
      </c>
      <c r="F14" s="194">
        <v>0</v>
      </c>
      <c r="G14" s="184">
        <v>0</v>
      </c>
      <c r="H14" s="195">
        <v>112.68781302170287</v>
      </c>
      <c r="I14" s="184">
        <v>17</v>
      </c>
      <c r="J14" s="194">
        <v>336.28800000000001</v>
      </c>
      <c r="K14" s="194"/>
      <c r="L14" s="194"/>
      <c r="M14" s="285"/>
      <c r="N14" t="s">
        <v>279</v>
      </c>
      <c r="O14">
        <v>0.65349100288959461</v>
      </c>
    </row>
    <row r="15" spans="1:15" ht="12.75" hidden="1" customHeight="1">
      <c r="A15" s="191">
        <v>36526</v>
      </c>
      <c r="B15" s="284">
        <v>13074780.039999999</v>
      </c>
      <c r="C15" s="194">
        <f>'Weather Data'!B111</f>
        <v>963.5</v>
      </c>
      <c r="D15" s="194">
        <f>'Weather Data'!C111</f>
        <v>0</v>
      </c>
      <c r="E15" s="194">
        <v>31</v>
      </c>
      <c r="F15" s="194">
        <v>0</v>
      </c>
      <c r="G15" s="184">
        <v>0</v>
      </c>
      <c r="H15" s="195">
        <v>113.20550742744629</v>
      </c>
      <c r="I15" s="184">
        <v>18</v>
      </c>
      <c r="J15" s="194">
        <v>319.92</v>
      </c>
      <c r="K15" s="194"/>
      <c r="L15" s="194"/>
      <c r="M15" s="285"/>
      <c r="N15" t="s">
        <v>280</v>
      </c>
      <c r="O15">
        <v>0.42705049085764812</v>
      </c>
    </row>
    <row r="16" spans="1:15" ht="12.75" hidden="1" customHeight="1">
      <c r="A16" s="191">
        <v>36557</v>
      </c>
      <c r="B16" s="284">
        <v>11676878.9</v>
      </c>
      <c r="C16" s="194">
        <f>'Weather Data'!B112</f>
        <v>711.5</v>
      </c>
      <c r="D16" s="194">
        <f>'Weather Data'!C112</f>
        <v>0</v>
      </c>
      <c r="E16" s="194">
        <v>29</v>
      </c>
      <c r="F16" s="194">
        <v>0</v>
      </c>
      <c r="G16" s="184">
        <v>0</v>
      </c>
      <c r="H16" s="195">
        <v>113.72558015157706</v>
      </c>
      <c r="I16" s="184">
        <v>18</v>
      </c>
      <c r="J16" s="194">
        <v>336.16799999999995</v>
      </c>
      <c r="K16" s="194"/>
      <c r="L16" s="194"/>
      <c r="M16" s="285"/>
      <c r="N16" t="s">
        <v>280</v>
      </c>
      <c r="O16">
        <v>0.38575683254108223</v>
      </c>
    </row>
    <row r="17" spans="1:22" ht="12.75" hidden="1" customHeight="1">
      <c r="A17" s="191">
        <v>36586</v>
      </c>
      <c r="B17" s="284">
        <v>12750067.079999996</v>
      </c>
      <c r="C17" s="194">
        <f>'Weather Data'!B113</f>
        <v>574.6</v>
      </c>
      <c r="D17" s="194">
        <f>'Weather Data'!C113</f>
        <v>0</v>
      </c>
      <c r="E17" s="194">
        <v>31</v>
      </c>
      <c r="F17" s="194">
        <v>1</v>
      </c>
      <c r="G17" s="184">
        <v>0</v>
      </c>
      <c r="H17" s="195">
        <v>114.24804212022897</v>
      </c>
      <c r="I17" s="184">
        <v>18</v>
      </c>
      <c r="J17" s="194">
        <v>368.28</v>
      </c>
      <c r="K17" s="194"/>
      <c r="L17" s="194"/>
      <c r="M17" s="285"/>
      <c r="N17" t="s">
        <v>281</v>
      </c>
      <c r="O17">
        <v>1548565.3832599595</v>
      </c>
    </row>
    <row r="18" spans="1:22" ht="15" hidden="1" customHeight="1">
      <c r="A18" s="191">
        <v>36617</v>
      </c>
      <c r="B18" s="284">
        <v>13487172.91</v>
      </c>
      <c r="C18" s="194">
        <f>'Weather Data'!B114</f>
        <v>485.6</v>
      </c>
      <c r="D18" s="194">
        <f>'Weather Data'!C114</f>
        <v>0</v>
      </c>
      <c r="E18" s="194">
        <v>30</v>
      </c>
      <c r="F18" s="194">
        <v>1</v>
      </c>
      <c r="G18" s="184">
        <v>0</v>
      </c>
      <c r="H18" s="195">
        <v>114.77290430973115</v>
      </c>
      <c r="I18" s="184">
        <v>18</v>
      </c>
      <c r="J18" s="194">
        <v>303.83999999999997</v>
      </c>
      <c r="K18" s="194"/>
      <c r="L18" s="194"/>
      <c r="M18" s="285"/>
      <c r="N18" t="s">
        <v>21</v>
      </c>
      <c r="O18">
        <v>120</v>
      </c>
    </row>
    <row r="19" spans="1:22" ht="12.75" hidden="1" customHeight="1">
      <c r="A19" s="191">
        <v>36647</v>
      </c>
      <c r="B19" s="284">
        <v>13794737.400000002</v>
      </c>
      <c r="C19" s="194">
        <f>'Weather Data'!B115</f>
        <v>260.5</v>
      </c>
      <c r="D19" s="194">
        <f>'Weather Data'!C115</f>
        <v>0</v>
      </c>
      <c r="E19" s="194">
        <v>31</v>
      </c>
      <c r="F19" s="194">
        <v>1</v>
      </c>
      <c r="G19" s="184">
        <v>0</v>
      </c>
      <c r="H19" s="195">
        <v>115.30017774683859</v>
      </c>
      <c r="I19" s="184">
        <v>18</v>
      </c>
      <c r="J19" s="194">
        <v>351.91199999999998</v>
      </c>
      <c r="K19" s="194"/>
      <c r="L19" s="194"/>
      <c r="M19" s="285"/>
    </row>
    <row r="20" spans="1:22" ht="12.75" hidden="1" customHeight="1">
      <c r="A20" s="191">
        <v>36678</v>
      </c>
      <c r="B20" s="284">
        <v>13261985.689999998</v>
      </c>
      <c r="C20" s="194">
        <f>'Weather Data'!B116</f>
        <v>155.69999999999999</v>
      </c>
      <c r="D20" s="194">
        <f>'Weather Data'!C116</f>
        <v>2.2999999999999998</v>
      </c>
      <c r="E20" s="194">
        <v>30</v>
      </c>
      <c r="F20" s="194">
        <v>0</v>
      </c>
      <c r="G20" s="184">
        <v>0</v>
      </c>
      <c r="H20" s="195">
        <v>115.82987350896386</v>
      </c>
      <c r="I20" s="184">
        <v>18</v>
      </c>
      <c r="J20" s="194">
        <v>352.08</v>
      </c>
      <c r="K20" s="194"/>
      <c r="L20" s="194"/>
      <c r="M20" s="285"/>
      <c r="N20" t="s">
        <v>282</v>
      </c>
    </row>
    <row r="21" spans="1:22" ht="12.75" hidden="1" customHeight="1">
      <c r="A21" s="191">
        <v>36708</v>
      </c>
      <c r="B21" s="284">
        <v>13635318.189999999</v>
      </c>
      <c r="C21" s="194">
        <f>'Weather Data'!B117</f>
        <v>55.7</v>
      </c>
      <c r="D21" s="194">
        <f>'Weather Data'!C117</f>
        <v>20.8</v>
      </c>
      <c r="E21" s="194">
        <v>31</v>
      </c>
      <c r="F21" s="194">
        <v>0</v>
      </c>
      <c r="G21" s="184">
        <v>0</v>
      </c>
      <c r="H21" s="195">
        <v>116.36200272440982</v>
      </c>
      <c r="I21" s="184">
        <v>18</v>
      </c>
      <c r="J21" s="194">
        <v>319.92</v>
      </c>
      <c r="K21" s="194"/>
      <c r="L21" s="194"/>
      <c r="M21" s="285"/>
      <c r="O21" t="s">
        <v>286</v>
      </c>
      <c r="P21" t="s">
        <v>287</v>
      </c>
      <c r="Q21" t="s">
        <v>288</v>
      </c>
      <c r="R21" t="s">
        <v>29</v>
      </c>
      <c r="S21" t="s">
        <v>289</v>
      </c>
    </row>
    <row r="22" spans="1:22" ht="12.75" hidden="1" customHeight="1">
      <c r="A22" s="191">
        <v>36739</v>
      </c>
      <c r="B22" s="284">
        <v>13527694.810000001</v>
      </c>
      <c r="C22" s="194">
        <f>'Weather Data'!B118</f>
        <v>63.4</v>
      </c>
      <c r="D22" s="194">
        <f>'Weather Data'!C118</f>
        <v>9.8000000000000007</v>
      </c>
      <c r="E22" s="194">
        <v>31</v>
      </c>
      <c r="F22" s="194">
        <v>0</v>
      </c>
      <c r="G22" s="184">
        <v>0</v>
      </c>
      <c r="H22" s="195">
        <v>116.89657657260338</v>
      </c>
      <c r="I22" s="184">
        <v>18</v>
      </c>
      <c r="J22" s="194">
        <v>351.91199999999998</v>
      </c>
      <c r="K22" s="194"/>
      <c r="L22" s="194"/>
      <c r="M22" s="285"/>
      <c r="N22" t="s">
        <v>283</v>
      </c>
      <c r="O22">
        <v>8</v>
      </c>
      <c r="P22">
        <v>198401497611201.34</v>
      </c>
      <c r="Q22">
        <v>24800187201400.168</v>
      </c>
      <c r="R22">
        <v>10.341793589315554</v>
      </c>
      <c r="S22">
        <v>9.9742081023055607E-11</v>
      </c>
    </row>
    <row r="23" spans="1:22" ht="12.75" hidden="1" customHeight="1">
      <c r="A23" s="191">
        <v>36770</v>
      </c>
      <c r="B23" s="284">
        <v>12622703.469999999</v>
      </c>
      <c r="C23" s="194">
        <f>'Weather Data'!B119</f>
        <v>223.3</v>
      </c>
      <c r="D23" s="194">
        <f>'Weather Data'!C119</f>
        <v>0</v>
      </c>
      <c r="E23" s="194">
        <v>30</v>
      </c>
      <c r="F23" s="194">
        <v>1</v>
      </c>
      <c r="G23" s="184">
        <v>0</v>
      </c>
      <c r="H23" s="195">
        <v>117.43360628433041</v>
      </c>
      <c r="I23" s="184">
        <v>18</v>
      </c>
      <c r="J23" s="194">
        <v>319.68</v>
      </c>
      <c r="K23" s="194"/>
      <c r="L23" s="194"/>
      <c r="M23" s="285"/>
      <c r="N23" t="s">
        <v>284</v>
      </c>
      <c r="O23">
        <v>111</v>
      </c>
      <c r="P23">
        <v>266184076831648.28</v>
      </c>
      <c r="Q23">
        <v>2398054746231.0654</v>
      </c>
    </row>
    <row r="24" spans="1:22" ht="12.75" hidden="1" customHeight="1" thickBot="1">
      <c r="A24" s="191">
        <v>36800</v>
      </c>
      <c r="B24" s="284">
        <v>14258085.000000002</v>
      </c>
      <c r="C24" s="194">
        <f>'Weather Data'!B120</f>
        <v>372.2</v>
      </c>
      <c r="D24" s="194">
        <f>'Weather Data'!C120</f>
        <v>0</v>
      </c>
      <c r="E24" s="194">
        <v>31</v>
      </c>
      <c r="F24" s="194">
        <v>1</v>
      </c>
      <c r="G24" s="184">
        <v>0</v>
      </c>
      <c r="H24" s="195">
        <v>117.97310314197166</v>
      </c>
      <c r="I24" s="184">
        <v>18</v>
      </c>
      <c r="J24" s="194">
        <v>336.28800000000001</v>
      </c>
      <c r="K24" s="194"/>
      <c r="L24" s="194"/>
      <c r="M24" s="285"/>
      <c r="N24" t="s">
        <v>5</v>
      </c>
      <c r="O24">
        <v>119</v>
      </c>
      <c r="P24">
        <v>464585574442849.62</v>
      </c>
    </row>
    <row r="25" spans="1:22" ht="12.75" hidden="1" customHeight="1">
      <c r="A25" s="191">
        <v>36831</v>
      </c>
      <c r="B25" s="284">
        <v>14599664.919999998</v>
      </c>
      <c r="C25" s="194">
        <f>'Weather Data'!B121</f>
        <v>561.6</v>
      </c>
      <c r="D25" s="194">
        <f>'Weather Data'!C121</f>
        <v>0</v>
      </c>
      <c r="E25" s="194">
        <v>30</v>
      </c>
      <c r="F25" s="194">
        <v>1</v>
      </c>
      <c r="G25" s="184">
        <v>0</v>
      </c>
      <c r="H25" s="195">
        <v>118.51507847973981</v>
      </c>
      <c r="I25" s="184">
        <v>18</v>
      </c>
      <c r="J25" s="194">
        <v>352.08</v>
      </c>
      <c r="K25" s="194"/>
      <c r="L25" s="194"/>
      <c r="M25" s="285"/>
    </row>
    <row r="26" spans="1:22" ht="12.75" hidden="1" customHeight="1">
      <c r="A26" s="191">
        <v>36861</v>
      </c>
      <c r="B26" s="284">
        <v>15440779.390000001</v>
      </c>
      <c r="C26" s="194">
        <f>'Weather Data'!B122</f>
        <v>1041.3</v>
      </c>
      <c r="D26" s="194">
        <f>'Weather Data'!C122</f>
        <v>0</v>
      </c>
      <c r="E26" s="194">
        <v>31</v>
      </c>
      <c r="F26" s="194">
        <v>0</v>
      </c>
      <c r="G26" s="184">
        <v>0</v>
      </c>
      <c r="H26" s="195">
        <v>119.05954368391765</v>
      </c>
      <c r="I26" s="184">
        <v>18</v>
      </c>
      <c r="J26" s="194">
        <v>304.29599999999999</v>
      </c>
      <c r="K26" s="194"/>
      <c r="L26" s="194"/>
      <c r="M26" s="285"/>
      <c r="O26" t="s">
        <v>31</v>
      </c>
      <c r="P26" t="s">
        <v>281</v>
      </c>
      <c r="Q26" t="s">
        <v>290</v>
      </c>
      <c r="R26" t="s">
        <v>291</v>
      </c>
      <c r="S26" t="s">
        <v>292</v>
      </c>
      <c r="T26" t="s">
        <v>293</v>
      </c>
      <c r="U26" t="s">
        <v>294</v>
      </c>
      <c r="V26" t="s">
        <v>295</v>
      </c>
    </row>
    <row r="27" spans="1:22" ht="12.75" hidden="1" customHeight="1">
      <c r="A27" s="191">
        <v>36892</v>
      </c>
      <c r="B27" s="284">
        <v>13891930.359999999</v>
      </c>
      <c r="C27" s="194">
        <f>'Weather Data'!B123</f>
        <v>898.8</v>
      </c>
      <c r="D27" s="194">
        <f>'Weather Data'!C123</f>
        <v>0</v>
      </c>
      <c r="E27" s="194">
        <v>31</v>
      </c>
      <c r="F27" s="194">
        <v>0</v>
      </c>
      <c r="G27" s="184">
        <v>0</v>
      </c>
      <c r="H27" s="195">
        <v>119.23206305749976</v>
      </c>
      <c r="I27" s="184">
        <v>18</v>
      </c>
      <c r="J27" s="194">
        <v>351.91199999999998</v>
      </c>
      <c r="K27" s="194"/>
      <c r="L27" s="194"/>
      <c r="M27" s="285"/>
      <c r="N27" t="s">
        <v>285</v>
      </c>
      <c r="O27">
        <v>43569335.618447855</v>
      </c>
      <c r="P27">
        <v>9543051.9210378826</v>
      </c>
      <c r="Q27">
        <v>4.5655557550093828</v>
      </c>
      <c r="R27">
        <v>1.2952263041766316E-5</v>
      </c>
      <c r="S27">
        <v>24659141.170679413</v>
      </c>
      <c r="T27">
        <v>62479530.066216297</v>
      </c>
      <c r="U27">
        <v>24659141.170679413</v>
      </c>
      <c r="V27">
        <v>62479530.066216297</v>
      </c>
    </row>
    <row r="28" spans="1:22" ht="12.75" hidden="1" customHeight="1">
      <c r="A28" s="191">
        <v>36925</v>
      </c>
      <c r="B28" s="284">
        <v>11609550.650000002</v>
      </c>
      <c r="C28" s="194">
        <f>'Weather Data'!B124</f>
        <v>918.9</v>
      </c>
      <c r="D28" s="194">
        <f>'Weather Data'!C124</f>
        <v>0</v>
      </c>
      <c r="E28" s="194">
        <v>28</v>
      </c>
      <c r="F28" s="194">
        <v>0</v>
      </c>
      <c r="G28" s="184">
        <v>0</v>
      </c>
      <c r="H28" s="195">
        <v>119.40483241468957</v>
      </c>
      <c r="I28" s="184">
        <v>18</v>
      </c>
      <c r="J28" s="194">
        <v>319.87200000000001</v>
      </c>
      <c r="K28" s="194"/>
      <c r="L28" s="194"/>
      <c r="M28" s="285"/>
      <c r="N28" t="s">
        <v>296</v>
      </c>
      <c r="O28">
        <v>-220.84861478006755</v>
      </c>
      <c r="P28">
        <v>573.12839941609309</v>
      </c>
      <c r="Q28">
        <v>-0.38533880890402489</v>
      </c>
      <c r="R28">
        <v>0.70072384952994571</v>
      </c>
      <c r="S28">
        <v>-1356.5407985985437</v>
      </c>
      <c r="T28">
        <v>914.84356903840865</v>
      </c>
      <c r="U28">
        <v>-1356.5407985985437</v>
      </c>
      <c r="V28">
        <v>914.84356903840865</v>
      </c>
    </row>
    <row r="29" spans="1:22" ht="12.75" hidden="1" customHeight="1">
      <c r="A29" s="191">
        <v>36958</v>
      </c>
      <c r="B29" s="284">
        <v>12415213.91</v>
      </c>
      <c r="C29" s="194">
        <f>'Weather Data'!B125</f>
        <v>702.7</v>
      </c>
      <c r="D29" s="194">
        <f>'Weather Data'!C125</f>
        <v>0</v>
      </c>
      <c r="E29" s="194">
        <v>31</v>
      </c>
      <c r="F29" s="194">
        <v>1</v>
      </c>
      <c r="G29" s="184">
        <v>0</v>
      </c>
      <c r="H29" s="195">
        <v>119.57785211771773</v>
      </c>
      <c r="I29" s="184">
        <v>18</v>
      </c>
      <c r="J29" s="194">
        <v>351.91199999999998</v>
      </c>
      <c r="K29" s="194"/>
      <c r="L29" s="194"/>
      <c r="M29" s="285"/>
      <c r="N29" t="s">
        <v>297</v>
      </c>
      <c r="O29">
        <v>-6215.0387759072573</v>
      </c>
      <c r="P29">
        <v>13875.379677503819</v>
      </c>
      <c r="Q29">
        <v>-0.4479184656823274</v>
      </c>
      <c r="R29">
        <v>0.65508504379533627</v>
      </c>
      <c r="S29">
        <v>-33710.029886641481</v>
      </c>
      <c r="T29">
        <v>21279.952334826969</v>
      </c>
      <c r="U29">
        <v>-33710.029886641481</v>
      </c>
      <c r="V29">
        <v>21279.952334826969</v>
      </c>
    </row>
    <row r="30" spans="1:22" ht="12.75" hidden="1" customHeight="1">
      <c r="A30" s="191">
        <v>36991</v>
      </c>
      <c r="B30" s="284">
        <v>13820066.210000001</v>
      </c>
      <c r="C30" s="194">
        <f>'Weather Data'!B126</f>
        <v>430.7</v>
      </c>
      <c r="D30" s="194">
        <f>'Weather Data'!C126</f>
        <v>0</v>
      </c>
      <c r="E30" s="194">
        <v>30</v>
      </c>
      <c r="F30" s="194">
        <v>1</v>
      </c>
      <c r="G30" s="184">
        <v>0</v>
      </c>
      <c r="H30" s="195">
        <v>119.75112252933975</v>
      </c>
      <c r="I30" s="184">
        <v>18</v>
      </c>
      <c r="J30" s="194">
        <v>319.68</v>
      </c>
      <c r="K30" s="194"/>
      <c r="L30" s="194"/>
      <c r="M30" s="285"/>
      <c r="N30" t="s">
        <v>298</v>
      </c>
      <c r="O30">
        <v>642818.13498407858</v>
      </c>
      <c r="P30">
        <v>203203.85806983968</v>
      </c>
      <c r="Q30">
        <v>3.1634150113584294</v>
      </c>
      <c r="R30">
        <v>2.0117913373523559E-3</v>
      </c>
      <c r="S30">
        <v>240156.12492351793</v>
      </c>
      <c r="T30">
        <v>1045480.1450446392</v>
      </c>
      <c r="U30">
        <v>240156.12492351793</v>
      </c>
      <c r="V30">
        <v>1045480.1450446392</v>
      </c>
    </row>
    <row r="31" spans="1:22" ht="12.75" hidden="1" customHeight="1">
      <c r="A31" s="191">
        <v>37024</v>
      </c>
      <c r="B31" s="284">
        <v>13872111.880000001</v>
      </c>
      <c r="C31" s="194">
        <f>'Weather Data'!B127</f>
        <v>239.9</v>
      </c>
      <c r="D31" s="194">
        <f>'Weather Data'!C127</f>
        <v>0</v>
      </c>
      <c r="E31" s="194">
        <v>31</v>
      </c>
      <c r="F31" s="194">
        <v>1</v>
      </c>
      <c r="G31" s="184">
        <v>0</v>
      </c>
      <c r="H31" s="195">
        <v>119.92464401283681</v>
      </c>
      <c r="I31" s="184">
        <v>18</v>
      </c>
      <c r="J31" s="194">
        <v>351.91199999999998</v>
      </c>
      <c r="K31" s="194"/>
      <c r="L31" s="194"/>
      <c r="M31" s="285"/>
      <c r="N31" t="s">
        <v>299</v>
      </c>
      <c r="O31">
        <v>217133.29818684977</v>
      </c>
      <c r="P31">
        <v>340285.06801690266</v>
      </c>
      <c r="Q31">
        <v>0.63809234843082896</v>
      </c>
      <c r="R31">
        <v>0.5247277985668235</v>
      </c>
      <c r="S31">
        <v>-457164.28052441613</v>
      </c>
      <c r="T31">
        <v>891430.87689811573</v>
      </c>
      <c r="U31">
        <v>-457164.28052441613</v>
      </c>
      <c r="V31">
        <v>891430.87689811573</v>
      </c>
    </row>
    <row r="32" spans="1:22" ht="12.75" hidden="1" customHeight="1">
      <c r="A32" s="191">
        <v>37057</v>
      </c>
      <c r="B32" s="284">
        <v>12867615.49</v>
      </c>
      <c r="C32" s="194">
        <f>'Weather Data'!B128</f>
        <v>114</v>
      </c>
      <c r="D32" s="194">
        <f>'Weather Data'!C128</f>
        <v>15.2</v>
      </c>
      <c r="E32" s="194">
        <v>30</v>
      </c>
      <c r="F32" s="194">
        <v>0</v>
      </c>
      <c r="G32" s="184">
        <v>0</v>
      </c>
      <c r="H32" s="195">
        <v>120.09841693201646</v>
      </c>
      <c r="I32" s="184">
        <v>18</v>
      </c>
      <c r="J32" s="194">
        <v>336.24</v>
      </c>
      <c r="K32" s="194"/>
      <c r="L32" s="194"/>
      <c r="M32" s="285"/>
      <c r="N32" t="s">
        <v>300</v>
      </c>
      <c r="O32">
        <v>4.848477705039687</v>
      </c>
      <c r="P32">
        <v>1.0854529472860459</v>
      </c>
      <c r="Q32">
        <v>4.4667783317207057</v>
      </c>
      <c r="R32">
        <v>1.9199080553684651E-5</v>
      </c>
      <c r="S32">
        <v>2.6975802283286838</v>
      </c>
      <c r="T32">
        <v>6.9993751817506897</v>
      </c>
      <c r="U32">
        <v>2.6975802283286838</v>
      </c>
      <c r="V32">
        <v>6.9993751817506897</v>
      </c>
    </row>
    <row r="33" spans="1:22" ht="12.75" hidden="1" customHeight="1">
      <c r="A33" s="191">
        <v>37090</v>
      </c>
      <c r="B33" s="284">
        <v>13316769.34</v>
      </c>
      <c r="C33" s="194">
        <f>'Weather Data'!B129</f>
        <v>67.2</v>
      </c>
      <c r="D33" s="194">
        <f>'Weather Data'!C129</f>
        <v>29.7</v>
      </c>
      <c r="E33" s="194">
        <v>31</v>
      </c>
      <c r="F33" s="194">
        <v>0</v>
      </c>
      <c r="G33" s="184">
        <v>0</v>
      </c>
      <c r="H33" s="195">
        <v>120.27244165121344</v>
      </c>
      <c r="I33" s="184">
        <v>18</v>
      </c>
      <c r="J33" s="194">
        <v>336.28800000000001</v>
      </c>
      <c r="K33" s="194"/>
      <c r="L33" s="194"/>
      <c r="M33" s="285"/>
      <c r="N33" t="s">
        <v>301</v>
      </c>
      <c r="O33">
        <v>-257760.31721964327</v>
      </c>
      <c r="P33">
        <v>54902.105756033212</v>
      </c>
      <c r="Q33">
        <v>-4.6949076664753955</v>
      </c>
      <c r="R33">
        <v>7.6753391065104129E-6</v>
      </c>
      <c r="S33">
        <v>-366552.50487920927</v>
      </c>
      <c r="T33">
        <v>-148968.12956007727</v>
      </c>
      <c r="U33">
        <v>-366552.50487920927</v>
      </c>
      <c r="V33">
        <v>-148968.12956007727</v>
      </c>
    </row>
    <row r="34" spans="1:22" ht="12.75" hidden="1" customHeight="1">
      <c r="A34" s="191">
        <v>37123</v>
      </c>
      <c r="B34" s="284">
        <v>13269121.989999998</v>
      </c>
      <c r="C34" s="194">
        <f>'Weather Data'!B130</f>
        <v>40.200000000000003</v>
      </c>
      <c r="D34" s="194">
        <f>'Weather Data'!C130</f>
        <v>56.1</v>
      </c>
      <c r="E34" s="194">
        <v>31</v>
      </c>
      <c r="F34" s="194">
        <v>0</v>
      </c>
      <c r="G34" s="184">
        <v>0</v>
      </c>
      <c r="H34" s="195">
        <v>120.4467185352904</v>
      </c>
      <c r="I34" s="184">
        <v>18</v>
      </c>
      <c r="J34" s="194">
        <v>351.91199999999998</v>
      </c>
      <c r="K34" s="194"/>
      <c r="L34" s="194"/>
      <c r="M34" s="285"/>
      <c r="N34" t="s">
        <v>302</v>
      </c>
      <c r="O34">
        <v>-778293.01026930136</v>
      </c>
      <c r="P34">
        <v>133495.24519846568</v>
      </c>
      <c r="Q34">
        <v>-5.83011783762203</v>
      </c>
      <c r="R34">
        <v>5.5289792722045904E-8</v>
      </c>
      <c r="S34">
        <v>-1042822.7503821438</v>
      </c>
      <c r="T34">
        <v>-513763.27015645901</v>
      </c>
      <c r="U34">
        <v>-1042822.7503821438</v>
      </c>
      <c r="V34">
        <v>-513763.27015645901</v>
      </c>
    </row>
    <row r="35" spans="1:22" ht="12.75" hidden="1" customHeight="1" thickBot="1">
      <c r="A35" s="191">
        <v>37156</v>
      </c>
      <c r="B35" s="284">
        <v>12321111.48</v>
      </c>
      <c r="C35" s="194">
        <f>'Weather Data'!B131</f>
        <v>187.7</v>
      </c>
      <c r="D35" s="194">
        <f>'Weather Data'!C131</f>
        <v>6.8</v>
      </c>
      <c r="E35" s="194">
        <v>30</v>
      </c>
      <c r="F35" s="194">
        <v>1</v>
      </c>
      <c r="G35" s="184">
        <v>0</v>
      </c>
      <c r="H35" s="195">
        <v>120.62124794963869</v>
      </c>
      <c r="I35" s="184">
        <v>18</v>
      </c>
      <c r="J35" s="194">
        <v>303.83999999999997</v>
      </c>
      <c r="K35" s="194"/>
      <c r="L35" s="194"/>
      <c r="M35" s="285"/>
      <c r="N35" t="s">
        <v>303</v>
      </c>
      <c r="O35">
        <v>5253.4124263164076</v>
      </c>
      <c r="P35">
        <v>9286.9897430892725</v>
      </c>
      <c r="Q35">
        <v>0.56567440813915293</v>
      </c>
      <c r="R35">
        <v>0.57275685622641892</v>
      </c>
      <c r="S35">
        <v>-13149.37772188487</v>
      </c>
      <c r="T35">
        <v>23656.202574517687</v>
      </c>
      <c r="U35">
        <v>-13149.37772188487</v>
      </c>
      <c r="V35">
        <v>23656.202574517687</v>
      </c>
    </row>
    <row r="36" spans="1:22" ht="12.75" hidden="1" customHeight="1">
      <c r="A36" s="191">
        <v>37189</v>
      </c>
      <c r="B36" s="284">
        <v>13259993.019999998</v>
      </c>
      <c r="C36" s="194">
        <f>'Weather Data'!B132</f>
        <v>408.6</v>
      </c>
      <c r="D36" s="194">
        <f>'Weather Data'!C132</f>
        <v>0</v>
      </c>
      <c r="E36" s="194">
        <v>31</v>
      </c>
      <c r="F36" s="194">
        <v>1</v>
      </c>
      <c r="G36" s="184">
        <v>0</v>
      </c>
      <c r="H36" s="195">
        <v>120.79603026017911</v>
      </c>
      <c r="I36" s="184">
        <v>18</v>
      </c>
      <c r="J36" s="194">
        <v>351.91199999999998</v>
      </c>
      <c r="K36" s="194"/>
      <c r="L36" s="194"/>
      <c r="M36" s="285"/>
    </row>
    <row r="37" spans="1:22" ht="12.75" hidden="1" customHeight="1">
      <c r="A37" s="191">
        <v>37222</v>
      </c>
      <c r="B37" s="284">
        <v>14150359.510000002</v>
      </c>
      <c r="C37" s="194">
        <f>'Weather Data'!B133</f>
        <v>458.8</v>
      </c>
      <c r="D37" s="194">
        <f>'Weather Data'!C133</f>
        <v>0</v>
      </c>
      <c r="E37" s="194">
        <v>30</v>
      </c>
      <c r="F37" s="194">
        <v>1</v>
      </c>
      <c r="G37" s="184">
        <v>0</v>
      </c>
      <c r="H37" s="195">
        <v>120.9710658333627</v>
      </c>
      <c r="I37" s="184">
        <v>18</v>
      </c>
      <c r="J37" s="194">
        <v>352.08</v>
      </c>
      <c r="K37" s="194"/>
      <c r="L37" s="194"/>
      <c r="M37" s="285"/>
    </row>
    <row r="38" spans="1:22" ht="12.75" hidden="1" customHeight="1">
      <c r="A38" s="191">
        <v>37255</v>
      </c>
      <c r="B38" s="284">
        <v>13320894.790000003</v>
      </c>
      <c r="C38" s="194">
        <f>'Weather Data'!B134</f>
        <v>716.4</v>
      </c>
      <c r="D38" s="194">
        <f>'Weather Data'!C134</f>
        <v>0</v>
      </c>
      <c r="E38" s="194">
        <v>31</v>
      </c>
      <c r="F38" s="194">
        <v>0</v>
      </c>
      <c r="G38" s="184">
        <v>0</v>
      </c>
      <c r="H38" s="195">
        <v>121.1463550361714</v>
      </c>
      <c r="I38" s="184">
        <v>18</v>
      </c>
      <c r="J38" s="194">
        <v>304.29599999999999</v>
      </c>
      <c r="K38" s="194"/>
      <c r="L38" s="194"/>
      <c r="M38" s="285"/>
    </row>
    <row r="39" spans="1:22" ht="12.75" hidden="1" customHeight="1">
      <c r="A39" s="196">
        <v>37275</v>
      </c>
      <c r="B39" s="284">
        <v>11877508.939999999</v>
      </c>
      <c r="C39" s="194">
        <f>'Weather Data'!B135</f>
        <v>873.9</v>
      </c>
      <c r="D39" s="194">
        <f>'Weather Data'!C135</f>
        <v>0</v>
      </c>
      <c r="E39" s="194">
        <v>31</v>
      </c>
      <c r="F39" s="194">
        <v>0</v>
      </c>
      <c r="G39" s="184">
        <v>0</v>
      </c>
      <c r="H39" s="195">
        <v>121.50450639216388</v>
      </c>
      <c r="I39" s="184">
        <v>17</v>
      </c>
      <c r="J39" s="194">
        <v>351.91199999999998</v>
      </c>
      <c r="K39" s="194"/>
      <c r="L39" s="194"/>
      <c r="M39" s="285"/>
    </row>
    <row r="40" spans="1:22" ht="12.75" hidden="1" customHeight="1">
      <c r="A40" s="191">
        <v>37308</v>
      </c>
      <c r="B40" s="284">
        <v>10349953.170000002</v>
      </c>
      <c r="C40" s="194">
        <f>'Weather Data'!B136</f>
        <v>733</v>
      </c>
      <c r="D40" s="194">
        <f>'Weather Data'!C136</f>
        <v>0</v>
      </c>
      <c r="E40" s="194">
        <v>28</v>
      </c>
      <c r="F40" s="194">
        <v>0</v>
      </c>
      <c r="G40" s="184">
        <v>0</v>
      </c>
      <c r="H40" s="195">
        <v>121.86371656989111</v>
      </c>
      <c r="I40" s="184">
        <v>17</v>
      </c>
      <c r="J40" s="194">
        <v>319.87200000000001</v>
      </c>
      <c r="K40" s="194"/>
      <c r="L40" s="194"/>
      <c r="M40" s="285"/>
    </row>
    <row r="41" spans="1:22" ht="12.75" hidden="1" customHeight="1">
      <c r="A41" s="191">
        <v>37341</v>
      </c>
      <c r="B41" s="284">
        <v>11650421.59</v>
      </c>
      <c r="C41" s="194">
        <f>'Weather Data'!B137</f>
        <v>804.7</v>
      </c>
      <c r="D41" s="194">
        <f>'Weather Data'!C137</f>
        <v>0</v>
      </c>
      <c r="E41" s="194">
        <v>31</v>
      </c>
      <c r="F41" s="194">
        <v>1</v>
      </c>
      <c r="G41" s="184">
        <v>0</v>
      </c>
      <c r="H41" s="195">
        <v>122.22398869960362</v>
      </c>
      <c r="I41" s="184">
        <v>18</v>
      </c>
      <c r="J41" s="194">
        <v>319.92</v>
      </c>
      <c r="K41" s="194"/>
      <c r="L41" s="194"/>
      <c r="M41" s="285"/>
    </row>
    <row r="42" spans="1:22" ht="12.75" hidden="1" customHeight="1">
      <c r="A42" s="191">
        <v>37374</v>
      </c>
      <c r="B42" s="284">
        <v>13238007.189999999</v>
      </c>
      <c r="C42" s="194">
        <f>'Weather Data'!B138</f>
        <v>462.3</v>
      </c>
      <c r="D42" s="194">
        <f>'Weather Data'!C138</f>
        <v>0</v>
      </c>
      <c r="E42" s="194">
        <v>30</v>
      </c>
      <c r="F42" s="194">
        <v>1</v>
      </c>
      <c r="G42" s="184">
        <v>0</v>
      </c>
      <c r="H42" s="195">
        <v>122.58532592080604</v>
      </c>
      <c r="I42" s="184">
        <v>17</v>
      </c>
      <c r="J42" s="194">
        <v>352.08</v>
      </c>
      <c r="K42" s="194"/>
      <c r="L42" s="194"/>
      <c r="M42" s="285"/>
    </row>
    <row r="43" spans="1:22" ht="12.75" hidden="1" customHeight="1">
      <c r="A43" s="191">
        <v>37407</v>
      </c>
      <c r="B43" s="284">
        <v>12587530.52</v>
      </c>
      <c r="C43" s="194">
        <f>'Weather Data'!B139</f>
        <v>335</v>
      </c>
      <c r="D43" s="194">
        <f>'Weather Data'!C139</f>
        <v>0.5</v>
      </c>
      <c r="E43" s="194">
        <v>31</v>
      </c>
      <c r="F43" s="194">
        <v>1</v>
      </c>
      <c r="G43" s="184">
        <v>0</v>
      </c>
      <c r="H43" s="195">
        <v>122.9477313822845</v>
      </c>
      <c r="I43" s="184">
        <v>16</v>
      </c>
      <c r="J43" s="194">
        <v>351.91199999999998</v>
      </c>
      <c r="K43" s="194"/>
      <c r="L43" s="194"/>
      <c r="M43" s="285"/>
    </row>
    <row r="44" spans="1:22" ht="12.75" hidden="1" customHeight="1">
      <c r="A44" s="191">
        <v>37408</v>
      </c>
      <c r="B44" s="284">
        <v>12153449.079999998</v>
      </c>
      <c r="C44" s="194">
        <f>'Weather Data'!B140</f>
        <v>114.4</v>
      </c>
      <c r="D44" s="194">
        <f>'Weather Data'!C140</f>
        <v>14.2</v>
      </c>
      <c r="E44" s="194">
        <v>30</v>
      </c>
      <c r="F44" s="194">
        <v>0</v>
      </c>
      <c r="G44" s="184">
        <v>0</v>
      </c>
      <c r="H44" s="195">
        <v>123.31120824213403</v>
      </c>
      <c r="I44" s="184">
        <v>16</v>
      </c>
      <c r="J44" s="194">
        <v>319.68</v>
      </c>
      <c r="K44" s="194"/>
      <c r="L44" s="194"/>
      <c r="M44" s="285"/>
    </row>
    <row r="45" spans="1:22" ht="12.75" hidden="1" customHeight="1">
      <c r="A45" s="191">
        <v>37440</v>
      </c>
      <c r="B45" s="284">
        <v>13198009.07</v>
      </c>
      <c r="C45" s="194">
        <f>'Weather Data'!B141</f>
        <v>17.899999999999999</v>
      </c>
      <c r="D45" s="194">
        <f>'Weather Data'!C141</f>
        <v>79.3</v>
      </c>
      <c r="E45" s="194">
        <v>31</v>
      </c>
      <c r="F45" s="194">
        <v>0</v>
      </c>
      <c r="G45" s="184">
        <v>0</v>
      </c>
      <c r="H45" s="195">
        <v>123.67575966778612</v>
      </c>
      <c r="I45" s="184">
        <v>17</v>
      </c>
      <c r="J45" s="194">
        <v>351.91199999999998</v>
      </c>
      <c r="K45" s="194"/>
      <c r="L45" s="194"/>
      <c r="M45" s="285"/>
    </row>
    <row r="46" spans="1:22" ht="12.75" hidden="1" customHeight="1">
      <c r="A46" s="191">
        <v>37473</v>
      </c>
      <c r="B46" s="284">
        <v>12691872.970000001</v>
      </c>
      <c r="C46" s="194">
        <f>'Weather Data'!B142</f>
        <v>49.7</v>
      </c>
      <c r="D46" s="194">
        <f>'Weather Data'!C142</f>
        <v>15.5</v>
      </c>
      <c r="E46" s="194">
        <v>31</v>
      </c>
      <c r="F46" s="194">
        <v>0</v>
      </c>
      <c r="G46" s="184">
        <v>0</v>
      </c>
      <c r="H46" s="195">
        <v>124.04138883603632</v>
      </c>
      <c r="I46" s="184">
        <v>17</v>
      </c>
      <c r="J46" s="194">
        <v>336.28800000000001</v>
      </c>
      <c r="K46" s="194"/>
      <c r="L46" s="194"/>
      <c r="M46" s="285"/>
    </row>
    <row r="47" spans="1:22" ht="12.75" hidden="1" customHeight="1">
      <c r="A47" s="191">
        <v>37506</v>
      </c>
      <c r="B47" s="284">
        <v>12870996</v>
      </c>
      <c r="C47" s="194">
        <f>'Weather Data'!B143</f>
        <v>143.5</v>
      </c>
      <c r="D47" s="194">
        <f>'Weather Data'!C143</f>
        <v>20.9</v>
      </c>
      <c r="E47" s="194">
        <v>30</v>
      </c>
      <c r="F47" s="194">
        <v>1</v>
      </c>
      <c r="G47" s="184">
        <v>0</v>
      </c>
      <c r="H47" s="195">
        <v>124.40809893307186</v>
      </c>
      <c r="I47" s="184">
        <v>18</v>
      </c>
      <c r="J47" s="194">
        <v>319.68</v>
      </c>
      <c r="K47" s="194"/>
      <c r="L47" s="194"/>
      <c r="M47" s="285"/>
    </row>
    <row r="48" spans="1:22" ht="12.75" hidden="1" customHeight="1">
      <c r="A48" s="191">
        <v>37539</v>
      </c>
      <c r="B48" s="284">
        <v>13603641.65</v>
      </c>
      <c r="C48" s="194">
        <f>'Weather Data'!B144</f>
        <v>510.1</v>
      </c>
      <c r="D48" s="194">
        <f>'Weather Data'!C144</f>
        <v>0</v>
      </c>
      <c r="E48" s="194">
        <v>31</v>
      </c>
      <c r="F48" s="194">
        <v>1</v>
      </c>
      <c r="G48" s="184">
        <v>0</v>
      </c>
      <c r="H48" s="195">
        <v>124.7758931544995</v>
      </c>
      <c r="I48" s="184">
        <v>18</v>
      </c>
      <c r="J48" s="194">
        <v>351.91199999999998</v>
      </c>
      <c r="K48" s="194"/>
      <c r="L48" s="194"/>
      <c r="M48" s="285"/>
    </row>
    <row r="49" spans="1:13" ht="12.75" hidden="1" customHeight="1">
      <c r="A49" s="191">
        <v>37572</v>
      </c>
      <c r="B49" s="284">
        <v>14298273.840000002</v>
      </c>
      <c r="C49" s="194">
        <f>'Weather Data'!B145</f>
        <v>668</v>
      </c>
      <c r="D49" s="194">
        <f>'Weather Data'!C145</f>
        <v>0</v>
      </c>
      <c r="E49" s="194">
        <v>30</v>
      </c>
      <c r="F49" s="194">
        <v>1</v>
      </c>
      <c r="G49" s="184">
        <v>0</v>
      </c>
      <c r="H49" s="195">
        <v>125.14477470537335</v>
      </c>
      <c r="I49" s="184">
        <v>20</v>
      </c>
      <c r="J49" s="194">
        <v>336.24</v>
      </c>
      <c r="K49" s="194"/>
      <c r="L49" s="194"/>
      <c r="M49" s="285"/>
    </row>
    <row r="50" spans="1:13" ht="12.75" hidden="1" customHeight="1">
      <c r="A50" s="183">
        <v>37605</v>
      </c>
      <c r="B50" s="284">
        <v>13591167.870000001</v>
      </c>
      <c r="C50" s="194">
        <f>'Weather Data'!B146</f>
        <v>785.6</v>
      </c>
      <c r="D50" s="194">
        <f>'Weather Data'!C146</f>
        <v>0</v>
      </c>
      <c r="E50" s="184">
        <v>31</v>
      </c>
      <c r="F50" s="184">
        <v>0</v>
      </c>
      <c r="G50" s="184">
        <v>0</v>
      </c>
      <c r="H50" s="185">
        <v>125.51474680022261</v>
      </c>
      <c r="I50" s="184">
        <v>20</v>
      </c>
      <c r="J50" s="194">
        <v>319.92</v>
      </c>
      <c r="K50" s="194"/>
      <c r="L50" s="194"/>
      <c r="M50" s="286"/>
    </row>
    <row r="51" spans="1:13" ht="12.75" hidden="1" customHeight="1">
      <c r="A51" s="191">
        <v>37622</v>
      </c>
      <c r="B51" s="284">
        <v>12551559.93</v>
      </c>
      <c r="C51" s="194">
        <f>'Weather Data'!B147</f>
        <v>907.4</v>
      </c>
      <c r="D51" s="194">
        <f>'Weather Data'!C147</f>
        <v>0</v>
      </c>
      <c r="E51" s="194">
        <v>31</v>
      </c>
      <c r="F51" s="194">
        <v>0</v>
      </c>
      <c r="G51" s="184">
        <v>0</v>
      </c>
      <c r="H51" s="195">
        <v>125.66024937363977</v>
      </c>
      <c r="I51" s="184">
        <v>14</v>
      </c>
      <c r="J51" s="194">
        <v>351.91199999999998</v>
      </c>
      <c r="K51" s="194"/>
      <c r="L51" s="194"/>
      <c r="M51" s="285"/>
    </row>
    <row r="52" spans="1:13" ht="12.75" hidden="1" customHeight="1">
      <c r="A52" s="191">
        <v>37653</v>
      </c>
      <c r="B52" s="284">
        <v>11398199.959999999</v>
      </c>
      <c r="C52" s="194">
        <f>'Weather Data'!B148</f>
        <v>969.6</v>
      </c>
      <c r="D52" s="194">
        <f>'Weather Data'!C148</f>
        <v>0</v>
      </c>
      <c r="E52" s="194">
        <v>28</v>
      </c>
      <c r="F52" s="194">
        <v>0</v>
      </c>
      <c r="G52" s="184">
        <v>0</v>
      </c>
      <c r="H52" s="195">
        <v>125.80592062045517</v>
      </c>
      <c r="I52" s="184">
        <v>14</v>
      </c>
      <c r="J52" s="194">
        <v>319.87200000000001</v>
      </c>
      <c r="K52" s="194"/>
      <c r="L52" s="194"/>
      <c r="M52" s="285"/>
    </row>
    <row r="53" spans="1:13" ht="12.75" hidden="1" customHeight="1">
      <c r="A53" s="191">
        <v>37681</v>
      </c>
      <c r="B53" s="284">
        <v>12575641.660000002</v>
      </c>
      <c r="C53" s="194">
        <f>'Weather Data'!B149</f>
        <v>765.1</v>
      </c>
      <c r="D53" s="194">
        <f>'Weather Data'!C149</f>
        <v>0</v>
      </c>
      <c r="E53" s="194">
        <v>31</v>
      </c>
      <c r="F53" s="194">
        <v>1</v>
      </c>
      <c r="G53" s="184">
        <v>0</v>
      </c>
      <c r="H53" s="195">
        <v>125.9517607362029</v>
      </c>
      <c r="I53" s="184">
        <v>14</v>
      </c>
      <c r="J53" s="194">
        <v>336.28800000000001</v>
      </c>
      <c r="K53" s="194"/>
      <c r="L53" s="194"/>
      <c r="M53" s="285"/>
    </row>
    <row r="54" spans="1:13" ht="12.75" hidden="1" customHeight="1">
      <c r="A54" s="191">
        <v>37712</v>
      </c>
      <c r="B54" s="284">
        <v>13219777.799999999</v>
      </c>
      <c r="C54" s="194">
        <f>'Weather Data'!B150</f>
        <v>499.3</v>
      </c>
      <c r="D54" s="194">
        <f>'Weather Data'!C150</f>
        <v>0</v>
      </c>
      <c r="E54" s="194">
        <v>30</v>
      </c>
      <c r="F54" s="194">
        <v>1</v>
      </c>
      <c r="G54" s="184">
        <v>0</v>
      </c>
      <c r="H54" s="195">
        <v>126.09776991664374</v>
      </c>
      <c r="I54" s="184">
        <v>14</v>
      </c>
      <c r="J54" s="194">
        <v>336.24</v>
      </c>
      <c r="K54" s="194"/>
      <c r="L54" s="194"/>
      <c r="M54" s="285"/>
    </row>
    <row r="55" spans="1:13" ht="12.75" hidden="1" customHeight="1">
      <c r="A55" s="191">
        <v>37742</v>
      </c>
      <c r="B55" s="284">
        <v>12878786.009999998</v>
      </c>
      <c r="C55" s="194">
        <f>'Weather Data'!B151</f>
        <v>276.39999999999998</v>
      </c>
      <c r="D55" s="194">
        <f>'Weather Data'!C151</f>
        <v>0</v>
      </c>
      <c r="E55" s="194">
        <v>31</v>
      </c>
      <c r="F55" s="194">
        <v>1</v>
      </c>
      <c r="G55" s="184">
        <v>0</v>
      </c>
      <c r="H55" s="195">
        <v>126.2439483577654</v>
      </c>
      <c r="I55" s="184">
        <v>14</v>
      </c>
      <c r="J55" s="194">
        <v>336.28800000000001</v>
      </c>
      <c r="K55" s="194"/>
      <c r="L55" s="194"/>
      <c r="M55" s="285"/>
    </row>
    <row r="56" spans="1:13" ht="12.75" hidden="1" customHeight="1">
      <c r="A56" s="191">
        <v>37773</v>
      </c>
      <c r="B56" s="284">
        <v>12041382.300000001</v>
      </c>
      <c r="C56" s="194">
        <f>'Weather Data'!B152</f>
        <v>129.30000000000001</v>
      </c>
      <c r="D56" s="194">
        <f>'Weather Data'!C152</f>
        <v>0</v>
      </c>
      <c r="E56" s="194">
        <v>30</v>
      </c>
      <c r="F56" s="194">
        <v>0</v>
      </c>
      <c r="G56" s="184">
        <v>0</v>
      </c>
      <c r="H56" s="195">
        <v>126.3902962557828</v>
      </c>
      <c r="I56" s="184">
        <v>14</v>
      </c>
      <c r="J56" s="194">
        <v>336.24</v>
      </c>
      <c r="K56" s="194"/>
      <c r="L56" s="194"/>
      <c r="M56" s="285"/>
    </row>
    <row r="57" spans="1:13" ht="12.75" hidden="1" customHeight="1">
      <c r="A57" s="191">
        <v>37803</v>
      </c>
      <c r="B57" s="284">
        <v>13513526.199999999</v>
      </c>
      <c r="C57" s="194">
        <f>'Weather Data'!B153</f>
        <v>29.9</v>
      </c>
      <c r="D57" s="194">
        <f>'Weather Data'!C153</f>
        <v>18.2</v>
      </c>
      <c r="E57" s="194">
        <v>31</v>
      </c>
      <c r="F57" s="194">
        <v>0</v>
      </c>
      <c r="G57" s="184">
        <v>0</v>
      </c>
      <c r="H57" s="195">
        <v>126.5368138071383</v>
      </c>
      <c r="I57" s="184">
        <v>14</v>
      </c>
      <c r="J57" s="194">
        <v>351.91199999999998</v>
      </c>
      <c r="K57" s="194"/>
      <c r="L57" s="194"/>
      <c r="M57" s="285"/>
    </row>
    <row r="58" spans="1:13" ht="12.75" hidden="1" customHeight="1">
      <c r="A58" s="191">
        <v>37834</v>
      </c>
      <c r="B58" s="284">
        <v>14005988.789999999</v>
      </c>
      <c r="C58" s="194">
        <f>'Weather Data'!B154</f>
        <v>35.6</v>
      </c>
      <c r="D58" s="194">
        <f>'Weather Data'!C154</f>
        <v>50.9</v>
      </c>
      <c r="E58" s="194">
        <v>31</v>
      </c>
      <c r="F58" s="194">
        <v>0</v>
      </c>
      <c r="G58" s="184">
        <v>0</v>
      </c>
      <c r="H58" s="195">
        <v>126.68350120850199</v>
      </c>
      <c r="I58" s="184">
        <v>14</v>
      </c>
      <c r="J58" s="194">
        <v>319.92</v>
      </c>
      <c r="K58" s="194"/>
      <c r="L58" s="194"/>
      <c r="M58" s="285"/>
    </row>
    <row r="59" spans="1:13" ht="12.75" hidden="1" customHeight="1">
      <c r="A59" s="191">
        <v>37865</v>
      </c>
      <c r="B59" s="284">
        <v>13917831.9</v>
      </c>
      <c r="C59" s="194">
        <f>'Weather Data'!B155</f>
        <v>164</v>
      </c>
      <c r="D59" s="194">
        <f>'Weather Data'!C155</f>
        <v>6.7</v>
      </c>
      <c r="E59" s="194">
        <v>30</v>
      </c>
      <c r="F59" s="194">
        <v>1</v>
      </c>
      <c r="G59" s="184">
        <v>0</v>
      </c>
      <c r="H59" s="195">
        <v>126.83035865677196</v>
      </c>
      <c r="I59" s="184">
        <v>14</v>
      </c>
      <c r="J59" s="194">
        <v>336.24</v>
      </c>
      <c r="K59" s="194"/>
      <c r="L59" s="194"/>
      <c r="M59" s="285"/>
    </row>
    <row r="60" spans="1:13" ht="12.75" hidden="1" customHeight="1">
      <c r="A60" s="191">
        <v>37895</v>
      </c>
      <c r="B60" s="284">
        <v>14280475.5</v>
      </c>
      <c r="C60" s="194">
        <f>'Weather Data'!B156</f>
        <v>414.2</v>
      </c>
      <c r="D60" s="194">
        <f>'Weather Data'!C156</f>
        <v>0</v>
      </c>
      <c r="E60" s="194">
        <v>31</v>
      </c>
      <c r="F60" s="194">
        <v>1</v>
      </c>
      <c r="G60" s="184">
        <v>0</v>
      </c>
      <c r="H60" s="195">
        <v>126.97738634907456</v>
      </c>
      <c r="I60" s="184">
        <v>14</v>
      </c>
      <c r="J60" s="194">
        <v>351.91199999999998</v>
      </c>
      <c r="K60" s="194"/>
      <c r="L60" s="194"/>
      <c r="M60" s="285"/>
    </row>
    <row r="61" spans="1:13" ht="12.75" hidden="1" customHeight="1">
      <c r="A61" s="191">
        <v>37926</v>
      </c>
      <c r="B61" s="284">
        <v>14573776.199999999</v>
      </c>
      <c r="C61" s="194">
        <f>'Weather Data'!B157</f>
        <v>632.9</v>
      </c>
      <c r="D61" s="194">
        <f>'Weather Data'!C157</f>
        <v>0</v>
      </c>
      <c r="E61" s="194">
        <v>30</v>
      </c>
      <c r="F61" s="194">
        <v>1</v>
      </c>
      <c r="G61" s="184">
        <v>0</v>
      </c>
      <c r="H61" s="195">
        <v>127.12458448276465</v>
      </c>
      <c r="I61" s="184">
        <v>14</v>
      </c>
      <c r="J61" s="194">
        <v>319.68</v>
      </c>
      <c r="K61" s="194"/>
      <c r="L61" s="194"/>
      <c r="M61" s="285"/>
    </row>
    <row r="62" spans="1:13" ht="12.75" hidden="1" customHeight="1">
      <c r="A62" s="191">
        <v>37956</v>
      </c>
      <c r="B62" s="284">
        <v>14885940.530000001</v>
      </c>
      <c r="C62" s="194">
        <f>'Weather Data'!B158</f>
        <v>785.9</v>
      </c>
      <c r="D62" s="194">
        <f>'Weather Data'!C158</f>
        <v>0</v>
      </c>
      <c r="E62" s="194">
        <v>31</v>
      </c>
      <c r="F62" s="194">
        <v>0</v>
      </c>
      <c r="G62" s="184">
        <v>0</v>
      </c>
      <c r="H62" s="195">
        <v>127.27195325542573</v>
      </c>
      <c r="I62" s="184">
        <v>14</v>
      </c>
      <c r="J62" s="194">
        <v>336.28800000000001</v>
      </c>
      <c r="K62" s="194"/>
      <c r="L62" s="194"/>
      <c r="M62" s="285"/>
    </row>
    <row r="63" spans="1:13" ht="12.75" hidden="1" customHeight="1">
      <c r="A63" s="191">
        <v>37987</v>
      </c>
      <c r="B63" s="284">
        <v>14147914.230000002</v>
      </c>
      <c r="C63" s="194">
        <f>'Weather Data'!B159</f>
        <v>1140.5999999999999</v>
      </c>
      <c r="D63" s="194">
        <f>'Weather Data'!C159</f>
        <v>0</v>
      </c>
      <c r="E63" s="194">
        <v>31</v>
      </c>
      <c r="F63" s="194">
        <v>0</v>
      </c>
      <c r="G63" s="184">
        <v>0</v>
      </c>
      <c r="H63" s="195">
        <v>127.53411264087498</v>
      </c>
      <c r="I63" s="184">
        <v>14</v>
      </c>
      <c r="J63" s="194">
        <v>336.28800000000001</v>
      </c>
      <c r="K63" s="194"/>
      <c r="L63" s="194"/>
      <c r="M63" s="285"/>
    </row>
    <row r="64" spans="1:13" ht="12.75" hidden="1" customHeight="1">
      <c r="A64" s="191">
        <v>38018</v>
      </c>
      <c r="B64" s="284">
        <v>12581957.98</v>
      </c>
      <c r="C64" s="194">
        <f>'Weather Data'!B160</f>
        <v>778.3</v>
      </c>
      <c r="D64" s="194">
        <f>'Weather Data'!C160</f>
        <v>0</v>
      </c>
      <c r="E64" s="194">
        <v>29</v>
      </c>
      <c r="F64" s="194">
        <v>0</v>
      </c>
      <c r="G64" s="184">
        <v>0</v>
      </c>
      <c r="H64" s="195">
        <v>127.79681203173486</v>
      </c>
      <c r="I64" s="184">
        <v>15</v>
      </c>
      <c r="J64" s="194">
        <v>320.16000000000003</v>
      </c>
      <c r="K64" s="194"/>
      <c r="L64" s="194"/>
      <c r="M64" s="285"/>
    </row>
    <row r="65" spans="1:41" ht="12.75" hidden="1" customHeight="1">
      <c r="A65" s="191">
        <v>38047</v>
      </c>
      <c r="B65" s="284">
        <v>13298627.379999999</v>
      </c>
      <c r="C65" s="194">
        <f>'Weather Data'!B161</f>
        <v>684.3</v>
      </c>
      <c r="D65" s="194">
        <f>'Weather Data'!C161</f>
        <v>0</v>
      </c>
      <c r="E65" s="194">
        <v>31</v>
      </c>
      <c r="F65" s="194">
        <v>1</v>
      </c>
      <c r="G65" s="184">
        <v>0</v>
      </c>
      <c r="H65" s="195">
        <v>128.06005254032812</v>
      </c>
      <c r="I65" s="184">
        <v>14</v>
      </c>
      <c r="J65" s="194">
        <v>368.28</v>
      </c>
      <c r="K65" s="194"/>
      <c r="L65" s="194"/>
      <c r="M65" s="285"/>
    </row>
    <row r="66" spans="1:41" ht="12.75" hidden="1" customHeight="1">
      <c r="A66" s="191">
        <v>38078</v>
      </c>
      <c r="B66" s="284">
        <v>13633390.199999999</v>
      </c>
      <c r="C66" s="194">
        <f>'Weather Data'!B162</f>
        <v>472.4</v>
      </c>
      <c r="D66" s="194">
        <f>'Weather Data'!C162</f>
        <v>0</v>
      </c>
      <c r="E66" s="194">
        <v>30</v>
      </c>
      <c r="F66" s="194">
        <v>1</v>
      </c>
      <c r="G66" s="184">
        <v>0</v>
      </c>
      <c r="H66" s="195">
        <v>128.32383528126866</v>
      </c>
      <c r="I66" s="184">
        <v>19</v>
      </c>
      <c r="J66" s="194">
        <v>336.24</v>
      </c>
      <c r="K66" s="194"/>
      <c r="L66" s="194"/>
      <c r="M66" s="285"/>
    </row>
    <row r="67" spans="1:41" ht="12.75" hidden="1" customHeight="1">
      <c r="A67" s="191">
        <v>38108</v>
      </c>
      <c r="B67" s="284">
        <v>13794108.129999999</v>
      </c>
      <c r="C67" s="194">
        <f>'Weather Data'!B163</f>
        <v>333.2</v>
      </c>
      <c r="D67" s="194">
        <f>'Weather Data'!C163</f>
        <v>0</v>
      </c>
      <c r="E67" s="194">
        <v>31</v>
      </c>
      <c r="F67" s="194">
        <v>1</v>
      </c>
      <c r="G67" s="184">
        <v>0</v>
      </c>
      <c r="H67" s="195">
        <v>128.58816137146633</v>
      </c>
      <c r="I67" s="184">
        <v>20</v>
      </c>
      <c r="J67" s="194">
        <v>319.92</v>
      </c>
      <c r="K67" s="194"/>
      <c r="L67" s="194"/>
      <c r="M67" s="285"/>
    </row>
    <row r="68" spans="1:41" ht="12.75" hidden="1" customHeight="1">
      <c r="A68" s="191">
        <v>38139</v>
      </c>
      <c r="B68" s="284">
        <v>14171598.299999999</v>
      </c>
      <c r="C68" s="194">
        <f>'Weather Data'!B164</f>
        <v>145.80000000000001</v>
      </c>
      <c r="D68" s="194">
        <f>'Weather Data'!C164</f>
        <v>3.1</v>
      </c>
      <c r="E68" s="194">
        <v>30</v>
      </c>
      <c r="F68" s="194">
        <v>0</v>
      </c>
      <c r="G68" s="184">
        <v>0</v>
      </c>
      <c r="H68" s="195">
        <v>128.85303193013166</v>
      </c>
      <c r="I68" s="184">
        <v>20</v>
      </c>
      <c r="J68" s="194">
        <v>352.08</v>
      </c>
      <c r="K68" s="194"/>
      <c r="L68" s="194"/>
      <c r="M68" s="285"/>
    </row>
    <row r="69" spans="1:41" ht="12.75" hidden="1" customHeight="1">
      <c r="A69" s="191">
        <v>38169</v>
      </c>
      <c r="B69" s="284">
        <v>13676605.42</v>
      </c>
      <c r="C69" s="194">
        <f>'Weather Data'!B165</f>
        <v>67.400000000000006</v>
      </c>
      <c r="D69" s="194">
        <f>'Weather Data'!C165</f>
        <v>22</v>
      </c>
      <c r="E69" s="194">
        <v>31</v>
      </c>
      <c r="F69" s="194">
        <v>0</v>
      </c>
      <c r="G69" s="184">
        <v>0</v>
      </c>
      <c r="H69" s="195">
        <v>129.11844807878055</v>
      </c>
      <c r="I69" s="184">
        <v>20</v>
      </c>
      <c r="J69" s="194">
        <v>336.28800000000001</v>
      </c>
      <c r="K69" s="194"/>
      <c r="L69" s="194"/>
      <c r="M69" s="285"/>
    </row>
    <row r="70" spans="1:41" ht="12.75" hidden="1" customHeight="1">
      <c r="A70" s="191">
        <v>38200</v>
      </c>
      <c r="B70" s="284">
        <v>13645223.500000004</v>
      </c>
      <c r="C70" s="194">
        <f>'Weather Data'!B166</f>
        <v>123</v>
      </c>
      <c r="D70" s="194">
        <f>'Weather Data'!C166</f>
        <v>1.8</v>
      </c>
      <c r="E70" s="194">
        <v>31</v>
      </c>
      <c r="F70" s="194">
        <v>0</v>
      </c>
      <c r="G70" s="184">
        <v>0</v>
      </c>
      <c r="H70" s="195">
        <v>129.38441094123903</v>
      </c>
      <c r="I70" s="184">
        <v>20</v>
      </c>
      <c r="J70" s="194">
        <v>336.28800000000001</v>
      </c>
      <c r="K70" s="194"/>
      <c r="L70" s="194"/>
      <c r="M70" s="285"/>
    </row>
    <row r="71" spans="1:41" ht="12.75" hidden="1" customHeight="1">
      <c r="A71" s="191">
        <v>38231</v>
      </c>
      <c r="B71" s="284">
        <v>13189320</v>
      </c>
      <c r="C71" s="194">
        <f>'Weather Data'!B167</f>
        <v>132.9</v>
      </c>
      <c r="D71" s="194">
        <f>'Weather Data'!C167</f>
        <v>4.7</v>
      </c>
      <c r="E71" s="194">
        <v>30</v>
      </c>
      <c r="F71" s="194">
        <v>1</v>
      </c>
      <c r="G71" s="184">
        <v>0</v>
      </c>
      <c r="H71" s="195">
        <v>129.65092164364802</v>
      </c>
      <c r="I71" s="184">
        <v>20</v>
      </c>
      <c r="J71" s="194">
        <v>336.24</v>
      </c>
      <c r="K71" s="194"/>
      <c r="L71" s="194"/>
      <c r="M71" s="285"/>
    </row>
    <row r="72" spans="1:41" ht="12.75" hidden="1" customHeight="1">
      <c r="A72" s="191">
        <v>38261</v>
      </c>
      <c r="B72" s="284">
        <v>13474484.18</v>
      </c>
      <c r="C72" s="194">
        <f>'Weather Data'!B168</f>
        <v>372.7</v>
      </c>
      <c r="D72" s="194">
        <f>'Weather Data'!C168</f>
        <v>0</v>
      </c>
      <c r="E72" s="194">
        <v>31</v>
      </c>
      <c r="F72" s="194">
        <v>1</v>
      </c>
      <c r="G72" s="184">
        <v>0</v>
      </c>
      <c r="H72" s="195">
        <v>129.91798131446814</v>
      </c>
      <c r="I72" s="184">
        <v>20</v>
      </c>
      <c r="J72" s="194">
        <v>319.92</v>
      </c>
      <c r="K72" s="194"/>
      <c r="L72" s="194"/>
      <c r="M72" s="285"/>
    </row>
    <row r="73" spans="1:41" ht="12.75" hidden="1" customHeight="1">
      <c r="A73" s="191">
        <v>38292</v>
      </c>
      <c r="B73" s="284">
        <v>13913794.199999999</v>
      </c>
      <c r="C73" s="194">
        <f>'Weather Data'!B169</f>
        <v>554.9</v>
      </c>
      <c r="D73" s="194">
        <f>'Weather Data'!C169</f>
        <v>0</v>
      </c>
      <c r="E73" s="194">
        <v>30</v>
      </c>
      <c r="F73" s="194">
        <v>1</v>
      </c>
      <c r="G73" s="184">
        <v>0</v>
      </c>
      <c r="H73" s="195">
        <v>130.18559108448443</v>
      </c>
      <c r="I73" s="184">
        <v>20</v>
      </c>
      <c r="J73" s="194">
        <v>352.08</v>
      </c>
      <c r="K73" s="194"/>
      <c r="L73" s="194"/>
      <c r="M73" s="285"/>
    </row>
    <row r="74" spans="1:41" ht="12.75" hidden="1" customHeight="1">
      <c r="A74" s="191">
        <v>38322</v>
      </c>
      <c r="B74" s="284">
        <v>14413243.850000001</v>
      </c>
      <c r="C74" s="194">
        <f>'Weather Data'!B170</f>
        <v>926.6</v>
      </c>
      <c r="D74" s="194">
        <f>'Weather Data'!C170</f>
        <v>0</v>
      </c>
      <c r="E74" s="194">
        <v>31</v>
      </c>
      <c r="F74" s="194">
        <v>0</v>
      </c>
      <c r="G74" s="184">
        <v>0</v>
      </c>
      <c r="H74" s="195">
        <v>130.45375208681136</v>
      </c>
      <c r="I74" s="184">
        <v>20</v>
      </c>
      <c r="J74" s="194">
        <v>336.28800000000001</v>
      </c>
      <c r="K74" s="194"/>
      <c r="L74" s="194"/>
      <c r="M74" s="285"/>
    </row>
    <row r="75" spans="1:41" ht="12.75" hidden="1" customHeight="1">
      <c r="A75" s="191">
        <v>38353</v>
      </c>
      <c r="B75" s="284">
        <v>15812201.93</v>
      </c>
      <c r="C75" s="194">
        <f>'Weather Data'!B171</f>
        <v>1084.3</v>
      </c>
      <c r="D75" s="194">
        <f>'Weather Data'!C171</f>
        <v>0</v>
      </c>
      <c r="E75" s="194">
        <v>31</v>
      </c>
      <c r="F75" s="194">
        <v>0</v>
      </c>
      <c r="G75" s="184">
        <v>0</v>
      </c>
      <c r="H75" s="195">
        <v>130.74370215685079</v>
      </c>
      <c r="I75" s="184">
        <v>21</v>
      </c>
      <c r="J75" s="194">
        <v>319.92</v>
      </c>
      <c r="K75" s="194"/>
      <c r="L75" s="194"/>
      <c r="M75" s="285"/>
    </row>
    <row r="76" spans="1:41" s="9" customFormat="1" ht="12.75" hidden="1" customHeight="1">
      <c r="A76" s="191">
        <v>38384</v>
      </c>
      <c r="B76" s="284">
        <v>13734200.199999999</v>
      </c>
      <c r="C76" s="194">
        <f>'Weather Data'!B172</f>
        <v>755.9</v>
      </c>
      <c r="D76" s="194">
        <f>'Weather Data'!C172</f>
        <v>0</v>
      </c>
      <c r="E76" s="194">
        <v>28</v>
      </c>
      <c r="F76" s="194">
        <v>0</v>
      </c>
      <c r="G76" s="184">
        <v>0</v>
      </c>
      <c r="H76" s="195">
        <v>131.0342966778299</v>
      </c>
      <c r="I76" s="184">
        <v>21</v>
      </c>
      <c r="J76" s="194">
        <v>319.87200000000001</v>
      </c>
      <c r="K76" s="194"/>
      <c r="L76" s="194"/>
      <c r="M76" s="285"/>
      <c r="N76"/>
      <c r="O76"/>
      <c r="P76"/>
      <c r="Q76"/>
      <c r="R76"/>
      <c r="S76"/>
      <c r="T76"/>
      <c r="U76"/>
      <c r="V76"/>
      <c r="W76"/>
      <c r="X76"/>
      <c r="Y76"/>
      <c r="Z76"/>
      <c r="AA76"/>
      <c r="AB76"/>
      <c r="AC76"/>
      <c r="AD76"/>
      <c r="AE76"/>
      <c r="AF76"/>
      <c r="AG76"/>
      <c r="AH76"/>
      <c r="AI76"/>
      <c r="AJ76"/>
      <c r="AK76"/>
      <c r="AL76"/>
      <c r="AM76"/>
      <c r="AN76"/>
      <c r="AO76"/>
    </row>
    <row r="77" spans="1:41" ht="12.75" hidden="1" customHeight="1">
      <c r="A77" s="191">
        <v>38412</v>
      </c>
      <c r="B77" s="284">
        <v>14727440.32</v>
      </c>
      <c r="C77" s="194">
        <f>'Weather Data'!B173</f>
        <v>814.1</v>
      </c>
      <c r="D77" s="194">
        <f>'Weather Data'!C173</f>
        <v>0</v>
      </c>
      <c r="E77" s="194">
        <v>31</v>
      </c>
      <c r="F77" s="194">
        <v>1</v>
      </c>
      <c r="G77" s="184">
        <v>0</v>
      </c>
      <c r="H77" s="195">
        <v>131.32553708212293</v>
      </c>
      <c r="I77" s="184">
        <v>16</v>
      </c>
      <c r="J77" s="194">
        <v>351.91199999999998</v>
      </c>
      <c r="K77" s="194"/>
      <c r="L77" s="194"/>
      <c r="M77" s="285"/>
    </row>
    <row r="78" spans="1:41" ht="12.75" hidden="1" customHeight="1">
      <c r="A78" s="191">
        <v>38443</v>
      </c>
      <c r="B78" s="284">
        <v>15291128.100000001</v>
      </c>
      <c r="C78" s="194">
        <f>'Weather Data'!B174</f>
        <v>408.1</v>
      </c>
      <c r="D78" s="194">
        <f>'Weather Data'!C174</f>
        <v>0</v>
      </c>
      <c r="E78" s="194">
        <v>30</v>
      </c>
      <c r="F78" s="194">
        <v>1</v>
      </c>
      <c r="G78" s="184">
        <v>0</v>
      </c>
      <c r="H78" s="195">
        <v>131.61742480528775</v>
      </c>
      <c r="I78" s="184">
        <v>17</v>
      </c>
      <c r="J78" s="194">
        <v>336.24</v>
      </c>
      <c r="K78" s="194"/>
      <c r="L78" s="194"/>
      <c r="M78" s="285"/>
    </row>
    <row r="79" spans="1:41" ht="12.75" hidden="1" customHeight="1">
      <c r="A79" s="191">
        <v>38473</v>
      </c>
      <c r="B79" s="284">
        <v>15244296.5</v>
      </c>
      <c r="C79" s="194">
        <f>'Weather Data'!B175</f>
        <v>306.2</v>
      </c>
      <c r="D79" s="194">
        <f>'Weather Data'!C175</f>
        <v>0</v>
      </c>
      <c r="E79" s="194">
        <v>31</v>
      </c>
      <c r="F79" s="194">
        <v>1</v>
      </c>
      <c r="G79" s="184">
        <v>0</v>
      </c>
      <c r="H79" s="195">
        <v>131.90996128607298</v>
      </c>
      <c r="I79" s="184">
        <v>17</v>
      </c>
      <c r="J79" s="194">
        <v>336.28800000000001</v>
      </c>
      <c r="K79" s="194"/>
      <c r="L79" s="194"/>
      <c r="M79" s="285"/>
    </row>
    <row r="80" spans="1:41" ht="12.75" hidden="1" customHeight="1">
      <c r="A80" s="191">
        <v>38504</v>
      </c>
      <c r="B80" s="284">
        <v>15657520.199999999</v>
      </c>
      <c r="C80" s="194">
        <f>'Weather Data'!B176</f>
        <v>72.599999999999994</v>
      </c>
      <c r="D80" s="194">
        <f>'Weather Data'!C176</f>
        <v>16.8</v>
      </c>
      <c r="E80" s="194">
        <v>30</v>
      </c>
      <c r="F80" s="194">
        <v>0</v>
      </c>
      <c r="G80" s="184">
        <v>0</v>
      </c>
      <c r="H80" s="195">
        <v>132.20314796642501</v>
      </c>
      <c r="I80" s="184">
        <v>17</v>
      </c>
      <c r="J80" s="194">
        <v>352.08</v>
      </c>
      <c r="K80" s="194"/>
      <c r="L80" s="194"/>
      <c r="M80" s="285"/>
    </row>
    <row r="81" spans="1:41" ht="12.75" hidden="1" customHeight="1">
      <c r="A81" s="191">
        <v>38534</v>
      </c>
      <c r="B81" s="284">
        <v>15943991.919999998</v>
      </c>
      <c r="C81" s="194">
        <f>'Weather Data'!B177</f>
        <v>45.3</v>
      </c>
      <c r="D81" s="194">
        <f>'Weather Data'!C177</f>
        <v>53</v>
      </c>
      <c r="E81" s="194">
        <v>31</v>
      </c>
      <c r="F81" s="194">
        <v>0</v>
      </c>
      <c r="G81" s="184">
        <v>0</v>
      </c>
      <c r="H81" s="195">
        <v>132.49698629149512</v>
      </c>
      <c r="I81" s="184">
        <v>17</v>
      </c>
      <c r="J81" s="194">
        <v>319.92</v>
      </c>
      <c r="K81" s="194"/>
      <c r="L81" s="194"/>
      <c r="M81" s="285"/>
    </row>
    <row r="82" spans="1:41" ht="12.75" hidden="1" customHeight="1">
      <c r="A82" s="191">
        <v>38565</v>
      </c>
      <c r="B82" s="284">
        <v>16351055.710000003</v>
      </c>
      <c r="C82" s="194">
        <f>'Weather Data'!B178</f>
        <v>46.3</v>
      </c>
      <c r="D82" s="194">
        <f>'Weather Data'!C178</f>
        <v>29.6</v>
      </c>
      <c r="E82" s="194">
        <v>31</v>
      </c>
      <c r="F82" s="194">
        <v>0</v>
      </c>
      <c r="G82" s="184">
        <v>0</v>
      </c>
      <c r="H82" s="195">
        <v>132.79147770964664</v>
      </c>
      <c r="I82" s="184">
        <v>17</v>
      </c>
      <c r="J82" s="194">
        <v>351.91199999999998</v>
      </c>
      <c r="K82" s="194"/>
      <c r="L82" s="194"/>
      <c r="M82" s="285"/>
    </row>
    <row r="83" spans="1:41" ht="12.75" hidden="1" customHeight="1">
      <c r="A83" s="191">
        <v>38596</v>
      </c>
      <c r="B83" s="284">
        <v>15705419.700000003</v>
      </c>
      <c r="C83" s="194">
        <f>'Weather Data'!B179</f>
        <v>148.80000000000001</v>
      </c>
      <c r="D83" s="194">
        <f>'Weather Data'!C179</f>
        <v>15.2</v>
      </c>
      <c r="E83" s="194">
        <v>30</v>
      </c>
      <c r="F83" s="194">
        <v>1</v>
      </c>
      <c r="G83" s="184">
        <v>0</v>
      </c>
      <c r="H83" s="195">
        <v>133.08662367246211</v>
      </c>
      <c r="I83" s="184">
        <v>17</v>
      </c>
      <c r="J83" s="194">
        <v>336.24</v>
      </c>
      <c r="K83" s="194"/>
      <c r="L83" s="194"/>
      <c r="M83" s="285"/>
    </row>
    <row r="84" spans="1:41" ht="12.75" hidden="1" customHeight="1">
      <c r="A84" s="191">
        <v>38626</v>
      </c>
      <c r="B84" s="284">
        <v>17105784.100000001</v>
      </c>
      <c r="C84" s="194">
        <f>'Weather Data'!B180</f>
        <v>347.3</v>
      </c>
      <c r="D84" s="194">
        <f>'Weather Data'!C180</f>
        <v>0</v>
      </c>
      <c r="E84" s="194">
        <v>31</v>
      </c>
      <c r="F84" s="194">
        <v>1</v>
      </c>
      <c r="G84" s="184">
        <v>0</v>
      </c>
      <c r="H84" s="195">
        <v>133.38242563475035</v>
      </c>
      <c r="I84" s="184">
        <v>17</v>
      </c>
      <c r="J84" s="194">
        <v>319.92</v>
      </c>
      <c r="K84" s="194"/>
      <c r="L84" s="194"/>
      <c r="M84" s="285"/>
    </row>
    <row r="85" spans="1:41" ht="12.75" hidden="1" customHeight="1">
      <c r="A85" s="191">
        <v>38657</v>
      </c>
      <c r="B85" s="284">
        <v>17367799.609999999</v>
      </c>
      <c r="C85" s="194">
        <f>'Weather Data'!B181</f>
        <v>606.9</v>
      </c>
      <c r="D85" s="194">
        <f>'Weather Data'!C181</f>
        <v>0</v>
      </c>
      <c r="E85" s="194">
        <v>30</v>
      </c>
      <c r="F85" s="194">
        <v>1</v>
      </c>
      <c r="G85" s="184">
        <v>0</v>
      </c>
      <c r="H85" s="195">
        <v>133.67888505455369</v>
      </c>
      <c r="I85" s="184">
        <v>17</v>
      </c>
      <c r="J85" s="194">
        <v>352.08</v>
      </c>
      <c r="K85" s="194"/>
      <c r="L85" s="194"/>
      <c r="M85" s="285"/>
    </row>
    <row r="86" spans="1:41" ht="12.75" hidden="1" customHeight="1">
      <c r="A86" s="191">
        <v>38687</v>
      </c>
      <c r="B86" s="284">
        <v>17536509.350000001</v>
      </c>
      <c r="C86" s="194">
        <f>'Weather Data'!B182</f>
        <v>833.4</v>
      </c>
      <c r="D86" s="194">
        <f>'Weather Data'!C182</f>
        <v>0</v>
      </c>
      <c r="E86" s="194">
        <v>31</v>
      </c>
      <c r="F86" s="194">
        <v>0</v>
      </c>
      <c r="G86" s="184">
        <v>0</v>
      </c>
      <c r="H86" s="195">
        <v>133.97600339315525</v>
      </c>
      <c r="I86" s="184">
        <v>17</v>
      </c>
      <c r="J86" s="194">
        <v>319.92</v>
      </c>
      <c r="K86" s="194"/>
      <c r="L86" s="194"/>
      <c r="M86" s="285"/>
    </row>
    <row r="87" spans="1:41" s="21" customFormat="1" ht="15">
      <c r="A87" s="191">
        <v>38718</v>
      </c>
      <c r="B87" s="284">
        <v>17691106.350000001</v>
      </c>
      <c r="C87" s="194">
        <f>'Weather Data'!B183</f>
        <v>797</v>
      </c>
      <c r="D87" s="194">
        <f>'Weather Data'!C183</f>
        <v>0</v>
      </c>
      <c r="E87" s="194">
        <v>31</v>
      </c>
      <c r="F87" s="194">
        <v>0</v>
      </c>
      <c r="G87" s="184">
        <f>'CDM Activity'!AA19</f>
        <v>0</v>
      </c>
      <c r="H87" s="195">
        <v>134.25197202423305</v>
      </c>
      <c r="I87" s="184">
        <v>17</v>
      </c>
      <c r="J87" s="194">
        <v>336.28800000000001</v>
      </c>
      <c r="K87" s="194"/>
      <c r="L87" s="194"/>
      <c r="M87" s="285"/>
      <c r="N87" s="260" t="s">
        <v>15</v>
      </c>
      <c r="O87"/>
      <c r="P87"/>
      <c r="Q87"/>
      <c r="R87"/>
      <c r="S87"/>
      <c r="T87"/>
      <c r="U87"/>
      <c r="V87"/>
      <c r="W87"/>
      <c r="X87"/>
      <c r="Y87"/>
      <c r="Z87"/>
      <c r="AA87"/>
      <c r="AB87"/>
      <c r="AC87"/>
      <c r="AD87"/>
      <c r="AE87"/>
      <c r="AF87"/>
      <c r="AG87"/>
      <c r="AH87"/>
      <c r="AI87"/>
      <c r="AJ87"/>
      <c r="AK87"/>
      <c r="AL87"/>
      <c r="AM87"/>
      <c r="AN87"/>
      <c r="AO87"/>
    </row>
    <row r="88" spans="1:41" ht="13.5" thickBot="1">
      <c r="A88" s="191">
        <v>38749</v>
      </c>
      <c r="B88" s="284">
        <v>15452181.919999994</v>
      </c>
      <c r="C88" s="194">
        <f>'Weather Data'!B184</f>
        <v>873.4</v>
      </c>
      <c r="D88" s="194">
        <f>'Weather Data'!C184</f>
        <v>0</v>
      </c>
      <c r="E88" s="194">
        <v>28</v>
      </c>
      <c r="F88" s="194">
        <v>0</v>
      </c>
      <c r="G88" s="184">
        <f>'CDM Activity'!AA20</f>
        <v>0</v>
      </c>
      <c r="H88" s="195">
        <v>134.52850910550649</v>
      </c>
      <c r="I88" s="184">
        <v>17</v>
      </c>
      <c r="J88" s="194">
        <v>319.87200000000001</v>
      </c>
      <c r="K88" s="194"/>
      <c r="L88" s="194"/>
      <c r="M88" s="285"/>
    </row>
    <row r="89" spans="1:41">
      <c r="A89" s="191">
        <v>38777</v>
      </c>
      <c r="B89" s="284">
        <v>17657250.319999997</v>
      </c>
      <c r="C89" s="194">
        <f>'Weather Data'!B185</f>
        <v>659</v>
      </c>
      <c r="D89" s="194">
        <f>'Weather Data'!C185</f>
        <v>0</v>
      </c>
      <c r="E89" s="194">
        <v>31</v>
      </c>
      <c r="F89" s="194">
        <v>1</v>
      </c>
      <c r="G89" s="184">
        <f>'CDM Activity'!AA21</f>
        <v>0</v>
      </c>
      <c r="H89" s="195">
        <v>134.80561580788986</v>
      </c>
      <c r="I89" s="184">
        <v>17</v>
      </c>
      <c r="J89" s="194">
        <v>368.28</v>
      </c>
      <c r="K89" s="194"/>
      <c r="L89" s="194"/>
      <c r="M89" s="285"/>
      <c r="N89" s="33" t="s">
        <v>16</v>
      </c>
      <c r="O89" s="33"/>
    </row>
    <row r="90" spans="1:41">
      <c r="A90" s="191">
        <v>38808</v>
      </c>
      <c r="B90" s="284">
        <v>17486841.899999999</v>
      </c>
      <c r="C90" s="194">
        <f>'Weather Data'!B186</f>
        <v>366</v>
      </c>
      <c r="D90" s="194">
        <f>'Weather Data'!C186</f>
        <v>0</v>
      </c>
      <c r="E90" s="194">
        <v>30</v>
      </c>
      <c r="F90" s="194">
        <v>1</v>
      </c>
      <c r="G90" s="184">
        <f>'CDM Activity'!AA22</f>
        <v>0</v>
      </c>
      <c r="H90" s="195">
        <v>135.08329330470943</v>
      </c>
      <c r="I90" s="184">
        <v>17</v>
      </c>
      <c r="J90" s="194">
        <v>303.83999999999997</v>
      </c>
      <c r="K90" s="194"/>
      <c r="L90" s="194"/>
      <c r="M90" s="285"/>
      <c r="N90" s="24" t="s">
        <v>17</v>
      </c>
      <c r="O90" s="36">
        <v>0.65418274995678793</v>
      </c>
    </row>
    <row r="91" spans="1:41">
      <c r="A91" s="191">
        <v>38838</v>
      </c>
      <c r="B91" s="284">
        <v>18441116.319999997</v>
      </c>
      <c r="C91" s="194">
        <f>'Weather Data'!B187</f>
        <v>241.5</v>
      </c>
      <c r="D91" s="194">
        <f>'Weather Data'!C187</f>
        <v>2.4</v>
      </c>
      <c r="E91" s="194">
        <v>31</v>
      </c>
      <c r="F91" s="194">
        <v>1</v>
      </c>
      <c r="G91" s="184">
        <f>'CDM Activity'!AA23</f>
        <v>0</v>
      </c>
      <c r="H91" s="195">
        <v>135.36154277170829</v>
      </c>
      <c r="I91" s="184">
        <v>17</v>
      </c>
      <c r="J91" s="194">
        <v>351.91199999999998</v>
      </c>
      <c r="K91" s="194"/>
      <c r="L91" s="194"/>
      <c r="M91" s="285"/>
      <c r="N91" s="24" t="s">
        <v>18</v>
      </c>
      <c r="O91" s="36">
        <v>0.42795507034102526</v>
      </c>
    </row>
    <row r="92" spans="1:41">
      <c r="A92" s="191">
        <v>38869</v>
      </c>
      <c r="B92" s="284">
        <v>18070989.899999999</v>
      </c>
      <c r="C92" s="194">
        <f>'Weather Data'!B188</f>
        <v>81.5</v>
      </c>
      <c r="D92" s="194">
        <f>'Weather Data'!C188</f>
        <v>9.3000000000000007</v>
      </c>
      <c r="E92" s="194">
        <v>30</v>
      </c>
      <c r="F92" s="194">
        <v>0</v>
      </c>
      <c r="G92" s="184">
        <f>'CDM Activity'!AA24</f>
        <v>0</v>
      </c>
      <c r="H92" s="195">
        <v>135.64036538705133</v>
      </c>
      <c r="I92" s="184">
        <v>17</v>
      </c>
      <c r="J92" s="194">
        <v>352.08</v>
      </c>
      <c r="K92" s="194"/>
      <c r="L92" s="194"/>
      <c r="M92" s="285"/>
      <c r="N92" s="24" t="s">
        <v>19</v>
      </c>
      <c r="O92" s="36">
        <v>0.3867266069421802</v>
      </c>
    </row>
    <row r="93" spans="1:41">
      <c r="A93" s="191">
        <v>38899</v>
      </c>
      <c r="B93" s="284">
        <v>18594098.529999997</v>
      </c>
      <c r="C93" s="194">
        <f>'Weather Data'!B189</f>
        <v>23.2</v>
      </c>
      <c r="D93" s="194">
        <f>'Weather Data'!C189</f>
        <v>70.099999999999994</v>
      </c>
      <c r="E93" s="194">
        <v>31</v>
      </c>
      <c r="F93" s="194">
        <v>0</v>
      </c>
      <c r="G93" s="184">
        <f>'CDM Activity'!AA25</f>
        <v>0</v>
      </c>
      <c r="H93" s="195">
        <v>135.9197623313303</v>
      </c>
      <c r="I93" s="184">
        <v>17</v>
      </c>
      <c r="J93" s="194">
        <v>319.92</v>
      </c>
      <c r="K93" s="194"/>
      <c r="L93" s="194"/>
      <c r="M93" s="285"/>
      <c r="N93" s="24" t="s">
        <v>20</v>
      </c>
      <c r="O93" s="42">
        <v>1547342.453674542</v>
      </c>
    </row>
    <row r="94" spans="1:41" ht="13.5" thickBot="1">
      <c r="A94" s="191">
        <v>38930</v>
      </c>
      <c r="B94" s="284">
        <v>18765961.600000005</v>
      </c>
      <c r="C94" s="194">
        <f>'Weather Data'!B190</f>
        <v>57.7</v>
      </c>
      <c r="D94" s="194">
        <f>'Weather Data'!C190</f>
        <v>31.7</v>
      </c>
      <c r="E94" s="194">
        <v>31</v>
      </c>
      <c r="F94" s="194">
        <v>0</v>
      </c>
      <c r="G94" s="184">
        <f>'CDM Activity'!AA26</f>
        <v>0</v>
      </c>
      <c r="H94" s="195">
        <v>136.19973478756879</v>
      </c>
      <c r="I94" s="184">
        <v>17</v>
      </c>
      <c r="J94" s="194">
        <v>351.91199999999998</v>
      </c>
      <c r="K94" s="194"/>
      <c r="L94" s="194"/>
      <c r="M94" s="285"/>
      <c r="N94" s="31" t="s">
        <v>21</v>
      </c>
      <c r="O94" s="31">
        <v>120</v>
      </c>
    </row>
    <row r="95" spans="1:41">
      <c r="A95" s="191">
        <v>38961</v>
      </c>
      <c r="B95" s="284">
        <v>17415884.100000001</v>
      </c>
      <c r="C95" s="194">
        <f>'Weather Data'!B191</f>
        <v>210.5</v>
      </c>
      <c r="D95" s="194">
        <f>'Weather Data'!C191</f>
        <v>1.2</v>
      </c>
      <c r="E95" s="194">
        <v>30</v>
      </c>
      <c r="F95" s="194">
        <v>1</v>
      </c>
      <c r="G95" s="184">
        <f>'CDM Activity'!AA27</f>
        <v>0</v>
      </c>
      <c r="H95" s="195">
        <v>136.48028394122719</v>
      </c>
      <c r="I95" s="184">
        <v>17</v>
      </c>
      <c r="J95" s="194">
        <v>319.68</v>
      </c>
      <c r="K95" s="194"/>
      <c r="L95" s="194"/>
      <c r="M95" s="285"/>
    </row>
    <row r="96" spans="1:41" ht="13.5" thickBot="1">
      <c r="A96" s="191">
        <v>38991</v>
      </c>
      <c r="B96" s="284">
        <v>18804253.73</v>
      </c>
      <c r="C96" s="194">
        <f>'Weather Data'!B192</f>
        <v>440.9</v>
      </c>
      <c r="D96" s="194">
        <f>'Weather Data'!C192</f>
        <v>0</v>
      </c>
      <c r="E96" s="194">
        <v>31</v>
      </c>
      <c r="F96" s="194">
        <v>1</v>
      </c>
      <c r="G96" s="184">
        <f>'CDM Activity'!AA28</f>
        <v>0</v>
      </c>
      <c r="H96" s="195">
        <v>136.76141098020776</v>
      </c>
      <c r="I96" s="184">
        <v>17</v>
      </c>
      <c r="J96" s="194">
        <v>336.28800000000001</v>
      </c>
      <c r="K96" s="194"/>
      <c r="L96" s="194"/>
      <c r="M96" s="285"/>
      <c r="N96" t="s">
        <v>22</v>
      </c>
    </row>
    <row r="97" spans="1:20">
      <c r="A97" s="191">
        <v>39022</v>
      </c>
      <c r="B97" s="284">
        <v>19335232.199999999</v>
      </c>
      <c r="C97" s="194">
        <f>'Weather Data'!B193</f>
        <v>540.4</v>
      </c>
      <c r="D97" s="194">
        <f>'Weather Data'!C193</f>
        <v>0</v>
      </c>
      <c r="E97" s="194">
        <v>30</v>
      </c>
      <c r="F97" s="194">
        <v>1</v>
      </c>
      <c r="G97" s="184">
        <f>'CDM Activity'!AA29</f>
        <v>0</v>
      </c>
      <c r="H97" s="195">
        <v>137.04311709485967</v>
      </c>
      <c r="I97" s="184">
        <v>17</v>
      </c>
      <c r="J97" s="194">
        <v>352.08</v>
      </c>
      <c r="K97" s="194"/>
      <c r="L97" s="194"/>
      <c r="M97" s="285"/>
      <c r="N97" s="32"/>
      <c r="O97" s="32" t="s">
        <v>26</v>
      </c>
      <c r="P97" s="32" t="s">
        <v>27</v>
      </c>
      <c r="Q97" s="32" t="s">
        <v>28</v>
      </c>
      <c r="R97" s="32" t="s">
        <v>29</v>
      </c>
      <c r="S97" s="32" t="s">
        <v>30</v>
      </c>
    </row>
    <row r="98" spans="1:20">
      <c r="A98" s="191">
        <v>39052</v>
      </c>
      <c r="B98" s="284">
        <v>18495169.470000003</v>
      </c>
      <c r="C98" s="194">
        <f>'Weather Data'!B194</f>
        <v>747.4</v>
      </c>
      <c r="D98" s="194">
        <f>'Weather Data'!C194</f>
        <v>0</v>
      </c>
      <c r="E98" s="194">
        <v>31</v>
      </c>
      <c r="F98" s="194">
        <v>0</v>
      </c>
      <c r="G98" s="184">
        <f>'CDM Activity'!AA30</f>
        <v>0</v>
      </c>
      <c r="H98" s="195">
        <v>137.32540347798411</v>
      </c>
      <c r="I98" s="184">
        <v>17</v>
      </c>
      <c r="J98" s="194">
        <v>304.29599999999999</v>
      </c>
      <c r="K98" s="194"/>
      <c r="L98" s="194"/>
      <c r="M98" s="285"/>
      <c r="N98" s="24" t="s">
        <v>23</v>
      </c>
      <c r="O98" s="24">
        <v>8</v>
      </c>
      <c r="P98" s="24">
        <v>198821752190115.34</v>
      </c>
      <c r="Q98" s="24">
        <v>24852719023764.418</v>
      </c>
      <c r="R98" s="24">
        <v>10.380087809748785</v>
      </c>
      <c r="S98" s="24">
        <v>9.1925097824853165E-11</v>
      </c>
    </row>
    <row r="99" spans="1:20">
      <c r="A99" s="191">
        <v>39083</v>
      </c>
      <c r="B99" s="284">
        <v>18444795.820000004</v>
      </c>
      <c r="C99" s="194">
        <f>'Weather Data'!B195</f>
        <v>913.4</v>
      </c>
      <c r="D99" s="194">
        <f>'Weather Data'!C195</f>
        <v>0</v>
      </c>
      <c r="E99" s="194">
        <v>31</v>
      </c>
      <c r="F99" s="194">
        <v>0</v>
      </c>
      <c r="G99" s="184">
        <f>'CDM Activity'!AA31</f>
        <v>0</v>
      </c>
      <c r="H99" s="195">
        <v>137.552207546647</v>
      </c>
      <c r="I99" s="184">
        <v>17</v>
      </c>
      <c r="J99" s="194">
        <v>351.91199999999998</v>
      </c>
      <c r="K99" s="194"/>
      <c r="L99" s="194"/>
      <c r="M99" s="285"/>
      <c r="N99" s="24" t="s">
        <v>24</v>
      </c>
      <c r="O99" s="24">
        <v>111</v>
      </c>
      <c r="P99" s="24">
        <v>265763822252734.28</v>
      </c>
      <c r="Q99" s="24">
        <v>2394268668943.5522</v>
      </c>
      <c r="R99" s="24"/>
      <c r="S99" s="24"/>
    </row>
    <row r="100" spans="1:20" ht="13.5" thickBot="1">
      <c r="A100" s="191">
        <v>39114</v>
      </c>
      <c r="B100" s="284">
        <v>16548944.210000001</v>
      </c>
      <c r="C100" s="194">
        <f>'Weather Data'!B196</f>
        <v>924.7</v>
      </c>
      <c r="D100" s="194">
        <f>'Weather Data'!C196</f>
        <v>0</v>
      </c>
      <c r="E100" s="194">
        <v>28</v>
      </c>
      <c r="F100" s="194">
        <v>0</v>
      </c>
      <c r="G100" s="184">
        <f>'CDM Activity'!AA32</f>
        <v>0</v>
      </c>
      <c r="H100" s="195">
        <v>137.77938620066888</v>
      </c>
      <c r="I100" s="184">
        <v>17</v>
      </c>
      <c r="J100" s="194">
        <v>319.87200000000001</v>
      </c>
      <c r="K100" s="194"/>
      <c r="L100" s="194"/>
      <c r="M100" s="285"/>
      <c r="N100" s="31" t="s">
        <v>5</v>
      </c>
      <c r="O100" s="31">
        <v>119</v>
      </c>
      <c r="P100" s="31">
        <v>464585574442849.62</v>
      </c>
      <c r="Q100" s="31"/>
      <c r="R100" s="31"/>
      <c r="S100" s="31"/>
    </row>
    <row r="101" spans="1:20" ht="13.5" thickBot="1">
      <c r="A101" s="191">
        <v>39142</v>
      </c>
      <c r="B101" s="284">
        <v>18208968.48</v>
      </c>
      <c r="C101" s="194">
        <f>'Weather Data'!B197</f>
        <v>665</v>
      </c>
      <c r="D101" s="194">
        <f>'Weather Data'!C197</f>
        <v>0</v>
      </c>
      <c r="E101" s="194">
        <v>31</v>
      </c>
      <c r="F101" s="194">
        <v>1</v>
      </c>
      <c r="G101" s="184">
        <f>'CDM Activity'!AA33</f>
        <v>0</v>
      </c>
      <c r="H101" s="195">
        <v>138.00694005870795</v>
      </c>
      <c r="I101" s="184">
        <v>17</v>
      </c>
      <c r="J101" s="194">
        <v>351.91199999999998</v>
      </c>
      <c r="K101" s="194"/>
      <c r="L101" s="194"/>
      <c r="M101" s="285"/>
    </row>
    <row r="102" spans="1:20">
      <c r="A102" s="191">
        <v>39173</v>
      </c>
      <c r="B102" s="284">
        <v>18525051.899999999</v>
      </c>
      <c r="C102" s="194">
        <f>'Weather Data'!B198</f>
        <v>474.1</v>
      </c>
      <c r="D102" s="194">
        <f>'Weather Data'!C198</f>
        <v>0</v>
      </c>
      <c r="E102" s="194">
        <v>30</v>
      </c>
      <c r="F102" s="194">
        <v>1</v>
      </c>
      <c r="G102" s="184">
        <f>'CDM Activity'!AA34</f>
        <v>0</v>
      </c>
      <c r="H102" s="195">
        <v>138.23486974044414</v>
      </c>
      <c r="I102" s="184">
        <v>17</v>
      </c>
      <c r="J102" s="194">
        <v>319.68</v>
      </c>
      <c r="K102" s="194"/>
      <c r="L102" s="194"/>
      <c r="M102" s="285"/>
      <c r="N102" s="32"/>
      <c r="O102" s="32" t="s">
        <v>31</v>
      </c>
      <c r="P102" s="32" t="s">
        <v>20</v>
      </c>
      <c r="Q102" s="32" t="s">
        <v>32</v>
      </c>
      <c r="R102" s="32" t="s">
        <v>33</v>
      </c>
      <c r="S102" s="32" t="s">
        <v>34</v>
      </c>
      <c r="T102" s="32" t="s">
        <v>35</v>
      </c>
    </row>
    <row r="103" spans="1:20">
      <c r="A103" s="191">
        <v>39203</v>
      </c>
      <c r="B103" s="284">
        <v>18887712.240000002</v>
      </c>
      <c r="C103" s="194">
        <f>'Weather Data'!B199</f>
        <v>250.9</v>
      </c>
      <c r="D103" s="194">
        <f>'Weather Data'!C199</f>
        <v>0.6</v>
      </c>
      <c r="E103" s="194">
        <v>31</v>
      </c>
      <c r="F103" s="194">
        <v>1</v>
      </c>
      <c r="G103" s="184">
        <f>'CDM Activity'!AA35</f>
        <v>0</v>
      </c>
      <c r="H103" s="195">
        <v>138.46317586658083</v>
      </c>
      <c r="I103" s="184">
        <v>18</v>
      </c>
      <c r="J103" s="194">
        <v>351.91199999999998</v>
      </c>
      <c r="K103" s="194"/>
      <c r="L103" s="194"/>
      <c r="M103" s="285"/>
      <c r="N103" s="24" t="s">
        <v>25</v>
      </c>
      <c r="O103" s="42">
        <v>37376873.501722276</v>
      </c>
      <c r="P103" s="42">
        <v>8556332.305513002</v>
      </c>
      <c r="Q103" s="34">
        <v>4.3683288782086773</v>
      </c>
      <c r="R103" s="24">
        <v>2.8271657218543352E-5</v>
      </c>
      <c r="S103" s="42">
        <v>20421929.842631668</v>
      </c>
      <c r="T103" s="42">
        <v>54331817.160812885</v>
      </c>
    </row>
    <row r="104" spans="1:20">
      <c r="A104" s="191">
        <v>39234</v>
      </c>
      <c r="B104" s="284">
        <v>16968325.600000001</v>
      </c>
      <c r="C104" s="194">
        <f>'Weather Data'!B200</f>
        <v>96.7</v>
      </c>
      <c r="D104" s="194">
        <f>'Weather Data'!C200</f>
        <v>6.5</v>
      </c>
      <c r="E104" s="194">
        <v>30</v>
      </c>
      <c r="F104" s="194">
        <v>0</v>
      </c>
      <c r="G104" s="184">
        <f>'CDM Activity'!AA36</f>
        <v>0</v>
      </c>
      <c r="H104" s="195">
        <v>138.69185905884657</v>
      </c>
      <c r="I104" s="184">
        <v>18</v>
      </c>
      <c r="J104" s="194">
        <v>336.24</v>
      </c>
      <c r="K104" s="194"/>
      <c r="L104" s="194"/>
      <c r="M104" s="285"/>
      <c r="N104" s="24" t="s">
        <v>1</v>
      </c>
      <c r="O104" s="42">
        <v>-123.26974048443853</v>
      </c>
      <c r="P104" s="42">
        <v>573.55505424361638</v>
      </c>
      <c r="Q104" s="34">
        <v>-0.21492224603791904</v>
      </c>
      <c r="R104" s="24">
        <v>0.83022231404328806</v>
      </c>
      <c r="S104" s="42">
        <v>-1259.8073693258802</v>
      </c>
      <c r="T104" s="42">
        <v>1013.2678883570032</v>
      </c>
    </row>
    <row r="105" spans="1:20">
      <c r="A105" s="191">
        <v>39264</v>
      </c>
      <c r="B105" s="284">
        <v>16940072.219999999</v>
      </c>
      <c r="C105" s="194">
        <f>'Weather Data'!B201</f>
        <v>40.200000000000003</v>
      </c>
      <c r="D105" s="194">
        <f>'Weather Data'!C201</f>
        <v>51.8</v>
      </c>
      <c r="E105" s="194">
        <v>31</v>
      </c>
      <c r="F105" s="194">
        <v>0</v>
      </c>
      <c r="G105" s="184">
        <f>'CDM Activity'!AA37</f>
        <v>0</v>
      </c>
      <c r="H105" s="195">
        <v>138.92091993999671</v>
      </c>
      <c r="I105" s="184">
        <v>18</v>
      </c>
      <c r="J105" s="194">
        <v>336.28800000000001</v>
      </c>
      <c r="K105" s="194"/>
      <c r="L105" s="194"/>
      <c r="M105" s="285"/>
      <c r="N105" s="24" t="s">
        <v>2</v>
      </c>
      <c r="O105" s="42">
        <v>-8503.4950558107466</v>
      </c>
      <c r="P105" s="42">
        <v>13851.701134439194</v>
      </c>
      <c r="Q105" s="34">
        <v>-0.61389536009181467</v>
      </c>
      <c r="R105" s="24">
        <v>0.54054058276703798</v>
      </c>
      <c r="S105" s="42">
        <v>-35951.565552752145</v>
      </c>
      <c r="T105" s="42">
        <v>18944.575441130655</v>
      </c>
    </row>
    <row r="106" spans="1:20">
      <c r="A106" s="191">
        <v>39295</v>
      </c>
      <c r="B106" s="284">
        <v>16301017.990000002</v>
      </c>
      <c r="C106" s="194">
        <f>'Weather Data'!B202</f>
        <v>62.9</v>
      </c>
      <c r="D106" s="194">
        <f>'Weather Data'!C202</f>
        <v>22.1</v>
      </c>
      <c r="E106" s="194">
        <v>31</v>
      </c>
      <c r="F106" s="194">
        <v>0</v>
      </c>
      <c r="G106" s="184">
        <f>'CDM Activity'!AA38</f>
        <v>0</v>
      </c>
      <c r="H106" s="195">
        <v>139.15035913381516</v>
      </c>
      <c r="I106" s="184">
        <v>18</v>
      </c>
      <c r="J106" s="194">
        <v>351.91199999999998</v>
      </c>
      <c r="K106" s="194"/>
      <c r="L106" s="194"/>
      <c r="M106" s="285"/>
      <c r="N106" s="24" t="s">
        <v>3</v>
      </c>
      <c r="O106" s="42">
        <v>650500.62759805855</v>
      </c>
      <c r="P106" s="42">
        <v>203069.17003826436</v>
      </c>
      <c r="Q106" s="34">
        <v>3.2033450842167945</v>
      </c>
      <c r="R106" s="24">
        <v>1.773177491279996E-3</v>
      </c>
      <c r="S106" s="42">
        <v>248105.51086344343</v>
      </c>
      <c r="T106" s="42">
        <v>1052895.7443326737</v>
      </c>
    </row>
    <row r="107" spans="1:20">
      <c r="A107" s="191">
        <v>39326</v>
      </c>
      <c r="B107" s="284">
        <v>15425880</v>
      </c>
      <c r="C107" s="194">
        <f>'Weather Data'!B203</f>
        <v>164.7</v>
      </c>
      <c r="D107" s="194">
        <f>'Weather Data'!C203</f>
        <v>9.6</v>
      </c>
      <c r="E107" s="194">
        <v>30</v>
      </c>
      <c r="F107" s="194">
        <v>1</v>
      </c>
      <c r="G107" s="184">
        <f>'CDM Activity'!AA39</f>
        <v>0</v>
      </c>
      <c r="H107" s="195">
        <v>139.38017726511606</v>
      </c>
      <c r="I107" s="184">
        <v>18</v>
      </c>
      <c r="J107" s="194">
        <v>303.83999999999997</v>
      </c>
      <c r="K107" s="194"/>
      <c r="L107" s="194"/>
      <c r="M107" s="285"/>
      <c r="N107" s="24" t="s">
        <v>14</v>
      </c>
      <c r="O107" s="42">
        <v>170011.23340221963</v>
      </c>
      <c r="P107" s="42">
        <v>339574.49882279185</v>
      </c>
      <c r="Q107" s="34">
        <v>0.50065960191828363</v>
      </c>
      <c r="R107" s="24">
        <v>0.61760199262860449</v>
      </c>
      <c r="S107" s="42">
        <v>-502878.30501539481</v>
      </c>
      <c r="T107" s="42">
        <v>842900.77181983402</v>
      </c>
    </row>
    <row r="108" spans="1:20">
      <c r="A108" s="191">
        <v>39356</v>
      </c>
      <c r="B108" s="284">
        <v>17277462.809999999</v>
      </c>
      <c r="C108" s="194">
        <f>'Weather Data'!B204</f>
        <v>310.60000000000002</v>
      </c>
      <c r="D108" s="194">
        <f>'Weather Data'!C204</f>
        <v>0</v>
      </c>
      <c r="E108" s="194">
        <v>31</v>
      </c>
      <c r="F108" s="194">
        <v>1</v>
      </c>
      <c r="G108" s="184">
        <f>'CDM Activity'!AA40</f>
        <v>0</v>
      </c>
      <c r="H108" s="195">
        <v>139.61037495974546</v>
      </c>
      <c r="I108" s="184">
        <v>18</v>
      </c>
      <c r="J108" s="194">
        <v>351.91199999999998</v>
      </c>
      <c r="K108" s="194"/>
      <c r="L108" s="194"/>
      <c r="M108" s="285"/>
      <c r="N108" s="24" t="s">
        <v>56</v>
      </c>
      <c r="O108" s="34">
        <v>2.6267234209128025</v>
      </c>
      <c r="P108" s="34">
        <v>0.58502963808198127</v>
      </c>
      <c r="Q108" s="34">
        <v>4.4898980323877451</v>
      </c>
      <c r="R108" s="24">
        <v>1.7517683046907787E-5</v>
      </c>
      <c r="S108" s="34">
        <v>1.4674481381859878</v>
      </c>
      <c r="T108" s="34">
        <v>3.785998703639617</v>
      </c>
    </row>
    <row r="109" spans="1:20" ht="13.5" thickBot="1">
      <c r="A109" s="191">
        <v>39387</v>
      </c>
      <c r="B109" s="284">
        <v>16688817.899999999</v>
      </c>
      <c r="C109" s="194">
        <f>'Weather Data'!B205</f>
        <v>620.29999999999995</v>
      </c>
      <c r="D109" s="194">
        <f>'Weather Data'!C205</f>
        <v>0</v>
      </c>
      <c r="E109" s="194">
        <v>30</v>
      </c>
      <c r="F109" s="194">
        <v>1</v>
      </c>
      <c r="G109" s="184">
        <f>'CDM Activity'!AA41</f>
        <v>0</v>
      </c>
      <c r="H109" s="195">
        <v>139.84095284458306</v>
      </c>
      <c r="I109" s="184">
        <v>18</v>
      </c>
      <c r="J109" s="194">
        <v>352.08</v>
      </c>
      <c r="K109" s="194"/>
      <c r="L109" s="194"/>
      <c r="M109" s="285"/>
      <c r="N109" s="31" t="s">
        <v>4</v>
      </c>
      <c r="O109" s="35">
        <v>-217015.06049330908</v>
      </c>
      <c r="P109" s="35">
        <v>47513.525507339757</v>
      </c>
      <c r="Q109" s="35">
        <v>-4.5674375491203065</v>
      </c>
      <c r="R109" s="31">
        <v>1.2854853637599649E-5</v>
      </c>
      <c r="S109" s="35">
        <v>-311166.28315008391</v>
      </c>
      <c r="T109" s="35">
        <v>-122863.83783653425</v>
      </c>
    </row>
    <row r="110" spans="1:20">
      <c r="A110" s="191">
        <v>39417</v>
      </c>
      <c r="B110" s="284">
        <v>16425525.790000003</v>
      </c>
      <c r="C110" s="194">
        <f>'Weather Data'!B206</f>
        <v>925.8</v>
      </c>
      <c r="D110" s="194">
        <f>'Weather Data'!C206</f>
        <v>0</v>
      </c>
      <c r="E110" s="194">
        <v>31</v>
      </c>
      <c r="F110" s="194">
        <v>0</v>
      </c>
      <c r="G110" s="184">
        <f>'CDM Activity'!AA42</f>
        <v>0</v>
      </c>
      <c r="H110" s="195">
        <v>140.07191154754381</v>
      </c>
      <c r="I110" s="184">
        <v>18</v>
      </c>
      <c r="J110" s="194">
        <v>304.29599999999999</v>
      </c>
      <c r="K110" s="194"/>
      <c r="L110" s="194"/>
      <c r="M110" s="285"/>
      <c r="N110" t="s">
        <v>49</v>
      </c>
      <c r="O110">
        <v>-734899.7955677018</v>
      </c>
      <c r="P110">
        <v>130160.31226539276</v>
      </c>
      <c r="Q110">
        <v>-5.6461127265065594</v>
      </c>
      <c r="R110">
        <v>1.2772821940668229E-7</v>
      </c>
      <c r="S110">
        <v>-992821.14344329259</v>
      </c>
      <c r="T110">
        <v>-476978.44769211102</v>
      </c>
    </row>
    <row r="111" spans="1:20">
      <c r="A111" s="191">
        <v>39448</v>
      </c>
      <c r="B111" s="284">
        <v>15433819.340000002</v>
      </c>
      <c r="C111" s="194">
        <f>'Weather Data'!B207</f>
        <v>934.70000000000016</v>
      </c>
      <c r="D111" s="194">
        <f>'Weather Data'!C207</f>
        <v>0</v>
      </c>
      <c r="E111" s="194">
        <v>31</v>
      </c>
      <c r="F111" s="194">
        <v>0</v>
      </c>
      <c r="G111" s="184">
        <f>'CDM Activity'!AA43</f>
        <v>0</v>
      </c>
      <c r="H111" s="187">
        <v>139.96642175819056</v>
      </c>
      <c r="I111" s="184">
        <v>18</v>
      </c>
      <c r="J111" s="37">
        <v>352</v>
      </c>
      <c r="K111" s="194"/>
      <c r="L111" s="194"/>
      <c r="M111" s="37"/>
      <c r="N111" t="str">
        <f>J2</f>
        <v>Number of Peak Hours</v>
      </c>
      <c r="O111">
        <v>3980.1589494065774</v>
      </c>
      <c r="P111">
        <v>9278.7841731826411</v>
      </c>
      <c r="Q111">
        <v>0.42895263809561973</v>
      </c>
      <c r="R111">
        <v>0.66878905040245562</v>
      </c>
      <c r="S111">
        <v>-14406.371314244865</v>
      </c>
      <c r="T111">
        <v>22366.68921305802</v>
      </c>
    </row>
    <row r="112" spans="1:20">
      <c r="A112" s="191">
        <v>39479</v>
      </c>
      <c r="B112" s="284">
        <v>13552462.119999997</v>
      </c>
      <c r="C112" s="194">
        <f>'Weather Data'!B208</f>
        <v>921.50000000000011</v>
      </c>
      <c r="D112" s="194">
        <f>'Weather Data'!C208</f>
        <v>0</v>
      </c>
      <c r="E112" s="194">
        <v>29</v>
      </c>
      <c r="F112" s="194">
        <v>0</v>
      </c>
      <c r="G112" s="184">
        <f>'CDM Activity'!AA44</f>
        <v>0</v>
      </c>
      <c r="H112" s="187">
        <v>139.86101141442734</v>
      </c>
      <c r="I112" s="184">
        <v>18</v>
      </c>
      <c r="J112" s="37">
        <v>320</v>
      </c>
      <c r="K112" s="194"/>
      <c r="L112" s="194"/>
      <c r="M112" s="37"/>
    </row>
    <row r="113" spans="1:13">
      <c r="A113" s="191">
        <v>39508</v>
      </c>
      <c r="B113" s="284">
        <v>14076207.82</v>
      </c>
      <c r="C113" s="194">
        <f>'Weather Data'!B209</f>
        <v>791.9</v>
      </c>
      <c r="D113" s="194">
        <f>'Weather Data'!C209</f>
        <v>0</v>
      </c>
      <c r="E113" s="194">
        <v>31</v>
      </c>
      <c r="F113" s="194">
        <v>1</v>
      </c>
      <c r="G113" s="184">
        <f>'CDM Activity'!AA45</f>
        <v>0</v>
      </c>
      <c r="H113" s="187">
        <v>139.75568045642274</v>
      </c>
      <c r="I113" s="184">
        <v>18</v>
      </c>
      <c r="J113" s="37">
        <v>304</v>
      </c>
      <c r="K113" s="194"/>
      <c r="L113" s="194"/>
      <c r="M113" s="37"/>
    </row>
    <row r="114" spans="1:13">
      <c r="A114" s="191">
        <v>39539</v>
      </c>
      <c r="B114" s="284">
        <v>14985288</v>
      </c>
      <c r="C114" s="194">
        <f>'Weather Data'!B210</f>
        <v>456.89999999999986</v>
      </c>
      <c r="D114" s="194">
        <f>'Weather Data'!C210</f>
        <v>0</v>
      </c>
      <c r="E114" s="194">
        <v>30</v>
      </c>
      <c r="F114" s="194">
        <v>1</v>
      </c>
      <c r="G114" s="184">
        <f>'CDM Activity'!AA46</f>
        <v>0</v>
      </c>
      <c r="H114" s="187">
        <v>139.65042882439042</v>
      </c>
      <c r="I114" s="184">
        <v>18</v>
      </c>
      <c r="J114" s="37">
        <v>352</v>
      </c>
      <c r="K114" s="194"/>
      <c r="L114" s="194"/>
      <c r="M114" s="37"/>
    </row>
    <row r="115" spans="1:13">
      <c r="A115" s="191">
        <v>39569</v>
      </c>
      <c r="B115" s="284">
        <v>15583445.800000001</v>
      </c>
      <c r="C115" s="194">
        <f>'Weather Data'!B211</f>
        <v>327.7</v>
      </c>
      <c r="D115" s="194">
        <f>'Weather Data'!C211</f>
        <v>0</v>
      </c>
      <c r="E115" s="194">
        <v>31</v>
      </c>
      <c r="F115" s="194">
        <v>1</v>
      </c>
      <c r="G115" s="184">
        <f>'CDM Activity'!AA47</f>
        <v>0</v>
      </c>
      <c r="H115" s="187">
        <v>139.54525645858905</v>
      </c>
      <c r="I115" s="184">
        <v>18</v>
      </c>
      <c r="J115" s="37">
        <v>336</v>
      </c>
      <c r="K115" s="194"/>
      <c r="L115" s="194"/>
      <c r="M115" s="37"/>
    </row>
    <row r="116" spans="1:13">
      <c r="A116" s="191">
        <v>39600</v>
      </c>
      <c r="B116" s="284">
        <v>15296954.100000001</v>
      </c>
      <c r="C116" s="194">
        <f>'Weather Data'!B212</f>
        <v>109.89999999999998</v>
      </c>
      <c r="D116" s="194">
        <f>'Weather Data'!C212</f>
        <v>4.5999999999999996</v>
      </c>
      <c r="E116" s="194">
        <v>30</v>
      </c>
      <c r="F116" s="194">
        <v>0</v>
      </c>
      <c r="G116" s="184">
        <f>'CDM Activity'!AA48</f>
        <v>0</v>
      </c>
      <c r="H116" s="187">
        <v>139.44016329932234</v>
      </c>
      <c r="I116" s="184">
        <v>18</v>
      </c>
      <c r="J116" s="37">
        <v>336</v>
      </c>
      <c r="K116" s="194"/>
      <c r="L116" s="194"/>
      <c r="M116" s="37"/>
    </row>
    <row r="117" spans="1:13">
      <c r="A117" s="191">
        <v>39630</v>
      </c>
      <c r="B117" s="284">
        <v>15596493.390000002</v>
      </c>
      <c r="C117" s="194">
        <f>'Weather Data'!B213</f>
        <v>34.700000000000003</v>
      </c>
      <c r="D117" s="194">
        <f>'Weather Data'!C213</f>
        <v>22.1</v>
      </c>
      <c r="E117" s="194">
        <v>31</v>
      </c>
      <c r="F117" s="194">
        <v>0</v>
      </c>
      <c r="G117" s="184">
        <f>'CDM Activity'!AA49</f>
        <v>0</v>
      </c>
      <c r="H117" s="187">
        <v>139.3351492869389</v>
      </c>
      <c r="I117" s="184">
        <v>18</v>
      </c>
      <c r="J117" s="37">
        <v>352</v>
      </c>
      <c r="K117" s="194"/>
      <c r="L117" s="194"/>
      <c r="M117" s="37"/>
    </row>
    <row r="118" spans="1:13">
      <c r="A118" s="191">
        <v>39661</v>
      </c>
      <c r="B118" s="284">
        <v>14364401.57</v>
      </c>
      <c r="C118" s="194">
        <f>'Weather Data'!B214</f>
        <v>50.400000000000006</v>
      </c>
      <c r="D118" s="194">
        <f>'Weather Data'!C214</f>
        <v>22.200000000000003</v>
      </c>
      <c r="E118" s="194">
        <v>31</v>
      </c>
      <c r="F118" s="194">
        <v>0</v>
      </c>
      <c r="G118" s="184">
        <f>'CDM Activity'!AA50</f>
        <v>0</v>
      </c>
      <c r="H118" s="187">
        <v>139.23021436183228</v>
      </c>
      <c r="I118" s="184">
        <v>18</v>
      </c>
      <c r="J118" s="37">
        <v>320</v>
      </c>
      <c r="K118" s="194"/>
      <c r="L118" s="194"/>
      <c r="M118" s="37"/>
    </row>
    <row r="119" spans="1:13">
      <c r="A119" s="191">
        <v>39692</v>
      </c>
      <c r="B119" s="284">
        <v>14397393.9</v>
      </c>
      <c r="C119" s="194">
        <f>'Weather Data'!B215</f>
        <v>193.29999999999998</v>
      </c>
      <c r="D119" s="194">
        <f>'Weather Data'!C215</f>
        <v>7</v>
      </c>
      <c r="E119" s="194">
        <v>30</v>
      </c>
      <c r="F119" s="194">
        <v>1</v>
      </c>
      <c r="G119" s="184">
        <f>'CDM Activity'!AA51</f>
        <v>0</v>
      </c>
      <c r="H119" s="187">
        <v>139.12535846444095</v>
      </c>
      <c r="I119" s="184">
        <v>18</v>
      </c>
      <c r="J119" s="37">
        <v>336</v>
      </c>
      <c r="K119" s="194"/>
      <c r="L119" s="194"/>
      <c r="M119" s="37"/>
    </row>
    <row r="120" spans="1:13">
      <c r="A120" s="191">
        <v>39722</v>
      </c>
      <c r="B120" s="284">
        <v>15502425.75</v>
      </c>
      <c r="C120" s="194">
        <f>'Weather Data'!B216</f>
        <v>373.09999999999997</v>
      </c>
      <c r="D120" s="194">
        <f>'Weather Data'!C216</f>
        <v>0</v>
      </c>
      <c r="E120" s="194">
        <v>31</v>
      </c>
      <c r="F120" s="194">
        <v>1</v>
      </c>
      <c r="G120" s="184">
        <f>'CDM Activity'!AA52</f>
        <v>0</v>
      </c>
      <c r="H120" s="187">
        <v>139.02058153524823</v>
      </c>
      <c r="I120" s="184">
        <v>18</v>
      </c>
      <c r="J120" s="37">
        <v>352</v>
      </c>
      <c r="K120" s="194"/>
      <c r="L120" s="194"/>
      <c r="M120" s="37"/>
    </row>
    <row r="121" spans="1:13">
      <c r="A121" s="191">
        <v>39753</v>
      </c>
      <c r="B121" s="284">
        <v>16120384.199999999</v>
      </c>
      <c r="C121" s="194">
        <f>'Weather Data'!B217</f>
        <v>591.00000000000011</v>
      </c>
      <c r="D121" s="194">
        <f>'Weather Data'!C217</f>
        <v>0</v>
      </c>
      <c r="E121" s="194">
        <v>30</v>
      </c>
      <c r="F121" s="194">
        <v>1</v>
      </c>
      <c r="G121" s="184">
        <f>'CDM Activity'!AA53</f>
        <v>0</v>
      </c>
      <c r="H121" s="187">
        <v>138.91588351478222</v>
      </c>
      <c r="I121" s="184">
        <v>18</v>
      </c>
      <c r="J121" s="37">
        <v>304</v>
      </c>
      <c r="K121" s="194"/>
      <c r="L121" s="194"/>
      <c r="M121" s="37"/>
    </row>
    <row r="122" spans="1:13">
      <c r="A122" s="191">
        <v>39783</v>
      </c>
      <c r="B122" s="284">
        <v>16570154.409999998</v>
      </c>
      <c r="C122" s="194">
        <f>'Weather Data'!B218</f>
        <v>1033.7999999999997</v>
      </c>
      <c r="D122" s="194">
        <f>'Weather Data'!C218</f>
        <v>0</v>
      </c>
      <c r="E122" s="194">
        <v>31</v>
      </c>
      <c r="F122" s="194">
        <v>0</v>
      </c>
      <c r="G122" s="184">
        <f>'CDM Activity'!AA54</f>
        <v>0</v>
      </c>
      <c r="H122" s="187">
        <v>138.8112643436159</v>
      </c>
      <c r="I122" s="184">
        <v>18</v>
      </c>
      <c r="J122" s="37">
        <v>336</v>
      </c>
      <c r="K122" s="194"/>
      <c r="L122" s="194"/>
      <c r="M122" s="188"/>
    </row>
    <row r="123" spans="1:13">
      <c r="A123" s="191">
        <v>39814</v>
      </c>
      <c r="B123" s="284">
        <v>14444840.290000001</v>
      </c>
      <c r="C123" s="194">
        <f>'Weather Data'!B219</f>
        <v>1093.3999999999996</v>
      </c>
      <c r="D123" s="194">
        <f>'Weather Data'!C219</f>
        <v>0</v>
      </c>
      <c r="E123" s="194">
        <v>31</v>
      </c>
      <c r="F123" s="194">
        <v>0</v>
      </c>
      <c r="G123" s="184">
        <f>'CDM Activity'!AA55</f>
        <v>71.949125060016001</v>
      </c>
      <c r="H123" s="187">
        <v>138.43555825854429</v>
      </c>
      <c r="I123" s="184">
        <v>19</v>
      </c>
      <c r="J123" s="37">
        <v>336</v>
      </c>
      <c r="K123" s="194"/>
      <c r="L123" s="194"/>
      <c r="M123" s="37"/>
    </row>
    <row r="124" spans="1:13">
      <c r="A124" s="191">
        <v>39845</v>
      </c>
      <c r="B124" s="284">
        <v>12291525.680000002</v>
      </c>
      <c r="C124" s="194">
        <f>'Weather Data'!B220</f>
        <v>838.90000000000009</v>
      </c>
      <c r="D124" s="194">
        <f>'Weather Data'!C220</f>
        <v>0</v>
      </c>
      <c r="E124" s="194">
        <v>28</v>
      </c>
      <c r="F124" s="194">
        <v>0</v>
      </c>
      <c r="G124" s="184">
        <f>'CDM Activity'!AA56</f>
        <v>143.898250120032</v>
      </c>
      <c r="H124" s="187">
        <v>138.06086905825526</v>
      </c>
      <c r="I124" s="184">
        <v>19</v>
      </c>
      <c r="J124" s="37">
        <v>304</v>
      </c>
      <c r="K124" s="194"/>
      <c r="L124" s="194"/>
      <c r="M124" s="37"/>
    </row>
    <row r="125" spans="1:13">
      <c r="A125" s="191">
        <v>39873</v>
      </c>
      <c r="B125" s="284">
        <v>14077612.120000003</v>
      </c>
      <c r="C125" s="194">
        <f>'Weather Data'!B221</f>
        <v>762.3</v>
      </c>
      <c r="D125" s="194">
        <f>'Weather Data'!C221</f>
        <v>0</v>
      </c>
      <c r="E125" s="194">
        <v>31</v>
      </c>
      <c r="F125" s="194">
        <v>1</v>
      </c>
      <c r="G125" s="184">
        <f>'CDM Activity'!AA57</f>
        <v>215.847375180048</v>
      </c>
      <c r="H125" s="187">
        <v>137.68719399045199</v>
      </c>
      <c r="I125" s="184">
        <v>20</v>
      </c>
      <c r="J125" s="37">
        <v>352</v>
      </c>
      <c r="K125" s="194"/>
      <c r="L125" s="194"/>
      <c r="M125" s="37"/>
    </row>
    <row r="126" spans="1:13">
      <c r="A126" s="191">
        <v>39904</v>
      </c>
      <c r="B126" s="284">
        <v>15547303.799999997</v>
      </c>
      <c r="C126" s="194">
        <f>'Weather Data'!B222</f>
        <v>453.2</v>
      </c>
      <c r="D126" s="194">
        <f>'Weather Data'!C222</f>
        <v>0</v>
      </c>
      <c r="E126" s="194">
        <v>30</v>
      </c>
      <c r="F126" s="194">
        <v>1</v>
      </c>
      <c r="G126" s="184">
        <f>'CDM Activity'!AA58</f>
        <v>287.79650024006401</v>
      </c>
      <c r="H126" s="187">
        <v>137.31453031028698</v>
      </c>
      <c r="I126" s="184">
        <v>21</v>
      </c>
      <c r="J126" s="37">
        <v>320</v>
      </c>
      <c r="K126" s="194"/>
      <c r="L126" s="194"/>
      <c r="M126" s="287"/>
    </row>
    <row r="127" spans="1:13">
      <c r="A127" s="191">
        <v>39934</v>
      </c>
      <c r="B127" s="284">
        <v>14916341.92</v>
      </c>
      <c r="C127" s="194">
        <f>'Weather Data'!B223</f>
        <v>319.8</v>
      </c>
      <c r="D127" s="194">
        <f>'Weather Data'!C223</f>
        <v>0</v>
      </c>
      <c r="E127" s="194">
        <v>31</v>
      </c>
      <c r="F127" s="194">
        <v>1</v>
      </c>
      <c r="G127" s="184">
        <f>'CDM Activity'!AA59</f>
        <v>359.74562530008001</v>
      </c>
      <c r="H127" s="187">
        <v>136.94287528034204</v>
      </c>
      <c r="I127" s="184">
        <v>20</v>
      </c>
      <c r="J127" s="37">
        <v>320</v>
      </c>
      <c r="K127" s="194"/>
      <c r="L127" s="194"/>
      <c r="M127" s="37"/>
    </row>
    <row r="128" spans="1:13">
      <c r="A128" s="191">
        <v>39965</v>
      </c>
      <c r="B128" s="284">
        <v>15107454.6</v>
      </c>
      <c r="C128" s="194">
        <f>'Weather Data'!B224</f>
        <v>141.80000000000001</v>
      </c>
      <c r="D128" s="194">
        <f>'Weather Data'!C224</f>
        <v>13.7</v>
      </c>
      <c r="E128" s="194">
        <v>30</v>
      </c>
      <c r="F128" s="194">
        <v>0</v>
      </c>
      <c r="G128" s="184">
        <f>'CDM Activity'!AA60</f>
        <v>431.69475036009601</v>
      </c>
      <c r="H128" s="187">
        <v>136.57222617060793</v>
      </c>
      <c r="I128" s="184">
        <v>20</v>
      </c>
      <c r="J128" s="37">
        <v>352</v>
      </c>
      <c r="K128" s="194"/>
      <c r="L128" s="194"/>
      <c r="M128" s="37"/>
    </row>
    <row r="129" spans="1:13">
      <c r="A129" s="191">
        <v>39995</v>
      </c>
      <c r="B129" s="284">
        <v>14562083.399999999</v>
      </c>
      <c r="C129" s="194">
        <f>'Weather Data'!B225</f>
        <v>74.5</v>
      </c>
      <c r="D129" s="194">
        <f>'Weather Data'!C225</f>
        <v>2</v>
      </c>
      <c r="E129" s="194">
        <v>31</v>
      </c>
      <c r="F129" s="194">
        <v>0</v>
      </c>
      <c r="G129" s="184">
        <f>'CDM Activity'!AA61</f>
        <v>503.64387542011201</v>
      </c>
      <c r="H129" s="187">
        <v>136.20258025846454</v>
      </c>
      <c r="I129" s="184">
        <v>22</v>
      </c>
      <c r="J129" s="37">
        <v>352</v>
      </c>
      <c r="K129" s="194"/>
      <c r="L129" s="194"/>
      <c r="M129" s="37"/>
    </row>
    <row r="130" spans="1:13">
      <c r="A130" s="191">
        <v>40026</v>
      </c>
      <c r="B130" s="284">
        <v>13555899.17</v>
      </c>
      <c r="C130" s="194">
        <f>'Weather Data'!B226</f>
        <v>84.2</v>
      </c>
      <c r="D130" s="194">
        <f>'Weather Data'!C226</f>
        <v>14.2</v>
      </c>
      <c r="E130" s="194">
        <v>31</v>
      </c>
      <c r="F130" s="194">
        <v>0</v>
      </c>
      <c r="G130" s="184">
        <f>'CDM Activity'!AA62</f>
        <v>575.59300048012801</v>
      </c>
      <c r="H130" s="187">
        <v>135.83393482866074</v>
      </c>
      <c r="I130" s="184">
        <v>20</v>
      </c>
      <c r="J130" s="37">
        <v>320</v>
      </c>
      <c r="K130" s="194"/>
      <c r="L130" s="194"/>
      <c r="M130" s="37"/>
    </row>
    <row r="131" spans="1:13">
      <c r="A131" s="191">
        <v>40057</v>
      </c>
      <c r="B131" s="284">
        <v>13666422.830000002</v>
      </c>
      <c r="C131" s="194">
        <f>'Weather Data'!B227</f>
        <v>102.8</v>
      </c>
      <c r="D131" s="194">
        <f>'Weather Data'!C227</f>
        <v>3.5</v>
      </c>
      <c r="E131" s="194">
        <v>30</v>
      </c>
      <c r="F131" s="194">
        <v>1</v>
      </c>
      <c r="G131" s="184">
        <f>'CDM Activity'!AA63</f>
        <v>647.54212554014407</v>
      </c>
      <c r="H131" s="187">
        <v>135.46628717329455</v>
      </c>
      <c r="I131" s="184">
        <v>21</v>
      </c>
      <c r="J131" s="37">
        <v>336</v>
      </c>
      <c r="K131" s="194"/>
      <c r="L131" s="194"/>
      <c r="M131" s="37"/>
    </row>
    <row r="132" spans="1:13">
      <c r="A132" s="191">
        <v>40087</v>
      </c>
      <c r="B132" s="284">
        <v>14129966.779999997</v>
      </c>
      <c r="C132" s="194">
        <f>'Weather Data'!B228</f>
        <v>451.40000000000003</v>
      </c>
      <c r="D132" s="194">
        <f>'Weather Data'!C228</f>
        <v>0</v>
      </c>
      <c r="E132" s="194">
        <v>31</v>
      </c>
      <c r="F132" s="194">
        <v>1</v>
      </c>
      <c r="G132" s="184">
        <f>'CDM Activity'!AA64</f>
        <v>719.49125060016013</v>
      </c>
      <c r="H132" s="187">
        <v>135.09963459179312</v>
      </c>
      <c r="I132" s="184">
        <v>20</v>
      </c>
      <c r="J132" s="37">
        <v>336</v>
      </c>
      <c r="K132" s="194"/>
      <c r="L132" s="194"/>
      <c r="M132" s="37"/>
    </row>
    <row r="133" spans="1:13">
      <c r="A133" s="191">
        <v>40118</v>
      </c>
      <c r="B133" s="284">
        <v>13430216.1</v>
      </c>
      <c r="C133" s="194">
        <f>'Weather Data'!B229</f>
        <v>473.49999999999994</v>
      </c>
      <c r="D133" s="194">
        <f>'Weather Data'!C229</f>
        <v>0</v>
      </c>
      <c r="E133" s="194">
        <v>30</v>
      </c>
      <c r="F133" s="194">
        <v>1</v>
      </c>
      <c r="G133" s="184">
        <f>'CDM Activity'!AA65</f>
        <v>791.44037566017619</v>
      </c>
      <c r="H133" s="187">
        <v>134.733974390893</v>
      </c>
      <c r="I133" s="184">
        <v>20</v>
      </c>
      <c r="J133" s="37">
        <v>320</v>
      </c>
      <c r="K133" s="194"/>
      <c r="L133" s="194"/>
      <c r="M133" s="37"/>
    </row>
    <row r="134" spans="1:13">
      <c r="A134" s="191">
        <v>40148</v>
      </c>
      <c r="B134" s="284">
        <v>14895935.549999999</v>
      </c>
      <c r="C134" s="194">
        <f>'Weather Data'!B230</f>
        <v>914.89999999999986</v>
      </c>
      <c r="D134" s="194">
        <f>'Weather Data'!C230</f>
        <v>0</v>
      </c>
      <c r="E134" s="194">
        <v>31</v>
      </c>
      <c r="F134" s="194">
        <v>0</v>
      </c>
      <c r="G134" s="184">
        <f>'CDM Activity'!AA66</f>
        <v>863.38950072019225</v>
      </c>
      <c r="H134" s="187">
        <v>134.36930388462019</v>
      </c>
      <c r="I134" s="184">
        <v>19</v>
      </c>
      <c r="J134" s="37">
        <v>352</v>
      </c>
      <c r="K134" s="194"/>
      <c r="L134" s="194"/>
      <c r="M134" s="37"/>
    </row>
    <row r="135" spans="1:13">
      <c r="A135" s="191">
        <v>40179</v>
      </c>
      <c r="B135" s="284">
        <v>13529933.879999995</v>
      </c>
      <c r="C135" s="194">
        <f>'Weather Data'!B231</f>
        <v>900.20000000000027</v>
      </c>
      <c r="D135" s="194">
        <f>'Weather Data'!C231</f>
        <v>0</v>
      </c>
      <c r="E135" s="194">
        <v>31</v>
      </c>
      <c r="F135" s="194">
        <v>0</v>
      </c>
      <c r="G135" s="184">
        <f>'CDM Activity'!AA67</f>
        <v>974.35635081318765</v>
      </c>
      <c r="H135" s="187">
        <v>134.73334561620703</v>
      </c>
      <c r="I135" s="184">
        <v>20</v>
      </c>
      <c r="J135" s="194">
        <v>320</v>
      </c>
      <c r="K135" s="194"/>
      <c r="L135" s="194"/>
      <c r="M135" s="37"/>
    </row>
    <row r="136" spans="1:13">
      <c r="A136" s="191">
        <v>40210</v>
      </c>
      <c r="B136" s="284">
        <v>11123740.600000001</v>
      </c>
      <c r="C136" s="194">
        <f>'Weather Data'!B232</f>
        <v>778.39999999999975</v>
      </c>
      <c r="D136" s="194">
        <f>'Weather Data'!C232</f>
        <v>0</v>
      </c>
      <c r="E136" s="194">
        <v>28</v>
      </c>
      <c r="F136" s="194">
        <v>0</v>
      </c>
      <c r="G136" s="184">
        <f>'CDM Activity'!AA68</f>
        <v>1085.323200906183</v>
      </c>
      <c r="H136" s="187">
        <v>135.09837363244745</v>
      </c>
      <c r="I136" s="184">
        <v>20</v>
      </c>
      <c r="J136" s="194">
        <v>304</v>
      </c>
      <c r="K136" s="194"/>
      <c r="L136" s="194"/>
      <c r="M136" s="37"/>
    </row>
    <row r="137" spans="1:13">
      <c r="A137" s="191">
        <v>40238</v>
      </c>
      <c r="B137" s="284">
        <v>12140260.609999999</v>
      </c>
      <c r="C137" s="194">
        <f>'Weather Data'!B233</f>
        <v>514.4</v>
      </c>
      <c r="D137" s="194">
        <f>'Weather Data'!C233</f>
        <v>0</v>
      </c>
      <c r="E137" s="194">
        <v>31</v>
      </c>
      <c r="F137" s="194">
        <v>1</v>
      </c>
      <c r="G137" s="184">
        <f>'CDM Activity'!AA69</f>
        <v>1196.2900509991784</v>
      </c>
      <c r="H137" s="187">
        <v>135.46439060544563</v>
      </c>
      <c r="I137" s="184">
        <v>20</v>
      </c>
      <c r="J137" s="194">
        <v>368</v>
      </c>
      <c r="K137" s="194"/>
      <c r="L137" s="194"/>
      <c r="M137" s="37"/>
    </row>
    <row r="138" spans="1:13">
      <c r="A138" s="191">
        <v>40269</v>
      </c>
      <c r="B138" s="284">
        <v>12903896.700000001</v>
      </c>
      <c r="C138" s="194">
        <f>'Weather Data'!B234</f>
        <v>358.00000000000011</v>
      </c>
      <c r="D138" s="194">
        <f>'Weather Data'!C234</f>
        <v>0</v>
      </c>
      <c r="E138" s="194">
        <v>30</v>
      </c>
      <c r="F138" s="194">
        <v>1</v>
      </c>
      <c r="G138" s="184">
        <f>'CDM Activity'!AA70</f>
        <v>1307.2569010921738</v>
      </c>
      <c r="H138" s="187">
        <v>135.83139921454512</v>
      </c>
      <c r="I138" s="184">
        <v>20</v>
      </c>
      <c r="J138" s="194">
        <v>320</v>
      </c>
      <c r="K138" s="194"/>
      <c r="L138" s="194"/>
      <c r="M138" s="37"/>
    </row>
    <row r="139" spans="1:13">
      <c r="A139" s="191">
        <v>40299</v>
      </c>
      <c r="B139" s="284">
        <v>12874149.650000002</v>
      </c>
      <c r="C139" s="194">
        <f>'Weather Data'!B235</f>
        <v>212.40000000000003</v>
      </c>
      <c r="D139" s="194">
        <f>'Weather Data'!C235</f>
        <v>0.6</v>
      </c>
      <c r="E139" s="194">
        <v>31</v>
      </c>
      <c r="F139" s="194">
        <v>1</v>
      </c>
      <c r="G139" s="184">
        <f>'CDM Activity'!AA71</f>
        <v>1418.2237511851692</v>
      </c>
      <c r="H139" s="187">
        <v>136.19940214634852</v>
      </c>
      <c r="I139" s="184">
        <v>20</v>
      </c>
      <c r="J139" s="194">
        <v>320</v>
      </c>
      <c r="K139" s="194"/>
      <c r="L139" s="194"/>
      <c r="M139" s="37"/>
    </row>
    <row r="140" spans="1:13">
      <c r="A140" s="191">
        <v>40330</v>
      </c>
      <c r="B140" s="284">
        <v>12606339.299999999</v>
      </c>
      <c r="C140" s="194">
        <f>'Weather Data'!B236</f>
        <v>106.30000000000003</v>
      </c>
      <c r="D140" s="194">
        <f>'Weather Data'!C236</f>
        <v>3.0000000000000004</v>
      </c>
      <c r="E140" s="194">
        <v>30</v>
      </c>
      <c r="F140" s="194">
        <v>0</v>
      </c>
      <c r="G140" s="184">
        <f>'CDM Activity'!AA72</f>
        <v>1529.1906012781646</v>
      </c>
      <c r="H140" s="187">
        <v>136.56840209473719</v>
      </c>
      <c r="I140" s="184">
        <v>19</v>
      </c>
      <c r="J140" s="194">
        <v>352</v>
      </c>
      <c r="K140" s="194"/>
      <c r="L140" s="194"/>
      <c r="M140" s="37"/>
    </row>
    <row r="141" spans="1:13">
      <c r="A141" s="191">
        <v>40360</v>
      </c>
      <c r="B141" s="284">
        <v>13126032.389999999</v>
      </c>
      <c r="C141" s="194">
        <f>'Weather Data'!B237</f>
        <v>14.5</v>
      </c>
      <c r="D141" s="194">
        <f>'Weather Data'!C237</f>
        <v>52</v>
      </c>
      <c r="E141" s="194">
        <v>31</v>
      </c>
      <c r="F141" s="194">
        <v>0</v>
      </c>
      <c r="G141" s="184">
        <f>'CDM Activity'!AA73</f>
        <v>1640.1574513711601</v>
      </c>
      <c r="H141" s="187">
        <v>136.93840176089088</v>
      </c>
      <c r="I141" s="184">
        <v>18</v>
      </c>
      <c r="J141" s="194">
        <v>336</v>
      </c>
      <c r="K141" s="194"/>
      <c r="L141" s="194"/>
      <c r="M141" s="37"/>
    </row>
    <row r="142" spans="1:13">
      <c r="A142" s="191">
        <v>40391</v>
      </c>
      <c r="B142" s="284">
        <v>12411729.469999999</v>
      </c>
      <c r="C142" s="194">
        <f>'Weather Data'!B238</f>
        <v>37.9</v>
      </c>
      <c r="D142" s="194">
        <f>'Weather Data'!C238</f>
        <v>55.8</v>
      </c>
      <c r="E142" s="194">
        <v>31</v>
      </c>
      <c r="F142" s="194">
        <v>0</v>
      </c>
      <c r="G142" s="184">
        <f>'CDM Activity'!AA74</f>
        <v>1751.1243014641555</v>
      </c>
      <c r="H142" s="187">
        <v>137.30940385330757</v>
      </c>
      <c r="I142" s="184">
        <v>18</v>
      </c>
      <c r="J142" s="194">
        <v>336</v>
      </c>
      <c r="K142" s="194"/>
      <c r="L142" s="194"/>
      <c r="M142" s="37"/>
    </row>
    <row r="143" spans="1:13">
      <c r="A143" s="191">
        <v>40422</v>
      </c>
      <c r="B143" s="284">
        <v>11756478.059999999</v>
      </c>
      <c r="C143" s="194">
        <f>'Weather Data'!B239</f>
        <v>231.1</v>
      </c>
      <c r="D143" s="194">
        <f>'Weather Data'!C239</f>
        <v>0</v>
      </c>
      <c r="E143" s="194">
        <v>30</v>
      </c>
      <c r="F143" s="194">
        <v>1</v>
      </c>
      <c r="G143" s="184">
        <f>'CDM Activity'!AA75</f>
        <v>1862.0911515571509</v>
      </c>
      <c r="H143" s="187">
        <v>137.68141108782325</v>
      </c>
      <c r="I143" s="184">
        <v>18</v>
      </c>
      <c r="J143" s="194">
        <v>336</v>
      </c>
      <c r="K143" s="194"/>
      <c r="L143" s="194"/>
      <c r="M143" s="37"/>
    </row>
    <row r="144" spans="1:13">
      <c r="A144" s="191">
        <v>40452</v>
      </c>
      <c r="B144" s="284">
        <v>12590356.120000001</v>
      </c>
      <c r="C144" s="194">
        <f>'Weather Data'!B240</f>
        <v>355.49999999999989</v>
      </c>
      <c r="D144" s="194">
        <f>'Weather Data'!C240</f>
        <v>0</v>
      </c>
      <c r="E144" s="194">
        <v>31</v>
      </c>
      <c r="F144" s="194">
        <v>1</v>
      </c>
      <c r="G144" s="184">
        <f>'CDM Activity'!AA76</f>
        <v>1973.0580016501463</v>
      </c>
      <c r="H144" s="187">
        <v>138.0544261876318</v>
      </c>
      <c r="I144" s="184">
        <v>18</v>
      </c>
      <c r="J144" s="194">
        <v>320</v>
      </c>
      <c r="K144" s="194"/>
      <c r="L144" s="194"/>
      <c r="M144" s="37"/>
    </row>
    <row r="145" spans="1:13">
      <c r="A145" s="191">
        <v>40483</v>
      </c>
      <c r="B145" s="284">
        <v>13710651.659999998</v>
      </c>
      <c r="C145" s="194">
        <f>'Weather Data'!B241</f>
        <v>549.40000000000009</v>
      </c>
      <c r="D145" s="194">
        <f>'Weather Data'!C241</f>
        <v>0</v>
      </c>
      <c r="E145" s="194">
        <v>30</v>
      </c>
      <c r="F145" s="194">
        <v>1</v>
      </c>
      <c r="G145" s="184">
        <f>'CDM Activity'!AA77</f>
        <v>2084.0248517431414</v>
      </c>
      <c r="H145" s="187">
        <v>138.42845188330503</v>
      </c>
      <c r="I145" s="184">
        <v>19</v>
      </c>
      <c r="J145" s="194">
        <v>336</v>
      </c>
      <c r="K145" s="194"/>
      <c r="L145" s="194"/>
      <c r="M145" s="37"/>
    </row>
    <row r="146" spans="1:13">
      <c r="A146" s="191">
        <v>40513</v>
      </c>
      <c r="B146" s="284">
        <v>14504849.16</v>
      </c>
      <c r="C146" s="194">
        <f>'Weather Data'!B242</f>
        <v>879.0999999999998</v>
      </c>
      <c r="D146" s="194">
        <f>'Weather Data'!C242</f>
        <v>0</v>
      </c>
      <c r="E146" s="194">
        <v>31</v>
      </c>
      <c r="F146" s="194">
        <v>0</v>
      </c>
      <c r="G146" s="184">
        <f>'CDM Activity'!AA78</f>
        <v>2194.9917018361366</v>
      </c>
      <c r="H146" s="187">
        <v>138.80349091281266</v>
      </c>
      <c r="I146" s="184">
        <v>17</v>
      </c>
      <c r="J146" s="194">
        <v>368</v>
      </c>
      <c r="K146" s="194"/>
      <c r="L146" s="194"/>
      <c r="M146" s="37"/>
    </row>
    <row r="147" spans="1:13">
      <c r="A147" s="183">
        <v>40544</v>
      </c>
      <c r="B147" s="284">
        <v>12920321.049999999</v>
      </c>
      <c r="C147" s="194">
        <f>'Weather Data'!B243</f>
        <v>1077.9000000000003</v>
      </c>
      <c r="D147" s="194">
        <f>'Weather Data'!C243</f>
        <v>0</v>
      </c>
      <c r="E147" s="287">
        <v>31</v>
      </c>
      <c r="F147" s="194">
        <v>0</v>
      </c>
      <c r="G147" s="184">
        <f>'CDM Activity'!AA79</f>
        <v>2928.0437033901194</v>
      </c>
      <c r="H147" s="187">
        <v>139.10070640604135</v>
      </c>
      <c r="I147" s="184">
        <v>17</v>
      </c>
      <c r="J147" s="194">
        <v>336</v>
      </c>
      <c r="K147" s="194"/>
      <c r="L147" s="194"/>
      <c r="M147" s="37"/>
    </row>
    <row r="148" spans="1:13">
      <c r="A148" s="183">
        <v>40575</v>
      </c>
      <c r="B148" s="284">
        <v>10892440.440000001</v>
      </c>
      <c r="C148" s="194">
        <f>'Weather Data'!B244</f>
        <v>826.9</v>
      </c>
      <c r="D148" s="194">
        <f>'Weather Data'!C244</f>
        <v>0</v>
      </c>
      <c r="E148" s="287">
        <v>28</v>
      </c>
      <c r="F148" s="194">
        <v>0</v>
      </c>
      <c r="G148" s="184">
        <f>'CDM Activity'!AA80</f>
        <v>3661.0957049441022</v>
      </c>
      <c r="H148" s="187">
        <v>139.39855831733732</v>
      </c>
      <c r="I148" s="184">
        <v>17</v>
      </c>
      <c r="J148" s="194">
        <v>304</v>
      </c>
      <c r="K148" s="194"/>
      <c r="L148" s="194"/>
      <c r="M148" s="37"/>
    </row>
    <row r="149" spans="1:13">
      <c r="A149" s="183">
        <v>40603</v>
      </c>
      <c r="B149" s="284">
        <v>12257636.48</v>
      </c>
      <c r="C149" s="194">
        <f>'Weather Data'!B245</f>
        <v>749.9</v>
      </c>
      <c r="D149" s="194">
        <f>'Weather Data'!C245</f>
        <v>0</v>
      </c>
      <c r="E149" s="287">
        <v>31</v>
      </c>
      <c r="F149" s="194">
        <v>1</v>
      </c>
      <c r="G149" s="184">
        <f>'CDM Activity'!AA81</f>
        <v>4394.1477064980854</v>
      </c>
      <c r="H149" s="187">
        <v>139.69704800944226</v>
      </c>
      <c r="I149" s="184">
        <v>18</v>
      </c>
      <c r="J149" s="194">
        <v>368</v>
      </c>
      <c r="K149" s="194"/>
      <c r="L149" s="194"/>
      <c r="M149" s="37"/>
    </row>
    <row r="150" spans="1:13">
      <c r="A150" s="183">
        <v>40634</v>
      </c>
      <c r="B150" s="284">
        <v>12658528.499999998</v>
      </c>
      <c r="C150" s="194">
        <f>'Weather Data'!B246</f>
        <v>482.30000000000007</v>
      </c>
      <c r="D150" s="194">
        <f>'Weather Data'!C246</f>
        <v>0</v>
      </c>
      <c r="E150" s="287">
        <v>30</v>
      </c>
      <c r="F150" s="194">
        <v>1</v>
      </c>
      <c r="G150" s="184">
        <f>'CDM Activity'!AA82</f>
        <v>5127.1997080520687</v>
      </c>
      <c r="H150" s="187">
        <v>139.99617684801592</v>
      </c>
      <c r="I150" s="184">
        <v>18</v>
      </c>
      <c r="J150" s="194">
        <v>320</v>
      </c>
      <c r="K150" s="194"/>
      <c r="L150" s="194"/>
      <c r="M150" s="37"/>
    </row>
    <row r="151" spans="1:13">
      <c r="A151" s="183">
        <v>40664</v>
      </c>
      <c r="B151" s="284">
        <v>13172900.730000002</v>
      </c>
      <c r="C151" s="194">
        <f>'Weather Data'!B247</f>
        <v>266.99999999999994</v>
      </c>
      <c r="D151" s="194">
        <f>'Weather Data'!C247</f>
        <v>0</v>
      </c>
      <c r="E151" s="287">
        <v>31</v>
      </c>
      <c r="F151" s="194">
        <v>1</v>
      </c>
      <c r="G151" s="184">
        <f>'CDM Activity'!AA83</f>
        <v>5860.2517096060519</v>
      </c>
      <c r="H151" s="187">
        <v>140.29594620164227</v>
      </c>
      <c r="I151" s="184">
        <v>19</v>
      </c>
      <c r="J151" s="194">
        <v>336</v>
      </c>
      <c r="K151" s="194"/>
      <c r="L151" s="194"/>
      <c r="M151" s="37"/>
    </row>
    <row r="152" spans="1:13">
      <c r="A152" s="183">
        <v>40695</v>
      </c>
      <c r="B152" s="284">
        <v>12544750.5</v>
      </c>
      <c r="C152" s="194">
        <f>'Weather Data'!B248</f>
        <v>110.1</v>
      </c>
      <c r="D152" s="194">
        <f>'Weather Data'!C248</f>
        <v>0</v>
      </c>
      <c r="E152" s="287">
        <v>30</v>
      </c>
      <c r="F152" s="194">
        <v>0</v>
      </c>
      <c r="G152" s="184">
        <f>'CDM Activity'!AA84</f>
        <v>6593.3037111600352</v>
      </c>
      <c r="H152" s="187">
        <v>140.59635744183578</v>
      </c>
      <c r="I152" s="184">
        <v>18</v>
      </c>
      <c r="J152" s="194">
        <v>352</v>
      </c>
      <c r="K152" s="194"/>
      <c r="L152" s="194"/>
      <c r="M152" s="37"/>
    </row>
    <row r="153" spans="1:13">
      <c r="A153" s="183">
        <v>40725</v>
      </c>
      <c r="B153" s="284">
        <v>13875078.890000001</v>
      </c>
      <c r="C153" s="194">
        <f>'Weather Data'!B249</f>
        <v>29.8</v>
      </c>
      <c r="D153" s="194">
        <f>'Weather Data'!C249</f>
        <v>63.7</v>
      </c>
      <c r="E153" s="287">
        <v>31</v>
      </c>
      <c r="F153" s="194">
        <v>0</v>
      </c>
      <c r="G153" s="184">
        <f>'CDM Activity'!AA85</f>
        <v>7326.3557127140184</v>
      </c>
      <c r="H153" s="187">
        <v>140.89741194304773</v>
      </c>
      <c r="I153" s="184">
        <v>18</v>
      </c>
      <c r="J153" s="194">
        <v>320</v>
      </c>
      <c r="K153" s="194"/>
      <c r="L153" s="194"/>
      <c r="M153" s="37"/>
    </row>
    <row r="154" spans="1:13">
      <c r="A154" s="183">
        <v>40756</v>
      </c>
      <c r="B154" s="284">
        <v>14198477.709999999</v>
      </c>
      <c r="C154" s="194">
        <f>'Weather Data'!B250</f>
        <v>22.2</v>
      </c>
      <c r="D154" s="194">
        <f>'Weather Data'!C250</f>
        <v>35.699999999999996</v>
      </c>
      <c r="E154" s="287">
        <v>31</v>
      </c>
      <c r="F154" s="194">
        <v>0</v>
      </c>
      <c r="G154" s="184">
        <f>'CDM Activity'!AA86</f>
        <v>8059.4077142680017</v>
      </c>
      <c r="H154" s="187">
        <v>141.19911108267243</v>
      </c>
      <c r="I154" s="184">
        <v>18</v>
      </c>
      <c r="J154" s="194">
        <v>352</v>
      </c>
      <c r="K154" s="194"/>
      <c r="L154" s="194"/>
      <c r="M154" s="37"/>
    </row>
    <row r="155" spans="1:13">
      <c r="A155" s="183">
        <v>40787</v>
      </c>
      <c r="B155" s="284">
        <v>13259931.000000002</v>
      </c>
      <c r="C155" s="194">
        <f>'Weather Data'!B251</f>
        <v>172.3</v>
      </c>
      <c r="D155" s="194">
        <f>'Weather Data'!C251</f>
        <v>9.4</v>
      </c>
      <c r="E155" s="287">
        <v>30</v>
      </c>
      <c r="F155" s="194">
        <v>1</v>
      </c>
      <c r="G155" s="184">
        <f>'CDM Activity'!AA87</f>
        <v>8792.459715821984</v>
      </c>
      <c r="H155" s="187">
        <v>141.50145624105357</v>
      </c>
      <c r="I155" s="184">
        <v>18</v>
      </c>
      <c r="J155" s="194">
        <v>336</v>
      </c>
      <c r="K155" s="194"/>
      <c r="L155" s="194"/>
      <c r="M155" s="37"/>
    </row>
    <row r="156" spans="1:13">
      <c r="A156" s="183">
        <v>40817</v>
      </c>
      <c r="B156" s="284">
        <v>13575461.719999999</v>
      </c>
      <c r="C156" s="194">
        <f>'Weather Data'!B252</f>
        <v>337.20000000000005</v>
      </c>
      <c r="D156" s="194">
        <f>'Weather Data'!C252</f>
        <v>5.4</v>
      </c>
      <c r="E156" s="287">
        <v>31</v>
      </c>
      <c r="F156" s="194">
        <v>1</v>
      </c>
      <c r="G156" s="184">
        <f>'CDM Activity'!AA88</f>
        <v>9525.5117173759663</v>
      </c>
      <c r="H156" s="187">
        <v>141.80444880149057</v>
      </c>
      <c r="I156" s="184">
        <v>18</v>
      </c>
      <c r="J156" s="194">
        <v>320</v>
      </c>
      <c r="K156" s="194"/>
      <c r="L156" s="194"/>
      <c r="M156" s="37"/>
    </row>
    <row r="157" spans="1:13">
      <c r="A157" s="183">
        <v>40848</v>
      </c>
      <c r="B157" s="284">
        <v>14692874.140000001</v>
      </c>
      <c r="C157" s="194">
        <f>'Weather Data'!B253</f>
        <v>563.20000000000005</v>
      </c>
      <c r="D157" s="194">
        <f>'Weather Data'!C253</f>
        <v>0</v>
      </c>
      <c r="E157" s="287">
        <v>30</v>
      </c>
      <c r="F157" s="194">
        <v>1</v>
      </c>
      <c r="G157" s="184">
        <f>'CDM Activity'!AA89</f>
        <v>10258.563718929949</v>
      </c>
      <c r="H157" s="187">
        <v>142.10809015024478</v>
      </c>
      <c r="I157" s="184">
        <v>18</v>
      </c>
      <c r="J157" s="194">
        <v>352</v>
      </c>
      <c r="K157" s="194"/>
      <c r="L157" s="194"/>
      <c r="M157" s="37"/>
    </row>
    <row r="158" spans="1:13">
      <c r="A158" s="183">
        <v>40878</v>
      </c>
      <c r="B158" s="284">
        <v>14105892.180000002</v>
      </c>
      <c r="C158" s="194">
        <f>'Weather Data'!B254</f>
        <v>769.8</v>
      </c>
      <c r="D158" s="194">
        <f>'Weather Data'!C254</f>
        <v>0</v>
      </c>
      <c r="E158" s="287">
        <v>31</v>
      </c>
      <c r="F158" s="194">
        <v>0</v>
      </c>
      <c r="G158" s="184">
        <f>'CDM Activity'!AA90</f>
        <v>10991.615720483931</v>
      </c>
      <c r="H158" s="187">
        <v>142.41238167654581</v>
      </c>
      <c r="I158" s="184">
        <v>18</v>
      </c>
      <c r="J158" s="194">
        <v>336</v>
      </c>
      <c r="K158" s="194"/>
      <c r="L158" s="194"/>
      <c r="M158" s="37"/>
    </row>
    <row r="159" spans="1:13">
      <c r="A159" s="183">
        <v>40909</v>
      </c>
      <c r="B159" s="284">
        <v>12529109.419999998</v>
      </c>
      <c r="C159" s="194">
        <f>'Weather Data'!B255</f>
        <v>865.69999999999993</v>
      </c>
      <c r="D159" s="194">
        <f>'Weather Data'!C255</f>
        <v>0</v>
      </c>
      <c r="E159" s="194">
        <v>31</v>
      </c>
      <c r="F159" s="194">
        <v>0</v>
      </c>
      <c r="G159" s="184">
        <f>'CDM Activity'!AA91</f>
        <v>11698.330456902924</v>
      </c>
      <c r="H159" s="187">
        <v>142.61257743956915</v>
      </c>
      <c r="I159" s="184">
        <v>19</v>
      </c>
      <c r="J159" s="194">
        <v>336</v>
      </c>
      <c r="K159" s="194"/>
      <c r="L159" s="194"/>
      <c r="M159" s="37"/>
    </row>
    <row r="160" spans="1:13">
      <c r="A160" s="183">
        <v>40940</v>
      </c>
      <c r="B160" s="284">
        <v>11160065.359999999</v>
      </c>
      <c r="C160" s="194">
        <f>'Weather Data'!B256</f>
        <v>693.8</v>
      </c>
      <c r="D160" s="194">
        <f>'Weather Data'!C256</f>
        <v>0</v>
      </c>
      <c r="E160" s="194">
        <v>29</v>
      </c>
      <c r="F160" s="194">
        <v>0</v>
      </c>
      <c r="G160" s="184">
        <f>'CDM Activity'!AA92</f>
        <v>12405.045193321917</v>
      </c>
      <c r="H160" s="187">
        <v>142.81305462716429</v>
      </c>
      <c r="I160" s="184">
        <v>19</v>
      </c>
      <c r="J160" s="194">
        <v>320</v>
      </c>
      <c r="K160" s="194"/>
      <c r="L160" s="194"/>
      <c r="M160" s="37"/>
    </row>
    <row r="161" spans="1:13">
      <c r="A161" s="183">
        <v>40969</v>
      </c>
      <c r="B161" s="284">
        <v>12256618.18</v>
      </c>
      <c r="C161" s="194">
        <f>'Weather Data'!B257</f>
        <v>525.4</v>
      </c>
      <c r="D161" s="194">
        <f>'Weather Data'!C257</f>
        <v>0</v>
      </c>
      <c r="E161" s="194">
        <v>31</v>
      </c>
      <c r="F161" s="194">
        <v>1</v>
      </c>
      <c r="G161" s="184">
        <f>'CDM Activity'!AA93</f>
        <v>13111.759929740911</v>
      </c>
      <c r="H161" s="187">
        <v>143.01381363494295</v>
      </c>
      <c r="I161" s="184">
        <v>19</v>
      </c>
      <c r="J161" s="194">
        <v>352</v>
      </c>
      <c r="K161" s="194"/>
      <c r="L161" s="194"/>
      <c r="M161" s="37"/>
    </row>
    <row r="162" spans="1:13">
      <c r="A162" s="183">
        <v>41000</v>
      </c>
      <c r="B162" s="284">
        <v>13560323.399999999</v>
      </c>
      <c r="C162" s="194">
        <f>'Weather Data'!B258</f>
        <v>434.89999999999986</v>
      </c>
      <c r="D162" s="194">
        <f>'Weather Data'!C258</f>
        <v>0</v>
      </c>
      <c r="E162" s="194">
        <v>30</v>
      </c>
      <c r="F162" s="194">
        <v>1</v>
      </c>
      <c r="G162" s="184">
        <f>'CDM Activity'!AA94</f>
        <v>13818.474666159904</v>
      </c>
      <c r="H162" s="187">
        <v>143.21485485907297</v>
      </c>
      <c r="I162" s="184">
        <v>19</v>
      </c>
      <c r="J162" s="194">
        <v>320</v>
      </c>
      <c r="K162" s="194"/>
      <c r="L162" s="194"/>
      <c r="M162" s="37"/>
    </row>
    <row r="163" spans="1:13">
      <c r="A163" s="183">
        <v>41030</v>
      </c>
      <c r="B163" s="284">
        <v>13461076.060000002</v>
      </c>
      <c r="C163" s="194">
        <f>'Weather Data'!B259</f>
        <v>227.10000000000002</v>
      </c>
      <c r="D163" s="194">
        <f>'Weather Data'!C259</f>
        <v>0</v>
      </c>
      <c r="E163" s="194">
        <v>31</v>
      </c>
      <c r="F163" s="194">
        <v>1</v>
      </c>
      <c r="G163" s="184">
        <f>'CDM Activity'!AA95</f>
        <v>14525.189402578897</v>
      </c>
      <c r="H163" s="187">
        <v>143.41617869627913</v>
      </c>
      <c r="I163" s="184">
        <v>19</v>
      </c>
      <c r="J163" s="194">
        <v>352</v>
      </c>
      <c r="K163" s="194"/>
      <c r="L163" s="194"/>
      <c r="M163" s="37"/>
    </row>
    <row r="164" spans="1:13">
      <c r="A164" s="183">
        <v>41061</v>
      </c>
      <c r="B164" s="284">
        <v>13314274.5</v>
      </c>
      <c r="C164" s="194">
        <f>'Weather Data'!B260</f>
        <v>64.900000000000006</v>
      </c>
      <c r="D164" s="194">
        <f>'Weather Data'!C260</f>
        <v>18.399999999999999</v>
      </c>
      <c r="E164" s="194">
        <v>30</v>
      </c>
      <c r="F164" s="194">
        <v>0</v>
      </c>
      <c r="G164" s="184">
        <f>'CDM Activity'!AA96</f>
        <v>15231.90413899789</v>
      </c>
      <c r="H164" s="187">
        <v>143.61778554384387</v>
      </c>
      <c r="I164" s="184">
        <v>18</v>
      </c>
      <c r="J164" s="194">
        <v>336</v>
      </c>
      <c r="K164" s="194"/>
      <c r="L164" s="194"/>
      <c r="M164" s="37"/>
    </row>
    <row r="165" spans="1:13">
      <c r="A165" s="183">
        <v>41091</v>
      </c>
      <c r="B165" s="284">
        <v>14610993.160000002</v>
      </c>
      <c r="C165" s="194">
        <f>'Weather Data'!B261</f>
        <v>6.8</v>
      </c>
      <c r="D165" s="194">
        <f>'Weather Data'!C261</f>
        <v>66.5</v>
      </c>
      <c r="E165" s="194">
        <v>31</v>
      </c>
      <c r="F165" s="194">
        <v>0</v>
      </c>
      <c r="G165" s="184">
        <f>'CDM Activity'!AA97</f>
        <v>15938.618875416883</v>
      </c>
      <c r="H165" s="187">
        <v>143.81967579960809</v>
      </c>
      <c r="I165" s="184">
        <v>18</v>
      </c>
      <c r="J165" s="194">
        <v>336</v>
      </c>
      <c r="K165" s="194"/>
      <c r="L165" s="194"/>
      <c r="M165" s="37"/>
    </row>
    <row r="166" spans="1:13">
      <c r="A166" s="183">
        <v>41122</v>
      </c>
      <c r="B166" s="284">
        <v>14062024.910000004</v>
      </c>
      <c r="C166" s="194">
        <f>'Weather Data'!B262</f>
        <v>38.499999999999986</v>
      </c>
      <c r="D166" s="194">
        <f>'Weather Data'!C262</f>
        <v>27.7</v>
      </c>
      <c r="E166" s="194">
        <v>31</v>
      </c>
      <c r="F166" s="194">
        <v>0</v>
      </c>
      <c r="G166" s="184">
        <f>'CDM Activity'!AA98</f>
        <v>16645.333611835875</v>
      </c>
      <c r="H166" s="187">
        <v>144.02184986197204</v>
      </c>
      <c r="I166" s="184">
        <v>18</v>
      </c>
      <c r="J166" s="194">
        <v>352</v>
      </c>
      <c r="K166" s="194"/>
      <c r="L166" s="194"/>
      <c r="M166" s="37"/>
    </row>
    <row r="167" spans="1:13">
      <c r="A167" s="183">
        <v>41153</v>
      </c>
      <c r="B167" s="284">
        <v>13341701.710000003</v>
      </c>
      <c r="C167" s="194">
        <f>'Weather Data'!B263</f>
        <v>213.49999999999997</v>
      </c>
      <c r="D167" s="194">
        <f>'Weather Data'!C263</f>
        <v>4</v>
      </c>
      <c r="E167" s="194">
        <v>30</v>
      </c>
      <c r="F167" s="194">
        <v>1</v>
      </c>
      <c r="G167" s="184">
        <f>'CDM Activity'!AA99</f>
        <v>17352.048348254866</v>
      </c>
      <c r="H167" s="187">
        <v>144.22430812989595</v>
      </c>
      <c r="I167" s="184">
        <v>18</v>
      </c>
      <c r="J167" s="194">
        <v>304</v>
      </c>
      <c r="K167" s="194"/>
      <c r="L167" s="194"/>
      <c r="M167" s="37"/>
    </row>
    <row r="168" spans="1:13">
      <c r="A168" s="183">
        <v>41183</v>
      </c>
      <c r="B168" s="284">
        <v>13997442.720000001</v>
      </c>
      <c r="C168" s="194">
        <f>'Weather Data'!B264</f>
        <v>395.80000000000007</v>
      </c>
      <c r="D168" s="194">
        <f>'Weather Data'!C264</f>
        <v>0</v>
      </c>
      <c r="E168" s="194">
        <v>31</v>
      </c>
      <c r="F168" s="194">
        <v>1</v>
      </c>
      <c r="G168" s="184">
        <f>'CDM Activity'!AA100</f>
        <v>18058.763084673858</v>
      </c>
      <c r="H168" s="187">
        <v>144.42705100290087</v>
      </c>
      <c r="I168" s="184">
        <v>18</v>
      </c>
      <c r="J168" s="194">
        <v>352</v>
      </c>
      <c r="K168" s="194"/>
      <c r="L168" s="194"/>
      <c r="M168" s="37"/>
    </row>
    <row r="169" spans="1:13">
      <c r="A169" s="183">
        <v>41214</v>
      </c>
      <c r="B169" s="284">
        <v>14528048.400000002</v>
      </c>
      <c r="C169" s="194">
        <f>'Weather Data'!B265</f>
        <v>600.80000000000007</v>
      </c>
      <c r="D169" s="194">
        <f>'Weather Data'!C265</f>
        <v>0</v>
      </c>
      <c r="E169" s="194">
        <v>30</v>
      </c>
      <c r="F169" s="194">
        <v>1</v>
      </c>
      <c r="G169" s="184">
        <f>'CDM Activity'!AA101</f>
        <v>18765.477821092849</v>
      </c>
      <c r="H169" s="187">
        <v>144.63007888106955</v>
      </c>
      <c r="I169" s="184">
        <v>18</v>
      </c>
      <c r="J169" s="194">
        <v>352</v>
      </c>
      <c r="K169" s="194"/>
      <c r="L169" s="194"/>
      <c r="M169" s="37"/>
    </row>
    <row r="170" spans="1:13">
      <c r="A170" s="183">
        <v>41244</v>
      </c>
      <c r="B170" s="284">
        <v>14524051.49</v>
      </c>
      <c r="C170" s="194">
        <f>'Weather Data'!B266</f>
        <v>793.69999999999993</v>
      </c>
      <c r="D170" s="194">
        <f>'Weather Data'!C266</f>
        <v>0</v>
      </c>
      <c r="E170" s="194">
        <v>31</v>
      </c>
      <c r="F170" s="194">
        <v>0</v>
      </c>
      <c r="G170" s="184">
        <f>'CDM Activity'!AA102</f>
        <v>19472.19255751184</v>
      </c>
      <c r="H170" s="187">
        <v>144.83339216504706</v>
      </c>
      <c r="I170" s="184">
        <v>18</v>
      </c>
      <c r="J170" s="194">
        <v>304</v>
      </c>
      <c r="K170" s="194"/>
      <c r="L170" s="194"/>
      <c r="M170" s="37"/>
    </row>
    <row r="171" spans="1:13">
      <c r="A171" s="183">
        <v>41275</v>
      </c>
      <c r="B171" s="284">
        <v>14093393.909999998</v>
      </c>
      <c r="C171" s="194">
        <f>'Weather Data'!B267</f>
        <v>928.40000000000009</v>
      </c>
      <c r="D171" s="194">
        <f>'Weather Data'!C267</f>
        <v>0</v>
      </c>
      <c r="E171" s="194">
        <v>31</v>
      </c>
      <c r="F171" s="194">
        <v>0</v>
      </c>
      <c r="G171" s="184">
        <f>'CDM Activity'!AA103</f>
        <v>48760.29252268195</v>
      </c>
      <c r="H171" s="187">
        <v>144.98936781896037</v>
      </c>
      <c r="I171" s="184">
        <v>18</v>
      </c>
      <c r="J171" s="194">
        <v>352</v>
      </c>
      <c r="K171" s="194"/>
      <c r="L171" s="194"/>
      <c r="M171" s="37"/>
    </row>
    <row r="172" spans="1:13">
      <c r="A172" s="183">
        <v>41306</v>
      </c>
      <c r="B172" s="284">
        <v>11198999.280000003</v>
      </c>
      <c r="C172" s="194">
        <f>'Weather Data'!B268</f>
        <v>866.59999999999991</v>
      </c>
      <c r="D172" s="194">
        <f>'Weather Data'!C268</f>
        <v>0</v>
      </c>
      <c r="E172" s="194">
        <v>28</v>
      </c>
      <c r="F172" s="194">
        <v>0</v>
      </c>
      <c r="G172" s="184">
        <f>'CDM Activity'!AA104</f>
        <v>78048.392487852063</v>
      </c>
      <c r="H172" s="187">
        <v>145.14551144798114</v>
      </c>
      <c r="I172" s="184">
        <v>18</v>
      </c>
      <c r="J172" s="194">
        <v>304</v>
      </c>
      <c r="K172" s="194"/>
      <c r="L172" s="194"/>
      <c r="M172" s="37"/>
    </row>
    <row r="173" spans="1:13">
      <c r="A173" s="183">
        <v>41334</v>
      </c>
      <c r="B173" s="284">
        <v>12490764.900000002</v>
      </c>
      <c r="C173" s="194">
        <f>'Weather Data'!B269</f>
        <v>767.3</v>
      </c>
      <c r="D173" s="194">
        <f>'Weather Data'!C269</f>
        <v>0</v>
      </c>
      <c r="E173" s="194">
        <v>31</v>
      </c>
      <c r="F173" s="194">
        <v>1</v>
      </c>
      <c r="G173" s="184">
        <f>'CDM Activity'!AA105</f>
        <v>107336.49245302218</v>
      </c>
      <c r="H173" s="187">
        <v>145.30182323300707</v>
      </c>
      <c r="I173" s="184">
        <v>18</v>
      </c>
      <c r="J173" s="194">
        <v>320</v>
      </c>
      <c r="K173" s="194"/>
      <c r="L173" s="194"/>
      <c r="M173" s="37"/>
    </row>
    <row r="174" spans="1:13">
      <c r="A174" s="183">
        <v>41365</v>
      </c>
      <c r="B174" s="284">
        <v>13600316.9</v>
      </c>
      <c r="C174" s="194">
        <f>'Weather Data'!B270</f>
        <v>524.79999999999995</v>
      </c>
      <c r="D174" s="194">
        <f>'Weather Data'!C270</f>
        <v>0</v>
      </c>
      <c r="E174" s="194">
        <v>30</v>
      </c>
      <c r="F174" s="194">
        <v>1</v>
      </c>
      <c r="G174" s="184">
        <f>'CDM Activity'!AA106</f>
        <v>136624.59241819227</v>
      </c>
      <c r="H174" s="187">
        <v>145.45830335513068</v>
      </c>
      <c r="I174" s="184">
        <v>20</v>
      </c>
      <c r="J174" s="194">
        <v>352</v>
      </c>
      <c r="K174" s="194"/>
      <c r="L174" s="194"/>
      <c r="M174" s="37"/>
    </row>
    <row r="175" spans="1:13">
      <c r="A175" s="183">
        <v>41395</v>
      </c>
      <c r="B175" s="284">
        <v>13543097.150000004</v>
      </c>
      <c r="C175" s="194">
        <f>'Weather Data'!B271</f>
        <v>325.3</v>
      </c>
      <c r="D175" s="194">
        <f>'Weather Data'!C271</f>
        <v>0</v>
      </c>
      <c r="E175" s="194">
        <v>31</v>
      </c>
      <c r="F175" s="194">
        <v>1</v>
      </c>
      <c r="G175" s="184">
        <f>'CDM Activity'!AA107</f>
        <v>165912.69238336239</v>
      </c>
      <c r="H175" s="187">
        <v>145.6149519956395</v>
      </c>
      <c r="I175" s="184">
        <v>20</v>
      </c>
      <c r="J175" s="194">
        <v>352</v>
      </c>
      <c r="K175" s="194"/>
      <c r="L175" s="194"/>
      <c r="M175" s="37"/>
    </row>
    <row r="176" spans="1:13">
      <c r="A176" s="183">
        <v>41426</v>
      </c>
      <c r="B176" s="284">
        <v>11761137.259999998</v>
      </c>
      <c r="C176" s="194">
        <f>'Weather Data'!B272</f>
        <v>130.9</v>
      </c>
      <c r="D176" s="194">
        <f>'Weather Data'!C272</f>
        <v>5.5</v>
      </c>
      <c r="E176" s="194">
        <v>30</v>
      </c>
      <c r="F176" s="194">
        <v>0</v>
      </c>
      <c r="G176" s="184">
        <f>'CDM Activity'!AA108</f>
        <v>195200.7923485325</v>
      </c>
      <c r="H176" s="187">
        <v>145.77176933601632</v>
      </c>
      <c r="I176" s="184">
        <v>20</v>
      </c>
      <c r="J176" s="194">
        <v>320</v>
      </c>
      <c r="K176" s="194"/>
      <c r="L176" s="194"/>
      <c r="M176" s="37"/>
    </row>
    <row r="177" spans="1:13">
      <c r="A177" s="183">
        <v>41456</v>
      </c>
      <c r="B177" s="284">
        <v>12721998.24</v>
      </c>
      <c r="C177" s="194">
        <f>'Weather Data'!B273</f>
        <v>60.7</v>
      </c>
      <c r="D177" s="194">
        <f>'Weather Data'!C273</f>
        <v>28.000000000000007</v>
      </c>
      <c r="E177" s="194">
        <v>31</v>
      </c>
      <c r="F177" s="194">
        <v>0</v>
      </c>
      <c r="G177" s="184">
        <f>'CDM Activity'!AA109</f>
        <v>224488.89231370261</v>
      </c>
      <c r="H177" s="187">
        <v>145.92875555793933</v>
      </c>
      <c r="I177" s="184">
        <v>20</v>
      </c>
      <c r="J177" s="194">
        <v>352</v>
      </c>
      <c r="K177" s="194"/>
      <c r="L177" s="194"/>
      <c r="M177" s="37"/>
    </row>
    <row r="178" spans="1:13">
      <c r="A178" s="183">
        <v>41487</v>
      </c>
      <c r="B178" s="284">
        <v>12846812.299999997</v>
      </c>
      <c r="C178" s="194">
        <f>'Weather Data'!B274</f>
        <v>45.8</v>
      </c>
      <c r="D178" s="194">
        <f>'Weather Data'!C274</f>
        <v>41.8</v>
      </c>
      <c r="E178" s="194">
        <v>31</v>
      </c>
      <c r="F178" s="194">
        <v>0</v>
      </c>
      <c r="G178" s="184">
        <f>'CDM Activity'!AA110</f>
        <v>253776.99227887273</v>
      </c>
      <c r="H178" s="187">
        <v>146.08591084328242</v>
      </c>
      <c r="I178" s="184">
        <v>20</v>
      </c>
      <c r="J178" s="194">
        <v>336</v>
      </c>
      <c r="K178" s="194"/>
      <c r="L178" s="194"/>
      <c r="M178" s="37"/>
    </row>
    <row r="179" spans="1:13">
      <c r="A179" s="183">
        <v>41518</v>
      </c>
      <c r="B179" s="284">
        <v>12741853.08</v>
      </c>
      <c r="C179" s="194">
        <f>'Weather Data'!B275</f>
        <v>178.79999999999995</v>
      </c>
      <c r="D179" s="194">
        <f>'Weather Data'!C275</f>
        <v>0</v>
      </c>
      <c r="E179" s="194">
        <v>30</v>
      </c>
      <c r="F179" s="194">
        <v>1</v>
      </c>
      <c r="G179" s="184">
        <f>'CDM Activity'!AA111</f>
        <v>283065.09224404284</v>
      </c>
      <c r="H179" s="187">
        <v>146.2432353741153</v>
      </c>
      <c r="I179" s="184">
        <v>21</v>
      </c>
      <c r="J179" s="194">
        <v>320</v>
      </c>
      <c r="K179" s="194"/>
      <c r="L179" s="194"/>
      <c r="M179" s="37"/>
    </row>
    <row r="180" spans="1:13">
      <c r="A180" s="183">
        <v>41548</v>
      </c>
      <c r="B180" s="284">
        <v>13717951.050000001</v>
      </c>
      <c r="C180" s="194">
        <f>'Weather Data'!B276</f>
        <v>328.50000000000006</v>
      </c>
      <c r="D180" s="194">
        <f>'Weather Data'!C276</f>
        <v>0</v>
      </c>
      <c r="E180" s="194">
        <v>31</v>
      </c>
      <c r="F180" s="194">
        <v>1</v>
      </c>
      <c r="G180" s="184">
        <f>'CDM Activity'!AA112</f>
        <v>312353.19220921292</v>
      </c>
      <c r="H180" s="187">
        <v>146.4007293327038</v>
      </c>
      <c r="I180" s="184">
        <v>22</v>
      </c>
      <c r="J180" s="194">
        <v>352</v>
      </c>
      <c r="K180" s="194"/>
      <c r="L180" s="194"/>
      <c r="M180" s="37"/>
    </row>
    <row r="181" spans="1:13">
      <c r="A181" s="183">
        <v>41579</v>
      </c>
      <c r="B181" s="284">
        <v>14194327.5</v>
      </c>
      <c r="C181" s="194">
        <f>'Weather Data'!B277</f>
        <v>620.6</v>
      </c>
      <c r="D181" s="194">
        <f>'Weather Data'!C277</f>
        <v>0</v>
      </c>
      <c r="E181" s="194">
        <v>30</v>
      </c>
      <c r="F181" s="194">
        <v>1</v>
      </c>
      <c r="G181" s="184">
        <f>'CDM Activity'!AA113</f>
        <v>341641.29217438301</v>
      </c>
      <c r="H181" s="187">
        <v>146.55839290151005</v>
      </c>
      <c r="I181" s="184">
        <v>22</v>
      </c>
      <c r="J181" s="194">
        <v>336</v>
      </c>
      <c r="K181" s="194"/>
      <c r="L181" s="194"/>
      <c r="M181" s="37"/>
    </row>
    <row r="182" spans="1:13">
      <c r="A182" s="183">
        <v>41609</v>
      </c>
      <c r="B182" s="284">
        <v>15152062.82</v>
      </c>
      <c r="C182" s="194">
        <f>'Weather Data'!B278</f>
        <v>1112.8999999999999</v>
      </c>
      <c r="D182" s="194">
        <f>'Weather Data'!C278</f>
        <v>0</v>
      </c>
      <c r="E182" s="194">
        <v>31</v>
      </c>
      <c r="F182" s="194">
        <v>0</v>
      </c>
      <c r="G182" s="184">
        <f>'CDM Activity'!AA114</f>
        <v>370929.39213955309</v>
      </c>
      <c r="H182" s="187">
        <v>146.71622626319265</v>
      </c>
      <c r="I182" s="184">
        <v>22</v>
      </c>
      <c r="J182" s="194">
        <v>320</v>
      </c>
      <c r="K182" s="194"/>
      <c r="L182" s="194"/>
      <c r="M182" s="37"/>
    </row>
    <row r="183" spans="1:13">
      <c r="A183" s="183">
        <v>41640</v>
      </c>
      <c r="B183" s="284">
        <v>13410038.890000001</v>
      </c>
      <c r="C183" s="194">
        <f>'Weather Data'!B279</f>
        <v>1119.5999999999997</v>
      </c>
      <c r="D183" s="194">
        <f>'Weather Data'!C279</f>
        <v>0</v>
      </c>
      <c r="E183" s="184">
        <v>31</v>
      </c>
      <c r="F183" s="194">
        <v>0</v>
      </c>
      <c r="G183" s="184">
        <f>'CDM Activity'!AA115</f>
        <v>410418.22348184674</v>
      </c>
      <c r="H183" s="187">
        <v>147.04232175221028</v>
      </c>
      <c r="I183" s="184">
        <v>20.5</v>
      </c>
      <c r="J183" s="197">
        <v>352</v>
      </c>
      <c r="K183" s="194"/>
      <c r="L183" s="194"/>
      <c r="M183" s="37"/>
    </row>
    <row r="184" spans="1:13">
      <c r="A184" s="183">
        <v>41671</v>
      </c>
      <c r="B184" s="284">
        <v>11428320.119999999</v>
      </c>
      <c r="C184" s="194">
        <f>'Weather Data'!B280</f>
        <v>978.39999999999986</v>
      </c>
      <c r="D184" s="194">
        <f>'Weather Data'!C280</f>
        <v>0</v>
      </c>
      <c r="E184" s="184">
        <v>28</v>
      </c>
      <c r="F184" s="194">
        <v>0</v>
      </c>
      <c r="G184" s="184">
        <f>'CDM Activity'!AA116</f>
        <v>449907.05482414039</v>
      </c>
      <c r="H184" s="187">
        <v>147.36914202996238</v>
      </c>
      <c r="I184" s="184">
        <v>19.75</v>
      </c>
      <c r="J184" s="197">
        <v>304</v>
      </c>
      <c r="K184" s="194"/>
      <c r="L184" s="194"/>
      <c r="M184" s="37"/>
    </row>
    <row r="185" spans="1:13">
      <c r="A185" s="183">
        <v>41699</v>
      </c>
      <c r="B185" s="284">
        <v>12645686.449999999</v>
      </c>
      <c r="C185" s="194">
        <f>'Weather Data'!B281</f>
        <v>883.5</v>
      </c>
      <c r="D185" s="194">
        <f>'Weather Data'!C281</f>
        <v>0</v>
      </c>
      <c r="E185" s="184">
        <v>31</v>
      </c>
      <c r="F185" s="194">
        <v>1</v>
      </c>
      <c r="G185" s="184">
        <f>'CDM Activity'!AA117</f>
        <v>489395.88616643404</v>
      </c>
      <c r="H185" s="187">
        <v>147.69668870738414</v>
      </c>
      <c r="I185" s="184">
        <v>19.375</v>
      </c>
      <c r="J185" s="197">
        <v>336</v>
      </c>
      <c r="K185" s="194"/>
      <c r="L185" s="194"/>
      <c r="M185" s="37"/>
    </row>
    <row r="186" spans="1:13">
      <c r="A186" s="183">
        <v>41730</v>
      </c>
      <c r="B186" s="284">
        <v>12904272.600000001</v>
      </c>
      <c r="C186" s="194">
        <f>'Weather Data'!B282</f>
        <v>522.9</v>
      </c>
      <c r="D186" s="194">
        <f>'Weather Data'!C282</f>
        <v>0</v>
      </c>
      <c r="E186" s="184">
        <v>30</v>
      </c>
      <c r="F186" s="194">
        <v>1</v>
      </c>
      <c r="G186" s="184">
        <f>'CDM Activity'!AA118</f>
        <v>528884.71750872768</v>
      </c>
      <c r="H186" s="187">
        <v>148.02496339899133</v>
      </c>
      <c r="I186" s="184">
        <v>19.1875</v>
      </c>
      <c r="J186" s="197">
        <v>320</v>
      </c>
      <c r="K186" s="194"/>
      <c r="L186" s="194"/>
      <c r="M186" s="37"/>
    </row>
    <row r="187" spans="1:13">
      <c r="A187" s="183">
        <v>41760</v>
      </c>
      <c r="B187" s="284">
        <v>14394245.810000001</v>
      </c>
      <c r="C187" s="194">
        <f>'Weather Data'!B283</f>
        <v>266.90000000000003</v>
      </c>
      <c r="D187" s="194">
        <f>'Weather Data'!C283</f>
        <v>1.1000000000000001</v>
      </c>
      <c r="E187" s="184">
        <v>31</v>
      </c>
      <c r="F187" s="194">
        <v>1</v>
      </c>
      <c r="G187" s="184">
        <f>'CDM Activity'!AA119</f>
        <v>568373.54885102133</v>
      </c>
      <c r="H187" s="187">
        <v>148.35396772288814</v>
      </c>
      <c r="I187" s="184">
        <v>19.09375</v>
      </c>
      <c r="J187" s="197">
        <v>336</v>
      </c>
      <c r="K187" s="194"/>
      <c r="L187" s="194"/>
      <c r="M187" s="37"/>
    </row>
    <row r="188" spans="1:13">
      <c r="A188" s="183">
        <v>41791</v>
      </c>
      <c r="B188" s="284">
        <v>13712451.9</v>
      </c>
      <c r="C188" s="194">
        <f>'Weather Data'!B284</f>
        <v>135.19999999999999</v>
      </c>
      <c r="D188" s="194">
        <f>'Weather Data'!C284</f>
        <v>6</v>
      </c>
      <c r="E188" s="184">
        <v>30</v>
      </c>
      <c r="F188" s="194">
        <v>0</v>
      </c>
      <c r="G188" s="184">
        <f>'CDM Activity'!AA120</f>
        <v>607862.38019331498</v>
      </c>
      <c r="H188" s="187">
        <v>148.68370330077519</v>
      </c>
      <c r="I188" s="184">
        <v>19.046875</v>
      </c>
      <c r="J188" s="197">
        <v>336</v>
      </c>
      <c r="K188" s="194"/>
      <c r="L188" s="194"/>
      <c r="M188" s="37"/>
    </row>
    <row r="189" spans="1:13">
      <c r="A189" s="183">
        <v>41821</v>
      </c>
      <c r="B189" s="284">
        <v>13954625.469999999</v>
      </c>
      <c r="C189" s="194">
        <f>'Weather Data'!B285</f>
        <v>47.199999999999989</v>
      </c>
      <c r="D189" s="194">
        <f>'Weather Data'!C285</f>
        <v>9.5</v>
      </c>
      <c r="E189" s="184">
        <v>31</v>
      </c>
      <c r="F189" s="194">
        <v>0</v>
      </c>
      <c r="G189" s="184">
        <f>'CDM Activity'!AA121</f>
        <v>647351.21153560863</v>
      </c>
      <c r="H189" s="187">
        <v>149.0141717579576</v>
      </c>
      <c r="I189" s="184">
        <v>19.0234375</v>
      </c>
      <c r="J189" s="197">
        <v>352</v>
      </c>
      <c r="K189" s="194"/>
      <c r="L189" s="194"/>
      <c r="M189" s="37"/>
    </row>
    <row r="190" spans="1:13">
      <c r="A190" s="183">
        <v>41852</v>
      </c>
      <c r="B190" s="284">
        <v>13629989.839999998</v>
      </c>
      <c r="C190" s="194">
        <f>'Weather Data'!B286</f>
        <v>65.200000000000017</v>
      </c>
      <c r="D190" s="194">
        <f>'Weather Data'!C286</f>
        <v>10.099999999999998</v>
      </c>
      <c r="E190" s="184">
        <v>31</v>
      </c>
      <c r="F190" s="194">
        <v>0</v>
      </c>
      <c r="G190" s="184">
        <f>'CDM Activity'!AA122</f>
        <v>686840.04287790228</v>
      </c>
      <c r="H190" s="187">
        <v>149.34537472335285</v>
      </c>
      <c r="I190" s="184">
        <v>19.51171875</v>
      </c>
      <c r="J190" s="197">
        <v>320</v>
      </c>
      <c r="K190" s="194"/>
      <c r="L190" s="194"/>
      <c r="M190" s="37"/>
    </row>
    <row r="191" spans="1:13">
      <c r="A191" s="183">
        <v>41883</v>
      </c>
      <c r="B191" s="284">
        <v>13394474.999999998</v>
      </c>
      <c r="C191" s="194">
        <f>'Weather Data'!B287</f>
        <v>196.5</v>
      </c>
      <c r="D191" s="194">
        <f>'Weather Data'!C287</f>
        <v>0</v>
      </c>
      <c r="E191" s="184">
        <v>30</v>
      </c>
      <c r="F191" s="194">
        <v>1</v>
      </c>
      <c r="G191" s="184">
        <f>'CDM Activity'!AA123</f>
        <v>726328.87422019592</v>
      </c>
      <c r="H191" s="187">
        <v>149.67731382949896</v>
      </c>
      <c r="I191" s="184">
        <v>19.755859375</v>
      </c>
      <c r="J191" s="197">
        <v>336</v>
      </c>
      <c r="K191" s="194"/>
      <c r="L191" s="194"/>
      <c r="M191" s="37"/>
    </row>
    <row r="192" spans="1:13">
      <c r="A192" s="183">
        <v>41913</v>
      </c>
      <c r="B192" s="284">
        <v>13852040.699999999</v>
      </c>
      <c r="C192" s="194">
        <f>'Weather Data'!B288</f>
        <v>382.59999999999997</v>
      </c>
      <c r="D192" s="194">
        <f>'Weather Data'!C288</f>
        <v>0</v>
      </c>
      <c r="E192" s="184">
        <v>31</v>
      </c>
      <c r="F192" s="194">
        <v>1</v>
      </c>
      <c r="G192" s="184">
        <f>'CDM Activity'!AA124</f>
        <v>765817.70556248957</v>
      </c>
      <c r="H192" s="187">
        <v>150.00999071256246</v>
      </c>
      <c r="I192" s="184">
        <v>20.3779296875</v>
      </c>
      <c r="J192" s="197">
        <v>352</v>
      </c>
      <c r="K192" s="194"/>
      <c r="L192" s="194"/>
      <c r="M192" s="37"/>
    </row>
    <row r="193" spans="1:13">
      <c r="A193" s="183">
        <v>41944</v>
      </c>
      <c r="B193" s="284">
        <v>14505990.899999999</v>
      </c>
      <c r="C193" s="194">
        <f>'Weather Data'!B289</f>
        <v>647.79999999999995</v>
      </c>
      <c r="D193" s="194">
        <f>'Weather Data'!C289</f>
        <v>0</v>
      </c>
      <c r="E193" s="184">
        <v>30</v>
      </c>
      <c r="F193" s="194">
        <v>1</v>
      </c>
      <c r="G193" s="184">
        <f>'CDM Activity'!AA125</f>
        <v>805306.53690478322</v>
      </c>
      <c r="H193" s="187">
        <v>150.34340701234646</v>
      </c>
      <c r="I193" s="184">
        <v>20.68896484375</v>
      </c>
      <c r="J193" s="197">
        <v>304</v>
      </c>
      <c r="K193" s="194"/>
      <c r="L193" s="194"/>
      <c r="M193" s="37"/>
    </row>
    <row r="194" spans="1:13">
      <c r="A194" s="183">
        <v>41974</v>
      </c>
      <c r="B194" s="284">
        <v>14943145.450000003</v>
      </c>
      <c r="C194" s="194">
        <f>'Weather Data'!B290</f>
        <v>780.59999999999991</v>
      </c>
      <c r="D194" s="194">
        <f>'Weather Data'!C290</f>
        <v>0</v>
      </c>
      <c r="E194" s="184">
        <v>31</v>
      </c>
      <c r="F194" s="194">
        <v>0</v>
      </c>
      <c r="G194" s="184">
        <f>'CDM Activity'!AA126</f>
        <v>844795.36824707687</v>
      </c>
      <c r="H194" s="187">
        <v>150.67756437229883</v>
      </c>
      <c r="I194" s="184">
        <v>20.844482421875</v>
      </c>
      <c r="J194" s="197">
        <v>336</v>
      </c>
      <c r="K194" s="194"/>
      <c r="L194" s="194"/>
      <c r="M194" s="37"/>
    </row>
    <row r="195" spans="1:13">
      <c r="A195" s="183">
        <v>42005</v>
      </c>
      <c r="B195" s="284">
        <v>13828880.029999997</v>
      </c>
      <c r="C195" s="194">
        <f>'Weather Data'!B291</f>
        <v>979.49999999999989</v>
      </c>
      <c r="D195" s="194">
        <f>'Weather Data'!C291</f>
        <v>0</v>
      </c>
      <c r="E195" s="184">
        <v>31</v>
      </c>
      <c r="F195" s="194">
        <v>0</v>
      </c>
      <c r="G195" s="184">
        <f>'CDM Activity'!AA127</f>
        <v>939659.0172076131</v>
      </c>
      <c r="H195" s="187">
        <v>150.98793548444445</v>
      </c>
      <c r="I195" s="184">
        <v>20.42236328125</v>
      </c>
      <c r="J195" s="197">
        <v>336</v>
      </c>
      <c r="K195" s="194"/>
      <c r="L195" s="194"/>
      <c r="M195" s="37"/>
    </row>
    <row r="196" spans="1:13">
      <c r="A196" s="183">
        <v>42036</v>
      </c>
      <c r="B196" s="284">
        <v>11415722.080000002</v>
      </c>
      <c r="C196" s="194">
        <f>'Weather Data'!B292</f>
        <v>1053.3</v>
      </c>
      <c r="D196" s="194">
        <f>'Weather Data'!C292</f>
        <v>0</v>
      </c>
      <c r="E196" s="184">
        <v>28</v>
      </c>
      <c r="F196" s="194">
        <v>0</v>
      </c>
      <c r="G196" s="184">
        <f>'CDM Activity'!AA128</f>
        <v>1034522.6661681493</v>
      </c>
      <c r="H196" s="187">
        <v>151.298945910264</v>
      </c>
      <c r="I196" s="184">
        <v>20.711181640625</v>
      </c>
      <c r="J196" s="197">
        <v>304</v>
      </c>
      <c r="K196" s="194"/>
      <c r="L196" s="194"/>
      <c r="M196" s="37"/>
    </row>
    <row r="197" spans="1:13">
      <c r="A197" s="183">
        <v>42064</v>
      </c>
      <c r="B197" s="284">
        <v>11963087.239999998</v>
      </c>
      <c r="C197" s="194">
        <f>'Weather Data'!B293</f>
        <v>710.39999999999986</v>
      </c>
      <c r="D197" s="194">
        <f>'Weather Data'!C293</f>
        <v>0</v>
      </c>
      <c r="E197" s="184">
        <v>31</v>
      </c>
      <c r="F197" s="194">
        <v>1</v>
      </c>
      <c r="G197" s="184">
        <f>'CDM Activity'!AA129</f>
        <v>1129386.3151286857</v>
      </c>
      <c r="H197" s="187">
        <v>151.61059696663892</v>
      </c>
      <c r="I197" s="184">
        <v>20.8555908203125</v>
      </c>
      <c r="J197" s="197">
        <v>352</v>
      </c>
      <c r="K197" s="194"/>
      <c r="L197" s="194"/>
      <c r="M197" s="37"/>
    </row>
    <row r="198" spans="1:13">
      <c r="A198" s="183">
        <v>42095</v>
      </c>
      <c r="B198" s="284">
        <v>13197197.139999999</v>
      </c>
      <c r="C198" s="194">
        <f>'Weather Data'!B294</f>
        <v>432.09999999999997</v>
      </c>
      <c r="D198" s="194">
        <f>'Weather Data'!C294</f>
        <v>0</v>
      </c>
      <c r="E198" s="184">
        <v>30</v>
      </c>
      <c r="F198" s="194">
        <v>1</v>
      </c>
      <c r="G198" s="184">
        <f>'CDM Activity'!AA130</f>
        <v>1224249.964089222</v>
      </c>
      <c r="H198" s="187">
        <v>151.92288997316331</v>
      </c>
      <c r="I198" s="184">
        <v>20.92779541015625</v>
      </c>
      <c r="J198" s="197">
        <v>336</v>
      </c>
      <c r="K198" s="194"/>
      <c r="L198" s="194"/>
      <c r="M198" s="37"/>
    </row>
    <row r="199" spans="1:13">
      <c r="A199" s="183">
        <v>42125</v>
      </c>
      <c r="B199" s="284">
        <v>13855913.140000001</v>
      </c>
      <c r="C199" s="194">
        <f>'Weather Data'!B295</f>
        <v>276</v>
      </c>
      <c r="D199" s="194">
        <f>'Weather Data'!C295</f>
        <v>0</v>
      </c>
      <c r="E199" s="184">
        <v>31</v>
      </c>
      <c r="F199" s="194">
        <v>1</v>
      </c>
      <c r="G199" s="184">
        <f>'CDM Activity'!AA131</f>
        <v>1319113.6130497584</v>
      </c>
      <c r="H199" s="187">
        <v>152.23582625214937</v>
      </c>
      <c r="I199" s="184">
        <v>20.963897705078125</v>
      </c>
      <c r="J199" s="197">
        <v>320</v>
      </c>
      <c r="K199" s="194"/>
      <c r="L199" s="194"/>
      <c r="M199" s="37"/>
    </row>
    <row r="200" spans="1:13">
      <c r="A200" s="183">
        <v>42156</v>
      </c>
      <c r="B200" s="284">
        <v>13012397.700000001</v>
      </c>
      <c r="C200" s="194">
        <f>'Weather Data'!B296</f>
        <v>118.60000000000004</v>
      </c>
      <c r="D200" s="194">
        <f>'Weather Data'!C296</f>
        <v>0</v>
      </c>
      <c r="E200" s="184">
        <v>30</v>
      </c>
      <c r="F200" s="194">
        <v>0</v>
      </c>
      <c r="G200" s="184">
        <f>'CDM Activity'!AA132</f>
        <v>1413977.2620102947</v>
      </c>
      <c r="H200" s="187">
        <v>152.54940712863302</v>
      </c>
      <c r="I200" s="184">
        <v>20.981948852539063</v>
      </c>
      <c r="J200" s="197">
        <v>352</v>
      </c>
      <c r="K200" s="194"/>
      <c r="L200" s="194"/>
      <c r="M200" s="37"/>
    </row>
    <row r="201" spans="1:13">
      <c r="A201" s="183">
        <v>42186</v>
      </c>
      <c r="B201" s="284">
        <v>13745162.989999998</v>
      </c>
      <c r="C201" s="194">
        <f>'Weather Data'!B297</f>
        <v>31.7</v>
      </c>
      <c r="D201" s="194">
        <f>'Weather Data'!C297</f>
        <v>38.000000000000007</v>
      </c>
      <c r="E201" s="184">
        <v>31</v>
      </c>
      <c r="F201" s="194">
        <v>0</v>
      </c>
      <c r="G201" s="184">
        <f>'CDM Activity'!AA133</f>
        <v>1508840.9109708311</v>
      </c>
      <c r="H201" s="187">
        <v>152.86363393037959</v>
      </c>
      <c r="I201" s="184">
        <v>20.990974426269531</v>
      </c>
      <c r="J201" s="197">
        <v>352</v>
      </c>
      <c r="K201" s="194"/>
      <c r="L201" s="194"/>
      <c r="M201" s="37"/>
    </row>
    <row r="202" spans="1:13">
      <c r="A202" s="183">
        <v>42217</v>
      </c>
      <c r="B202" s="284">
        <v>13185375.390000004</v>
      </c>
      <c r="C202" s="194">
        <f>'Weather Data'!B298</f>
        <v>50.7</v>
      </c>
      <c r="D202" s="194">
        <f>'Weather Data'!C298</f>
        <v>35.4</v>
      </c>
      <c r="E202" s="184">
        <v>31</v>
      </c>
      <c r="F202" s="194">
        <v>0</v>
      </c>
      <c r="G202" s="184">
        <f>'CDM Activity'!AA134</f>
        <v>1603704.5599313674</v>
      </c>
      <c r="H202" s="187">
        <v>153.17850798788936</v>
      </c>
      <c r="I202" s="184">
        <v>20.995487213134766</v>
      </c>
      <c r="J202" s="197">
        <v>320</v>
      </c>
      <c r="K202" s="194"/>
      <c r="L202" s="194"/>
      <c r="M202" s="37"/>
    </row>
    <row r="203" spans="1:13">
      <c r="A203" s="183">
        <v>42248</v>
      </c>
      <c r="B203" s="284">
        <v>13810977.6</v>
      </c>
      <c r="C203" s="194">
        <f>'Weather Data'!B299</f>
        <v>106.20000000000002</v>
      </c>
      <c r="D203" s="194">
        <f>'Weather Data'!C299</f>
        <v>15.8</v>
      </c>
      <c r="E203" s="184">
        <v>30</v>
      </c>
      <c r="F203" s="194">
        <v>1</v>
      </c>
      <c r="G203" s="184">
        <f>'CDM Activity'!AA135</f>
        <v>1698568.2088919037</v>
      </c>
      <c r="H203" s="187">
        <v>153.4940306344032</v>
      </c>
      <c r="I203" s="184">
        <v>20.997743606567383</v>
      </c>
      <c r="J203" s="197">
        <v>336</v>
      </c>
      <c r="K203" s="194"/>
      <c r="L203" s="194"/>
      <c r="M203" s="37"/>
    </row>
    <row r="204" spans="1:13">
      <c r="A204" s="183">
        <v>42278</v>
      </c>
      <c r="B204" s="284">
        <v>13811537.880000003</v>
      </c>
      <c r="C204" s="194">
        <f>'Weather Data'!B300</f>
        <v>345.9</v>
      </c>
      <c r="D204" s="194">
        <f>'Weather Data'!C300</f>
        <v>0</v>
      </c>
      <c r="E204" s="184">
        <v>31</v>
      </c>
      <c r="F204" s="194">
        <v>1</v>
      </c>
      <c r="G204" s="184">
        <f>'CDM Activity'!AA136</f>
        <v>1793431.8578524401</v>
      </c>
      <c r="H204" s="187">
        <v>153.81020320590829</v>
      </c>
      <c r="I204" s="184">
        <v>20.998871803283691</v>
      </c>
      <c r="J204" s="197">
        <v>336</v>
      </c>
      <c r="K204" s="194"/>
      <c r="L204" s="194"/>
      <c r="M204" s="37"/>
    </row>
    <row r="205" spans="1:13">
      <c r="A205" s="183">
        <v>42309</v>
      </c>
      <c r="B205" s="284">
        <v>14854291.199999999</v>
      </c>
      <c r="C205" s="194">
        <f>'Weather Data'!B301</f>
        <v>469.10000000000008</v>
      </c>
      <c r="D205" s="194">
        <f>'Weather Data'!C301</f>
        <v>0</v>
      </c>
      <c r="E205" s="184">
        <v>30</v>
      </c>
      <c r="F205" s="194">
        <v>1</v>
      </c>
      <c r="G205" s="184">
        <f>'CDM Activity'!AA137</f>
        <v>1888295.5068129764</v>
      </c>
      <c r="H205" s="187">
        <v>154.12702704114372</v>
      </c>
      <c r="I205" s="184">
        <v>20.999435901641846</v>
      </c>
      <c r="J205" s="197">
        <v>320</v>
      </c>
      <c r="K205" s="194"/>
      <c r="L205" s="194"/>
      <c r="M205" s="37"/>
    </row>
    <row r="206" spans="1:13">
      <c r="A206" s="183">
        <v>42339</v>
      </c>
      <c r="B206" s="284">
        <v>15092411.999999998</v>
      </c>
      <c r="C206" s="194">
        <f>'Weather Data'!B302</f>
        <v>564.90000000000009</v>
      </c>
      <c r="D206" s="194">
        <f>'Weather Data'!C302</f>
        <v>0</v>
      </c>
      <c r="E206" s="184">
        <v>31</v>
      </c>
      <c r="F206" s="194">
        <v>0</v>
      </c>
      <c r="G206" s="184">
        <f>'CDM Activity'!AA138</f>
        <v>1983159.1557735128</v>
      </c>
      <c r="H206" s="187">
        <v>154.44450348160629</v>
      </c>
      <c r="I206" s="184">
        <v>20.999717950820923</v>
      </c>
      <c r="J206" s="197">
        <v>352</v>
      </c>
      <c r="K206" s="194"/>
      <c r="L206" s="194"/>
      <c r="M206" s="37"/>
    </row>
    <row r="207" spans="1:13">
      <c r="A207" s="183">
        <v>42370</v>
      </c>
      <c r="B207" s="189"/>
      <c r="C207" s="192"/>
      <c r="D207" s="190"/>
      <c r="E207" s="184">
        <v>31</v>
      </c>
      <c r="F207" s="184">
        <v>0</v>
      </c>
      <c r="G207" s="184">
        <f>'CDM Activity'!AA139</f>
        <v>1996587.0874222897</v>
      </c>
      <c r="H207" s="187">
        <v>154.72483615659849</v>
      </c>
      <c r="I207" s="193"/>
      <c r="J207" s="197">
        <v>320</v>
      </c>
      <c r="K207" s="194"/>
      <c r="L207" s="194"/>
      <c r="M207" s="300"/>
    </row>
    <row r="208" spans="1:13">
      <c r="A208" s="183">
        <v>42401</v>
      </c>
      <c r="B208" s="189"/>
      <c r="C208" s="192"/>
      <c r="D208" s="190"/>
      <c r="E208" s="184">
        <v>29</v>
      </c>
      <c r="F208" s="184">
        <v>0</v>
      </c>
      <c r="G208" s="184">
        <f>'CDM Activity'!AA140</f>
        <v>2010015.0190710665</v>
      </c>
      <c r="H208" s="187">
        <v>155.00567766425806</v>
      </c>
      <c r="I208" s="184"/>
      <c r="J208" s="197">
        <v>320</v>
      </c>
      <c r="K208" s="194"/>
      <c r="L208" s="316"/>
      <c r="M208" s="37"/>
    </row>
    <row r="209" spans="1:13">
      <c r="A209" s="183">
        <v>42430</v>
      </c>
      <c r="B209" s="189"/>
      <c r="C209" s="192"/>
      <c r="D209" s="190"/>
      <c r="E209" s="184">
        <v>31</v>
      </c>
      <c r="F209" s="184">
        <v>1</v>
      </c>
      <c r="G209" s="184">
        <f>'CDM Activity'!AA141</f>
        <v>2023442.9507198434</v>
      </c>
      <c r="H209" s="187">
        <v>155.2870289281687</v>
      </c>
      <c r="I209" s="184"/>
      <c r="J209" s="197">
        <v>352</v>
      </c>
      <c r="K209" s="194"/>
      <c r="L209" s="316"/>
      <c r="M209" s="37"/>
    </row>
    <row r="210" spans="1:13">
      <c r="A210" s="183">
        <v>42461</v>
      </c>
      <c r="B210" s="189"/>
      <c r="C210" s="192"/>
      <c r="D210" s="190"/>
      <c r="E210" s="184">
        <v>30</v>
      </c>
      <c r="F210" s="184">
        <v>1</v>
      </c>
      <c r="G210" s="184">
        <f>'CDM Activity'!AA142</f>
        <v>2036870.8823686203</v>
      </c>
      <c r="H210" s="187">
        <v>155.56889087359048</v>
      </c>
      <c r="I210" s="184"/>
      <c r="J210" s="197">
        <v>336</v>
      </c>
      <c r="K210" s="194"/>
      <c r="L210" s="316"/>
      <c r="M210" s="37"/>
    </row>
    <row r="211" spans="1:13">
      <c r="A211" s="183">
        <v>42491</v>
      </c>
      <c r="B211" s="189"/>
      <c r="C211" s="192"/>
      <c r="D211" s="190"/>
      <c r="E211" s="184">
        <v>31</v>
      </c>
      <c r="F211" s="184">
        <v>1</v>
      </c>
      <c r="G211" s="184">
        <f>'CDM Activity'!AA143</f>
        <v>2050298.8140173971</v>
      </c>
      <c r="H211" s="187">
        <v>155.85126442746289</v>
      </c>
      <c r="I211" s="184"/>
      <c r="J211" s="197">
        <v>336</v>
      </c>
      <c r="K211" s="194"/>
      <c r="L211" s="316"/>
      <c r="M211" s="37"/>
    </row>
    <row r="212" spans="1:13">
      <c r="A212" s="183">
        <v>42522</v>
      </c>
      <c r="B212" s="189"/>
      <c r="C212" s="192"/>
      <c r="D212" s="190"/>
      <c r="E212" s="184">
        <v>30</v>
      </c>
      <c r="F212" s="184">
        <v>0</v>
      </c>
      <c r="G212" s="184">
        <f>'CDM Activity'!AA144</f>
        <v>2063726.745666174</v>
      </c>
      <c r="H212" s="187">
        <v>156.13415051840798</v>
      </c>
      <c r="I212" s="184"/>
      <c r="J212" s="197">
        <v>352</v>
      </c>
      <c r="K212" s="194"/>
      <c r="L212" s="316"/>
      <c r="M212" s="37"/>
    </row>
    <row r="213" spans="1:13">
      <c r="A213" s="183">
        <v>42552</v>
      </c>
      <c r="B213" s="189"/>
      <c r="C213" s="192"/>
      <c r="D213" s="190"/>
      <c r="E213" s="184">
        <v>31</v>
      </c>
      <c r="F213" s="184">
        <v>0</v>
      </c>
      <c r="G213" s="184">
        <f>'CDM Activity'!AA145</f>
        <v>2077154.6773149509</v>
      </c>
      <c r="H213" s="187">
        <v>156.41755007673331</v>
      </c>
      <c r="I213" s="184"/>
      <c r="J213" s="197">
        <v>320</v>
      </c>
      <c r="K213" s="194"/>
      <c r="L213" s="316"/>
      <c r="M213" s="37"/>
    </row>
    <row r="214" spans="1:13">
      <c r="A214" s="183">
        <v>42583</v>
      </c>
      <c r="B214" s="189"/>
      <c r="C214" s="192"/>
      <c r="D214" s="190"/>
      <c r="E214" s="184">
        <v>31</v>
      </c>
      <c r="F214" s="184">
        <v>0</v>
      </c>
      <c r="G214" s="184">
        <f>'CDM Activity'!AA146</f>
        <v>2090582.6089637277</v>
      </c>
      <c r="H214" s="187">
        <v>156.70146403443502</v>
      </c>
      <c r="I214" s="184"/>
      <c r="J214" s="197">
        <v>352</v>
      </c>
      <c r="K214" s="194"/>
      <c r="L214" s="316"/>
      <c r="M214" s="37"/>
    </row>
    <row r="215" spans="1:13">
      <c r="A215" s="183">
        <v>42614</v>
      </c>
      <c r="B215" s="189"/>
      <c r="C215" s="192"/>
      <c r="D215" s="190"/>
      <c r="E215" s="184">
        <v>30</v>
      </c>
      <c r="F215" s="184">
        <v>1</v>
      </c>
      <c r="G215" s="184">
        <f>'CDM Activity'!AA147</f>
        <v>2104010.5406125048</v>
      </c>
      <c r="H215" s="187">
        <v>156.98589332520095</v>
      </c>
      <c r="I215" s="184"/>
      <c r="J215" s="197">
        <v>336</v>
      </c>
      <c r="K215" s="194"/>
      <c r="L215" s="316"/>
      <c r="M215" s="37"/>
    </row>
    <row r="216" spans="1:13">
      <c r="A216" s="183">
        <v>42644</v>
      </c>
      <c r="B216" s="189"/>
      <c r="C216" s="192"/>
      <c r="D216" s="190"/>
      <c r="E216" s="184">
        <v>31</v>
      </c>
      <c r="F216" s="184">
        <v>1</v>
      </c>
      <c r="G216" s="184">
        <f>'CDM Activity'!AA148</f>
        <v>2117438.4722612817</v>
      </c>
      <c r="H216" s="187">
        <v>157.27083888441365</v>
      </c>
      <c r="I216" s="184"/>
      <c r="J216" s="197">
        <v>320</v>
      </c>
      <c r="K216" s="194"/>
      <c r="L216" s="316"/>
      <c r="M216" s="37"/>
    </row>
    <row r="217" spans="1:13">
      <c r="A217" s="183">
        <v>42675</v>
      </c>
      <c r="B217" s="189"/>
      <c r="C217" s="192"/>
      <c r="D217" s="190"/>
      <c r="E217" s="184">
        <v>30</v>
      </c>
      <c r="F217" s="184">
        <v>1</v>
      </c>
      <c r="G217" s="184">
        <f>'CDM Activity'!AA149</f>
        <v>2130866.4039100586</v>
      </c>
      <c r="H217" s="187">
        <v>157.55630164915351</v>
      </c>
      <c r="I217" s="184"/>
      <c r="J217" s="197">
        <v>336</v>
      </c>
      <c r="K217" s="194"/>
      <c r="L217" s="316"/>
      <c r="M217" s="37"/>
    </row>
    <row r="218" spans="1:13">
      <c r="A218" s="183">
        <v>42705</v>
      </c>
      <c r="B218" s="189"/>
      <c r="C218" s="192"/>
      <c r="D218" s="190"/>
      <c r="E218" s="184">
        <v>31</v>
      </c>
      <c r="F218" s="184">
        <v>0</v>
      </c>
      <c r="G218" s="184">
        <f>'CDM Activity'!AA150</f>
        <v>2144294.3355588354</v>
      </c>
      <c r="H218" s="187">
        <v>157.84228255820162</v>
      </c>
      <c r="I218" s="184"/>
      <c r="J218" s="197">
        <v>336</v>
      </c>
      <c r="K218" s="194"/>
      <c r="L218" s="316"/>
      <c r="M218" s="37"/>
    </row>
    <row r="219" spans="1:13">
      <c r="A219" s="183">
        <v>42736</v>
      </c>
      <c r="B219" s="189"/>
      <c r="C219" s="190"/>
      <c r="D219" s="190"/>
      <c r="E219" s="184">
        <v>31</v>
      </c>
      <c r="F219" s="184">
        <v>0</v>
      </c>
      <c r="G219" s="184">
        <f>'CDM Activity'!AA151</f>
        <v>2132932.2395483321</v>
      </c>
      <c r="H219" s="187">
        <v>158.15454692394951</v>
      </c>
      <c r="I219" s="184"/>
      <c r="J219" s="184">
        <v>336</v>
      </c>
      <c r="K219" s="194"/>
      <c r="L219" s="316"/>
      <c r="M219" s="37"/>
    </row>
    <row r="220" spans="1:13">
      <c r="A220" s="183">
        <v>42767</v>
      </c>
      <c r="B220" s="189"/>
      <c r="C220" s="190"/>
      <c r="D220" s="190"/>
      <c r="E220" s="184">
        <v>28</v>
      </c>
      <c r="F220" s="184">
        <v>0</v>
      </c>
      <c r="G220" s="184">
        <f>'CDM Activity'!AA152</f>
        <v>2121570.1435378287</v>
      </c>
      <c r="H220" s="187">
        <v>158.46742905214063</v>
      </c>
      <c r="I220" s="184"/>
      <c r="J220" s="184">
        <v>304</v>
      </c>
      <c r="K220" s="194"/>
      <c r="L220" s="316"/>
      <c r="M220" s="37"/>
    </row>
    <row r="221" spans="1:13">
      <c r="A221" s="183">
        <v>42795</v>
      </c>
      <c r="B221" s="189"/>
      <c r="C221" s="190"/>
      <c r="D221" s="190"/>
      <c r="E221" s="184">
        <v>31</v>
      </c>
      <c r="F221" s="184">
        <v>1</v>
      </c>
      <c r="G221" s="184">
        <f>'CDM Activity'!AA153</f>
        <v>2110208.0475273253</v>
      </c>
      <c r="H221" s="187">
        <v>158.78093016491388</v>
      </c>
      <c r="I221" s="184"/>
      <c r="J221" s="184">
        <v>368</v>
      </c>
      <c r="K221" s="194"/>
      <c r="L221" s="316"/>
      <c r="M221" s="37"/>
    </row>
    <row r="222" spans="1:13">
      <c r="A222" s="183">
        <v>42826</v>
      </c>
      <c r="B222" s="189"/>
      <c r="C222" s="190"/>
      <c r="D222" s="190"/>
      <c r="E222" s="184">
        <v>30</v>
      </c>
      <c r="F222" s="184">
        <v>1</v>
      </c>
      <c r="G222" s="184">
        <f>'CDM Activity'!AA154</f>
        <v>2098845.951516822</v>
      </c>
      <c r="H222" s="187">
        <v>159.09505148682601</v>
      </c>
      <c r="I222" s="184"/>
      <c r="J222" s="184">
        <v>304</v>
      </c>
      <c r="K222" s="194"/>
      <c r="L222" s="316"/>
      <c r="M222" s="37"/>
    </row>
    <row r="223" spans="1:13">
      <c r="A223" s="183">
        <v>42856</v>
      </c>
      <c r="B223" s="189"/>
      <c r="C223" s="190"/>
      <c r="D223" s="190"/>
      <c r="E223" s="184">
        <v>31</v>
      </c>
      <c r="F223" s="184">
        <v>1</v>
      </c>
      <c r="G223" s="184">
        <f>'CDM Activity'!AA155</f>
        <v>2087483.8555063184</v>
      </c>
      <c r="H223" s="187">
        <v>159.4097942448563</v>
      </c>
      <c r="I223" s="184"/>
      <c r="J223" s="184">
        <v>352</v>
      </c>
      <c r="K223" s="194"/>
      <c r="L223" s="316"/>
      <c r="M223" s="37"/>
    </row>
    <row r="224" spans="1:13">
      <c r="A224" s="183">
        <v>42887</v>
      </c>
      <c r="B224" s="189"/>
      <c r="C224" s="190"/>
      <c r="D224" s="190"/>
      <c r="E224" s="184">
        <v>30</v>
      </c>
      <c r="F224" s="184">
        <v>0</v>
      </c>
      <c r="G224" s="184">
        <f>'CDM Activity'!AA156</f>
        <v>2076121.7594958148</v>
      </c>
      <c r="H224" s="187">
        <v>159.72515966841141</v>
      </c>
      <c r="I224" s="184"/>
      <c r="J224" s="184">
        <v>352</v>
      </c>
      <c r="K224" s="194"/>
      <c r="L224" s="316"/>
      <c r="M224" s="37"/>
    </row>
    <row r="225" spans="1:16">
      <c r="A225" s="183">
        <v>42917</v>
      </c>
      <c r="B225" s="189"/>
      <c r="C225" s="190"/>
      <c r="D225" s="190"/>
      <c r="E225" s="184">
        <v>31</v>
      </c>
      <c r="F225" s="184">
        <v>0</v>
      </c>
      <c r="G225" s="184">
        <f>'CDM Activity'!AA157</f>
        <v>2064759.6634853112</v>
      </c>
      <c r="H225" s="187">
        <v>160.0411489893302</v>
      </c>
      <c r="I225" s="184"/>
      <c r="J225" s="184">
        <v>320</v>
      </c>
      <c r="K225" s="194"/>
      <c r="L225" s="316"/>
      <c r="M225" s="37"/>
    </row>
    <row r="226" spans="1:16">
      <c r="A226" s="183">
        <v>42948</v>
      </c>
      <c r="B226" s="189"/>
      <c r="C226" s="190"/>
      <c r="D226" s="190"/>
      <c r="E226" s="184">
        <v>31</v>
      </c>
      <c r="F226" s="184">
        <v>0</v>
      </c>
      <c r="G226" s="184">
        <f>'CDM Activity'!AA158</f>
        <v>2053397.5674748076</v>
      </c>
      <c r="H226" s="187">
        <v>160.35776344188849</v>
      </c>
      <c r="I226" s="184"/>
      <c r="J226" s="184">
        <v>352</v>
      </c>
      <c r="K226" s="194"/>
      <c r="L226" s="316"/>
      <c r="M226" s="37"/>
    </row>
    <row r="227" spans="1:16">
      <c r="A227" s="183">
        <v>42979</v>
      </c>
      <c r="B227" s="189"/>
      <c r="C227" s="190"/>
      <c r="D227" s="190"/>
      <c r="E227" s="184">
        <v>30</v>
      </c>
      <c r="F227" s="184">
        <v>1</v>
      </c>
      <c r="G227" s="184">
        <f>'CDM Activity'!AA159</f>
        <v>2042035.471464304</v>
      </c>
      <c r="H227" s="187">
        <v>160.67500426280395</v>
      </c>
      <c r="I227" s="184"/>
      <c r="J227" s="184">
        <v>320</v>
      </c>
      <c r="K227" s="194"/>
      <c r="L227" s="316"/>
      <c r="M227" s="37"/>
    </row>
    <row r="228" spans="1:16">
      <c r="A228" s="183">
        <v>43009</v>
      </c>
      <c r="B228" s="189"/>
      <c r="C228" s="190"/>
      <c r="D228" s="190"/>
      <c r="E228" s="184">
        <v>31</v>
      </c>
      <c r="F228" s="184">
        <v>1</v>
      </c>
      <c r="G228" s="184">
        <f>'CDM Activity'!AA160</f>
        <v>2030673.3754538004</v>
      </c>
      <c r="H228" s="187">
        <v>160.99287269124085</v>
      </c>
      <c r="I228" s="184"/>
      <c r="J228" s="184">
        <v>336</v>
      </c>
      <c r="K228" s="194"/>
      <c r="L228" s="316"/>
      <c r="M228" s="37"/>
    </row>
    <row r="229" spans="1:16">
      <c r="A229" s="183">
        <v>43040</v>
      </c>
      <c r="B229" s="189"/>
      <c r="C229" s="190"/>
      <c r="D229" s="190"/>
      <c r="E229" s="184">
        <v>30</v>
      </c>
      <c r="F229" s="184">
        <v>1</v>
      </c>
      <c r="G229" s="184">
        <f>'CDM Activity'!AA161</f>
        <v>2019311.2794432968</v>
      </c>
      <c r="H229" s="187">
        <v>161.31136996881492</v>
      </c>
      <c r="I229" s="184"/>
      <c r="J229" s="184">
        <v>352</v>
      </c>
      <c r="K229" s="194"/>
      <c r="L229" s="316"/>
      <c r="M229" s="37"/>
    </row>
    <row r="230" spans="1:16">
      <c r="A230" s="183">
        <v>43070</v>
      </c>
      <c r="B230" s="189"/>
      <c r="C230" s="190"/>
      <c r="D230" s="190"/>
      <c r="E230" s="184">
        <v>31</v>
      </c>
      <c r="F230" s="184">
        <v>0</v>
      </c>
      <c r="G230" s="184">
        <f>'CDM Activity'!AA162</f>
        <v>2007949.1834327932</v>
      </c>
      <c r="H230" s="187">
        <v>161.63049733959846</v>
      </c>
      <c r="I230" s="184"/>
      <c r="J230" s="184">
        <v>304</v>
      </c>
      <c r="K230" s="194"/>
      <c r="L230" s="316"/>
      <c r="M230" s="37"/>
    </row>
    <row r="231" spans="1:16">
      <c r="A231" s="2"/>
      <c r="G231" s="12"/>
      <c r="L231" s="43"/>
    </row>
    <row r="232" spans="1:16">
      <c r="A232" s="2"/>
      <c r="C232" s="11"/>
      <c r="D232"/>
      <c r="G232" s="287"/>
      <c r="H232" s="195"/>
      <c r="I232" s="37"/>
      <c r="J232" s="37"/>
      <c r="K232" s="287"/>
    </row>
    <row r="233" spans="1:16">
      <c r="A233" s="2"/>
      <c r="N233" s="198"/>
      <c r="O233" s="201"/>
      <c r="P233" s="201"/>
    </row>
    <row r="234" spans="1:16">
      <c r="A234" s="318">
        <v>2006</v>
      </c>
      <c r="B234" s="180">
        <f>SUM(B87:B98)</f>
        <v>216210086.33999994</v>
      </c>
      <c r="C234" s="37"/>
      <c r="D234" s="37"/>
      <c r="E234" s="37"/>
      <c r="F234" s="37"/>
      <c r="G234" s="37"/>
      <c r="H234" s="37"/>
      <c r="I234" s="195"/>
      <c r="J234" s="37"/>
      <c r="K234" s="180"/>
      <c r="L234" s="290"/>
      <c r="M234" s="300"/>
      <c r="N234" s="180"/>
      <c r="O234" s="317"/>
    </row>
    <row r="235" spans="1:16">
      <c r="A235" s="319">
        <v>2007</v>
      </c>
      <c r="B235" s="180">
        <f>SUM(B99:B110)</f>
        <v>206642574.96000001</v>
      </c>
      <c r="C235" s="37"/>
      <c r="D235" s="37"/>
      <c r="E235" s="37"/>
      <c r="F235" s="37"/>
      <c r="G235" s="37"/>
      <c r="H235" s="37"/>
      <c r="I235" s="195"/>
      <c r="J235" s="37"/>
      <c r="K235" s="180"/>
      <c r="L235" s="290"/>
      <c r="M235" s="300"/>
      <c r="N235" s="180"/>
      <c r="O235" s="317"/>
    </row>
    <row r="236" spans="1:16">
      <c r="A236" s="318">
        <v>2008</v>
      </c>
      <c r="B236" s="180">
        <f>SUM(B111:B122)</f>
        <v>181479430.40000001</v>
      </c>
      <c r="C236" s="37"/>
      <c r="D236" s="37"/>
      <c r="E236" s="37"/>
      <c r="F236" s="37"/>
      <c r="G236" s="37"/>
      <c r="H236" s="37"/>
      <c r="I236" s="195"/>
      <c r="J236" s="37"/>
      <c r="K236" s="180"/>
      <c r="L236" s="290"/>
      <c r="M236" s="300"/>
      <c r="N236" s="180"/>
      <c r="O236" s="317"/>
    </row>
    <row r="237" spans="1:16">
      <c r="A237" s="319">
        <v>2009</v>
      </c>
      <c r="B237" s="180">
        <f>SUM(B123:B134)</f>
        <v>170625602.24000001</v>
      </c>
      <c r="C237" s="37"/>
      <c r="D237" s="37"/>
      <c r="E237" s="37"/>
      <c r="F237" s="37"/>
      <c r="G237" s="37"/>
      <c r="H237" s="37"/>
      <c r="I237" s="195"/>
      <c r="J237" s="37"/>
      <c r="K237" s="180"/>
      <c r="L237" s="290"/>
      <c r="M237" s="300"/>
      <c r="N237" s="180"/>
      <c r="O237" s="317"/>
    </row>
    <row r="238" spans="1:16">
      <c r="A238" s="318">
        <v>2010</v>
      </c>
      <c r="B238" s="180">
        <f>SUM(B135:B146)</f>
        <v>153278417.59999999</v>
      </c>
      <c r="C238" s="37"/>
      <c r="D238" s="37"/>
      <c r="E238" s="37"/>
      <c r="F238" s="37"/>
      <c r="G238" s="37"/>
      <c r="H238" s="37"/>
      <c r="I238" s="195"/>
      <c r="J238" s="37"/>
      <c r="K238" s="180"/>
      <c r="L238" s="290"/>
      <c r="M238" s="300"/>
      <c r="N238" s="180"/>
      <c r="O238" s="317"/>
    </row>
    <row r="239" spans="1:16">
      <c r="A239" s="318">
        <v>2011</v>
      </c>
      <c r="B239" s="180">
        <f>SUM(B147:B158)</f>
        <v>158154293.34</v>
      </c>
      <c r="C239" s="37"/>
      <c r="D239" s="37"/>
      <c r="E239" s="37"/>
      <c r="F239" s="37"/>
      <c r="G239" s="37"/>
      <c r="H239" s="37"/>
      <c r="I239" s="195"/>
      <c r="J239" s="37"/>
      <c r="K239" s="180"/>
      <c r="L239" s="290"/>
      <c r="M239" s="300"/>
      <c r="N239" s="180"/>
      <c r="O239" s="317"/>
    </row>
    <row r="240" spans="1:16">
      <c r="A240" s="318">
        <v>2012</v>
      </c>
      <c r="B240" s="180">
        <f>SUM(B159:B170)</f>
        <v>161345729.31</v>
      </c>
      <c r="C240" s="37"/>
      <c r="D240" s="37"/>
      <c r="E240" s="37"/>
      <c r="F240" s="37"/>
      <c r="G240" s="37"/>
      <c r="H240" s="37"/>
      <c r="I240" s="195"/>
      <c r="J240" s="37"/>
      <c r="K240" s="180"/>
      <c r="L240" s="290"/>
      <c r="M240" s="300"/>
      <c r="N240" s="180"/>
      <c r="O240" s="317"/>
    </row>
    <row r="241" spans="1:15">
      <c r="A241" s="318">
        <v>2013</v>
      </c>
      <c r="B241" s="180">
        <f>SUM(B171:B182)</f>
        <v>158062714.38999999</v>
      </c>
      <c r="C241" s="37"/>
      <c r="D241" s="37"/>
      <c r="E241" s="37"/>
      <c r="F241" s="37"/>
      <c r="G241" s="37"/>
      <c r="H241" s="37"/>
      <c r="I241" s="195"/>
      <c r="J241" s="37"/>
      <c r="K241" s="180"/>
      <c r="L241" s="290"/>
      <c r="M241" s="300"/>
      <c r="N241" s="180"/>
      <c r="O241" s="317"/>
    </row>
    <row r="242" spans="1:15">
      <c r="A242" s="318">
        <v>2014</v>
      </c>
      <c r="B242" s="180">
        <f>SUM(B183:B194)</f>
        <v>162775283.13</v>
      </c>
      <c r="C242" s="37"/>
      <c r="D242" s="37"/>
      <c r="E242" s="37"/>
      <c r="F242" s="37"/>
      <c r="G242" s="37"/>
      <c r="H242" s="37"/>
      <c r="I242" s="195"/>
      <c r="J242" s="37"/>
      <c r="K242" s="180"/>
      <c r="L242" s="290"/>
      <c r="M242" s="300"/>
      <c r="N242" s="180"/>
      <c r="O242" s="317"/>
    </row>
    <row r="243" spans="1:15">
      <c r="A243" s="319">
        <v>2015</v>
      </c>
      <c r="B243" s="180">
        <f>SUM(B195:B206)</f>
        <v>161772954.38999999</v>
      </c>
      <c r="C243" s="37"/>
      <c r="D243" s="37"/>
      <c r="E243" s="37"/>
      <c r="F243" s="37"/>
      <c r="G243" s="37"/>
      <c r="H243" s="37"/>
      <c r="I243" s="195"/>
      <c r="J243" s="37"/>
      <c r="K243" s="180"/>
      <c r="L243" s="290"/>
      <c r="M243" s="300"/>
      <c r="N243" s="180"/>
      <c r="O243" s="317"/>
    </row>
    <row r="244" spans="1:15">
      <c r="A244" s="318"/>
      <c r="B244" s="180"/>
      <c r="C244" s="37"/>
      <c r="D244" s="37"/>
      <c r="E244" s="37"/>
      <c r="F244" s="37"/>
      <c r="G244" s="37"/>
      <c r="H244" s="37"/>
      <c r="I244" s="195"/>
      <c r="J244" s="37"/>
      <c r="K244" s="180"/>
      <c r="L244" s="37"/>
      <c r="M244" s="37"/>
      <c r="N244" s="180"/>
      <c r="O244" s="317"/>
    </row>
    <row r="245" spans="1:15">
      <c r="A245" s="319"/>
      <c r="B245" s="180"/>
      <c r="C245" s="37"/>
      <c r="D245" s="37"/>
      <c r="E245" s="37"/>
      <c r="F245" s="37"/>
      <c r="G245" s="37"/>
      <c r="H245" s="37"/>
      <c r="I245" s="195"/>
      <c r="J245" s="37"/>
      <c r="K245" s="180"/>
      <c r="L245" s="37"/>
      <c r="M245" s="37"/>
      <c r="N245" s="180"/>
      <c r="O245" s="317"/>
    </row>
    <row r="246" spans="1:15" ht="13.5" thickBot="1">
      <c r="C246" s="198"/>
      <c r="H246" s="198"/>
      <c r="I246" s="23"/>
      <c r="K246" s="5"/>
    </row>
    <row r="247" spans="1:15" ht="16.5" thickTop="1" thickBot="1">
      <c r="A247" s="260"/>
      <c r="B247" s="320"/>
      <c r="C247" s="198"/>
      <c r="H247" s="198"/>
      <c r="I247" s="23"/>
      <c r="K247" s="320"/>
      <c r="L247" s="256"/>
    </row>
    <row r="248" spans="1:15" ht="14.25" thickTop="1" thickBot="1">
      <c r="C248" s="198"/>
      <c r="H248" s="198"/>
      <c r="I248" s="23"/>
    </row>
    <row r="249" spans="1:15" ht="16.5" thickTop="1" thickBot="1">
      <c r="C249" s="198"/>
      <c r="H249" s="198"/>
      <c r="I249" s="23"/>
      <c r="K249" s="320"/>
      <c r="L249" s="257"/>
    </row>
    <row r="250" spans="1:15" ht="13.5" thickTop="1">
      <c r="C250" s="198"/>
      <c r="H250" s="198"/>
      <c r="I250" s="23"/>
      <c r="K250" s="258"/>
      <c r="L250" s="258"/>
      <c r="M250" s="258"/>
    </row>
    <row r="253" spans="1:15">
      <c r="H253" s="198"/>
      <c r="I253" s="23"/>
    </row>
    <row r="254" spans="1:15" ht="15">
      <c r="B254" s="259"/>
      <c r="C254" s="198"/>
      <c r="H254" s="198"/>
      <c r="I254" s="23"/>
    </row>
    <row r="255" spans="1:15" ht="15">
      <c r="A255" s="321"/>
      <c r="B255" s="180"/>
      <c r="C255" s="190"/>
      <c r="D255" s="190"/>
      <c r="E255" s="194"/>
      <c r="F255" s="194"/>
      <c r="G255" s="194"/>
      <c r="H255" s="187"/>
      <c r="I255" s="187"/>
      <c r="J255" s="194"/>
      <c r="K255" s="194"/>
      <c r="L255" s="37"/>
    </row>
    <row r="256" spans="1:15" ht="15">
      <c r="A256" s="321"/>
      <c r="B256" s="180"/>
      <c r="C256" s="190"/>
      <c r="D256" s="190"/>
      <c r="E256" s="194"/>
      <c r="F256" s="194"/>
      <c r="G256" s="194"/>
      <c r="H256" s="187"/>
      <c r="I256" s="187"/>
      <c r="J256" s="194"/>
      <c r="K256" s="194"/>
      <c r="L256" s="37"/>
    </row>
    <row r="257" spans="1:13" ht="15">
      <c r="A257" s="321"/>
      <c r="B257" s="180"/>
      <c r="C257" s="190"/>
      <c r="D257" s="190"/>
      <c r="E257" s="194"/>
      <c r="F257" s="194"/>
      <c r="G257" s="194"/>
      <c r="H257" s="187"/>
      <c r="I257" s="187"/>
      <c r="J257" s="194"/>
      <c r="K257" s="194"/>
      <c r="L257" s="37"/>
      <c r="M257"/>
    </row>
    <row r="258" spans="1:13" ht="15">
      <c r="A258" s="321"/>
      <c r="B258" s="180"/>
      <c r="C258" s="190"/>
      <c r="D258" s="190"/>
      <c r="E258" s="194"/>
      <c r="F258" s="194"/>
      <c r="G258" s="194"/>
      <c r="H258" s="187"/>
      <c r="I258" s="187"/>
      <c r="J258" s="194"/>
      <c r="K258" s="194"/>
      <c r="L258" s="37"/>
      <c r="M258"/>
    </row>
    <row r="259" spans="1:13" ht="15">
      <c r="A259" s="321"/>
      <c r="B259" s="180"/>
      <c r="C259" s="190"/>
      <c r="D259" s="190"/>
      <c r="E259" s="194"/>
      <c r="F259" s="194"/>
      <c r="G259" s="194"/>
      <c r="H259" s="187"/>
      <c r="I259" s="187"/>
      <c r="J259" s="194"/>
      <c r="K259" s="194"/>
      <c r="L259" s="37"/>
      <c r="M259"/>
    </row>
    <row r="260" spans="1:13" ht="15">
      <c r="A260" s="321"/>
      <c r="B260" s="180"/>
      <c r="C260" s="190"/>
      <c r="D260" s="190"/>
      <c r="E260" s="194"/>
      <c r="F260" s="194"/>
      <c r="G260" s="194"/>
      <c r="H260" s="187"/>
      <c r="I260" s="187"/>
      <c r="J260" s="194"/>
      <c r="K260" s="194"/>
      <c r="L260" s="37"/>
      <c r="M260"/>
    </row>
    <row r="261" spans="1:13" ht="15">
      <c r="A261" s="321"/>
      <c r="B261" s="180"/>
      <c r="C261" s="190"/>
      <c r="D261" s="190"/>
      <c r="E261" s="194"/>
      <c r="F261" s="194"/>
      <c r="G261" s="194"/>
      <c r="H261" s="187"/>
      <c r="I261" s="187"/>
      <c r="J261" s="194"/>
      <c r="K261" s="194"/>
      <c r="L261" s="37"/>
      <c r="M261"/>
    </row>
    <row r="262" spans="1:13" ht="15">
      <c r="A262" s="321"/>
      <c r="B262" s="180"/>
      <c r="C262" s="190"/>
      <c r="D262" s="190"/>
      <c r="E262" s="194"/>
      <c r="F262" s="194"/>
      <c r="G262" s="194"/>
      <c r="H262" s="187"/>
      <c r="I262" s="187"/>
      <c r="J262" s="194"/>
      <c r="K262" s="194"/>
      <c r="L262" s="37"/>
      <c r="M262"/>
    </row>
    <row r="263" spans="1:13" ht="15">
      <c r="A263" s="321"/>
      <c r="B263" s="180"/>
      <c r="C263" s="190"/>
      <c r="D263" s="190"/>
      <c r="E263" s="194"/>
      <c r="F263" s="194"/>
      <c r="G263" s="194"/>
      <c r="H263" s="187"/>
      <c r="I263" s="187"/>
      <c r="J263" s="194"/>
      <c r="K263" s="194"/>
      <c r="L263" s="37"/>
      <c r="M263"/>
    </row>
    <row r="264" spans="1:13" ht="15">
      <c r="A264" s="321"/>
      <c r="B264" s="180"/>
      <c r="C264" s="190"/>
      <c r="D264" s="190"/>
      <c r="E264" s="194"/>
      <c r="F264" s="194"/>
      <c r="G264" s="194"/>
      <c r="H264" s="187"/>
      <c r="I264" s="187"/>
      <c r="J264" s="194"/>
      <c r="K264" s="194"/>
      <c r="L264" s="37"/>
      <c r="M264"/>
    </row>
    <row r="265" spans="1:13" ht="15">
      <c r="A265" s="321"/>
      <c r="B265" s="180"/>
      <c r="C265" s="190"/>
      <c r="D265" s="190"/>
      <c r="E265" s="194"/>
      <c r="F265" s="194"/>
      <c r="G265" s="194"/>
      <c r="H265" s="187"/>
      <c r="I265" s="187"/>
      <c r="J265" s="194"/>
      <c r="K265" s="194"/>
      <c r="L265" s="37"/>
      <c r="M265"/>
    </row>
    <row r="266" spans="1:13" ht="15">
      <c r="A266" s="321"/>
      <c r="B266" s="180"/>
      <c r="C266" s="190"/>
      <c r="D266" s="190"/>
      <c r="E266" s="194"/>
      <c r="F266" s="194"/>
      <c r="G266" s="194"/>
      <c r="H266" s="187"/>
      <c r="I266" s="187"/>
      <c r="J266" s="194"/>
      <c r="K266" s="194"/>
      <c r="L266" s="287"/>
      <c r="M266"/>
    </row>
    <row r="267" spans="1:13">
      <c r="M267"/>
    </row>
    <row r="268" spans="1:13">
      <c r="M268"/>
    </row>
    <row r="269" spans="1:13">
      <c r="M269"/>
    </row>
    <row r="270" spans="1:13">
      <c r="M270"/>
    </row>
    <row r="271" spans="1:13">
      <c r="M271"/>
    </row>
    <row r="272" spans="1:13">
      <c r="M272"/>
    </row>
    <row r="273" spans="2:13">
      <c r="B273"/>
      <c r="C273"/>
      <c r="D273"/>
      <c r="E273"/>
      <c r="F273"/>
      <c r="G273"/>
      <c r="H273"/>
      <c r="I273"/>
      <c r="J273"/>
      <c r="K273"/>
      <c r="L273"/>
      <c r="M273"/>
    </row>
    <row r="274" spans="2:13">
      <c r="B274"/>
      <c r="C274"/>
      <c r="D274"/>
      <c r="E274"/>
      <c r="F274"/>
      <c r="G274"/>
      <c r="H274"/>
      <c r="I274"/>
      <c r="J274"/>
      <c r="K274"/>
      <c r="L274"/>
      <c r="M274"/>
    </row>
  </sheetData>
  <mergeCells count="2">
    <mergeCell ref="I1:J1"/>
    <mergeCell ref="O233:P233"/>
  </mergeCells>
  <phoneticPr fontId="0" type="noConversion"/>
  <pageMargins left="0.38" right="0.75" top="0.73" bottom="0.74" header="0.5" footer="0.5"/>
  <pageSetup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Summary</vt:lpstr>
      <vt:lpstr>Purchased Power Model </vt:lpstr>
      <vt:lpstr>Residential</vt:lpstr>
      <vt:lpstr>Residential WN</vt:lpstr>
      <vt:lpstr>GS &lt; 50 kW</vt:lpstr>
      <vt:lpstr>GS &lt; 50 kW WN</vt:lpstr>
      <vt:lpstr>GS &gt; 50 kW</vt:lpstr>
      <vt:lpstr>GS &gt; 50 kW WN</vt:lpstr>
      <vt:lpstr>GS &gt; 1000  kW</vt:lpstr>
      <vt:lpstr>Rate Class Energy Model</vt:lpstr>
      <vt:lpstr>Rate Class Customer Model</vt:lpstr>
      <vt:lpstr>Rate Class Load Model</vt:lpstr>
      <vt:lpstr>CDM Activity</vt:lpstr>
      <vt:lpstr>5. Static CDM Result by Program</vt:lpstr>
      <vt:lpstr>Weather Data</vt:lpstr>
      <vt:lpstr>Weather Analysis - Thunder Bay</vt:lpstr>
      <vt:lpstr>'5. Static CDM Result by Program'!Print_Area</vt:lpstr>
      <vt:lpstr>'GS &lt; 50 kW'!Print_Area</vt:lpstr>
      <vt:lpstr>'GS &lt; 50 kW WN'!Print_Area</vt:lpstr>
      <vt:lpstr>'GS &gt; 1000  kW'!Print_Area</vt:lpstr>
      <vt:lpstr>'GS &gt; 50 kW'!Print_Area</vt:lpstr>
      <vt:lpstr>'GS &gt; 50 kW WN'!Print_Area</vt:lpstr>
      <vt:lpstr>'Purchased Power Model '!Print_Area</vt:lpstr>
      <vt:lpstr>'Rate Class Customer Model'!Print_Area</vt:lpstr>
      <vt:lpstr>'Rate Class Energy Model'!Print_Area</vt:lpstr>
      <vt:lpstr>'Rate Class Load Model'!Print_Area</vt:lpstr>
      <vt:lpstr>Residential!Print_Area</vt:lpstr>
      <vt:lpstr>'Residential WN'!Print_Area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Brittany Ashby</cp:lastModifiedBy>
  <cp:lastPrinted>2016-08-25T00:50:27Z</cp:lastPrinted>
  <dcterms:created xsi:type="dcterms:W3CDTF">2008-02-06T18:24:44Z</dcterms:created>
  <dcterms:modified xsi:type="dcterms:W3CDTF">2016-09-09T21:42:44Z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307958618</vt:i4>
  </property>
  <property fmtid="{D5CDD505-2E9C-101B-9397-08002B2CF9AE}" pid="3" name="_EmailSubject">
    <vt:lpwstr>Follow-Up - London Hydro Rate Application</vt:lpwstr>
  </property>
  <property fmtid="{D5CDD505-2E9C-101B-9397-08002B2CF9AE}" pid="4" name="_AuthorEmail">
    <vt:lpwstr>cascians@LondonHydro.com</vt:lpwstr>
  </property>
  <property fmtid="{D5CDD505-2E9C-101B-9397-08002B2CF9AE}" pid="5" name="_AuthorEmailDisplayName">
    <vt:lpwstr>Casciano, Susan</vt:lpwstr>
  </property>
  <property fmtid="{D5CDD505-2E9C-101B-9397-08002B2CF9AE}" pid="6" name="DM_Links_Updated">
    <vt:bool>true</vt:bool>
  </property>
  <property fmtid="{D5CDD505-2E9C-101B-9397-08002B2CF9AE}" pid="7" name="_ReviewingToolsShownOnce">
    <vt:lpwstr/>
  </property>
</Properties>
</file>