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2016 RRWF Calc" sheetId="6" r:id="rId1"/>
  </sheets>
  <externalReferences>
    <externalReference r:id="rId2"/>
  </externalReferences>
  <definedNames>
    <definedName name="_xlnm.Print_Area" localSheetId="0">'2016 RRWF Calc'!$A$1:$G$67</definedName>
    <definedName name="Test_Year">[1]Inputs!$C$6</definedName>
  </definedNames>
  <calcPr calcId="145621"/>
</workbook>
</file>

<file path=xl/calcChain.xml><?xml version="1.0" encoding="utf-8"?>
<calcChain xmlns="http://schemas.openxmlformats.org/spreadsheetml/2006/main">
  <c r="D33" i="6" l="1"/>
  <c r="E24" i="6"/>
  <c r="D40" i="6"/>
  <c r="D39" i="6"/>
  <c r="D24" i="6" l="1"/>
  <c r="D42" i="6"/>
  <c r="D29" i="6"/>
  <c r="D30" i="6" s="1"/>
  <c r="F64" i="6" l="1"/>
  <c r="F60" i="6"/>
  <c r="F59" i="6"/>
  <c r="F58" i="6"/>
  <c r="D57" i="6"/>
  <c r="D61" i="6" s="1"/>
  <c r="D63" i="6" s="1"/>
  <c r="D65" i="6" s="1"/>
  <c r="D66" i="6" s="1"/>
  <c r="D11" i="6" s="1"/>
  <c r="F11" i="6" s="1"/>
  <c r="E57" i="6"/>
  <c r="E61" i="6" s="1"/>
  <c r="E63" i="6" s="1"/>
  <c r="E65" i="6" s="1"/>
  <c r="E66" i="6" s="1"/>
  <c r="F13" i="6"/>
  <c r="F10" i="6"/>
  <c r="F5" i="6"/>
  <c r="D8" i="6"/>
  <c r="F33" i="6"/>
  <c r="F57" i="6" l="1"/>
  <c r="F61" i="6"/>
  <c r="F66" i="6"/>
  <c r="F63" i="6"/>
  <c r="F65" i="6"/>
  <c r="F9" i="6"/>
  <c r="F8" i="6"/>
  <c r="F42" i="6"/>
  <c r="D34" i="6" s="1"/>
  <c r="F34" i="6" s="1"/>
  <c r="D35" i="6" l="1"/>
  <c r="D23" i="6" s="1"/>
  <c r="F35" i="6"/>
  <c r="E35" i="6"/>
  <c r="E23" i="6" l="1"/>
  <c r="E25" i="6" s="1"/>
  <c r="E51" i="6"/>
  <c r="D51" i="6"/>
  <c r="D52" i="6" s="1"/>
  <c r="D25" i="6"/>
  <c r="E45" i="6"/>
  <c r="E46" i="6" s="1"/>
  <c r="E48" i="6" s="1"/>
  <c r="E6" i="6" s="1"/>
  <c r="D45" i="6"/>
  <c r="E52" i="6" l="1"/>
  <c r="E54" i="6" s="1"/>
  <c r="E7" i="6" s="1"/>
  <c r="E12" i="6" s="1"/>
  <c r="E14" i="6" s="1"/>
  <c r="F51" i="6"/>
  <c r="D54" i="6"/>
  <c r="D7" i="6" s="1"/>
  <c r="D46" i="6"/>
  <c r="F45" i="6"/>
  <c r="F7" i="6" l="1"/>
  <c r="F54" i="6"/>
  <c r="F52" i="6"/>
  <c r="D48" i="6"/>
  <c r="D6" i="6" s="1"/>
  <c r="F46" i="6"/>
  <c r="F6" i="6" l="1"/>
  <c r="F12" i="6" s="1"/>
  <c r="F14" i="6" s="1"/>
  <c r="D12" i="6"/>
  <c r="D14" i="6" s="1"/>
  <c r="F30" i="6" s="1"/>
  <c r="F48" i="6"/>
</calcChain>
</file>

<file path=xl/sharedStrings.xml><?xml version="1.0" encoding="utf-8"?>
<sst xmlns="http://schemas.openxmlformats.org/spreadsheetml/2006/main" count="96" uniqueCount="68">
  <si>
    <t>Derecognition expense</t>
  </si>
  <si>
    <t>Add 1.8%</t>
  </si>
  <si>
    <t>2015 Revenue Requirement</t>
  </si>
  <si>
    <t>Revenue Offsets</t>
  </si>
  <si>
    <t>Revised per DRO</t>
  </si>
  <si>
    <t>Change</t>
  </si>
  <si>
    <t>PowerStream EB-2015-0003</t>
  </si>
  <si>
    <t>Notes</t>
  </si>
  <si>
    <t>Aug 2015 Update</t>
  </si>
  <si>
    <t>Net Fixed Assets Average</t>
  </si>
  <si>
    <t>Rate Base</t>
  </si>
  <si>
    <t>Note</t>
  </si>
  <si>
    <t>1</t>
  </si>
  <si>
    <t>2</t>
  </si>
  <si>
    <t>1.</t>
  </si>
  <si>
    <t>Remove meters to be recorded in account 1557</t>
  </si>
  <si>
    <t>2.</t>
  </si>
  <si>
    <t>2016 RRWF Summary Changes ($ thousands)</t>
  </si>
  <si>
    <t>Sep 2016   DRO</t>
  </si>
  <si>
    <t>Working Capital Allowance (WCA)</t>
  </si>
  <si>
    <t>Per Application</t>
  </si>
  <si>
    <t>Change, WCA% and WCA Impact</t>
  </si>
  <si>
    <t>Reduction in OM&amp;A impact on WCA ($000s):</t>
  </si>
  <si>
    <t>2016 Revenue Requirement -RRWF</t>
  </si>
  <si>
    <t xml:space="preserve">ROE - Target Net Income </t>
  </si>
  <si>
    <t xml:space="preserve">Short term interest </t>
  </si>
  <si>
    <t xml:space="preserve">Long term interest </t>
  </si>
  <si>
    <t>OM&amp;A</t>
  </si>
  <si>
    <t>Depreciation and amortization</t>
  </si>
  <si>
    <t>Income Taxes (PILs)</t>
  </si>
  <si>
    <t>Service Revenue Requirement</t>
  </si>
  <si>
    <t>Base Revenue Requirement</t>
  </si>
  <si>
    <t>ROE has been adjusted so Base Revenue Requirement is in line with basis per D&amp;O.</t>
  </si>
  <si>
    <t xml:space="preserve">Adjusted to reflect adjustments to 2016 rate base pertaining to meters and Working </t>
  </si>
  <si>
    <t>Deemed Short Term Interest</t>
  </si>
  <si>
    <t>Deemed Long Term Interest</t>
  </si>
  <si>
    <t>Rate base</t>
  </si>
  <si>
    <t xml:space="preserve">Deemed Short Term debt </t>
  </si>
  <si>
    <t>Deemed Short Term interest</t>
  </si>
  <si>
    <t>Short Term interest rate</t>
  </si>
  <si>
    <t>4%</t>
  </si>
  <si>
    <t>56%</t>
  </si>
  <si>
    <t xml:space="preserve">Deemed Long Term debt </t>
  </si>
  <si>
    <t>Long Term interest rate</t>
  </si>
  <si>
    <t>Deemed Long Term interest</t>
  </si>
  <si>
    <t>3</t>
  </si>
  <si>
    <t>3.</t>
  </si>
  <si>
    <t>Adjust 2016 OM&amp;A to be based on 1.8% increase to 2015 OM&amp;A of $92.6 million</t>
  </si>
  <si>
    <t>4</t>
  </si>
  <si>
    <t>5</t>
  </si>
  <si>
    <t>4.</t>
  </si>
  <si>
    <t>5.</t>
  </si>
  <si>
    <t>See supporting table below</t>
  </si>
  <si>
    <t>Capital Allowance (WCA) related to change in OM&amp;A. See Rate Base table below.</t>
  </si>
  <si>
    <t>Target Net income</t>
  </si>
  <si>
    <t>Adjustments to arrive at taxable income</t>
  </si>
  <si>
    <t>Change in depreciation - meters</t>
  </si>
  <si>
    <t>Change in CCA - Meters</t>
  </si>
  <si>
    <t>Taxable income</t>
  </si>
  <si>
    <t>Tax rate</t>
  </si>
  <si>
    <t>Tax credits</t>
  </si>
  <si>
    <t>Gross Taxes</t>
  </si>
  <si>
    <t>Net Taxes</t>
  </si>
  <si>
    <t>Net Taxes Grossed up (divide by (1-26.5%)</t>
  </si>
  <si>
    <t xml:space="preserve">2016 Target Revenue </t>
  </si>
  <si>
    <t>Effective ROE</t>
  </si>
  <si>
    <t>Deemed Equity - 40% of rate base</t>
  </si>
  <si>
    <t>Less depreciation in OM&amp;A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</si>
</sst>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&quot;$&quot;#,##0.0;\(&quot;$&quot;#,##0.0\)"/>
    <numFmt numFmtId="165" formatCode="&quot;$&quot;#,##0;\(&quot;$&quot;#,##0\)"/>
    <numFmt numFmtId="170" formatCode="0.0000%"/>
    <numFmt numFmtId="171" formatCode="0.00000%"/>
    <numFmt numFmtId="172" formatCode="0.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1" xfId="0" applyBorder="1"/>
    <xf numFmtId="165" fontId="0" fillId="0" borderId="1" xfId="0" applyNumberFormat="1" applyBorder="1"/>
    <xf numFmtId="165" fontId="4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/>
    </xf>
    <xf numFmtId="10" fontId="0" fillId="0" borderId="1" xfId="0" applyNumberFormat="1" applyBorder="1"/>
    <xf numFmtId="49" fontId="0" fillId="0" borderId="0" xfId="0" applyNumberFormat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165" fontId="0" fillId="0" borderId="4" xfId="0" applyNumberFormat="1" applyBorder="1"/>
    <xf numFmtId="165" fontId="4" fillId="0" borderId="4" xfId="0" applyNumberFormat="1" applyFont="1" applyBorder="1"/>
    <xf numFmtId="0" fontId="4" fillId="0" borderId="6" xfId="0" applyFont="1" applyBorder="1" applyAlignment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0" fontId="0" fillId="0" borderId="4" xfId="4" applyNumberFormat="1" applyFont="1" applyBorder="1"/>
    <xf numFmtId="164" fontId="4" fillId="0" borderId="4" xfId="0" applyNumberFormat="1" applyFont="1" applyBorder="1"/>
    <xf numFmtId="0" fontId="0" fillId="0" borderId="5" xfId="0" applyBorder="1" applyAlignment="1">
      <alignment horizontal="left"/>
    </xf>
    <xf numFmtId="165" fontId="0" fillId="0" borderId="4" xfId="4" applyNumberFormat="1" applyFont="1" applyBorder="1"/>
    <xf numFmtId="165" fontId="0" fillId="0" borderId="4" xfId="1" applyNumberFormat="1" applyFont="1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65" fontId="4" fillId="0" borderId="1" xfId="0" applyNumberFormat="1" applyFont="1" applyBorder="1" applyAlignment="1">
      <alignment horizontal="right"/>
    </xf>
    <xf numFmtId="10" fontId="0" fillId="0" borderId="1" xfId="4" applyNumberFormat="1" applyFont="1" applyBorder="1" applyAlignment="1">
      <alignment horizontal="right"/>
    </xf>
    <xf numFmtId="172" fontId="0" fillId="0" borderId="1" xfId="4" applyNumberFormat="1" applyFont="1" applyBorder="1" applyAlignment="1">
      <alignment horizontal="right"/>
    </xf>
    <xf numFmtId="170" fontId="0" fillId="0" borderId="4" xfId="4" applyNumberFormat="1" applyFont="1" applyBorder="1"/>
    <xf numFmtId="171" fontId="0" fillId="0" borderId="4" xfId="4" applyNumberFormat="1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5">
    <cellStyle name="Currency" xfId="1" builtinId="4"/>
    <cellStyle name="Normal" xfId="0" builtinId="0"/>
    <cellStyle name="Normal 2" xfId="2"/>
    <cellStyle name="Normal 2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6%20Custom%20IR/Models/DECISION%20Models_Board%20Approved/D_2016%20%20EDR%20model_Nov%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Rates"/>
      <sheetName val="DVAs_Mitigation_DRO"/>
      <sheetName val="DVAs_Summary  DRO"/>
      <sheetName val="TB PS and Cons"/>
      <sheetName val="Summary PS "/>
      <sheetName val="Summary Cons"/>
      <sheetName val="Depreciation Details"/>
      <sheetName val="Transformer Credit"/>
      <sheetName val="Distrib. Revenue summary"/>
      <sheetName val="Shared Services Summary"/>
      <sheetName val="Total Distrib Expenses "/>
      <sheetName val="Detailed OM&amp;A table"/>
      <sheetName val="Detailed OM&amp;A analysis "/>
      <sheetName val="FA variance analysis"/>
      <sheetName val="CAPEX "/>
      <sheetName val="OM&amp;A_Exp_Summary"/>
      <sheetName val="OM&amp;A_Variance_Analysis"/>
      <sheetName val="App.2-JA_OM&amp;A_Recoverable_Summ"/>
      <sheetName val="App.2-JB OM&amp;A_Cost Driver"/>
      <sheetName val="App.2-JC_OM&amp;A_Programs"/>
      <sheetName val="App.2-L_OM&amp;A_Cust_FTEE "/>
      <sheetName val="Capital Structure"/>
      <sheetName val="App.2-OA Capitalization"/>
      <sheetName val="App.2-OB_Debt Instruments"/>
      <sheetName val="Cost of capital"/>
      <sheetName val="WC Allowance"/>
      <sheetName val="Rate Base"/>
      <sheetName val="Net Income_existing rates"/>
      <sheetName val="Target Net Income "/>
      <sheetName val="Revenue Requirement"/>
      <sheetName val="Revenue deficiency surplus"/>
      <sheetName val="Ex F Tables"/>
      <sheetName val="Revenue Allocation "/>
      <sheetName val=" Rates - BRR"/>
      <sheetName val="Distribution Rates "/>
      <sheetName val="Fixed Charges"/>
      <sheetName val="Rate Design"/>
      <sheetName val="App. 2-PA"/>
      <sheetName val="Cost Allocation"/>
      <sheetName val="Cost Allocation App 2-P "/>
      <sheetName val="Validation"/>
      <sheetName val="Transformer Allowance"/>
      <sheetName val="LV Allocation "/>
      <sheetName val="Rates - LV"/>
      <sheetName val="IRM Lag"/>
      <sheetName val="Extraordinary Items"/>
      <sheetName val="Proposed Rates"/>
      <sheetName val="Misc tables Rates"/>
      <sheetName val="Tariff 2016_new"/>
      <sheetName val="Rate Schedule 2016_DRO"/>
      <sheetName val="Tariff 2017_new"/>
      <sheetName val="Rate Schedule 2017_DRO"/>
      <sheetName val="Assets Input to CA"/>
      <sheetName val="Groups"/>
      <sheetName val="Rate Schedule 2018"/>
      <sheetName val="Rate Schedule 2019"/>
      <sheetName val="Rate Schedule 2020"/>
      <sheetName val="TB Utility"/>
      <sheetName val="Summary  Utility"/>
      <sheetName val="PS Bill Impacts"/>
      <sheetName val="DVAs_Summary"/>
      <sheetName val="DVAs_Mitigation"/>
      <sheetName val="Rate Schedule 2016"/>
      <sheetName val="Rate Schedule 2017"/>
      <sheetName val="Rate Mitigation"/>
      <sheetName val="Revenue Decoupling"/>
      <sheetName val="Rate Design_Transition"/>
      <sheetName val="Compatibility Report (1)"/>
    </sheetNames>
    <sheetDataSet>
      <sheetData sheetId="0" refreshError="1"/>
      <sheetData sheetId="1">
        <row r="6">
          <cell r="C6">
            <v>2016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abSelected="1" workbookViewId="0">
      <selection activeCell="J13" sqref="J13"/>
    </sheetView>
  </sheetViews>
  <sheetFormatPr defaultRowHeight="15" x14ac:dyDescent="0.25"/>
  <cols>
    <col min="1" max="1" width="2.28515625" customWidth="1"/>
    <col min="2" max="2" width="3.5703125" customWidth="1"/>
    <col min="3" max="3" width="36.85546875" customWidth="1"/>
    <col min="4" max="5" width="13.85546875" bestFit="1" customWidth="1"/>
    <col min="6" max="6" width="13.7109375" bestFit="1" customWidth="1"/>
    <col min="7" max="7" width="6.140625" customWidth="1"/>
    <col min="8" max="8" width="6" customWidth="1"/>
  </cols>
  <sheetData>
    <row r="1" spans="1:7" x14ac:dyDescent="0.25">
      <c r="A1" s="1" t="s">
        <v>6</v>
      </c>
    </row>
    <row r="2" spans="1:7" x14ac:dyDescent="0.25">
      <c r="A2" s="1" t="s">
        <v>17</v>
      </c>
    </row>
    <row r="3" spans="1:7" x14ac:dyDescent="0.25">
      <c r="C3" s="1"/>
    </row>
    <row r="4" spans="1:7" ht="30" x14ac:dyDescent="0.25">
      <c r="B4" s="36" t="s">
        <v>23</v>
      </c>
      <c r="C4" s="37"/>
      <c r="D4" s="5" t="s">
        <v>18</v>
      </c>
      <c r="E4" s="5" t="s">
        <v>8</v>
      </c>
      <c r="F4" s="5" t="s">
        <v>5</v>
      </c>
      <c r="G4" s="6" t="s">
        <v>11</v>
      </c>
    </row>
    <row r="5" spans="1:7" x14ac:dyDescent="0.25">
      <c r="B5" s="38" t="s">
        <v>24</v>
      </c>
      <c r="C5" s="39"/>
      <c r="D5" s="14">
        <v>32290936</v>
      </c>
      <c r="E5" s="3">
        <v>37499742</v>
      </c>
      <c r="F5" s="3">
        <f>+D5-E5</f>
        <v>-5208806</v>
      </c>
      <c r="G5" s="10" t="s">
        <v>12</v>
      </c>
    </row>
    <row r="6" spans="1:7" x14ac:dyDescent="0.25">
      <c r="B6" s="38" t="s">
        <v>25</v>
      </c>
      <c r="C6" s="39"/>
      <c r="D6" s="14">
        <f>+D48</f>
        <v>869011.70872320002</v>
      </c>
      <c r="E6" s="3">
        <f>+E48</f>
        <v>870961.74393600004</v>
      </c>
      <c r="F6" s="3">
        <f>+D6-E6</f>
        <v>-1950.0352128000231</v>
      </c>
      <c r="G6" s="10" t="s">
        <v>13</v>
      </c>
    </row>
    <row r="7" spans="1:7" x14ac:dyDescent="0.25">
      <c r="B7" s="38" t="s">
        <v>26</v>
      </c>
      <c r="C7" s="39"/>
      <c r="D7" s="14">
        <f>+D54</f>
        <v>22297698.658574615</v>
      </c>
      <c r="E7" s="3">
        <f>+E54</f>
        <v>22347734.000000022</v>
      </c>
      <c r="F7" s="3">
        <f>+D7-E7</f>
        <v>-50035.341425407678</v>
      </c>
      <c r="G7" s="10" t="s">
        <v>13</v>
      </c>
    </row>
    <row r="8" spans="1:7" x14ac:dyDescent="0.25">
      <c r="B8" s="38" t="s">
        <v>27</v>
      </c>
      <c r="C8" s="39"/>
      <c r="D8" s="14">
        <f>+D39</f>
        <v>94223535</v>
      </c>
      <c r="E8" s="3">
        <v>96216191</v>
      </c>
      <c r="F8" s="3">
        <f>+D8-E8</f>
        <v>-1992656</v>
      </c>
      <c r="G8" s="10" t="s">
        <v>45</v>
      </c>
    </row>
    <row r="9" spans="1:7" x14ac:dyDescent="0.25">
      <c r="B9" s="38" t="s">
        <v>28</v>
      </c>
      <c r="C9" s="39"/>
      <c r="D9" s="14">
        <v>45927629</v>
      </c>
      <c r="E9" s="3">
        <v>46073722</v>
      </c>
      <c r="F9" s="3">
        <f t="shared" ref="F9:F13" si="0">+D9-E9</f>
        <v>-146093</v>
      </c>
      <c r="G9" s="10" t="s">
        <v>48</v>
      </c>
    </row>
    <row r="10" spans="1:7" x14ac:dyDescent="0.25">
      <c r="B10" s="38" t="s">
        <v>0</v>
      </c>
      <c r="C10" s="39"/>
      <c r="D10" s="3">
        <v>1300000</v>
      </c>
      <c r="E10" s="3">
        <v>1300000</v>
      </c>
      <c r="F10" s="3">
        <f t="shared" si="0"/>
        <v>0</v>
      </c>
      <c r="G10" s="10"/>
    </row>
    <row r="11" spans="1:7" x14ac:dyDescent="0.25">
      <c r="B11" s="38" t="s">
        <v>29</v>
      </c>
      <c r="C11" s="39"/>
      <c r="D11" s="14">
        <f>+D66</f>
        <v>-6563568.1020408161</v>
      </c>
      <c r="E11" s="3">
        <v>-4694260</v>
      </c>
      <c r="F11" s="3">
        <f t="shared" si="0"/>
        <v>-1869308.1020408161</v>
      </c>
      <c r="G11" s="10" t="s">
        <v>49</v>
      </c>
    </row>
    <row r="12" spans="1:7" x14ac:dyDescent="0.25">
      <c r="B12" s="36" t="s">
        <v>30</v>
      </c>
      <c r="C12" s="37"/>
      <c r="D12" s="4">
        <f>SUM(D5:D11)</f>
        <v>190345242.265257</v>
      </c>
      <c r="E12" s="4">
        <f>SUM(E5:E11)</f>
        <v>199614090.74393603</v>
      </c>
      <c r="F12" s="4">
        <f>SUM(F5:F11)</f>
        <v>-9268848.4786790237</v>
      </c>
      <c r="G12" s="10"/>
    </row>
    <row r="13" spans="1:7" x14ac:dyDescent="0.25">
      <c r="B13" s="38" t="s">
        <v>3</v>
      </c>
      <c r="C13" s="39"/>
      <c r="D13" s="3">
        <v>12590603</v>
      </c>
      <c r="E13" s="3">
        <v>12590603</v>
      </c>
      <c r="F13" s="3">
        <f t="shared" si="0"/>
        <v>0</v>
      </c>
      <c r="G13" s="10"/>
    </row>
    <row r="14" spans="1:7" x14ac:dyDescent="0.25">
      <c r="B14" s="40" t="s">
        <v>31</v>
      </c>
      <c r="C14" s="40"/>
      <c r="D14" s="15">
        <f>+D12-D13</f>
        <v>177754639.265257</v>
      </c>
      <c r="E14" s="15">
        <f t="shared" ref="E14:F14" si="1">+E12-E13</f>
        <v>187023487.74393603</v>
      </c>
      <c r="F14" s="15">
        <f t="shared" si="1"/>
        <v>-9268848.4786790237</v>
      </c>
      <c r="G14" s="11"/>
    </row>
    <row r="15" spans="1:7" ht="18.75" customHeight="1" x14ac:dyDescent="0.25">
      <c r="B15" s="40" t="s">
        <v>7</v>
      </c>
      <c r="C15" s="42"/>
      <c r="D15" s="42"/>
      <c r="E15" s="42"/>
      <c r="F15" s="42"/>
      <c r="G15" s="16"/>
    </row>
    <row r="16" spans="1:7" x14ac:dyDescent="0.25">
      <c r="B16" s="12" t="s">
        <v>14</v>
      </c>
      <c r="C16" s="2" t="s">
        <v>32</v>
      </c>
      <c r="D16" s="2"/>
      <c r="E16" s="2"/>
      <c r="F16" s="2"/>
      <c r="G16" s="2"/>
    </row>
    <row r="17" spans="2:7" x14ac:dyDescent="0.25">
      <c r="B17" s="11" t="s">
        <v>16</v>
      </c>
      <c r="C17" s="2" t="s">
        <v>33</v>
      </c>
      <c r="D17" s="2"/>
      <c r="E17" s="2"/>
      <c r="F17" s="2"/>
      <c r="G17" s="2"/>
    </row>
    <row r="18" spans="2:7" x14ac:dyDescent="0.25">
      <c r="B18" s="11"/>
      <c r="C18" s="38" t="s">
        <v>53</v>
      </c>
      <c r="D18" s="41"/>
      <c r="E18" s="41"/>
      <c r="F18" s="41"/>
      <c r="G18" s="39"/>
    </row>
    <row r="19" spans="2:7" x14ac:dyDescent="0.25">
      <c r="B19" s="11" t="s">
        <v>46</v>
      </c>
      <c r="C19" s="18" t="s">
        <v>47</v>
      </c>
      <c r="D19" s="22"/>
      <c r="E19" s="22"/>
      <c r="F19" s="22"/>
      <c r="G19" s="19"/>
    </row>
    <row r="20" spans="2:7" x14ac:dyDescent="0.25">
      <c r="B20" s="11" t="s">
        <v>50</v>
      </c>
      <c r="C20" s="38" t="s">
        <v>52</v>
      </c>
      <c r="D20" s="41"/>
      <c r="E20" s="41"/>
      <c r="F20" s="41"/>
      <c r="G20" s="39"/>
    </row>
    <row r="21" spans="2:7" x14ac:dyDescent="0.25">
      <c r="B21" s="11" t="s">
        <v>51</v>
      </c>
      <c r="C21" s="38" t="s">
        <v>52</v>
      </c>
      <c r="D21" s="41"/>
      <c r="E21" s="41"/>
      <c r="F21" s="41"/>
      <c r="G21" s="39"/>
    </row>
    <row r="22" spans="2:7" x14ac:dyDescent="0.25">
      <c r="B22" s="25"/>
      <c r="C22" s="26"/>
      <c r="D22" s="26"/>
      <c r="E22" s="26"/>
      <c r="F22" s="26"/>
      <c r="G22" s="26"/>
    </row>
    <row r="23" spans="2:7" x14ac:dyDescent="0.25">
      <c r="B23" s="25"/>
      <c r="C23" s="17" t="s">
        <v>66</v>
      </c>
      <c r="D23" s="7">
        <f>+D35*0.4</f>
        <v>402320235.51999998</v>
      </c>
      <c r="E23" s="7">
        <f>+E35*0.4</f>
        <v>403223029.60000002</v>
      </c>
      <c r="F23" s="28"/>
      <c r="G23" s="26"/>
    </row>
    <row r="24" spans="2:7" x14ac:dyDescent="0.25">
      <c r="C24" s="17" t="s">
        <v>24</v>
      </c>
      <c r="D24" s="7">
        <f>+D5</f>
        <v>32290936</v>
      </c>
      <c r="E24" s="7">
        <f>+E5</f>
        <v>37499742</v>
      </c>
      <c r="F24" s="28"/>
      <c r="G24" s="26"/>
    </row>
    <row r="25" spans="2:7" x14ac:dyDescent="0.25">
      <c r="B25" s="25"/>
      <c r="C25" s="17" t="s">
        <v>65</v>
      </c>
      <c r="D25" s="33">
        <f>+D24/D23</f>
        <v>8.0261774450056875E-2</v>
      </c>
      <c r="E25" s="32">
        <f>+E24/E23</f>
        <v>9.3000000613060213E-2</v>
      </c>
      <c r="F25" s="26"/>
      <c r="G25" s="26"/>
    </row>
    <row r="26" spans="2:7" x14ac:dyDescent="0.25">
      <c r="B26" s="25"/>
      <c r="C26" s="26"/>
      <c r="D26" s="26"/>
      <c r="E26" s="26"/>
      <c r="F26" s="26"/>
      <c r="G26" s="26"/>
    </row>
    <row r="27" spans="2:7" x14ac:dyDescent="0.25">
      <c r="C27" s="29" t="s">
        <v>64</v>
      </c>
      <c r="D27" s="17"/>
      <c r="E27" s="26"/>
      <c r="F27" s="26"/>
      <c r="G27" s="26"/>
    </row>
    <row r="28" spans="2:7" x14ac:dyDescent="0.25">
      <c r="C28" s="30" t="s">
        <v>2</v>
      </c>
      <c r="D28" s="7">
        <v>174611630</v>
      </c>
      <c r="E28" s="26"/>
      <c r="F28" s="26"/>
      <c r="G28" s="26"/>
    </row>
    <row r="29" spans="2:7" x14ac:dyDescent="0.25">
      <c r="C29" s="30" t="s">
        <v>1</v>
      </c>
      <c r="D29" s="7">
        <f>+D28*0.018</f>
        <v>3143009.34</v>
      </c>
      <c r="E29" s="26"/>
      <c r="F29" s="26"/>
      <c r="G29" s="26"/>
    </row>
    <row r="30" spans="2:7" x14ac:dyDescent="0.25">
      <c r="C30" s="29" t="s">
        <v>64</v>
      </c>
      <c r="D30" s="31">
        <f>SUM(D28:D29)</f>
        <v>177754639.34</v>
      </c>
      <c r="E30" s="26"/>
      <c r="F30" s="27">
        <f>+D30-D14</f>
        <v>7.4743002653121948E-2</v>
      </c>
      <c r="G30" s="26"/>
    </row>
    <row r="31" spans="2:7" x14ac:dyDescent="0.25">
      <c r="C31" s="1"/>
    </row>
    <row r="32" spans="2:7" ht="30" x14ac:dyDescent="0.25">
      <c r="B32" s="36" t="s">
        <v>10</v>
      </c>
      <c r="C32" s="37"/>
      <c r="D32" s="5" t="s">
        <v>18</v>
      </c>
      <c r="E32" s="5" t="s">
        <v>8</v>
      </c>
      <c r="F32" s="5" t="s">
        <v>5</v>
      </c>
      <c r="G32" s="6" t="s">
        <v>11</v>
      </c>
    </row>
    <row r="33" spans="2:7" x14ac:dyDescent="0.25">
      <c r="B33" s="38" t="s">
        <v>9</v>
      </c>
      <c r="C33" s="39"/>
      <c r="D33" s="14">
        <f>+E33-2065236</f>
        <v>919796530</v>
      </c>
      <c r="E33" s="3">
        <v>921861766</v>
      </c>
      <c r="F33" s="3">
        <f>+D33-E33</f>
        <v>-2065236</v>
      </c>
      <c r="G33" s="10" t="s">
        <v>12</v>
      </c>
    </row>
    <row r="34" spans="2:7" x14ac:dyDescent="0.25">
      <c r="B34" s="38" t="s">
        <v>19</v>
      </c>
      <c r="C34" s="39"/>
      <c r="D34" s="14">
        <f>+E34+F42</f>
        <v>86004058.799999997</v>
      </c>
      <c r="E34" s="3">
        <v>86195808</v>
      </c>
      <c r="F34" s="3">
        <f>+D34-E34</f>
        <v>-191749.20000000298</v>
      </c>
      <c r="G34" s="11" t="s">
        <v>13</v>
      </c>
    </row>
    <row r="35" spans="2:7" x14ac:dyDescent="0.25">
      <c r="B35" s="40" t="s">
        <v>10</v>
      </c>
      <c r="C35" s="40"/>
      <c r="D35" s="15">
        <f>SUM(D33:D34)</f>
        <v>1005800588.8</v>
      </c>
      <c r="E35" s="4">
        <f>SUM(E33:E34)</f>
        <v>1008057574</v>
      </c>
      <c r="F35" s="4">
        <f>SUM(F33:F34)</f>
        <v>-2256985.200000003</v>
      </c>
      <c r="G35" s="11"/>
    </row>
    <row r="36" spans="2:7" x14ac:dyDescent="0.25">
      <c r="B36" s="40" t="s">
        <v>7</v>
      </c>
      <c r="C36" s="40"/>
      <c r="D36" s="40"/>
      <c r="E36" s="40"/>
      <c r="F36" s="40"/>
      <c r="G36" s="16"/>
    </row>
    <row r="37" spans="2:7" x14ac:dyDescent="0.25">
      <c r="B37" s="12" t="s">
        <v>14</v>
      </c>
      <c r="C37" s="13" t="s">
        <v>15</v>
      </c>
      <c r="D37" s="13"/>
      <c r="E37" s="13"/>
      <c r="F37" s="13"/>
    </row>
    <row r="38" spans="2:7" x14ac:dyDescent="0.25">
      <c r="B38" s="11" t="s">
        <v>16</v>
      </c>
      <c r="C38" s="2" t="s">
        <v>22</v>
      </c>
      <c r="D38" s="2"/>
      <c r="E38" s="2"/>
      <c r="F38" s="2"/>
    </row>
    <row r="39" spans="2:7" x14ac:dyDescent="0.25">
      <c r="B39" s="11"/>
      <c r="C39" s="2" t="s">
        <v>4</v>
      </c>
      <c r="D39" s="3">
        <f>92557500*1.018</f>
        <v>94223535</v>
      </c>
      <c r="E39" s="2"/>
      <c r="F39" s="2"/>
    </row>
    <row r="40" spans="2:7" x14ac:dyDescent="0.25">
      <c r="B40" s="11"/>
      <c r="C40" s="2" t="s">
        <v>20</v>
      </c>
      <c r="D40" s="3">
        <f>+E8</f>
        <v>96216191</v>
      </c>
      <c r="E40" s="2"/>
      <c r="F40" s="2"/>
    </row>
    <row r="41" spans="2:7" x14ac:dyDescent="0.25">
      <c r="B41" s="11"/>
      <c r="C41" s="2" t="s">
        <v>67</v>
      </c>
      <c r="D41" s="3">
        <v>-564000</v>
      </c>
      <c r="E41" s="2"/>
      <c r="F41" s="2"/>
    </row>
    <row r="42" spans="2:7" x14ac:dyDescent="0.25">
      <c r="B42" s="11"/>
      <c r="C42" s="2" t="s">
        <v>21</v>
      </c>
      <c r="D42" s="3">
        <f>+D39-D40+D41</f>
        <v>-2556656</v>
      </c>
      <c r="E42" s="8">
        <v>7.4999999999999997E-2</v>
      </c>
      <c r="F42" s="3">
        <f>+D42*E42</f>
        <v>-191749.19999999998</v>
      </c>
    </row>
    <row r="43" spans="2:7" x14ac:dyDescent="0.25">
      <c r="B43" s="9"/>
    </row>
    <row r="44" spans="2:7" ht="30" x14ac:dyDescent="0.25">
      <c r="B44" s="36" t="s">
        <v>34</v>
      </c>
      <c r="C44" s="37"/>
      <c r="D44" s="5" t="s">
        <v>18</v>
      </c>
      <c r="E44" s="5" t="s">
        <v>8</v>
      </c>
      <c r="F44" s="5" t="s">
        <v>5</v>
      </c>
      <c r="G44" s="6" t="s">
        <v>11</v>
      </c>
    </row>
    <row r="45" spans="2:7" x14ac:dyDescent="0.25">
      <c r="B45" s="38" t="s">
        <v>36</v>
      </c>
      <c r="C45" s="39"/>
      <c r="D45" s="14">
        <f>+D35</f>
        <v>1005800588.8</v>
      </c>
      <c r="E45" s="14">
        <f>+E35</f>
        <v>1008057574</v>
      </c>
      <c r="F45" s="3">
        <f>+D45-E45</f>
        <v>-2256985.2000000477</v>
      </c>
      <c r="G45" s="10"/>
    </row>
    <row r="46" spans="2:7" x14ac:dyDescent="0.25">
      <c r="B46" s="38" t="s">
        <v>37</v>
      </c>
      <c r="C46" s="39"/>
      <c r="D46" s="14">
        <f>+D45*$G$46</f>
        <v>40232023.552000001</v>
      </c>
      <c r="E46" s="14">
        <f>+E45*$G$46</f>
        <v>40322302.960000001</v>
      </c>
      <c r="F46" s="3">
        <f>+D46-E46</f>
        <v>-90279.407999999821</v>
      </c>
      <c r="G46" s="10" t="s">
        <v>40</v>
      </c>
    </row>
    <row r="47" spans="2:7" x14ac:dyDescent="0.25">
      <c r="B47" s="38" t="s">
        <v>39</v>
      </c>
      <c r="C47" s="39"/>
      <c r="D47" s="20">
        <v>2.1600000000000001E-2</v>
      </c>
      <c r="E47" s="34">
        <v>2.1600000000000001E-2</v>
      </c>
      <c r="F47" s="3"/>
      <c r="G47" s="11"/>
    </row>
    <row r="48" spans="2:7" x14ac:dyDescent="0.25">
      <c r="B48" s="38" t="s">
        <v>38</v>
      </c>
      <c r="C48" s="39"/>
      <c r="D48" s="21">
        <f>+D46*D47</f>
        <v>869011.70872320002</v>
      </c>
      <c r="E48" s="15">
        <f>+E46*E47</f>
        <v>870961.74393600004</v>
      </c>
      <c r="F48" s="4">
        <f>+D48-E48</f>
        <v>-1950.0352128000231</v>
      </c>
      <c r="G48" s="11"/>
    </row>
    <row r="50" spans="2:7" ht="30" x14ac:dyDescent="0.25">
      <c r="B50" s="36" t="s">
        <v>35</v>
      </c>
      <c r="C50" s="37"/>
      <c r="D50" s="5" t="s">
        <v>18</v>
      </c>
      <c r="E50" s="5" t="s">
        <v>8</v>
      </c>
      <c r="F50" s="5" t="s">
        <v>5</v>
      </c>
      <c r="G50" s="6" t="s">
        <v>11</v>
      </c>
    </row>
    <row r="51" spans="2:7" x14ac:dyDescent="0.25">
      <c r="B51" s="38" t="s">
        <v>36</v>
      </c>
      <c r="C51" s="39"/>
      <c r="D51" s="14">
        <f>+D35</f>
        <v>1005800588.8</v>
      </c>
      <c r="E51" s="14">
        <f>+E35</f>
        <v>1008057574</v>
      </c>
      <c r="F51" s="3">
        <f>+D51-E51</f>
        <v>-2256985.2000000477</v>
      </c>
      <c r="G51" s="10"/>
    </row>
    <row r="52" spans="2:7" x14ac:dyDescent="0.25">
      <c r="B52" s="38" t="s">
        <v>42</v>
      </c>
      <c r="C52" s="39"/>
      <c r="D52" s="14">
        <f>+D51*$G$52</f>
        <v>563248329.72800004</v>
      </c>
      <c r="E52" s="14">
        <f>+E51*$G$52</f>
        <v>564512241.44000006</v>
      </c>
      <c r="F52" s="3">
        <f>+D52-E52</f>
        <v>-1263911.7120000124</v>
      </c>
      <c r="G52" s="10" t="s">
        <v>41</v>
      </c>
    </row>
    <row r="53" spans="2:7" x14ac:dyDescent="0.25">
      <c r="B53" s="38" t="s">
        <v>43</v>
      </c>
      <c r="C53" s="39"/>
      <c r="D53" s="34">
        <v>3.9587687138535263E-2</v>
      </c>
      <c r="E53" s="35">
        <v>3.9587687138535298E-2</v>
      </c>
      <c r="F53" s="3"/>
      <c r="G53" s="11"/>
    </row>
    <row r="54" spans="2:7" x14ac:dyDescent="0.25">
      <c r="B54" s="36" t="s">
        <v>44</v>
      </c>
      <c r="C54" s="37"/>
      <c r="D54" s="15">
        <f>+D52*D53</f>
        <v>22297698.658574615</v>
      </c>
      <c r="E54" s="15">
        <f>+E52*E53</f>
        <v>22347734.000000022</v>
      </c>
      <c r="F54" s="4">
        <f>+D54-E54</f>
        <v>-50035.341425407678</v>
      </c>
      <c r="G54" s="11"/>
    </row>
    <row r="56" spans="2:7" ht="30" x14ac:dyDescent="0.25">
      <c r="B56" s="36" t="s">
        <v>29</v>
      </c>
      <c r="C56" s="37"/>
      <c r="D56" s="5" t="s">
        <v>18</v>
      </c>
      <c r="E56" s="5" t="s">
        <v>8</v>
      </c>
      <c r="F56" s="5" t="s">
        <v>5</v>
      </c>
      <c r="G56" s="6" t="s">
        <v>11</v>
      </c>
    </row>
    <row r="57" spans="2:7" x14ac:dyDescent="0.25">
      <c r="B57" s="38" t="s">
        <v>54</v>
      </c>
      <c r="C57" s="39"/>
      <c r="D57" s="14">
        <f>+D5</f>
        <v>32290936</v>
      </c>
      <c r="E57" s="14">
        <f>+E5</f>
        <v>37499742</v>
      </c>
      <c r="F57" s="3">
        <f>+D57-E57</f>
        <v>-5208806</v>
      </c>
      <c r="G57" s="10"/>
    </row>
    <row r="58" spans="2:7" x14ac:dyDescent="0.25">
      <c r="B58" s="38" t="s">
        <v>55</v>
      </c>
      <c r="C58" s="39"/>
      <c r="D58" s="14">
        <v>-46287243</v>
      </c>
      <c r="E58" s="14">
        <v>-46287243</v>
      </c>
      <c r="F58" s="3">
        <f t="shared" ref="F58:F66" si="2">+D58-E58</f>
        <v>0</v>
      </c>
      <c r="G58" s="10"/>
    </row>
    <row r="59" spans="2:7" x14ac:dyDescent="0.25">
      <c r="B59" s="38" t="s">
        <v>56</v>
      </c>
      <c r="C59" s="39"/>
      <c r="D59" s="14">
        <v>-146093</v>
      </c>
      <c r="E59" s="14"/>
      <c r="F59" s="3">
        <f t="shared" si="2"/>
        <v>-146093</v>
      </c>
      <c r="G59" s="10"/>
    </row>
    <row r="60" spans="2:7" x14ac:dyDescent="0.25">
      <c r="B60" s="38" t="s">
        <v>57</v>
      </c>
      <c r="C60" s="39"/>
      <c r="D60" s="23">
        <v>170213</v>
      </c>
      <c r="E60" s="23"/>
      <c r="F60" s="3">
        <f t="shared" si="2"/>
        <v>170213</v>
      </c>
      <c r="G60" s="11"/>
    </row>
    <row r="61" spans="2:7" x14ac:dyDescent="0.25">
      <c r="B61" s="38" t="s">
        <v>58</v>
      </c>
      <c r="C61" s="39"/>
      <c r="D61" s="23">
        <f>SUM(D57:D60)</f>
        <v>-13972187</v>
      </c>
      <c r="E61" s="23">
        <f>SUM(E57:E60)</f>
        <v>-8787501</v>
      </c>
      <c r="F61" s="3">
        <f t="shared" si="2"/>
        <v>-5184686</v>
      </c>
      <c r="G61" s="11"/>
    </row>
    <row r="62" spans="2:7" x14ac:dyDescent="0.25">
      <c r="B62" s="38" t="s">
        <v>59</v>
      </c>
      <c r="C62" s="39"/>
      <c r="D62" s="20">
        <v>0.26500000000000001</v>
      </c>
      <c r="E62" s="20">
        <v>0.26500000000000001</v>
      </c>
      <c r="F62" s="3"/>
      <c r="G62" s="11"/>
    </row>
    <row r="63" spans="2:7" x14ac:dyDescent="0.25">
      <c r="B63" s="36" t="s">
        <v>61</v>
      </c>
      <c r="C63" s="37"/>
      <c r="D63" s="23">
        <f>+D61*D62</f>
        <v>-3702629.5550000002</v>
      </c>
      <c r="E63" s="23">
        <f>+E61*E62</f>
        <v>-2328687.7650000001</v>
      </c>
      <c r="F63" s="3">
        <f t="shared" si="2"/>
        <v>-1373941.79</v>
      </c>
      <c r="G63" s="11"/>
    </row>
    <row r="64" spans="2:7" x14ac:dyDescent="0.25">
      <c r="B64" s="36" t="s">
        <v>60</v>
      </c>
      <c r="C64" s="37"/>
      <c r="D64" s="24">
        <v>-1121593</v>
      </c>
      <c r="E64" s="24">
        <v>-1121593</v>
      </c>
      <c r="F64" s="3">
        <f t="shared" si="2"/>
        <v>0</v>
      </c>
      <c r="G64" s="11"/>
    </row>
    <row r="65" spans="2:7" x14ac:dyDescent="0.25">
      <c r="B65" s="36" t="s">
        <v>62</v>
      </c>
      <c r="C65" s="37"/>
      <c r="D65" s="24">
        <f>SUM(D63:D64)</f>
        <v>-4824222.5549999997</v>
      </c>
      <c r="E65" s="24">
        <f>SUM(E63:E64)</f>
        <v>-3450280.7650000001</v>
      </c>
      <c r="F65" s="3">
        <f t="shared" si="2"/>
        <v>-1373941.7899999996</v>
      </c>
      <c r="G65" s="11"/>
    </row>
    <row r="66" spans="2:7" x14ac:dyDescent="0.25">
      <c r="B66" s="36" t="s">
        <v>63</v>
      </c>
      <c r="C66" s="37"/>
      <c r="D66" s="24">
        <f>+D65/(1-D62)</f>
        <v>-6563568.1020408161</v>
      </c>
      <c r="E66" s="24">
        <f>+E65/(1-E62)</f>
        <v>-4694259.5442176871</v>
      </c>
      <c r="F66" s="3">
        <f t="shared" si="2"/>
        <v>-1869308.557823129</v>
      </c>
      <c r="G66" s="11"/>
    </row>
  </sheetData>
  <mergeCells count="41">
    <mergeCell ref="B4:C4"/>
    <mergeCell ref="B5:C5"/>
    <mergeCell ref="B7:C7"/>
    <mergeCell ref="B13:C13"/>
    <mergeCell ref="B34:C34"/>
    <mergeCell ref="B8:C8"/>
    <mergeCell ref="B9:C9"/>
    <mergeCell ref="B10:C10"/>
    <mergeCell ref="B11:C11"/>
    <mergeCell ref="B6:C6"/>
    <mergeCell ref="B12:C12"/>
    <mergeCell ref="C18:G18"/>
    <mergeCell ref="B14:C14"/>
    <mergeCell ref="B15:F15"/>
    <mergeCell ref="C20:G20"/>
    <mergeCell ref="C21:G21"/>
    <mergeCell ref="B44:C44"/>
    <mergeCell ref="B45:C45"/>
    <mergeCell ref="B32:C32"/>
    <mergeCell ref="B33:C33"/>
    <mergeCell ref="B36:F36"/>
    <mergeCell ref="B35:C35"/>
    <mergeCell ref="B46:C46"/>
    <mergeCell ref="B51:C51"/>
    <mergeCell ref="B52:C52"/>
    <mergeCell ref="B56:C56"/>
    <mergeCell ref="B57:C57"/>
    <mergeCell ref="B48:C48"/>
    <mergeCell ref="B50:C50"/>
    <mergeCell ref="B53:C53"/>
    <mergeCell ref="B54:C54"/>
    <mergeCell ref="B47:C47"/>
    <mergeCell ref="B63:C63"/>
    <mergeCell ref="B64:C64"/>
    <mergeCell ref="B65:C65"/>
    <mergeCell ref="B66:C66"/>
    <mergeCell ref="B58:C58"/>
    <mergeCell ref="B60:C60"/>
    <mergeCell ref="B59:C59"/>
    <mergeCell ref="B61:C61"/>
    <mergeCell ref="B62:C62"/>
  </mergeCells>
  <pageMargins left="0.31496062992125984" right="0.31496062992125984" top="0.15748031496062992" bottom="0.15748031496062992" header="0.11811023622047245" footer="0.11811023622047245"/>
  <pageSetup scale="73" orientation="portrait" r:id="rId1"/>
  <headerFooter>
    <oddFooter>&amp;L&amp;"Arial Narrow,Regular"&amp;9&amp;Z&amp;F&amp;R&amp;A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 RRWF Calc</vt:lpstr>
      <vt:lpstr>'2016 RRWF Calc'!Print_Area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Barrett</dc:creator>
  <cp:lastModifiedBy>Tom Barrett</cp:lastModifiedBy>
  <cp:lastPrinted>2016-09-12T19:55:13Z</cp:lastPrinted>
  <dcterms:created xsi:type="dcterms:W3CDTF">2016-09-01T15:03:44Z</dcterms:created>
  <dcterms:modified xsi:type="dcterms:W3CDTF">2016-09-12T20:45:21Z</dcterms:modified>
</cp:coreProperties>
</file>