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640" activeTab="2"/>
  </bookViews>
  <sheets>
    <sheet name="DVA Model" sheetId="1" r:id="rId1"/>
    <sheet name="1536" sheetId="2" r:id="rId2"/>
    <sheet name="1555" sheetId="3" r:id="rId3"/>
  </sheets>
  <definedNames>
    <definedName name="_xlnm.Print_Area" localSheetId="1">'1536'!$A$1:$F$31</definedName>
    <definedName name="_xlnm.Print_Area" localSheetId="2">'1555'!$A$1:$F$22</definedName>
    <definedName name="_xlnm.Print_Area" localSheetId="0">'DVA Model'!$A$1:$E$80</definedName>
  </definedNames>
  <calcPr calcId="145621"/>
</workbook>
</file>

<file path=xl/calcChain.xml><?xml version="1.0" encoding="utf-8"?>
<calcChain xmlns="http://schemas.openxmlformats.org/spreadsheetml/2006/main">
  <c r="E9" i="2" l="1"/>
  <c r="E7" i="2" l="1"/>
  <c r="E72" i="1"/>
  <c r="E61" i="1"/>
  <c r="E18" i="1"/>
  <c r="E49" i="1"/>
  <c r="E30" i="1"/>
  <c r="E6" i="1"/>
  <c r="G2" i="1"/>
  <c r="E10" i="1"/>
  <c r="E73" i="1"/>
  <c r="E62" i="1"/>
  <c r="E19" i="1"/>
  <c r="E50" i="1" l="1"/>
  <c r="E7" i="1"/>
  <c r="K7" i="1" s="1"/>
  <c r="E22" i="1"/>
  <c r="E53" i="1"/>
  <c r="E33" i="1"/>
  <c r="K10" i="1"/>
  <c r="E65" i="1"/>
  <c r="E76" i="1"/>
  <c r="K6" i="1"/>
  <c r="D13" i="2" l="1"/>
  <c r="D12" i="2"/>
  <c r="E7" i="3" l="1"/>
  <c r="H8" i="3"/>
  <c r="H7" i="3"/>
  <c r="H8" i="2"/>
  <c r="H9" i="2"/>
  <c r="H10" i="2"/>
  <c r="H11" i="2"/>
  <c r="H7" i="2"/>
  <c r="K74" i="1"/>
  <c r="K71" i="1"/>
  <c r="K70" i="1"/>
  <c r="K63" i="1"/>
  <c r="K60" i="1"/>
  <c r="K59" i="1"/>
  <c r="K47" i="1"/>
  <c r="K48" i="1"/>
  <c r="K51" i="1"/>
  <c r="K39" i="1"/>
  <c r="K30" i="1"/>
  <c r="K33" i="1"/>
  <c r="K18" i="1"/>
  <c r="K19" i="1"/>
  <c r="K22" i="1"/>
  <c r="E16" i="1"/>
  <c r="E4" i="1"/>
  <c r="K4" i="1" s="1"/>
  <c r="K16" i="1" l="1"/>
  <c r="B18" i="3"/>
  <c r="C17" i="3" s="1"/>
  <c r="D17" i="3" s="1"/>
  <c r="D8" i="3" s="1"/>
  <c r="E8" i="3" s="1"/>
  <c r="C16" i="3"/>
  <c r="C18" i="3" s="1"/>
  <c r="F9" i="3"/>
  <c r="F8" i="3"/>
  <c r="F7" i="3"/>
  <c r="C27" i="2"/>
  <c r="D27" i="2" s="1"/>
  <c r="B27" i="2"/>
  <c r="D26" i="2"/>
  <c r="D25" i="2"/>
  <c r="D24" i="2"/>
  <c r="D11" i="2" s="1"/>
  <c r="E11" i="2" s="1"/>
  <c r="D23" i="2"/>
  <c r="D10" i="2" s="1"/>
  <c r="E10" i="2" s="1"/>
  <c r="D22" i="2"/>
  <c r="D9" i="2" s="1"/>
  <c r="D21" i="2"/>
  <c r="D20" i="2"/>
  <c r="D7" i="2" s="1"/>
  <c r="C14" i="2"/>
  <c r="E13" i="2"/>
  <c r="H13" i="2" s="1"/>
  <c r="F12" i="2"/>
  <c r="E12" i="2"/>
  <c r="H12" i="2" s="1"/>
  <c r="F11" i="2"/>
  <c r="F10" i="2"/>
  <c r="F9" i="2"/>
  <c r="F8" i="2"/>
  <c r="D8" i="2"/>
  <c r="E8" i="2" s="1"/>
  <c r="F7" i="2"/>
  <c r="D16" i="3" l="1"/>
  <c r="D14" i="2"/>
  <c r="D18" i="3" l="1"/>
  <c r="D7" i="3"/>
  <c r="D10" i="3" l="1"/>
  <c r="E74" i="1" l="1"/>
  <c r="E75" i="1"/>
  <c r="K73" i="1" s="1"/>
  <c r="E71" i="1"/>
  <c r="K69" i="1" s="1"/>
  <c r="I73" i="1"/>
  <c r="E70" i="1"/>
  <c r="L68" i="1" s="1"/>
  <c r="H69" i="1"/>
  <c r="H70" i="1"/>
  <c r="I70" i="1" s="1"/>
  <c r="H71" i="1"/>
  <c r="I71" i="1" s="1"/>
  <c r="H72" i="1"/>
  <c r="H73" i="1"/>
  <c r="H74" i="1"/>
  <c r="I74" i="1" s="1"/>
  <c r="H68" i="1"/>
  <c r="E63" i="1"/>
  <c r="E64" i="1"/>
  <c r="K62" i="1" s="1"/>
  <c r="E60" i="1"/>
  <c r="K58" i="1" s="1"/>
  <c r="H58" i="1"/>
  <c r="H59" i="1"/>
  <c r="H60" i="1"/>
  <c r="H61" i="1"/>
  <c r="H62" i="1"/>
  <c r="H63" i="1"/>
  <c r="H57" i="1"/>
  <c r="E59" i="1"/>
  <c r="I47" i="1"/>
  <c r="I48" i="1"/>
  <c r="E51" i="1"/>
  <c r="E52" i="1"/>
  <c r="I51" i="1"/>
  <c r="E48" i="1"/>
  <c r="E47" i="1"/>
  <c r="E29" i="1"/>
  <c r="I30" i="1"/>
  <c r="E31" i="1"/>
  <c r="E32" i="1"/>
  <c r="I33" i="1"/>
  <c r="E28" i="1"/>
  <c r="H17" i="1"/>
  <c r="H18" i="1"/>
  <c r="H19" i="1"/>
  <c r="H20" i="1"/>
  <c r="H21" i="1"/>
  <c r="H22" i="1"/>
  <c r="H16" i="1"/>
  <c r="I16" i="1" s="1"/>
  <c r="E17" i="1"/>
  <c r="K17" i="1" s="1"/>
  <c r="E20" i="1"/>
  <c r="K20" i="1" s="1"/>
  <c r="E21" i="1"/>
  <c r="K21" i="1" s="1"/>
  <c r="D66" i="1"/>
  <c r="D77" i="1"/>
  <c r="D54" i="1"/>
  <c r="D40" i="1"/>
  <c r="D34" i="1"/>
  <c r="D23" i="1"/>
  <c r="D11" i="1"/>
  <c r="E5" i="1"/>
  <c r="I6" i="1"/>
  <c r="I7" i="1"/>
  <c r="E8" i="1"/>
  <c r="E9" i="1"/>
  <c r="I10" i="1"/>
  <c r="I4" i="1"/>
  <c r="I68" i="1" l="1"/>
  <c r="I69" i="1"/>
  <c r="I50" i="1"/>
  <c r="K50" i="1"/>
  <c r="I57" i="1"/>
  <c r="L57" i="1"/>
  <c r="I9" i="1"/>
  <c r="K9" i="1"/>
  <c r="K5" i="1"/>
  <c r="I5" i="1"/>
  <c r="I32" i="1"/>
  <c r="K32" i="1"/>
  <c r="I45" i="1"/>
  <c r="L45" i="1"/>
  <c r="I49" i="1"/>
  <c r="K49" i="1"/>
  <c r="I72" i="1"/>
  <c r="K72" i="1"/>
  <c r="I8" i="1"/>
  <c r="K8" i="1"/>
  <c r="I31" i="1"/>
  <c r="K31" i="1"/>
  <c r="I46" i="1"/>
  <c r="K46" i="1"/>
  <c r="I61" i="1"/>
  <c r="K61" i="1"/>
  <c r="I29" i="1"/>
  <c r="K29" i="1"/>
  <c r="I28" i="1"/>
  <c r="K28" i="1"/>
  <c r="I62" i="1"/>
  <c r="I58" i="1"/>
  <c r="I63" i="1"/>
  <c r="I59" i="1"/>
  <c r="I60" i="1"/>
  <c r="I19" i="1"/>
  <c r="I22" i="1"/>
  <c r="I18" i="1"/>
  <c r="I21" i="1"/>
  <c r="I17" i="1"/>
  <c r="I20" i="1"/>
</calcChain>
</file>

<file path=xl/comments1.xml><?xml version="1.0" encoding="utf-8"?>
<comments xmlns="http://schemas.openxmlformats.org/spreadsheetml/2006/main">
  <authors>
    <author>Vitalika Quenville</author>
  </authors>
  <commentList>
    <comment ref="E10" authorId="0">
      <text>
        <r>
          <rPr>
            <b/>
            <sz val="8"/>
            <color indexed="81"/>
            <rFont val="Tahoma"/>
            <charset val="1"/>
          </rPr>
          <t>Vitalika Quenville:</t>
        </r>
        <r>
          <rPr>
            <sz val="8"/>
            <color indexed="81"/>
            <rFont val="Tahoma"/>
            <charset val="1"/>
          </rPr>
          <t xml:space="preserve">
over 3 months of 2016 only</t>
        </r>
      </text>
    </comment>
  </commentList>
</comments>
</file>

<file path=xl/sharedStrings.xml><?xml version="1.0" encoding="utf-8"?>
<sst xmlns="http://schemas.openxmlformats.org/spreadsheetml/2006/main" count="224" uniqueCount="61">
  <si>
    <t>Rate Rider Calculation for Deferral / Variance Accounts Balances (excluding Global Adj.)</t>
  </si>
  <si>
    <t>1550, 1551, 1584, 1586, 1595</t>
  </si>
  <si>
    <t>Units</t>
  </si>
  <si>
    <t>kW / kWh / # of Customers</t>
  </si>
  <si>
    <t>kWh</t>
  </si>
  <si>
    <t>Total</t>
  </si>
  <si>
    <t>Rate Rider Calculation for Deferral / Variance Accounts Balances (excluding Global Adj.) - NON-WMP</t>
  </si>
  <si>
    <t>1580 and 1588</t>
  </si>
  <si>
    <t>kW</t>
  </si>
  <si>
    <t>Rate Rider Calculation for RSVA - Power - Global Adjustment</t>
  </si>
  <si>
    <t>Balance of Account 1589 Allocated to Non-WMPs</t>
  </si>
  <si>
    <t>Balance of Account 1589 allocated to Class A Non-WMP Customers</t>
  </si>
  <si>
    <t>Rate Rider Calculation for Group 2 Accounts</t>
  </si>
  <si>
    <t># of Customers</t>
  </si>
  <si>
    <t>Rate Rider Calculation for Accounts 1575 and 1576</t>
  </si>
  <si>
    <t xml:space="preserve"> Please indicate the Rate Rider Recovery Period (in years)</t>
  </si>
  <si>
    <t>Rate Rider Calculation for Accounts 1568</t>
  </si>
  <si>
    <t>RESIDENTIAL</t>
  </si>
  <si>
    <t>GENERAL SERVICE LESS THAN 50 KW</t>
  </si>
  <si>
    <t>GENERAL SERVICE 50 TO 4,999 KW</t>
  </si>
  <si>
    <t>LARGE USER</t>
  </si>
  <si>
    <t>UNMETERED SCATTERED LOAD</t>
  </si>
  <si>
    <t>SENTINEL LIGHTING</t>
  </si>
  <si>
    <t>STREET LIGHTING</t>
  </si>
  <si>
    <t xml:space="preserve">Rate Rider </t>
  </si>
  <si>
    <t>Allocated Balance</t>
  </si>
  <si>
    <t xml:space="preserve">Rate Class </t>
  </si>
  <si>
    <t>years</t>
  </si>
  <si>
    <t>Jan 1/17 - Dec 31/18</t>
  </si>
  <si>
    <t>Oct 1/16 - Dec 31/16</t>
  </si>
  <si>
    <t>Rate Rider Calculation for Account 1536</t>
  </si>
  <si>
    <t>Rate Rider Recovery Period  in months</t>
  </si>
  <si>
    <t>Rate Class</t>
  </si>
  <si>
    <t>Balance of Account 1536</t>
  </si>
  <si>
    <r>
      <t>Rate Rider for Account 1536</t>
    </r>
    <r>
      <rPr>
        <b/>
        <vertAlign val="superscript"/>
        <sz val="10"/>
        <rFont val="Arial"/>
        <family val="2"/>
      </rPr>
      <t>2</t>
    </r>
  </si>
  <si>
    <t>Notes:</t>
  </si>
  <si>
    <t>1)  Allocation to Classes</t>
  </si>
  <si>
    <t>2016 Kwh forecast by Class</t>
  </si>
  <si>
    <t>% by Class</t>
  </si>
  <si>
    <t>Total Claim by Class</t>
  </si>
  <si>
    <t>Total to allocate:</t>
  </si>
  <si>
    <t xml:space="preserve">2)  Billing determinant for all classes is based on "# of customers" rather than  a volumetric basis.  This provides a consistent rate rider across all classes and mitigates classes that would have a zero rate  based on volumetric determinants.   </t>
  </si>
  <si>
    <t>per connection per month</t>
  </si>
  <si>
    <t># of connections</t>
  </si>
  <si>
    <t>Rate Rider Calculation for Account 1555</t>
  </si>
  <si>
    <t>Balance of Account 1555</t>
  </si>
  <si>
    <t>Rate Rider for Account 1555</t>
  </si>
  <si>
    <t>1)  Total Claim Allocation Table by Class</t>
  </si>
  <si>
    <t>Class</t>
  </si>
  <si>
    <t>2016 forecast annual kwh</t>
  </si>
  <si>
    <t>%</t>
  </si>
  <si>
    <t>Claim</t>
  </si>
  <si>
    <t>Residential</t>
  </si>
  <si>
    <t>General Service less than 50 kw</t>
  </si>
  <si>
    <t>Totals</t>
  </si>
  <si>
    <t xml:space="preserve">2)  General Service less than 50kw uses "# of customers" as the billing determinant rather then the standard KWH.  The reason is because the volumetric kwh basis would create a rate that is zero when rounded to 4 digits.  Using the " # of customers"  produces a more appropriate non-zero rate.  </t>
  </si>
  <si>
    <t>Total to be Allocated:</t>
  </si>
  <si>
    <t>Rounded (for MODEL INPUT)</t>
  </si>
  <si>
    <t>LU &amp; Street Light - all  RRs are over 3 months of 2016 ONLY</t>
  </si>
  <si>
    <t>GS&gt;50 - all RRs are over 1-year period, starting Oct 1 2016</t>
  </si>
  <si>
    <t>Rate Rider Calculation for RSVA - Global Adjustment - Class A Non-WMP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</si>
</sst>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-* #,##0_-;\-* #,##0_-;_-* &quot;-&quot;??_-;_-@_-"/>
    <numFmt numFmtId="166" formatCode="_-&quot;$&quot;* #,##0_-;\-&quot;$&quot;* #,##0_-;_-&quot;$&quot;* &quot;-&quot;??_-;_-@_-"/>
    <numFmt numFmtId="167" formatCode="_-* #,##0.0000_-;\-* #,##0.0000_-;_-* &quot;-&quot;??_-;_-@_-"/>
    <numFmt numFmtId="168" formatCode="&quot;$&quot;#,##0;\(&quot;$&quot;#,##0\)"/>
    <numFmt numFmtId="169" formatCode="&quot;$&quot;#,##0.00;\(&quot;$&quot;#,##0.00\)"/>
    <numFmt numFmtId="170" formatCode="&quot;$&quot;#,##0.0000;\(&quot;$&quot;#,##0.0000\)"/>
    <numFmt numFmtId="171" formatCode="&quot;$&quot;#,##0.0000"/>
    <numFmt numFmtId="172" formatCode="_-* #,##0.00000_-;\-* #,##0.00000_-;_-* &quot;-&quot;??_-;_-@_-"/>
    <numFmt numFmtId="173" formatCode="_-* #,##0.00000_-;\-* #,##0.00000_-;_-* &quot;-&quot;?????_-;_-@_-"/>
    <numFmt numFmtId="174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i/>
      <sz val="8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1"/>
      <color theme="1"/>
      <name val="Arial Narrow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1"/>
      <color rgb="FFFF0000"/>
      <name val="Calibri"/>
      <family val="2"/>
      <scheme val="minor"/>
    </font>
    <font>
      <sz val="11"/>
      <color rgb="FFFF0000"/>
      <name val="Arial Narrow"/>
      <family val="2"/>
    </font>
    <font>
      <sz val="11"/>
      <name val="Calibri"/>
      <family val="2"/>
      <scheme val="minor"/>
    </font>
    <font>
      <sz val="1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gray06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</cellStyleXfs>
  <cellXfs count="100">
    <xf numFmtId="0" fontId="0" fillId="0" borderId="0" xfId="0"/>
    <xf numFmtId="0" fontId="3" fillId="0" borderId="0" xfId="0" applyFont="1" applyProtection="1"/>
    <xf numFmtId="0" fontId="0" fillId="0" borderId="0" xfId="0" applyProtection="1"/>
    <xf numFmtId="0" fontId="4" fillId="0" borderId="0" xfId="0" applyFont="1" applyProtection="1"/>
    <xf numFmtId="0" fontId="5" fillId="2" borderId="1" xfId="0" applyFont="1" applyFill="1" applyBorder="1" applyProtection="1"/>
    <xf numFmtId="0" fontId="5" fillId="3" borderId="1" xfId="0" applyFont="1" applyFill="1" applyBorder="1" applyAlignment="1" applyProtection="1">
      <alignment horizontal="center" vertical="center"/>
      <protection locked="0"/>
    </xf>
    <xf numFmtId="165" fontId="0" fillId="0" borderId="1" xfId="1" applyNumberFormat="1" applyFont="1" applyBorder="1" applyAlignment="1" applyProtection="1">
      <alignment horizontal="center" vertical="center"/>
    </xf>
    <xf numFmtId="166" fontId="0" fillId="0" borderId="1" xfId="2" applyNumberFormat="1" applyFont="1" applyBorder="1" applyProtection="1"/>
    <xf numFmtId="167" fontId="6" fillId="0" borderId="1" xfId="1" applyNumberFormat="1" applyFont="1" applyBorder="1" applyAlignment="1" applyProtection="1">
      <alignment horizontal="center" vertical="center"/>
    </xf>
    <xf numFmtId="0" fontId="6" fillId="4" borderId="1" xfId="0" applyFont="1" applyFill="1" applyBorder="1" applyProtection="1"/>
    <xf numFmtId="0" fontId="6" fillId="4" borderId="1" xfId="0" applyFont="1" applyFill="1" applyBorder="1" applyAlignment="1" applyProtection="1">
      <alignment horizontal="center" vertical="center"/>
    </xf>
    <xf numFmtId="165" fontId="6" fillId="4" borderId="1" xfId="1" applyNumberFormat="1" applyFont="1" applyFill="1" applyBorder="1" applyAlignment="1" applyProtection="1">
      <alignment horizontal="center" vertical="center"/>
    </xf>
    <xf numFmtId="166" fontId="6" fillId="4" borderId="1" xfId="2" applyNumberFormat="1" applyFont="1" applyFill="1" applyBorder="1" applyProtection="1"/>
    <xf numFmtId="0" fontId="6" fillId="3" borderId="1" xfId="4" applyFont="1" applyFill="1" applyBorder="1" applyAlignment="1" applyProtection="1">
      <alignment horizontal="center"/>
      <protection locked="0"/>
    </xf>
    <xf numFmtId="165" fontId="0" fillId="0" borderId="0" xfId="1" applyNumberFormat="1" applyFont="1"/>
    <xf numFmtId="168" fontId="0" fillId="0" borderId="0" xfId="0" applyNumberFormat="1"/>
    <xf numFmtId="170" fontId="0" fillId="0" borderId="0" xfId="0" applyNumberFormat="1"/>
    <xf numFmtId="0" fontId="0" fillId="0" borderId="1" xfId="0" applyBorder="1"/>
    <xf numFmtId="165" fontId="0" fillId="0" borderId="1" xfId="1" applyNumberFormat="1" applyFont="1" applyBorder="1"/>
    <xf numFmtId="168" fontId="0" fillId="0" borderId="1" xfId="0" applyNumberFormat="1" applyBorder="1"/>
    <xf numFmtId="170" fontId="0" fillId="0" borderId="1" xfId="0" applyNumberFormat="1" applyBorder="1"/>
    <xf numFmtId="170" fontId="0" fillId="0" borderId="0" xfId="0" applyNumberFormat="1" applyBorder="1" applyAlignment="1">
      <alignment wrapText="1"/>
    </xf>
    <xf numFmtId="170" fontId="0" fillId="0" borderId="0" xfId="0" applyNumberFormat="1" applyBorder="1"/>
    <xf numFmtId="170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165" fontId="2" fillId="0" borderId="1" xfId="1" applyNumberFormat="1" applyFont="1" applyBorder="1" applyAlignment="1">
      <alignment horizontal="center" wrapText="1"/>
    </xf>
    <xf numFmtId="168" fontId="2" fillId="0" borderId="1" xfId="0" applyNumberFormat="1" applyFont="1" applyBorder="1" applyAlignment="1">
      <alignment horizontal="center" wrapText="1"/>
    </xf>
    <xf numFmtId="170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165" fontId="2" fillId="0" borderId="0" xfId="1" applyNumberFormat="1" applyFont="1"/>
    <xf numFmtId="43" fontId="2" fillId="0" borderId="0" xfId="1" applyNumberFormat="1" applyFont="1"/>
    <xf numFmtId="170" fontId="2" fillId="0" borderId="0" xfId="0" applyNumberFormat="1" applyFont="1"/>
    <xf numFmtId="0" fontId="2" fillId="0" borderId="0" xfId="0" applyFont="1" applyAlignment="1">
      <alignment wrapText="1"/>
    </xf>
    <xf numFmtId="165" fontId="0" fillId="0" borderId="1" xfId="1" applyNumberFormat="1" applyFont="1" applyBorder="1" applyAlignment="1" applyProtection="1">
      <alignment horizontal="center"/>
    </xf>
    <xf numFmtId="166" fontId="0" fillId="0" borderId="1" xfId="2" applyNumberFormat="1" applyFont="1" applyBorder="1" applyAlignment="1" applyProtection="1"/>
    <xf numFmtId="168" fontId="0" fillId="0" borderId="1" xfId="2" applyNumberFormat="1" applyFont="1" applyBorder="1" applyAlignment="1" applyProtection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71" fontId="0" fillId="0" borderId="0" xfId="0" applyNumberFormat="1"/>
    <xf numFmtId="170" fontId="0" fillId="0" borderId="5" xfId="0" applyNumberFormat="1" applyBorder="1"/>
    <xf numFmtId="172" fontId="0" fillId="0" borderId="0" xfId="0" applyNumberFormat="1"/>
    <xf numFmtId="173" fontId="0" fillId="0" borderId="0" xfId="0" applyNumberFormat="1"/>
    <xf numFmtId="0" fontId="5" fillId="2" borderId="1" xfId="0" applyFont="1" applyFill="1" applyBorder="1" applyAlignment="1" applyProtection="1">
      <alignment wrapText="1"/>
    </xf>
    <xf numFmtId="169" fontId="6" fillId="0" borderId="1" xfId="1" applyNumberFormat="1" applyFont="1" applyBorder="1" applyAlignment="1" applyProtection="1">
      <alignment horizontal="center"/>
    </xf>
    <xf numFmtId="164" fontId="6" fillId="4" borderId="1" xfId="2" applyNumberFormat="1" applyFont="1" applyFill="1" applyBorder="1" applyProtection="1"/>
    <xf numFmtId="0" fontId="2" fillId="0" borderId="0" xfId="0" applyFont="1" applyBorder="1"/>
    <xf numFmtId="0" fontId="0" fillId="0" borderId="0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3" fontId="0" fillId="0" borderId="1" xfId="0" applyNumberFormat="1" applyBorder="1"/>
    <xf numFmtId="10" fontId="0" fillId="0" borderId="1" xfId="0" applyNumberFormat="1" applyBorder="1"/>
    <xf numFmtId="164" fontId="0" fillId="0" borderId="1" xfId="0" applyNumberFormat="1" applyBorder="1"/>
    <xf numFmtId="174" fontId="0" fillId="0" borderId="0" xfId="2" applyNumberFormat="1" applyFont="1" applyAlignment="1">
      <alignment wrapText="1"/>
    </xf>
    <xf numFmtId="0" fontId="5" fillId="3" borderId="1" xfId="0" applyFont="1" applyFill="1" applyBorder="1" applyAlignment="1" applyProtection="1">
      <alignment horizontal="center" wrapText="1"/>
      <protection locked="0"/>
    </xf>
    <xf numFmtId="0" fontId="5" fillId="3" borderId="7" xfId="0" applyFont="1" applyFill="1" applyBorder="1" applyAlignment="1" applyProtection="1">
      <alignment horizontal="center" wrapText="1"/>
      <protection locked="0"/>
    </xf>
    <xf numFmtId="0" fontId="2" fillId="0" borderId="8" xfId="0" applyFont="1" applyBorder="1"/>
    <xf numFmtId="0" fontId="2" fillId="0" borderId="9" xfId="0" applyFont="1" applyBorder="1"/>
    <xf numFmtId="0" fontId="2" fillId="0" borderId="1" xfId="0" applyFont="1" applyFill="1" applyBorder="1" applyAlignment="1">
      <alignment horizontal="center"/>
    </xf>
    <xf numFmtId="37" fontId="0" fillId="0" borderId="1" xfId="0" applyNumberFormat="1" applyBorder="1"/>
    <xf numFmtId="174" fontId="0" fillId="0" borderId="0" xfId="2" applyNumberFormat="1" applyFont="1"/>
    <xf numFmtId="44" fontId="6" fillId="0" borderId="1" xfId="2" applyFont="1" applyBorder="1" applyAlignment="1" applyProtection="1">
      <alignment horizontal="center"/>
    </xf>
    <xf numFmtId="0" fontId="8" fillId="0" borderId="0" xfId="0" applyFont="1"/>
    <xf numFmtId="170" fontId="8" fillId="0" borderId="0" xfId="0" applyNumberFormat="1" applyFont="1"/>
    <xf numFmtId="169" fontId="8" fillId="0" borderId="0" xfId="0" applyNumberFormat="1" applyFont="1"/>
    <xf numFmtId="170" fontId="8" fillId="6" borderId="0" xfId="0" applyNumberFormat="1" applyFont="1" applyFill="1"/>
    <xf numFmtId="0" fontId="11" fillId="7" borderId="0" xfId="0" applyFont="1" applyFill="1"/>
    <xf numFmtId="0" fontId="12" fillId="7" borderId="0" xfId="0" applyFont="1" applyFill="1"/>
    <xf numFmtId="0" fontId="12" fillId="7" borderId="0" xfId="0" applyFont="1" applyFill="1" applyAlignment="1">
      <alignment horizontal="right"/>
    </xf>
    <xf numFmtId="170" fontId="11" fillId="7" borderId="1" xfId="0" applyNumberFormat="1" applyFont="1" applyFill="1" applyBorder="1"/>
    <xf numFmtId="170" fontId="0" fillId="8" borderId="1" xfId="0" applyNumberFormat="1" applyFill="1" applyBorder="1"/>
    <xf numFmtId="0" fontId="0" fillId="7" borderId="0" xfId="0" applyFill="1"/>
    <xf numFmtId="0" fontId="13" fillId="8" borderId="0" xfId="0" applyFont="1" applyFill="1"/>
    <xf numFmtId="0" fontId="14" fillId="8" borderId="0" xfId="0" applyFont="1" applyFill="1"/>
    <xf numFmtId="0" fontId="14" fillId="8" borderId="0" xfId="0" applyFont="1" applyFill="1" applyAlignment="1">
      <alignment horizontal="right"/>
    </xf>
    <xf numFmtId="169" fontId="6" fillId="8" borderId="1" xfId="1" applyNumberFormat="1" applyFont="1" applyFill="1" applyBorder="1" applyAlignment="1" applyProtection="1">
      <alignment horizontal="center"/>
    </xf>
    <xf numFmtId="0" fontId="8" fillId="5" borderId="1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 applyProtection="1">
      <alignment horizontal="center"/>
    </xf>
    <xf numFmtId="0" fontId="6" fillId="0" borderId="0" xfId="4" applyFont="1" applyAlignment="1" applyProtection="1">
      <alignment vertical="top" wrapText="1"/>
    </xf>
    <xf numFmtId="0" fontId="0" fillId="0" borderId="6" xfId="0" applyBorder="1" applyAlignment="1">
      <alignment vertical="top" wrapText="1"/>
    </xf>
    <xf numFmtId="0" fontId="6" fillId="0" borderId="2" xfId="3" applyFont="1" applyBorder="1" applyAlignment="1" applyProtection="1">
      <alignment horizontal="center" wrapText="1"/>
    </xf>
    <xf numFmtId="0" fontId="6" fillId="0" borderId="3" xfId="3" applyFont="1" applyBorder="1" applyAlignment="1" applyProtection="1">
      <alignment horizontal="center"/>
    </xf>
    <xf numFmtId="0" fontId="6" fillId="2" borderId="2" xfId="3" applyFont="1" applyFill="1" applyBorder="1" applyAlignment="1" applyProtection="1">
      <alignment horizontal="center"/>
    </xf>
    <xf numFmtId="0" fontId="6" fillId="2" borderId="3" xfId="3" applyFont="1" applyFill="1" applyBorder="1" applyAlignment="1" applyProtection="1">
      <alignment horizontal="center"/>
    </xf>
    <xf numFmtId="0" fontId="6" fillId="2" borderId="2" xfId="3" applyFont="1" applyFill="1" applyBorder="1" applyAlignment="1" applyProtection="1">
      <alignment horizontal="center" vertical="center" wrapText="1"/>
    </xf>
    <xf numFmtId="0" fontId="6" fillId="2" borderId="3" xfId="3" applyFont="1" applyFill="1" applyBorder="1" applyAlignment="1" applyProtection="1">
      <alignment horizontal="center" vertical="center" wrapText="1"/>
    </xf>
    <xf numFmtId="0" fontId="6" fillId="2" borderId="1" xfId="3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/>
    </xf>
    <xf numFmtId="0" fontId="12" fillId="7" borderId="0" xfId="0" applyFont="1" applyFill="1" applyAlignment="1">
      <alignment horizontal="left"/>
    </xf>
    <xf numFmtId="0" fontId="14" fillId="8" borderId="0" xfId="0" applyFont="1" applyFill="1" applyAlignment="1">
      <alignment horizontal="left"/>
    </xf>
    <xf numFmtId="0" fontId="0" fillId="8" borderId="0" xfId="0" applyFill="1" applyAlignment="1">
      <alignment horizontal="center"/>
    </xf>
    <xf numFmtId="165" fontId="0" fillId="8" borderId="0" xfId="1" applyNumberFormat="1" applyFont="1" applyFill="1"/>
    <xf numFmtId="0" fontId="0" fillId="7" borderId="0" xfId="0" applyFill="1" applyAlignment="1">
      <alignment horizontal="center"/>
    </xf>
    <xf numFmtId="165" fontId="0" fillId="7" borderId="0" xfId="1" applyNumberFormat="1" applyFont="1" applyFill="1"/>
    <xf numFmtId="0" fontId="0" fillId="8" borderId="0" xfId="0" applyFill="1"/>
  </cellXfs>
  <cellStyles count="5">
    <cellStyle name="Comma" xfId="1" builtinId="3"/>
    <cellStyle name="Currency" xfId="2" builtinId="4"/>
    <cellStyle name="Normal" xfId="0" builtinId="0"/>
    <cellStyle name="Normal_6. Cost Allocation for Def-Var" xfId="3"/>
    <cellStyle name="Normal_Sheet7" xfId="4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33"/>
  <sheetViews>
    <sheetView view="pageBreakPreview" topLeftCell="A34" zoomScale="60" zoomScaleNormal="100" workbookViewId="0">
      <selection activeCell="A80" sqref="A80"/>
    </sheetView>
  </sheetViews>
  <sheetFormatPr defaultRowHeight="16.5" x14ac:dyDescent="0.3"/>
  <cols>
    <col min="1" max="1" width="52.28515625" customWidth="1"/>
    <col min="2" max="2" width="11.28515625" customWidth="1"/>
    <col min="3" max="3" width="16.85546875" style="14" bestFit="1" customWidth="1"/>
    <col min="4" max="4" width="13.28515625" style="15" customWidth="1"/>
    <col min="5" max="5" width="12.140625" style="16" customWidth="1"/>
    <col min="6" max="6" width="6.42578125" style="16" customWidth="1"/>
    <col min="11" max="12" width="13.85546875" style="64" customWidth="1"/>
    <col min="13" max="13" width="13.85546875" customWidth="1"/>
  </cols>
  <sheetData>
    <row r="1" spans="1:12" x14ac:dyDescent="0.3">
      <c r="A1" s="29" t="s">
        <v>0</v>
      </c>
      <c r="H1" s="73"/>
      <c r="I1" s="68"/>
      <c r="J1" s="68"/>
      <c r="K1" s="69"/>
      <c r="L1" s="70" t="s">
        <v>58</v>
      </c>
    </row>
    <row r="2" spans="1:12" ht="17.25" thickBot="1" x14ac:dyDescent="0.35">
      <c r="A2" s="17" t="s">
        <v>1</v>
      </c>
      <c r="B2" s="80" t="s">
        <v>28</v>
      </c>
      <c r="C2" s="80"/>
      <c r="D2" s="33">
        <v>2</v>
      </c>
      <c r="E2" s="35" t="s">
        <v>27</v>
      </c>
      <c r="G2">
        <f>3/25</f>
        <v>0.12</v>
      </c>
      <c r="H2" s="74"/>
      <c r="I2" s="74"/>
      <c r="J2" s="74"/>
      <c r="K2" s="75"/>
      <c r="L2" s="76" t="s">
        <v>59</v>
      </c>
    </row>
    <row r="3" spans="1:12" ht="31.5" thickBot="1" x14ac:dyDescent="0.35">
      <c r="A3" s="28" t="s">
        <v>26</v>
      </c>
      <c r="B3" s="24" t="s">
        <v>2</v>
      </c>
      <c r="C3" s="25" t="s">
        <v>3</v>
      </c>
      <c r="D3" s="26" t="s">
        <v>25</v>
      </c>
      <c r="E3" s="27" t="s">
        <v>24</v>
      </c>
      <c r="F3" s="21"/>
      <c r="K3" s="78" t="s">
        <v>57</v>
      </c>
      <c r="L3" s="79"/>
    </row>
    <row r="4" spans="1:12" x14ac:dyDescent="0.3">
      <c r="A4" s="17" t="s">
        <v>17</v>
      </c>
      <c r="B4" s="40" t="s">
        <v>4</v>
      </c>
      <c r="C4" s="18">
        <v>2714896669.8675518</v>
      </c>
      <c r="D4" s="19">
        <v>1783309.599088928</v>
      </c>
      <c r="E4" s="20">
        <f>+D4/C4/2</f>
        <v>3.2843047377857074E-4</v>
      </c>
      <c r="F4" s="22"/>
      <c r="G4" s="16">
        <v>3.2843047377857074E-4</v>
      </c>
      <c r="I4" s="42">
        <f>+E4-G4</f>
        <v>0</v>
      </c>
      <c r="K4" s="65">
        <f>ROUND(E4,4)</f>
        <v>2.9999999999999997E-4</v>
      </c>
      <c r="L4" s="67"/>
    </row>
    <row r="5" spans="1:12" x14ac:dyDescent="0.3">
      <c r="A5" s="17" t="s">
        <v>18</v>
      </c>
      <c r="B5" s="40" t="s">
        <v>4</v>
      </c>
      <c r="C5" s="18">
        <v>1038581793.976055</v>
      </c>
      <c r="D5" s="19">
        <v>657168.407485954</v>
      </c>
      <c r="E5" s="20">
        <f t="shared" ref="E5:E9" si="0">+D5/C5/2</f>
        <v>3.1637778136379757E-4</v>
      </c>
      <c r="F5" s="22"/>
      <c r="G5" s="16">
        <v>3.1637778136379757E-4</v>
      </c>
      <c r="I5" s="42">
        <f>+E5-G5</f>
        <v>0</v>
      </c>
      <c r="K5" s="65">
        <f t="shared" ref="K5:K10" si="1">ROUND(E5,4)</f>
        <v>2.9999999999999997E-4</v>
      </c>
      <c r="L5" s="67"/>
    </row>
    <row r="6" spans="1:12" x14ac:dyDescent="0.3">
      <c r="A6" s="17" t="s">
        <v>19</v>
      </c>
      <c r="B6" s="40" t="s">
        <v>8</v>
      </c>
      <c r="C6" s="18">
        <v>12220066.71680773</v>
      </c>
      <c r="D6" s="19">
        <v>2857168.3103922931</v>
      </c>
      <c r="E6" s="72">
        <f>+D6/C6/1</f>
        <v>0.23380955084823599</v>
      </c>
      <c r="F6" s="22"/>
      <c r="G6" s="16">
        <v>0.11690477542411799</v>
      </c>
      <c r="I6" s="42">
        <f t="shared" ref="I6:I10" si="2">+E6-G6</f>
        <v>0.11690477542411799</v>
      </c>
      <c r="K6" s="65">
        <f t="shared" si="1"/>
        <v>0.23380000000000001</v>
      </c>
      <c r="L6" s="67"/>
    </row>
    <row r="7" spans="1:12" x14ac:dyDescent="0.3">
      <c r="A7" s="17" t="s">
        <v>20</v>
      </c>
      <c r="B7" s="40" t="s">
        <v>8</v>
      </c>
      <c r="C7" s="18">
        <v>150806.6559904615</v>
      </c>
      <c r="D7" s="19">
        <v>47779.839709514941</v>
      </c>
      <c r="E7" s="71">
        <f>+D7/C7/0.25</f>
        <v>1.2673138170383411</v>
      </c>
      <c r="F7" s="22"/>
      <c r="G7" s="16">
        <v>0.15841422712979264</v>
      </c>
      <c r="I7" s="42">
        <f t="shared" si="2"/>
        <v>1.1088995899085485</v>
      </c>
      <c r="K7" s="65">
        <f t="shared" si="1"/>
        <v>1.2673000000000001</v>
      </c>
      <c r="L7" s="67"/>
    </row>
    <row r="8" spans="1:12" x14ac:dyDescent="0.3">
      <c r="A8" s="17" t="s">
        <v>21</v>
      </c>
      <c r="B8" s="40" t="s">
        <v>4</v>
      </c>
      <c r="C8" s="18">
        <v>14169747.534494311</v>
      </c>
      <c r="D8" s="19">
        <v>8845.7652411909075</v>
      </c>
      <c r="E8" s="20">
        <f t="shared" si="0"/>
        <v>3.1213559802872643E-4</v>
      </c>
      <c r="F8" s="22"/>
      <c r="G8" s="16">
        <v>3.1213559802872643E-4</v>
      </c>
      <c r="I8" s="42">
        <f t="shared" si="2"/>
        <v>0</v>
      </c>
      <c r="K8" s="65">
        <f t="shared" si="1"/>
        <v>2.9999999999999997E-4</v>
      </c>
      <c r="L8" s="67"/>
    </row>
    <row r="9" spans="1:12" x14ac:dyDescent="0.3">
      <c r="A9" s="17" t="s">
        <v>22</v>
      </c>
      <c r="B9" s="40" t="s">
        <v>8</v>
      </c>
      <c r="C9" s="18">
        <v>975.28847963248609</v>
      </c>
      <c r="D9" s="19">
        <v>236.03391324325327</v>
      </c>
      <c r="E9" s="20">
        <f t="shared" si="0"/>
        <v>0.12100722923139466</v>
      </c>
      <c r="F9" s="22"/>
      <c r="G9" s="16">
        <v>0.12100722923139466</v>
      </c>
      <c r="I9" s="42">
        <f t="shared" si="2"/>
        <v>0</v>
      </c>
      <c r="K9" s="65">
        <f t="shared" si="1"/>
        <v>0.121</v>
      </c>
      <c r="L9" s="67"/>
    </row>
    <row r="10" spans="1:12" x14ac:dyDescent="0.3">
      <c r="A10" s="17" t="s">
        <v>23</v>
      </c>
      <c r="B10" s="40" t="s">
        <v>8</v>
      </c>
      <c r="C10" s="18">
        <v>133270.0743937137</v>
      </c>
      <c r="D10" s="19">
        <v>29756.526125040131</v>
      </c>
      <c r="E10" s="71">
        <f>+D10/C10/0.25</f>
        <v>0.89311951720329297</v>
      </c>
      <c r="F10" s="22"/>
      <c r="G10" s="16">
        <v>0.11163993965041162</v>
      </c>
      <c r="I10" s="42">
        <f t="shared" si="2"/>
        <v>0.78147957755288133</v>
      </c>
      <c r="K10" s="65">
        <f t="shared" si="1"/>
        <v>0.8931</v>
      </c>
      <c r="L10" s="67"/>
    </row>
    <row r="11" spans="1:12" x14ac:dyDescent="0.3">
      <c r="A11" s="17" t="s">
        <v>5</v>
      </c>
      <c r="B11" s="40"/>
      <c r="C11" s="18"/>
      <c r="D11" s="19">
        <f>SUM(D4:D10)</f>
        <v>5384264.4819561644</v>
      </c>
      <c r="E11" s="43"/>
      <c r="F11" s="22"/>
    </row>
    <row r="12" spans="1:12" x14ac:dyDescent="0.3">
      <c r="B12" s="41"/>
    </row>
    <row r="13" spans="1:12" x14ac:dyDescent="0.3">
      <c r="A13" s="29" t="s">
        <v>6</v>
      </c>
      <c r="B13" s="41"/>
    </row>
    <row r="14" spans="1:12" x14ac:dyDescent="0.3">
      <c r="A14" s="17" t="s">
        <v>7</v>
      </c>
      <c r="B14" s="80" t="s">
        <v>29</v>
      </c>
      <c r="C14" s="80"/>
      <c r="D14" s="34">
        <v>0.25</v>
      </c>
      <c r="E14" s="35" t="s">
        <v>27</v>
      </c>
    </row>
    <row r="15" spans="1:12" ht="30.75" x14ac:dyDescent="0.3">
      <c r="A15" s="28" t="s">
        <v>26</v>
      </c>
      <c r="B15" s="24" t="s">
        <v>2</v>
      </c>
      <c r="C15" s="25" t="s">
        <v>3</v>
      </c>
      <c r="D15" s="26" t="s">
        <v>25</v>
      </c>
      <c r="E15" s="23" t="s">
        <v>24</v>
      </c>
    </row>
    <row r="16" spans="1:12" x14ac:dyDescent="0.3">
      <c r="A16" s="17" t="s">
        <v>17</v>
      </c>
      <c r="B16" s="40" t="s">
        <v>4</v>
      </c>
      <c r="C16" s="18">
        <v>2714896669.8675518</v>
      </c>
      <c r="D16" s="19">
        <v>-1775022.7946595799</v>
      </c>
      <c r="E16" s="20">
        <f>+D16/C16/$D$14</f>
        <v>-2.6152344055822585E-3</v>
      </c>
      <c r="G16" s="16">
        <v>-3.2690430069778231E-4</v>
      </c>
      <c r="H16">
        <f>+G16*8</f>
        <v>-2.6152344055822585E-3</v>
      </c>
      <c r="I16" s="16">
        <f>+E16-H16</f>
        <v>0</v>
      </c>
      <c r="K16" s="65">
        <f>ROUND(E16,4)</f>
        <v>-2.5999999999999999E-3</v>
      </c>
      <c r="L16" s="67"/>
    </row>
    <row r="17" spans="1:12" x14ac:dyDescent="0.3">
      <c r="A17" s="17" t="s">
        <v>18</v>
      </c>
      <c r="B17" s="40" t="s">
        <v>4</v>
      </c>
      <c r="C17" s="18">
        <v>1038581793.976055</v>
      </c>
      <c r="D17" s="19">
        <v>-679033.710154381</v>
      </c>
      <c r="E17" s="20">
        <f t="shared" ref="E17:E22" si="3">+D17/C17/$D$14</f>
        <v>-2.6152344055822585E-3</v>
      </c>
      <c r="G17" s="16">
        <v>-3.2690430069778231E-4</v>
      </c>
      <c r="H17">
        <f t="shared" ref="H17:H22" si="4">+G17*8</f>
        <v>-2.6152344055822585E-3</v>
      </c>
      <c r="I17" s="16">
        <f t="shared" ref="I17:I22" si="5">+E17-H17</f>
        <v>0</v>
      </c>
      <c r="K17" s="65">
        <f t="shared" ref="K17:K22" si="6">ROUND(E17,4)</f>
        <v>-2.5999999999999999E-3</v>
      </c>
      <c r="L17" s="67"/>
    </row>
    <row r="18" spans="1:12" x14ac:dyDescent="0.3">
      <c r="A18" s="17" t="s">
        <v>19</v>
      </c>
      <c r="B18" s="40" t="s">
        <v>8</v>
      </c>
      <c r="C18" s="18">
        <v>12157182.253483038</v>
      </c>
      <c r="D18" s="19">
        <v>-2976956.6313544195</v>
      </c>
      <c r="E18" s="72">
        <f>+D18/C18/1</f>
        <v>-0.24487225487645545</v>
      </c>
      <c r="G18" s="16">
        <v>-0.12243612743822772</v>
      </c>
      <c r="H18">
        <f t="shared" si="4"/>
        <v>-0.97948901950582179</v>
      </c>
      <c r="I18" s="16">
        <f t="shared" si="5"/>
        <v>0.73461676462936631</v>
      </c>
      <c r="K18" s="65">
        <f t="shared" si="6"/>
        <v>-0.24490000000000001</v>
      </c>
      <c r="L18" s="67"/>
    </row>
    <row r="19" spans="1:12" x14ac:dyDescent="0.3">
      <c r="A19" s="17" t="s">
        <v>20</v>
      </c>
      <c r="B19" s="40" t="s">
        <v>8</v>
      </c>
      <c r="C19" s="18">
        <v>150806.6559904615</v>
      </c>
      <c r="D19" s="19">
        <v>-50040.543873671304</v>
      </c>
      <c r="E19" s="71">
        <f t="shared" si="3"/>
        <v>-1.3272767980966667</v>
      </c>
      <c r="G19" s="16">
        <v>-0.16590959976208333</v>
      </c>
      <c r="H19">
        <f t="shared" si="4"/>
        <v>-1.3272767980966667</v>
      </c>
      <c r="I19" s="16">
        <f t="shared" si="5"/>
        <v>0</v>
      </c>
      <c r="K19" s="65">
        <f t="shared" si="6"/>
        <v>-1.3272999999999999</v>
      </c>
      <c r="L19" s="67"/>
    </row>
    <row r="20" spans="1:12" x14ac:dyDescent="0.3">
      <c r="A20" s="17" t="s">
        <v>21</v>
      </c>
      <c r="B20" s="40" t="s">
        <v>4</v>
      </c>
      <c r="C20" s="18">
        <v>14169747.534494311</v>
      </c>
      <c r="D20" s="19">
        <v>-9264.3028176559765</v>
      </c>
      <c r="E20" s="20">
        <f t="shared" si="3"/>
        <v>-2.6152344055822589E-3</v>
      </c>
      <c r="G20" s="16">
        <v>-3.2690430069778236E-4</v>
      </c>
      <c r="H20">
        <f t="shared" si="4"/>
        <v>-2.6152344055822589E-3</v>
      </c>
      <c r="I20" s="16">
        <f t="shared" si="5"/>
        <v>0</v>
      </c>
      <c r="K20" s="65">
        <f t="shared" si="6"/>
        <v>-2.5999999999999999E-3</v>
      </c>
      <c r="L20" s="67"/>
    </row>
    <row r="21" spans="1:12" x14ac:dyDescent="0.3">
      <c r="A21" s="17" t="s">
        <v>22</v>
      </c>
      <c r="B21" s="40" t="s">
        <v>8</v>
      </c>
      <c r="C21" s="18">
        <v>975.28847963248609</v>
      </c>
      <c r="D21" s="19">
        <v>-247.20186302699608</v>
      </c>
      <c r="E21" s="20">
        <f t="shared" si="3"/>
        <v>-1.0138615114992362</v>
      </c>
      <c r="G21" s="16">
        <v>-0.12673268893740453</v>
      </c>
      <c r="H21">
        <f t="shared" si="4"/>
        <v>-1.0138615114992362</v>
      </c>
      <c r="I21" s="16">
        <f t="shared" si="5"/>
        <v>0</v>
      </c>
      <c r="K21" s="65">
        <f t="shared" si="6"/>
        <v>-1.0139</v>
      </c>
      <c r="L21" s="67"/>
    </row>
    <row r="22" spans="1:12" x14ac:dyDescent="0.3">
      <c r="A22" s="17" t="s">
        <v>23</v>
      </c>
      <c r="B22" s="40" t="s">
        <v>8</v>
      </c>
      <c r="C22" s="18">
        <v>133270.0743937137</v>
      </c>
      <c r="D22" s="19">
        <v>-31164.45681151142</v>
      </c>
      <c r="E22" s="71">
        <f t="shared" si="3"/>
        <v>-0.93537748675501409</v>
      </c>
      <c r="G22" s="16">
        <v>-0.11692218584437676</v>
      </c>
      <c r="H22">
        <f t="shared" si="4"/>
        <v>-0.93537748675501409</v>
      </c>
      <c r="I22" s="16">
        <f t="shared" si="5"/>
        <v>0</v>
      </c>
      <c r="K22" s="65">
        <f t="shared" si="6"/>
        <v>-0.93540000000000001</v>
      </c>
      <c r="L22" s="67"/>
    </row>
    <row r="23" spans="1:12" x14ac:dyDescent="0.3">
      <c r="A23" s="17" t="s">
        <v>5</v>
      </c>
      <c r="B23" s="40"/>
      <c r="C23" s="18"/>
      <c r="D23" s="19">
        <f>SUM(D16:D22)</f>
        <v>-5521729.6415342456</v>
      </c>
      <c r="G23" s="16"/>
    </row>
    <row r="24" spans="1:12" x14ac:dyDescent="0.3">
      <c r="B24" s="41"/>
    </row>
    <row r="25" spans="1:12" x14ac:dyDescent="0.3">
      <c r="A25" s="29" t="s">
        <v>9</v>
      </c>
      <c r="B25" s="41"/>
    </row>
    <row r="26" spans="1:12" ht="30.75" x14ac:dyDescent="0.3">
      <c r="A26" s="31" t="s">
        <v>10</v>
      </c>
      <c r="B26" s="80" t="s">
        <v>28</v>
      </c>
      <c r="C26" s="80"/>
      <c r="D26" s="33">
        <v>2</v>
      </c>
      <c r="E26" s="35" t="s">
        <v>27</v>
      </c>
    </row>
    <row r="27" spans="1:12" ht="30.75" x14ac:dyDescent="0.3">
      <c r="A27" s="28" t="s">
        <v>26</v>
      </c>
      <c r="B27" s="24" t="s">
        <v>2</v>
      </c>
      <c r="C27" s="25" t="s">
        <v>3</v>
      </c>
      <c r="D27" s="26" t="s">
        <v>25</v>
      </c>
      <c r="E27" s="27" t="s">
        <v>24</v>
      </c>
    </row>
    <row r="28" spans="1:12" x14ac:dyDescent="0.3">
      <c r="A28" s="17" t="s">
        <v>17</v>
      </c>
      <c r="B28" s="40" t="s">
        <v>4</v>
      </c>
      <c r="C28" s="18">
        <v>155835068.85039747</v>
      </c>
      <c r="D28" s="19">
        <v>359375.38520686782</v>
      </c>
      <c r="E28" s="20">
        <f>+D28/C28/$D$26</f>
        <v>1.1530632605933847E-3</v>
      </c>
      <c r="G28" s="16">
        <v>1.1530632605933847E-3</v>
      </c>
      <c r="I28" s="42">
        <f>+E28-G28</f>
        <v>0</v>
      </c>
      <c r="K28" s="65">
        <f>ROUND(E28,4)</f>
        <v>1.1999999999999999E-3</v>
      </c>
      <c r="L28" s="67"/>
    </row>
    <row r="29" spans="1:12" x14ac:dyDescent="0.3">
      <c r="A29" s="17" t="s">
        <v>18</v>
      </c>
      <c r="B29" s="40" t="s">
        <v>4</v>
      </c>
      <c r="C29" s="18">
        <v>165757654.31857839</v>
      </c>
      <c r="D29" s="19">
        <v>382258.1227137823</v>
      </c>
      <c r="E29" s="20">
        <f t="shared" ref="E29:E32" si="7">+D29/C29/$D$26</f>
        <v>1.1530632605933847E-3</v>
      </c>
      <c r="G29" s="16">
        <v>1.1530632605933847E-3</v>
      </c>
      <c r="I29" s="42">
        <f t="shared" ref="I29:I33" si="8">+E29-G29</f>
        <v>0</v>
      </c>
      <c r="K29" s="65">
        <f t="shared" ref="K29:K33" si="9">ROUND(E29,4)</f>
        <v>1.1999999999999999E-3</v>
      </c>
      <c r="L29" s="67"/>
    </row>
    <row r="30" spans="1:12" x14ac:dyDescent="0.3">
      <c r="A30" s="17" t="s">
        <v>19</v>
      </c>
      <c r="B30" s="40" t="s">
        <v>8</v>
      </c>
      <c r="C30" s="18">
        <v>11136806.682629595</v>
      </c>
      <c r="D30" s="19">
        <v>9619062.8419407271</v>
      </c>
      <c r="E30" s="72">
        <f>+D30/C30/1</f>
        <v>0.86371821977873264</v>
      </c>
      <c r="G30" s="16">
        <v>0.43185910988936632</v>
      </c>
      <c r="I30" s="42">
        <f t="shared" si="8"/>
        <v>0.43185910988936632</v>
      </c>
      <c r="K30" s="65">
        <f t="shared" si="9"/>
        <v>0.86370000000000002</v>
      </c>
      <c r="L30" s="67"/>
    </row>
    <row r="31" spans="1:12" x14ac:dyDescent="0.3">
      <c r="A31" s="17" t="s">
        <v>21</v>
      </c>
      <c r="B31" s="40" t="s">
        <v>4</v>
      </c>
      <c r="C31" s="18">
        <v>257889.40512779646</v>
      </c>
      <c r="D31" s="19">
        <v>594.7255966982907</v>
      </c>
      <c r="E31" s="20">
        <f t="shared" si="7"/>
        <v>1.1530632605933847E-3</v>
      </c>
      <c r="G31" s="16">
        <v>1.1530632605933847E-3</v>
      </c>
      <c r="I31" s="42">
        <f t="shared" si="8"/>
        <v>0</v>
      </c>
      <c r="K31" s="65">
        <f t="shared" si="9"/>
        <v>1.1999999999999999E-3</v>
      </c>
      <c r="L31" s="67"/>
    </row>
    <row r="32" spans="1:12" x14ac:dyDescent="0.3">
      <c r="A32" s="17" t="s">
        <v>22</v>
      </c>
      <c r="B32" s="40" t="s">
        <v>8</v>
      </c>
      <c r="C32" s="18">
        <v>119.96048299479578</v>
      </c>
      <c r="D32" s="19">
        <v>107.2480368982124</v>
      </c>
      <c r="E32" s="20">
        <f t="shared" si="7"/>
        <v>0.44701402587244132</v>
      </c>
      <c r="G32" s="16">
        <v>0.44701402587244132</v>
      </c>
      <c r="I32" s="42">
        <f t="shared" si="8"/>
        <v>0</v>
      </c>
      <c r="K32" s="65">
        <f t="shared" si="9"/>
        <v>0.44700000000000001</v>
      </c>
      <c r="L32" s="67"/>
    </row>
    <row r="33" spans="1:12" x14ac:dyDescent="0.3">
      <c r="A33" s="17" t="s">
        <v>23</v>
      </c>
      <c r="B33" s="40" t="s">
        <v>8</v>
      </c>
      <c r="C33" s="18">
        <v>131790.77656794348</v>
      </c>
      <c r="D33" s="19">
        <v>108703.7281516035</v>
      </c>
      <c r="E33" s="71">
        <f>+D33/C33/0.25</f>
        <v>3.2992818156910193</v>
      </c>
      <c r="G33" s="16">
        <v>0.41241022696137741</v>
      </c>
      <c r="I33" s="42">
        <f t="shared" si="8"/>
        <v>2.8868715887296421</v>
      </c>
      <c r="K33" s="65">
        <f t="shared" si="9"/>
        <v>3.2993000000000001</v>
      </c>
      <c r="L33" s="67"/>
    </row>
    <row r="34" spans="1:12" x14ac:dyDescent="0.3">
      <c r="A34" s="17" t="s">
        <v>5</v>
      </c>
      <c r="B34" s="40"/>
      <c r="C34" s="18"/>
      <c r="D34" s="19">
        <f>SUM(D28:D33)</f>
        <v>10470102.051646577</v>
      </c>
      <c r="E34" s="43"/>
      <c r="G34" s="16"/>
    </row>
    <row r="35" spans="1:12" x14ac:dyDescent="0.3">
      <c r="B35" s="41"/>
    </row>
    <row r="36" spans="1:12" x14ac:dyDescent="0.3">
      <c r="A36" s="29" t="s">
        <v>60</v>
      </c>
      <c r="B36" s="41"/>
    </row>
    <row r="37" spans="1:12" ht="30.75" x14ac:dyDescent="0.3">
      <c r="A37" s="30" t="s">
        <v>11</v>
      </c>
      <c r="B37" s="80" t="s">
        <v>28</v>
      </c>
      <c r="C37" s="80"/>
      <c r="D37" s="14">
        <v>2</v>
      </c>
      <c r="E37" s="16" t="s">
        <v>27</v>
      </c>
    </row>
    <row r="38" spans="1:12" ht="30.75" x14ac:dyDescent="0.3">
      <c r="A38" s="28" t="s">
        <v>26</v>
      </c>
      <c r="B38" s="24" t="s">
        <v>2</v>
      </c>
      <c r="C38" s="25" t="s">
        <v>3</v>
      </c>
      <c r="D38" s="26" t="s">
        <v>25</v>
      </c>
      <c r="E38" s="27" t="s">
        <v>24</v>
      </c>
    </row>
    <row r="39" spans="1:12" x14ac:dyDescent="0.3">
      <c r="A39" s="17" t="s">
        <v>20</v>
      </c>
      <c r="B39" s="40" t="s">
        <v>8</v>
      </c>
      <c r="C39" s="18">
        <v>150806.65599046153</v>
      </c>
      <c r="D39" s="19">
        <v>0</v>
      </c>
      <c r="E39" s="20">
        <v>0</v>
      </c>
      <c r="K39" s="65">
        <f>ROUND(E39,4)</f>
        <v>0</v>
      </c>
    </row>
    <row r="40" spans="1:12" x14ac:dyDescent="0.3">
      <c r="A40" s="17" t="s">
        <v>5</v>
      </c>
      <c r="B40" s="40"/>
      <c r="C40" s="18"/>
      <c r="D40" s="19">
        <f>SUM(D39:D39)</f>
        <v>0</v>
      </c>
      <c r="E40" s="43"/>
    </row>
    <row r="41" spans="1:12" x14ac:dyDescent="0.3">
      <c r="B41" s="41"/>
    </row>
    <row r="42" spans="1:12" x14ac:dyDescent="0.3">
      <c r="A42" s="93" t="s">
        <v>58</v>
      </c>
      <c r="B42" s="97"/>
      <c r="C42" s="98"/>
    </row>
    <row r="43" spans="1:12" x14ac:dyDescent="0.3">
      <c r="A43" s="94" t="s">
        <v>59</v>
      </c>
      <c r="B43" s="95"/>
      <c r="C43" s="96"/>
    </row>
    <row r="44" spans="1:12" x14ac:dyDescent="0.3">
      <c r="B44" s="41"/>
    </row>
    <row r="45" spans="1:12" x14ac:dyDescent="0.3">
      <c r="A45" s="36" t="s">
        <v>12</v>
      </c>
      <c r="B45" s="80" t="s">
        <v>28</v>
      </c>
      <c r="C45" s="80"/>
      <c r="D45" s="14">
        <v>2</v>
      </c>
      <c r="E45" s="16" t="s">
        <v>27</v>
      </c>
      <c r="G45" s="16">
        <v>0.11817663087163742</v>
      </c>
      <c r="I45" s="42">
        <f>+E47-G45</f>
        <v>0</v>
      </c>
      <c r="K45" s="67"/>
      <c r="L45" s="66">
        <f>ROUND(E47,2)</f>
        <v>0.12</v>
      </c>
    </row>
    <row r="46" spans="1:12" ht="30.75" x14ac:dyDescent="0.3">
      <c r="A46" s="28" t="s">
        <v>26</v>
      </c>
      <c r="B46" s="24" t="s">
        <v>2</v>
      </c>
      <c r="C46" s="25" t="s">
        <v>3</v>
      </c>
      <c r="D46" s="26" t="s">
        <v>25</v>
      </c>
      <c r="E46" s="27" t="s">
        <v>24</v>
      </c>
      <c r="G46" s="16">
        <v>1.6994302665073824E-4</v>
      </c>
      <c r="I46" s="42">
        <f>+E48-G46</f>
        <v>0</v>
      </c>
      <c r="K46" s="65">
        <f>ROUND(E48,4)</f>
        <v>2.0000000000000001E-4</v>
      </c>
      <c r="L46" s="67"/>
    </row>
    <row r="47" spans="1:12" ht="30.75" x14ac:dyDescent="0.3">
      <c r="A47" s="17" t="s">
        <v>17</v>
      </c>
      <c r="B47" s="32" t="s">
        <v>13</v>
      </c>
      <c r="C47" s="18">
        <v>325344.75</v>
      </c>
      <c r="D47" s="19">
        <v>922755.51424260379</v>
      </c>
      <c r="E47" s="20">
        <f>+D47/C47/24</f>
        <v>0.11817663087163742</v>
      </c>
      <c r="G47" s="16">
        <v>6.3649104719132488E-2</v>
      </c>
      <c r="I47" s="42">
        <f>+E49-G47</f>
        <v>6.3649104719132488E-2</v>
      </c>
      <c r="K47" s="65">
        <f>ROUND(E49,4)</f>
        <v>0.1273</v>
      </c>
      <c r="L47" s="67"/>
    </row>
    <row r="48" spans="1:12" x14ac:dyDescent="0.3">
      <c r="A48" s="17" t="s">
        <v>18</v>
      </c>
      <c r="B48" s="40" t="s">
        <v>4</v>
      </c>
      <c r="C48" s="18">
        <v>1038581793.976055</v>
      </c>
      <c r="D48" s="19">
        <v>352999.46698528848</v>
      </c>
      <c r="E48" s="20">
        <f>+D48/C48/$D$45</f>
        <v>1.6994302665073824E-4</v>
      </c>
      <c r="G48" s="16">
        <v>8.6249032128968589E-2</v>
      </c>
      <c r="I48" s="42">
        <f>+E50-G48</f>
        <v>0.6037432249027801</v>
      </c>
      <c r="K48" s="65">
        <f>ROUND(E50,4)</f>
        <v>0.69</v>
      </c>
      <c r="L48" s="67"/>
    </row>
    <row r="49" spans="1:12" x14ac:dyDescent="0.3">
      <c r="A49" s="17" t="s">
        <v>19</v>
      </c>
      <c r="B49" s="40" t="s">
        <v>8</v>
      </c>
      <c r="C49" s="18">
        <v>12220066.71680773</v>
      </c>
      <c r="D49" s="19">
        <v>1555592.6122657615</v>
      </c>
      <c r="E49" s="72">
        <f>+D49/C49/1</f>
        <v>0.12729820943826498</v>
      </c>
      <c r="G49" s="16">
        <v>1.6994302665073824E-4</v>
      </c>
      <c r="I49" s="42">
        <f>+E51-G49</f>
        <v>0</v>
      </c>
      <c r="K49" s="65">
        <f>ROUND(E51,4)</f>
        <v>2.0000000000000001E-4</v>
      </c>
      <c r="L49" s="67"/>
    </row>
    <row r="50" spans="1:12" x14ac:dyDescent="0.3">
      <c r="A50" s="17" t="s">
        <v>20</v>
      </c>
      <c r="B50" s="40" t="s">
        <v>8</v>
      </c>
      <c r="C50" s="18">
        <v>150806.6559904615</v>
      </c>
      <c r="D50" s="19">
        <v>26013.856235567255</v>
      </c>
      <c r="E50" s="71">
        <f>+D50/C50/0.25</f>
        <v>0.68999225703174871</v>
      </c>
      <c r="G50" s="16">
        <v>6.5882696213042394E-2</v>
      </c>
      <c r="I50" s="42">
        <f>+E52-G50</f>
        <v>0</v>
      </c>
      <c r="K50" s="65">
        <f>ROUND(E52,4)</f>
        <v>6.59E-2</v>
      </c>
      <c r="L50" s="67"/>
    </row>
    <row r="51" spans="1:12" x14ac:dyDescent="0.3">
      <c r="A51" s="17" t="s">
        <v>21</v>
      </c>
      <c r="B51" s="40" t="s">
        <v>4</v>
      </c>
      <c r="C51" s="18">
        <v>14169747.534494311</v>
      </c>
      <c r="D51" s="19">
        <v>4816.0995657775984</v>
      </c>
      <c r="E51" s="20">
        <f>+D51/C51/$D$45</f>
        <v>1.6994302665073824E-4</v>
      </c>
      <c r="G51" s="16">
        <v>6.0782651383296055E-2</v>
      </c>
      <c r="I51" s="42">
        <f>+E53-G51</f>
        <v>0.42547855968307235</v>
      </c>
      <c r="K51" s="65">
        <f>ROUND(E53,4)</f>
        <v>0.48630000000000001</v>
      </c>
      <c r="L51" s="67"/>
    </row>
    <row r="52" spans="1:12" x14ac:dyDescent="0.3">
      <c r="A52" s="17" t="s">
        <v>22</v>
      </c>
      <c r="B52" s="40" t="s">
        <v>8</v>
      </c>
      <c r="C52" s="18">
        <v>975.28847963248609</v>
      </c>
      <c r="D52" s="19">
        <v>128.50926924741412</v>
      </c>
      <c r="E52" s="20">
        <f>+D52/C52/$D$45</f>
        <v>6.5882696213042394E-2</v>
      </c>
      <c r="G52" s="16"/>
    </row>
    <row r="53" spans="1:12" x14ac:dyDescent="0.3">
      <c r="A53" s="17" t="s">
        <v>23</v>
      </c>
      <c r="B53" s="40" t="s">
        <v>8</v>
      </c>
      <c r="C53" s="18">
        <v>133270.0743937137</v>
      </c>
      <c r="D53" s="19">
        <v>16201.016943398061</v>
      </c>
      <c r="E53" s="71">
        <f>+D53/C53/0.25</f>
        <v>0.48626121106636844</v>
      </c>
    </row>
    <row r="54" spans="1:12" ht="14.25" customHeight="1" x14ac:dyDescent="0.3">
      <c r="A54" s="17" t="s">
        <v>5</v>
      </c>
      <c r="B54" s="40"/>
      <c r="C54" s="18"/>
      <c r="D54" s="19">
        <f>SUM(D47:D53)</f>
        <v>2878507.0755076436</v>
      </c>
      <c r="E54" s="43"/>
    </row>
    <row r="55" spans="1:12" x14ac:dyDescent="0.3">
      <c r="B55" s="41"/>
    </row>
    <row r="56" spans="1:12" x14ac:dyDescent="0.3">
      <c r="B56" s="41"/>
    </row>
    <row r="57" spans="1:12" x14ac:dyDescent="0.3">
      <c r="A57" s="36" t="s">
        <v>14</v>
      </c>
      <c r="B57" s="80" t="s">
        <v>29</v>
      </c>
      <c r="C57" s="80"/>
      <c r="D57" s="34">
        <v>0.25</v>
      </c>
      <c r="E57" s="35" t="s">
        <v>27</v>
      </c>
      <c r="G57" s="16">
        <v>-0.20509558271965686</v>
      </c>
      <c r="H57" s="44">
        <f>+G57*4</f>
        <v>-0.82038233087862744</v>
      </c>
      <c r="I57" s="45">
        <f>+E59-H57</f>
        <v>0</v>
      </c>
      <c r="K57" s="67"/>
      <c r="L57" s="66">
        <f>ROUND(E59,2)</f>
        <v>-0.82</v>
      </c>
    </row>
    <row r="58" spans="1:12" ht="30.75" x14ac:dyDescent="0.3">
      <c r="A58" s="28" t="s">
        <v>26</v>
      </c>
      <c r="B58" s="24" t="s">
        <v>2</v>
      </c>
      <c r="C58" s="25" t="s">
        <v>3</v>
      </c>
      <c r="D58" s="26" t="s">
        <v>25</v>
      </c>
      <c r="E58" s="27" t="s">
        <v>24</v>
      </c>
      <c r="G58" s="16">
        <v>-2.94936180046748E-4</v>
      </c>
      <c r="H58" s="44">
        <f t="shared" ref="H58:H63" si="10">+G58*4</f>
        <v>-1.179744720186992E-3</v>
      </c>
      <c r="I58" s="45">
        <f>+E60-H58</f>
        <v>0</v>
      </c>
      <c r="K58" s="65">
        <f>ROUND(E60,4)</f>
        <v>-1.1999999999999999E-3</v>
      </c>
      <c r="L58" s="67"/>
    </row>
    <row r="59" spans="1:12" ht="30.75" x14ac:dyDescent="0.3">
      <c r="A59" s="17" t="s">
        <v>17</v>
      </c>
      <c r="B59" s="32" t="s">
        <v>13</v>
      </c>
      <c r="C59" s="18">
        <v>325344.75</v>
      </c>
      <c r="D59" s="19">
        <v>-800721.25303237292</v>
      </c>
      <c r="E59" s="20">
        <f>+D59/C59/3</f>
        <v>-0.82038233087862744</v>
      </c>
      <c r="G59" s="16">
        <v>-0.11046304269863857</v>
      </c>
      <c r="H59" s="44">
        <f t="shared" si="10"/>
        <v>-0.4418521707945543</v>
      </c>
      <c r="I59" s="45">
        <f>+E61-H59</f>
        <v>0.3313891280959157</v>
      </c>
      <c r="K59" s="65">
        <f>ROUND(E61,4)</f>
        <v>-0.1105</v>
      </c>
      <c r="L59" s="67"/>
    </row>
    <row r="60" spans="1:12" x14ac:dyDescent="0.3">
      <c r="A60" s="17" t="s">
        <v>18</v>
      </c>
      <c r="B60" s="40" t="s">
        <v>4</v>
      </c>
      <c r="C60" s="18">
        <v>1038581793.976055</v>
      </c>
      <c r="D60" s="19">
        <v>-306315.34698139632</v>
      </c>
      <c r="E60" s="20">
        <f>+D60/C60/$D$57</f>
        <v>-1.179744720186992E-3</v>
      </c>
      <c r="G60" s="16">
        <v>-0.14968522433772205</v>
      </c>
      <c r="H60" s="44">
        <f t="shared" si="10"/>
        <v>-0.5987408973508882</v>
      </c>
      <c r="I60" s="45">
        <f>+E62-H60</f>
        <v>0</v>
      </c>
      <c r="K60" s="65">
        <f>ROUND(E62,4)</f>
        <v>-0.59870000000000001</v>
      </c>
      <c r="L60" s="67"/>
    </row>
    <row r="61" spans="1:12" x14ac:dyDescent="0.3">
      <c r="A61" s="17" t="s">
        <v>19</v>
      </c>
      <c r="B61" s="40" t="s">
        <v>8</v>
      </c>
      <c r="C61" s="18">
        <v>12220066.71680773</v>
      </c>
      <c r="D61" s="19">
        <v>-1349865.7515189445</v>
      </c>
      <c r="E61" s="72">
        <f>+D61/C61/1</f>
        <v>-0.11046304269863857</v>
      </c>
      <c r="G61" s="16">
        <v>-2.94936180046748E-4</v>
      </c>
      <c r="H61" s="44">
        <f t="shared" si="10"/>
        <v>-1.179744720186992E-3</v>
      </c>
      <c r="I61" s="45">
        <f>+E63-H61</f>
        <v>0</v>
      </c>
      <c r="K61" s="65">
        <f>ROUND(E63,4)</f>
        <v>-1.1999999999999999E-3</v>
      </c>
      <c r="L61" s="67"/>
    </row>
    <row r="62" spans="1:12" x14ac:dyDescent="0.3">
      <c r="A62" s="17" t="s">
        <v>20</v>
      </c>
      <c r="B62" s="40" t="s">
        <v>8</v>
      </c>
      <c r="C62" s="18">
        <v>150806.6559904615</v>
      </c>
      <c r="D62" s="19">
        <v>-22573.528133553904</v>
      </c>
      <c r="E62" s="71">
        <f>+D62/C62/$D$57</f>
        <v>-0.5987408973508882</v>
      </c>
      <c r="G62" s="16">
        <v>-0.11433944148934963</v>
      </c>
      <c r="H62" s="44">
        <f t="shared" si="10"/>
        <v>-0.45735776595739852</v>
      </c>
      <c r="I62" s="45">
        <f>+E64-H62</f>
        <v>0</v>
      </c>
      <c r="K62" s="65">
        <f>ROUND(E64,4)</f>
        <v>-0.45739999999999997</v>
      </c>
      <c r="L62" s="67"/>
    </row>
    <row r="63" spans="1:12" x14ac:dyDescent="0.3">
      <c r="A63" s="17" t="s">
        <v>21</v>
      </c>
      <c r="B63" s="40" t="s">
        <v>4</v>
      </c>
      <c r="C63" s="18">
        <v>14169747.534494311</v>
      </c>
      <c r="D63" s="19">
        <v>-4179.1712100505774</v>
      </c>
      <c r="E63" s="20">
        <f>+D63/C63/$D$57</f>
        <v>-1.179744720186992E-3</v>
      </c>
      <c r="G63" s="16">
        <v>-0.10548831196790179</v>
      </c>
      <c r="H63" s="44">
        <f t="shared" si="10"/>
        <v>-0.42195324787160715</v>
      </c>
      <c r="I63" s="45">
        <f>+E65-H63</f>
        <v>0</v>
      </c>
      <c r="K63" s="65">
        <f>ROUND(E65,4)</f>
        <v>-0.42199999999999999</v>
      </c>
      <c r="L63" s="67"/>
    </row>
    <row r="64" spans="1:12" x14ac:dyDescent="0.3">
      <c r="A64" s="17" t="s">
        <v>22</v>
      </c>
      <c r="B64" s="40" t="s">
        <v>8</v>
      </c>
      <c r="C64" s="18">
        <v>975.28847963248609</v>
      </c>
      <c r="D64" s="19">
        <v>-111.5139400521754</v>
      </c>
      <c r="E64" s="20">
        <f>+D64/C64/$D$57</f>
        <v>-0.45735776595739852</v>
      </c>
    </row>
    <row r="65" spans="1:12" x14ac:dyDescent="0.3">
      <c r="A65" s="17" t="s">
        <v>23</v>
      </c>
      <c r="B65" s="40" t="s">
        <v>8</v>
      </c>
      <c r="C65" s="18">
        <v>133270.0743937137</v>
      </c>
      <c r="D65" s="19">
        <v>-14058.43518362955</v>
      </c>
      <c r="E65" s="71">
        <f>+D65/C65/$D$57</f>
        <v>-0.42195324787160715</v>
      </c>
    </row>
    <row r="66" spans="1:12" x14ac:dyDescent="0.3">
      <c r="A66" s="17" t="s">
        <v>5</v>
      </c>
      <c r="B66" s="40"/>
      <c r="C66" s="18"/>
      <c r="D66" s="19">
        <f>SUM(D59:D65)</f>
        <v>-2497824.9999999995</v>
      </c>
      <c r="E66" s="43"/>
    </row>
    <row r="67" spans="1:12" x14ac:dyDescent="0.3">
      <c r="B67" s="41"/>
      <c r="G67" s="14">
        <v>1</v>
      </c>
    </row>
    <row r="68" spans="1:12" x14ac:dyDescent="0.3">
      <c r="A68" s="36" t="s">
        <v>16</v>
      </c>
      <c r="B68" s="80" t="s">
        <v>29</v>
      </c>
      <c r="C68" s="80"/>
      <c r="D68" s="34">
        <v>0.25</v>
      </c>
      <c r="E68" s="35" t="s">
        <v>27</v>
      </c>
      <c r="G68" s="8">
        <v>-9.8192064479665886E-2</v>
      </c>
      <c r="H68">
        <f>+G68*4</f>
        <v>-0.39276825791866354</v>
      </c>
      <c r="I68" s="16">
        <f>+E70-H68</f>
        <v>0</v>
      </c>
      <c r="K68" s="67"/>
      <c r="L68" s="66">
        <f>ROUND(E70,2)</f>
        <v>-0.39</v>
      </c>
    </row>
    <row r="69" spans="1:12" ht="30.75" x14ac:dyDescent="0.3">
      <c r="A69" s="28" t="s">
        <v>26</v>
      </c>
      <c r="B69" s="24" t="s">
        <v>2</v>
      </c>
      <c r="C69" s="25" t="s">
        <v>3</v>
      </c>
      <c r="D69" s="26" t="s">
        <v>25</v>
      </c>
      <c r="E69" s="27" t="s">
        <v>24</v>
      </c>
      <c r="G69" s="20">
        <v>5.4576440540008242E-5</v>
      </c>
      <c r="H69">
        <f t="shared" ref="H69:H74" si="11">+G69*4</f>
        <v>2.1830576216003297E-4</v>
      </c>
      <c r="I69" s="16">
        <f>+E71-H69</f>
        <v>0</v>
      </c>
      <c r="K69" s="65">
        <f t="shared" ref="K69:K74" si="12">ROUND(E71,4)</f>
        <v>2.0000000000000001E-4</v>
      </c>
      <c r="L69" s="67"/>
    </row>
    <row r="70" spans="1:12" ht="30.75" x14ac:dyDescent="0.3">
      <c r="A70" s="4" t="s">
        <v>17</v>
      </c>
      <c r="B70" s="32" t="s">
        <v>13</v>
      </c>
      <c r="C70" s="37">
        <v>325344.75</v>
      </c>
      <c r="D70" s="39">
        <v>-383355.27204144932</v>
      </c>
      <c r="E70" s="20">
        <f>+D70/C70/3</f>
        <v>-0.39276825791866354</v>
      </c>
      <c r="G70" s="20">
        <v>-1.9620860574114565E-2</v>
      </c>
      <c r="H70">
        <f t="shared" si="11"/>
        <v>-7.8483442296458261E-2</v>
      </c>
      <c r="I70" s="16">
        <f>+E72-H70</f>
        <v>5.8862581722343696E-2</v>
      </c>
      <c r="K70" s="65">
        <f t="shared" si="12"/>
        <v>-1.9599999999999999E-2</v>
      </c>
      <c r="L70" s="67"/>
    </row>
    <row r="71" spans="1:12" x14ac:dyDescent="0.3">
      <c r="A71" s="17" t="s">
        <v>18</v>
      </c>
      <c r="B71" s="40" t="s">
        <v>4</v>
      </c>
      <c r="C71" s="18">
        <v>1038581793.976055</v>
      </c>
      <c r="D71" s="19">
        <v>56682.097524869256</v>
      </c>
      <c r="E71" s="20">
        <f>+D71/C71/$D$68</f>
        <v>2.1830576216003297E-4</v>
      </c>
      <c r="G71" s="20">
        <v>-3.5604510928709039E-2</v>
      </c>
      <c r="H71">
        <f t="shared" si="11"/>
        <v>-0.14241804371483616</v>
      </c>
      <c r="I71" s="16">
        <f>+E73-H71</f>
        <v>0</v>
      </c>
      <c r="K71" s="65">
        <f t="shared" si="12"/>
        <v>-0.1424</v>
      </c>
      <c r="L71" s="67"/>
    </row>
    <row r="72" spans="1:12" x14ac:dyDescent="0.3">
      <c r="A72" s="17" t="s">
        <v>19</v>
      </c>
      <c r="B72" s="40" t="s">
        <v>8</v>
      </c>
      <c r="C72" s="18">
        <v>12220066.71680773</v>
      </c>
      <c r="D72" s="19">
        <v>-239768.22525686244</v>
      </c>
      <c r="E72" s="72">
        <f>+D72/C72/1</f>
        <v>-1.9620860574114565E-2</v>
      </c>
      <c r="G72" s="20">
        <v>-2.3821108304947374E-4</v>
      </c>
      <c r="H72">
        <f t="shared" si="11"/>
        <v>-9.5284433219789495E-4</v>
      </c>
      <c r="I72" s="16">
        <f>+E74-H72</f>
        <v>0</v>
      </c>
      <c r="K72" s="65">
        <f t="shared" si="12"/>
        <v>-1E-3</v>
      </c>
      <c r="L72" s="67"/>
    </row>
    <row r="73" spans="1:12" x14ac:dyDescent="0.3">
      <c r="A73" s="17" t="s">
        <v>20</v>
      </c>
      <c r="B73" s="40" t="s">
        <v>8</v>
      </c>
      <c r="C73" s="18">
        <v>150806.6559904615</v>
      </c>
      <c r="D73" s="19">
        <v>-5369.3972313344511</v>
      </c>
      <c r="E73" s="71">
        <f>+D73/C73/$D$68</f>
        <v>-0.14241804371483616</v>
      </c>
      <c r="G73" s="20">
        <v>-0.16780047039199916</v>
      </c>
      <c r="H73">
        <f t="shared" si="11"/>
        <v>-0.67120188156799665</v>
      </c>
      <c r="I73" s="16">
        <f>+E75-H73</f>
        <v>0</v>
      </c>
      <c r="K73" s="65">
        <f t="shared" si="12"/>
        <v>-0.67120000000000002</v>
      </c>
      <c r="L73" s="67"/>
    </row>
    <row r="74" spans="1:12" x14ac:dyDescent="0.3">
      <c r="A74" s="17" t="s">
        <v>21</v>
      </c>
      <c r="B74" s="40" t="s">
        <v>4</v>
      </c>
      <c r="C74" s="18">
        <v>14169747.534494311</v>
      </c>
      <c r="D74" s="19">
        <v>-3375.3909067294999</v>
      </c>
      <c r="E74" s="20">
        <f>+D74/C74/$D$68</f>
        <v>-9.5284433219789495E-4</v>
      </c>
      <c r="G74" s="20">
        <v>-0.14551651057222034</v>
      </c>
      <c r="H74">
        <f t="shared" si="11"/>
        <v>-0.58206604228888137</v>
      </c>
      <c r="I74" s="16">
        <f>+E76-H74</f>
        <v>0</v>
      </c>
      <c r="K74" s="65">
        <f t="shared" si="12"/>
        <v>-0.58209999999999995</v>
      </c>
      <c r="L74" s="67"/>
    </row>
    <row r="75" spans="1:12" x14ac:dyDescent="0.3">
      <c r="A75" s="17" t="s">
        <v>22</v>
      </c>
      <c r="B75" s="40" t="s">
        <v>8</v>
      </c>
      <c r="C75" s="18">
        <v>975.28847963248609</v>
      </c>
      <c r="D75" s="19">
        <v>-163.65386565022885</v>
      </c>
      <c r="E75" s="20">
        <f>+D75/C75/$D$68</f>
        <v>-0.67120188156799665</v>
      </c>
    </row>
    <row r="76" spans="1:12" x14ac:dyDescent="0.3">
      <c r="A76" s="17" t="s">
        <v>23</v>
      </c>
      <c r="B76" s="40" t="s">
        <v>8</v>
      </c>
      <c r="C76" s="18">
        <v>133270.0743937137</v>
      </c>
      <c r="D76" s="19">
        <v>-19392.99618947343</v>
      </c>
      <c r="E76" s="71">
        <f>+D76/C76/$D$68</f>
        <v>-0.58206604228888137</v>
      </c>
    </row>
    <row r="77" spans="1:12" x14ac:dyDescent="0.3">
      <c r="A77" s="17" t="s">
        <v>5</v>
      </c>
      <c r="B77" s="40"/>
      <c r="C77" s="18"/>
      <c r="D77" s="19">
        <f>SUM(D69:D76)</f>
        <v>-594742.83796663012</v>
      </c>
      <c r="E77" s="43"/>
    </row>
    <row r="78" spans="1:12" x14ac:dyDescent="0.3">
      <c r="B78" s="41"/>
    </row>
    <row r="79" spans="1:12" x14ac:dyDescent="0.3">
      <c r="A79" s="93" t="s">
        <v>58</v>
      </c>
      <c r="B79" s="97"/>
      <c r="C79" s="98"/>
    </row>
    <row r="80" spans="1:12" x14ac:dyDescent="0.3">
      <c r="A80" s="94" t="s">
        <v>59</v>
      </c>
      <c r="B80" s="95"/>
      <c r="C80" s="96"/>
    </row>
    <row r="81" spans="2:2" x14ac:dyDescent="0.3">
      <c r="B81" s="41"/>
    </row>
    <row r="82" spans="2:2" x14ac:dyDescent="0.3">
      <c r="B82" s="41"/>
    </row>
    <row r="83" spans="2:2" x14ac:dyDescent="0.3">
      <c r="B83" s="41"/>
    </row>
    <row r="84" spans="2:2" x14ac:dyDescent="0.3">
      <c r="B84" s="41"/>
    </row>
    <row r="85" spans="2:2" x14ac:dyDescent="0.3">
      <c r="B85" s="41"/>
    </row>
    <row r="86" spans="2:2" x14ac:dyDescent="0.3">
      <c r="B86" s="41"/>
    </row>
    <row r="87" spans="2:2" x14ac:dyDescent="0.3">
      <c r="B87" s="41"/>
    </row>
    <row r="88" spans="2:2" x14ac:dyDescent="0.3">
      <c r="B88" s="41"/>
    </row>
    <row r="89" spans="2:2" x14ac:dyDescent="0.3">
      <c r="B89" s="41"/>
    </row>
    <row r="90" spans="2:2" x14ac:dyDescent="0.3">
      <c r="B90" s="41"/>
    </row>
    <row r="91" spans="2:2" x14ac:dyDescent="0.3">
      <c r="B91" s="41"/>
    </row>
    <row r="92" spans="2:2" x14ac:dyDescent="0.3">
      <c r="B92" s="41"/>
    </row>
    <row r="93" spans="2:2" x14ac:dyDescent="0.3">
      <c r="B93" s="41"/>
    </row>
    <row r="94" spans="2:2" x14ac:dyDescent="0.3">
      <c r="B94" s="41"/>
    </row>
    <row r="95" spans="2:2" x14ac:dyDescent="0.3">
      <c r="B95" s="41"/>
    </row>
    <row r="96" spans="2:2" x14ac:dyDescent="0.3">
      <c r="B96" s="41"/>
    </row>
    <row r="97" spans="2:2" x14ac:dyDescent="0.3">
      <c r="B97" s="41"/>
    </row>
    <row r="98" spans="2:2" x14ac:dyDescent="0.3">
      <c r="B98" s="41"/>
    </row>
    <row r="99" spans="2:2" x14ac:dyDescent="0.3">
      <c r="B99" s="41"/>
    </row>
    <row r="100" spans="2:2" x14ac:dyDescent="0.3">
      <c r="B100" s="41"/>
    </row>
    <row r="101" spans="2:2" x14ac:dyDescent="0.3">
      <c r="B101" s="41"/>
    </row>
    <row r="102" spans="2:2" x14ac:dyDescent="0.3">
      <c r="B102" s="41"/>
    </row>
    <row r="103" spans="2:2" x14ac:dyDescent="0.3">
      <c r="B103" s="41"/>
    </row>
    <row r="104" spans="2:2" x14ac:dyDescent="0.3">
      <c r="B104" s="41"/>
    </row>
    <row r="105" spans="2:2" x14ac:dyDescent="0.3">
      <c r="B105" s="41"/>
    </row>
    <row r="106" spans="2:2" x14ac:dyDescent="0.3">
      <c r="B106" s="41"/>
    </row>
    <row r="107" spans="2:2" x14ac:dyDescent="0.3">
      <c r="B107" s="41"/>
    </row>
    <row r="108" spans="2:2" x14ac:dyDescent="0.3">
      <c r="B108" s="41"/>
    </row>
    <row r="109" spans="2:2" x14ac:dyDescent="0.3">
      <c r="B109" s="41"/>
    </row>
    <row r="110" spans="2:2" x14ac:dyDescent="0.3">
      <c r="B110" s="41"/>
    </row>
    <row r="111" spans="2:2" x14ac:dyDescent="0.3">
      <c r="B111" s="41"/>
    </row>
    <row r="112" spans="2:2" x14ac:dyDescent="0.3">
      <c r="B112" s="41"/>
    </row>
    <row r="113" spans="2:2" x14ac:dyDescent="0.3">
      <c r="B113" s="41"/>
    </row>
    <row r="114" spans="2:2" x14ac:dyDescent="0.3">
      <c r="B114" s="41"/>
    </row>
    <row r="115" spans="2:2" x14ac:dyDescent="0.3">
      <c r="B115" s="41"/>
    </row>
    <row r="116" spans="2:2" x14ac:dyDescent="0.3">
      <c r="B116" s="41"/>
    </row>
    <row r="117" spans="2:2" x14ac:dyDescent="0.3">
      <c r="B117" s="41"/>
    </row>
    <row r="118" spans="2:2" x14ac:dyDescent="0.3">
      <c r="B118" s="41"/>
    </row>
    <row r="119" spans="2:2" x14ac:dyDescent="0.3">
      <c r="B119" s="41"/>
    </row>
    <row r="120" spans="2:2" x14ac:dyDescent="0.3">
      <c r="B120" s="41"/>
    </row>
    <row r="121" spans="2:2" x14ac:dyDescent="0.3">
      <c r="B121" s="41"/>
    </row>
    <row r="122" spans="2:2" x14ac:dyDescent="0.3">
      <c r="B122" s="41"/>
    </row>
    <row r="123" spans="2:2" x14ac:dyDescent="0.3">
      <c r="B123" s="41"/>
    </row>
    <row r="124" spans="2:2" x14ac:dyDescent="0.3">
      <c r="B124" s="41"/>
    </row>
    <row r="125" spans="2:2" x14ac:dyDescent="0.3">
      <c r="B125" s="41"/>
    </row>
    <row r="126" spans="2:2" x14ac:dyDescent="0.3">
      <c r="B126" s="41"/>
    </row>
    <row r="127" spans="2:2" x14ac:dyDescent="0.3">
      <c r="B127" s="41"/>
    </row>
    <row r="128" spans="2:2" x14ac:dyDescent="0.3">
      <c r="B128" s="41"/>
    </row>
    <row r="129" spans="2:2" x14ac:dyDescent="0.3">
      <c r="B129" s="41"/>
    </row>
    <row r="130" spans="2:2" x14ac:dyDescent="0.3">
      <c r="B130" s="41"/>
    </row>
    <row r="131" spans="2:2" x14ac:dyDescent="0.3">
      <c r="B131" s="41"/>
    </row>
    <row r="132" spans="2:2" x14ac:dyDescent="0.3">
      <c r="B132" s="41"/>
    </row>
    <row r="133" spans="2:2" x14ac:dyDescent="0.3">
      <c r="B133" s="41"/>
    </row>
  </sheetData>
  <mergeCells count="8">
    <mergeCell ref="K3:L3"/>
    <mergeCell ref="B68:C68"/>
    <mergeCell ref="B26:C26"/>
    <mergeCell ref="B14:C14"/>
    <mergeCell ref="B2:C2"/>
    <mergeCell ref="B37:C37"/>
    <mergeCell ref="B45:C45"/>
    <mergeCell ref="B57:C57"/>
  </mergeCells>
  <pageMargins left="0.70866141732283472" right="0.70866141732283472" top="0.94488188976377963" bottom="0.15748031496062992" header="0.11811023622047245" footer="0.11811023622047245"/>
  <pageSetup scale="85" fitToHeight="2" orientation="portrait" r:id="rId1"/>
  <headerFooter>
    <oddFooter>&amp;L&amp;Z&amp;F</oddFooter>
  </headerFooter>
  <rowBreaks count="1" manualBreakCount="1">
    <brk id="43" max="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selection activeCell="F20" sqref="F20"/>
    </sheetView>
  </sheetViews>
  <sheetFormatPr defaultRowHeight="15" x14ac:dyDescent="0.25"/>
  <cols>
    <col min="1" max="1" width="20.85546875" customWidth="1"/>
    <col min="2" max="2" width="14.7109375" customWidth="1"/>
    <col min="3" max="3" width="12.140625" customWidth="1"/>
    <col min="4" max="4" width="15.42578125" customWidth="1"/>
    <col min="5" max="5" width="16.28515625" customWidth="1"/>
    <col min="6" max="6" width="24.42578125" bestFit="1" customWidth="1"/>
    <col min="8" max="9" width="12.28515625" customWidth="1"/>
  </cols>
  <sheetData>
    <row r="1" spans="1:9" ht="18" x14ac:dyDescent="0.25">
      <c r="A1" s="1" t="s">
        <v>30</v>
      </c>
      <c r="B1" s="2"/>
      <c r="C1" s="2"/>
      <c r="D1" s="2"/>
      <c r="E1" s="2"/>
      <c r="F1" s="2"/>
      <c r="G1" s="2"/>
    </row>
    <row r="2" spans="1:9" ht="18" x14ac:dyDescent="0.25">
      <c r="A2" s="1"/>
      <c r="B2" s="2"/>
      <c r="C2" s="2"/>
      <c r="D2" s="2"/>
      <c r="E2" s="2"/>
      <c r="F2" s="2"/>
      <c r="G2" s="2"/>
    </row>
    <row r="3" spans="1:9" x14ac:dyDescent="0.25">
      <c r="A3" s="83" t="s">
        <v>31</v>
      </c>
      <c r="B3" s="84"/>
      <c r="C3">
        <v>3</v>
      </c>
      <c r="D3" s="82" t="s">
        <v>29</v>
      </c>
      <c r="E3" s="82"/>
      <c r="F3" s="2"/>
      <c r="G3" s="2"/>
    </row>
    <row r="4" spans="1:9" ht="15.75" thickBot="1" x14ac:dyDescent="0.3">
      <c r="A4" s="2"/>
      <c r="B4" s="3"/>
      <c r="C4" s="2"/>
      <c r="D4" s="2"/>
      <c r="E4" s="2"/>
      <c r="F4" s="2"/>
      <c r="G4" s="2"/>
    </row>
    <row r="5" spans="1:9" ht="17.25" thickBot="1" x14ac:dyDescent="0.35">
      <c r="A5" s="85" t="s">
        <v>32</v>
      </c>
      <c r="B5" s="87" t="s">
        <v>2</v>
      </c>
      <c r="C5" s="89" t="s">
        <v>13</v>
      </c>
      <c r="D5" s="89" t="s">
        <v>33</v>
      </c>
      <c r="E5" s="91" t="s">
        <v>34</v>
      </c>
      <c r="F5" s="2"/>
      <c r="G5" s="2"/>
      <c r="H5" s="78" t="s">
        <v>57</v>
      </c>
      <c r="I5" s="79"/>
    </row>
    <row r="6" spans="1:9" x14ac:dyDescent="0.25">
      <c r="A6" s="86"/>
      <c r="B6" s="88"/>
      <c r="C6" s="90"/>
      <c r="D6" s="90"/>
      <c r="E6" s="91"/>
      <c r="F6" s="2"/>
      <c r="G6" s="2"/>
    </row>
    <row r="7" spans="1:9" ht="16.5" x14ac:dyDescent="0.3">
      <c r="A7" s="46" t="s">
        <v>17</v>
      </c>
      <c r="B7" s="56" t="s">
        <v>13</v>
      </c>
      <c r="C7" s="37">
        <v>325344.75</v>
      </c>
      <c r="D7" s="39">
        <f>+D20</f>
        <v>-169933.4171429011</v>
      </c>
      <c r="E7" s="47">
        <f>+D7/C7/$C$3</f>
        <v>-0.17410599796359719</v>
      </c>
      <c r="F7" s="2" t="str">
        <f t="shared" ref="F7:F12" si="0">IF(B7="", "", IF(B7="# of Customers", "per customer per month", "$/"&amp;B7))</f>
        <v>per customer per month</v>
      </c>
      <c r="G7" s="2"/>
      <c r="H7" s="66">
        <f>ROUND(E7,2)</f>
        <v>-0.17</v>
      </c>
    </row>
    <row r="8" spans="1:9" ht="27" x14ac:dyDescent="0.3">
      <c r="A8" s="46" t="s">
        <v>18</v>
      </c>
      <c r="B8" s="56" t="s">
        <v>13</v>
      </c>
      <c r="C8" s="37">
        <v>32401.833333333332</v>
      </c>
      <c r="D8" s="39">
        <f t="shared" ref="D8:D11" si="1">+D21</f>
        <v>-65007.908106265306</v>
      </c>
      <c r="E8" s="47">
        <f t="shared" ref="E8:E13" si="2">+D8/C8/$C$3</f>
        <v>-0.66876779715412515</v>
      </c>
      <c r="F8" s="2" t="str">
        <f t="shared" si="0"/>
        <v>per customer per month</v>
      </c>
      <c r="G8" s="2"/>
      <c r="H8" s="66">
        <f t="shared" ref="H8:H13" si="3">ROUND(E8,2)</f>
        <v>-0.67</v>
      </c>
    </row>
    <row r="9" spans="1:9" ht="27" x14ac:dyDescent="0.3">
      <c r="A9" s="46" t="s">
        <v>19</v>
      </c>
      <c r="B9" s="56" t="s">
        <v>13</v>
      </c>
      <c r="C9" s="37">
        <v>4964.666666666667</v>
      </c>
      <c r="D9" s="39">
        <f t="shared" si="1"/>
        <v>-286475.84783229232</v>
      </c>
      <c r="E9" s="77">
        <f>+D9/C9/12</f>
        <v>-4.808578082319932</v>
      </c>
      <c r="F9" s="2" t="str">
        <f t="shared" si="0"/>
        <v>per customer per month</v>
      </c>
      <c r="G9" s="2"/>
      <c r="H9" s="66">
        <f t="shared" si="3"/>
        <v>-4.8099999999999996</v>
      </c>
    </row>
    <row r="10" spans="1:9" ht="16.5" x14ac:dyDescent="0.3">
      <c r="A10" s="46" t="s">
        <v>20</v>
      </c>
      <c r="B10" s="56" t="s">
        <v>13</v>
      </c>
      <c r="C10" s="37">
        <v>2</v>
      </c>
      <c r="D10" s="39">
        <f t="shared" si="1"/>
        <v>-4790.6768531234939</v>
      </c>
      <c r="E10" s="47">
        <f t="shared" si="2"/>
        <v>-798.44614218724894</v>
      </c>
      <c r="F10" s="2" t="str">
        <f t="shared" si="0"/>
        <v>per customer per month</v>
      </c>
      <c r="G10" s="2"/>
      <c r="H10" s="66">
        <f t="shared" si="3"/>
        <v>-798.45</v>
      </c>
    </row>
    <row r="11" spans="1:9" ht="27" x14ac:dyDescent="0.3">
      <c r="A11" s="46" t="s">
        <v>21</v>
      </c>
      <c r="B11" s="56" t="s">
        <v>13</v>
      </c>
      <c r="C11" s="37">
        <v>2976.25</v>
      </c>
      <c r="D11" s="39">
        <f t="shared" si="1"/>
        <v>-886.92643271255236</v>
      </c>
      <c r="E11" s="47">
        <f t="shared" si="2"/>
        <v>-9.9333773788330096E-2</v>
      </c>
      <c r="F11" s="2" t="str">
        <f t="shared" si="0"/>
        <v>per customer per month</v>
      </c>
      <c r="G11" s="2"/>
      <c r="H11" s="66">
        <f t="shared" si="3"/>
        <v>-0.1</v>
      </c>
    </row>
    <row r="12" spans="1:9" ht="16.5" x14ac:dyDescent="0.3">
      <c r="A12" s="46" t="s">
        <v>22</v>
      </c>
      <c r="B12" s="56" t="s">
        <v>13</v>
      </c>
      <c r="C12" s="37">
        <v>208.5</v>
      </c>
      <c r="D12" s="39">
        <f>D26</f>
        <v>-23.666094562084329</v>
      </c>
      <c r="E12" s="47">
        <f t="shared" si="2"/>
        <v>-3.7835482913004523E-2</v>
      </c>
      <c r="F12" s="2" t="str">
        <f t="shared" si="0"/>
        <v>per customer per month</v>
      </c>
      <c r="G12" s="2"/>
      <c r="H12" s="66">
        <f t="shared" si="3"/>
        <v>-0.04</v>
      </c>
    </row>
    <row r="13" spans="1:9" ht="16.5" x14ac:dyDescent="0.3">
      <c r="A13" s="46" t="s">
        <v>23</v>
      </c>
      <c r="B13" s="57" t="s">
        <v>43</v>
      </c>
      <c r="C13" s="37">
        <v>88126.083333333328</v>
      </c>
      <c r="D13" s="39">
        <f>D25</f>
        <v>-2983.5575381431413</v>
      </c>
      <c r="E13" s="47">
        <f t="shared" si="2"/>
        <v>-1.1285185290935021E-2</v>
      </c>
      <c r="F13" s="2" t="s">
        <v>42</v>
      </c>
      <c r="G13" s="2"/>
      <c r="H13" s="66">
        <f t="shared" si="3"/>
        <v>-0.01</v>
      </c>
    </row>
    <row r="14" spans="1:9" x14ac:dyDescent="0.25">
      <c r="A14" s="9" t="s">
        <v>5</v>
      </c>
      <c r="B14" s="10"/>
      <c r="C14" s="11">
        <f>SUM(C7:C13)</f>
        <v>454024.08333333331</v>
      </c>
      <c r="D14" s="48">
        <f>SUM(D7:D13)</f>
        <v>-530102</v>
      </c>
      <c r="E14" s="9"/>
      <c r="F14" s="2"/>
      <c r="G14" s="2"/>
    </row>
    <row r="15" spans="1:9" ht="16.5" x14ac:dyDescent="0.3">
      <c r="A15" s="94" t="s">
        <v>59</v>
      </c>
      <c r="B15" s="99"/>
      <c r="C15" s="99"/>
    </row>
    <row r="16" spans="1:9" x14ac:dyDescent="0.25">
      <c r="A16" s="29" t="s">
        <v>35</v>
      </c>
    </row>
    <row r="17" spans="1:5" x14ac:dyDescent="0.25">
      <c r="A17" s="29"/>
    </row>
    <row r="18" spans="1:5" x14ac:dyDescent="0.25">
      <c r="A18" s="49" t="s">
        <v>36</v>
      </c>
      <c r="B18" s="49"/>
      <c r="C18" s="49"/>
      <c r="D18" s="49"/>
      <c r="E18" s="50"/>
    </row>
    <row r="19" spans="1:5" ht="45" x14ac:dyDescent="0.25">
      <c r="A19" s="51" t="s">
        <v>32</v>
      </c>
      <c r="B19" s="51" t="s">
        <v>37</v>
      </c>
      <c r="C19" s="51" t="s">
        <v>38</v>
      </c>
      <c r="D19" s="51" t="s">
        <v>39</v>
      </c>
    </row>
    <row r="20" spans="1:5" x14ac:dyDescent="0.25">
      <c r="A20" s="31" t="s">
        <v>17</v>
      </c>
      <c r="B20" s="52">
        <v>2714896669.8675518</v>
      </c>
      <c r="C20" s="53">
        <v>0.32056739484646557</v>
      </c>
      <c r="D20" s="54">
        <f>+C20*$D$28</f>
        <v>-169933.4171429011</v>
      </c>
    </row>
    <row r="21" spans="1:5" ht="30" x14ac:dyDescent="0.25">
      <c r="A21" s="31" t="s">
        <v>18</v>
      </c>
      <c r="B21" s="52">
        <v>1038581793.976055</v>
      </c>
      <c r="C21" s="53">
        <v>0.12263282935409658</v>
      </c>
      <c r="D21" s="54">
        <f t="shared" ref="D21:D27" si="4">+C21*$D$28</f>
        <v>-65007.908106265306</v>
      </c>
    </row>
    <row r="22" spans="1:5" ht="30" x14ac:dyDescent="0.25">
      <c r="A22" s="31" t="s">
        <v>19</v>
      </c>
      <c r="B22" s="52">
        <v>4576806247.7278576</v>
      </c>
      <c r="C22" s="53">
        <v>0.54041646293032719</v>
      </c>
      <c r="D22" s="54">
        <f t="shared" si="4"/>
        <v>-286475.84783229232</v>
      </c>
    </row>
    <row r="23" spans="1:5" x14ac:dyDescent="0.25">
      <c r="A23" s="31" t="s">
        <v>20</v>
      </c>
      <c r="B23" s="52">
        <v>76536992.273975864</v>
      </c>
      <c r="C23" s="53">
        <v>9.0372736815244881E-3</v>
      </c>
      <c r="D23" s="54">
        <f t="shared" si="4"/>
        <v>-4790.6768531234939</v>
      </c>
    </row>
    <row r="24" spans="1:5" ht="30" x14ac:dyDescent="0.25">
      <c r="A24" s="31" t="s">
        <v>21</v>
      </c>
      <c r="B24" s="52">
        <v>14169747.534494311</v>
      </c>
      <c r="C24" s="53">
        <v>1.6731241019889613E-3</v>
      </c>
      <c r="D24" s="54">
        <f t="shared" si="4"/>
        <v>-886.92643271255236</v>
      </c>
    </row>
    <row r="25" spans="1:5" x14ac:dyDescent="0.25">
      <c r="A25" s="31" t="s">
        <v>22</v>
      </c>
      <c r="B25" s="52">
        <v>47666024.498592407</v>
      </c>
      <c r="C25" s="53">
        <v>5.6282706689337924E-3</v>
      </c>
      <c r="D25" s="54">
        <f t="shared" si="4"/>
        <v>-2983.5575381431413</v>
      </c>
    </row>
    <row r="26" spans="1:5" x14ac:dyDescent="0.25">
      <c r="A26" s="31" t="s">
        <v>23</v>
      </c>
      <c r="B26" s="52">
        <v>378095.15276999999</v>
      </c>
      <c r="C26" s="53">
        <v>4.4644416663367289E-5</v>
      </c>
      <c r="D26" s="54">
        <f t="shared" si="4"/>
        <v>-23.666094562084329</v>
      </c>
    </row>
    <row r="27" spans="1:5" x14ac:dyDescent="0.25">
      <c r="A27" s="31"/>
      <c r="B27" s="52">
        <f>SUM(B20:B26)</f>
        <v>8469035571.0312977</v>
      </c>
      <c r="C27" s="53">
        <f>SUM(C20:C26)</f>
        <v>1</v>
      </c>
      <c r="D27" s="54">
        <f t="shared" si="4"/>
        <v>-530102</v>
      </c>
    </row>
    <row r="28" spans="1:5" x14ac:dyDescent="0.25">
      <c r="A28" s="30" t="s">
        <v>40</v>
      </c>
      <c r="B28" s="30"/>
      <c r="C28" s="30"/>
      <c r="D28" s="55">
        <v>-530102</v>
      </c>
      <c r="E28" s="30"/>
    </row>
    <row r="29" spans="1:5" x14ac:dyDescent="0.25">
      <c r="A29" s="30"/>
      <c r="B29" s="30"/>
      <c r="C29" s="30"/>
      <c r="D29" s="55"/>
      <c r="E29" s="30"/>
    </row>
    <row r="30" spans="1:5" ht="54.75" customHeight="1" x14ac:dyDescent="0.25">
      <c r="A30" s="81" t="s">
        <v>41</v>
      </c>
      <c r="B30" s="81"/>
      <c r="C30" s="81"/>
      <c r="D30" s="81"/>
      <c r="E30" s="81"/>
    </row>
  </sheetData>
  <mergeCells count="9">
    <mergeCell ref="H5:I5"/>
    <mergeCell ref="A30:E30"/>
    <mergeCell ref="D3:E3"/>
    <mergeCell ref="A3:B3"/>
    <mergeCell ref="A5:A6"/>
    <mergeCell ref="B5:B6"/>
    <mergeCell ref="C5:C6"/>
    <mergeCell ref="D5:D6"/>
    <mergeCell ref="E5:E6"/>
  </mergeCells>
  <conditionalFormatting sqref="F7:F13">
    <cfRule type="cellIs" dxfId="3" priority="2" operator="equal">
      <formula>"$/kW"</formula>
    </cfRule>
  </conditionalFormatting>
  <conditionalFormatting sqref="B7:B13">
    <cfRule type="cellIs" dxfId="2" priority="1" operator="equal">
      <formula>"kW"</formula>
    </cfRule>
  </conditionalFormatting>
  <dataValidations count="1">
    <dataValidation type="list" allowBlank="1" showInputMessage="1" showErrorMessage="1" sqref="B7:B12">
      <formula1>"kWh, kW, # of Customers"</formula1>
    </dataValidation>
  </dataValidations>
  <pageMargins left="0.70866141732283472" right="0.70866141732283472" top="0.74803149606299213" bottom="0.74803149606299213" header="0.31496062992125984" footer="0.31496062992125984"/>
  <pageSetup scale="86" orientation="portrait" r:id="rId1"/>
  <headerFooter>
    <oddFooter xml:space="preserve">&amp;R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workbookViewId="0">
      <selection sqref="A1:F22"/>
    </sheetView>
  </sheetViews>
  <sheetFormatPr defaultRowHeight="15" x14ac:dyDescent="0.25"/>
  <cols>
    <col min="1" max="1" width="25.28515625" customWidth="1"/>
    <col min="2" max="2" width="13.42578125" customWidth="1"/>
    <col min="3" max="3" width="13.85546875" customWidth="1"/>
    <col min="4" max="4" width="13.5703125" customWidth="1"/>
    <col min="5" max="5" width="14.5703125" customWidth="1"/>
    <col min="6" max="6" width="22.85546875" bestFit="1" customWidth="1"/>
    <col min="8" max="9" width="13.42578125" customWidth="1"/>
  </cols>
  <sheetData>
    <row r="1" spans="1:9" ht="18" x14ac:dyDescent="0.25">
      <c r="A1" s="1" t="s">
        <v>44</v>
      </c>
      <c r="B1" s="2"/>
      <c r="C1" s="2"/>
      <c r="D1" s="2"/>
      <c r="E1" s="2"/>
      <c r="F1" s="2"/>
    </row>
    <row r="2" spans="1:9" ht="18" x14ac:dyDescent="0.25">
      <c r="A2" s="1"/>
      <c r="B2" s="2"/>
      <c r="C2" s="2"/>
      <c r="D2" s="2"/>
      <c r="E2" s="2"/>
      <c r="F2" s="2"/>
    </row>
    <row r="3" spans="1:9" x14ac:dyDescent="0.25">
      <c r="A3" s="83" t="s">
        <v>15</v>
      </c>
      <c r="B3" s="84"/>
      <c r="C3" s="13">
        <v>2</v>
      </c>
      <c r="D3" s="92" t="s">
        <v>28</v>
      </c>
      <c r="E3" s="82"/>
      <c r="F3" s="2"/>
    </row>
    <row r="4" spans="1:9" x14ac:dyDescent="0.25">
      <c r="A4" s="2"/>
      <c r="B4" s="3"/>
      <c r="C4" s="2"/>
      <c r="D4" s="2"/>
      <c r="E4" s="2"/>
      <c r="F4" s="2"/>
    </row>
    <row r="5" spans="1:9" ht="15.75" thickBot="1" x14ac:dyDescent="0.3">
      <c r="A5" s="85" t="s">
        <v>32</v>
      </c>
      <c r="B5" s="87" t="s">
        <v>2</v>
      </c>
      <c r="C5" s="89" t="s">
        <v>3</v>
      </c>
      <c r="D5" s="89" t="s">
        <v>45</v>
      </c>
      <c r="E5" s="91" t="s">
        <v>46</v>
      </c>
      <c r="F5" s="2"/>
    </row>
    <row r="6" spans="1:9" ht="17.25" thickBot="1" x14ac:dyDescent="0.35">
      <c r="A6" s="86"/>
      <c r="B6" s="88"/>
      <c r="C6" s="90"/>
      <c r="D6" s="90"/>
      <c r="E6" s="91"/>
      <c r="F6" s="2"/>
      <c r="H6" s="78" t="s">
        <v>57</v>
      </c>
      <c r="I6" s="79"/>
    </row>
    <row r="7" spans="1:9" ht="26.25" x14ac:dyDescent="0.25">
      <c r="A7" s="46" t="s">
        <v>17</v>
      </c>
      <c r="B7" s="56" t="s">
        <v>13</v>
      </c>
      <c r="C7" s="37">
        <v>325344.75</v>
      </c>
      <c r="D7" s="38">
        <f>+D16</f>
        <v>434724.46463066817</v>
      </c>
      <c r="E7" s="63">
        <f>IF(ISERROR(D7/C7), 0, IF(B7="# of Customers", D7/C7/12/$C$3, D7/C7/$C$3))</f>
        <v>5.5674847556664658E-2</v>
      </c>
      <c r="F7" s="2" t="str">
        <f t="shared" ref="F7:F9" si="0">IF(B7="", "", IF(B7="# of Customers", "per customer per month", "$/"&amp;B7))</f>
        <v>per customer per month</v>
      </c>
      <c r="H7">
        <f>ROUND(E7,2)</f>
        <v>0.06</v>
      </c>
    </row>
    <row r="8" spans="1:9" ht="27" x14ac:dyDescent="0.3">
      <c r="A8" s="46" t="s">
        <v>18</v>
      </c>
      <c r="B8" s="56" t="s">
        <v>13</v>
      </c>
      <c r="C8" s="37">
        <v>32401.833333333332</v>
      </c>
      <c r="D8" s="7">
        <f>+D17</f>
        <v>166303.53536933177</v>
      </c>
      <c r="E8" s="63">
        <f>IF(ISERROR(D8/C8), 0, IF(B8="# of Customers", D8/C8/12/$C$3, D8/C8/$C$3))</f>
        <v>0.2138556143548099</v>
      </c>
      <c r="F8" s="2" t="str">
        <f t="shared" si="0"/>
        <v>per customer per month</v>
      </c>
      <c r="H8" s="66">
        <f>ROUND(E8,2)</f>
        <v>0.21</v>
      </c>
    </row>
    <row r="9" spans="1:9" x14ac:dyDescent="0.25">
      <c r="A9" s="4"/>
      <c r="B9" s="5"/>
      <c r="C9" s="6"/>
      <c r="D9" s="7"/>
      <c r="E9" s="8"/>
      <c r="F9" s="2" t="str">
        <f t="shared" si="0"/>
        <v/>
      </c>
    </row>
    <row r="10" spans="1:9" x14ac:dyDescent="0.25">
      <c r="A10" s="9" t="s">
        <v>5</v>
      </c>
      <c r="B10" s="10"/>
      <c r="C10" s="11"/>
      <c r="D10" s="12">
        <f>SUM(D7:D9)</f>
        <v>601028</v>
      </c>
      <c r="E10" s="9"/>
      <c r="F10" s="2"/>
    </row>
    <row r="11" spans="1:9" x14ac:dyDescent="0.25">
      <c r="A11" s="29" t="s">
        <v>35</v>
      </c>
    </row>
    <row r="12" spans="1:9" x14ac:dyDescent="0.25">
      <c r="A12" s="29"/>
    </row>
    <row r="13" spans="1:9" x14ac:dyDescent="0.25">
      <c r="A13" s="58" t="s">
        <v>47</v>
      </c>
      <c r="B13" s="59"/>
    </row>
    <row r="14" spans="1:9" x14ac:dyDescent="0.25">
      <c r="A14" s="58"/>
      <c r="B14" s="59"/>
    </row>
    <row r="15" spans="1:9" ht="60" x14ac:dyDescent="0.25">
      <c r="A15" s="24" t="s">
        <v>48</v>
      </c>
      <c r="B15" s="51" t="s">
        <v>49</v>
      </c>
      <c r="C15" s="24" t="s">
        <v>50</v>
      </c>
      <c r="D15" s="60" t="s">
        <v>51</v>
      </c>
    </row>
    <row r="16" spans="1:9" x14ac:dyDescent="0.25">
      <c r="A16" s="17" t="s">
        <v>52</v>
      </c>
      <c r="B16" s="61">
        <v>2714896669.8675518</v>
      </c>
      <c r="C16" s="53">
        <f>+B16/B18</f>
        <v>0.72330151778397711</v>
      </c>
      <c r="D16" s="54">
        <f>+C16*$D$19</f>
        <v>434724.46463066817</v>
      </c>
    </row>
    <row r="17" spans="1:5" ht="30" x14ac:dyDescent="0.25">
      <c r="A17" s="31" t="s">
        <v>53</v>
      </c>
      <c r="B17" s="61">
        <v>1038581793.976055</v>
      </c>
      <c r="C17" s="53">
        <f>+B17/B18</f>
        <v>0.27669848221602283</v>
      </c>
      <c r="D17" s="54">
        <f>+C17*$D$19</f>
        <v>166303.53536933177</v>
      </c>
    </row>
    <row r="18" spans="1:5" x14ac:dyDescent="0.25">
      <c r="A18" s="17" t="s">
        <v>54</v>
      </c>
      <c r="B18" s="61">
        <f>SUM(B16:B17)</f>
        <v>3753478463.8436069</v>
      </c>
      <c r="C18" s="53">
        <f>SUM(C16:C17)</f>
        <v>1</v>
      </c>
      <c r="D18" s="54">
        <f>SUM(D16:D17)</f>
        <v>601028</v>
      </c>
    </row>
    <row r="19" spans="1:5" x14ac:dyDescent="0.25">
      <c r="A19" t="s">
        <v>56</v>
      </c>
      <c r="D19" s="62">
        <v>601028</v>
      </c>
    </row>
    <row r="20" spans="1:5" x14ac:dyDescent="0.25">
      <c r="D20" s="62"/>
    </row>
    <row r="21" spans="1:5" ht="61.5" customHeight="1" x14ac:dyDescent="0.25">
      <c r="A21" s="81" t="s">
        <v>55</v>
      </c>
      <c r="B21" s="81"/>
      <c r="C21" s="81"/>
      <c r="D21" s="81"/>
      <c r="E21" s="81"/>
    </row>
  </sheetData>
  <mergeCells count="9">
    <mergeCell ref="H6:I6"/>
    <mergeCell ref="A21:E21"/>
    <mergeCell ref="D3:E3"/>
    <mergeCell ref="A3:B3"/>
    <mergeCell ref="A5:A6"/>
    <mergeCell ref="B5:B6"/>
    <mergeCell ref="C5:C6"/>
    <mergeCell ref="D5:D6"/>
    <mergeCell ref="E5:E6"/>
  </mergeCells>
  <conditionalFormatting sqref="F7:F9">
    <cfRule type="cellIs" dxfId="1" priority="2" operator="equal">
      <formula>"$/kW"</formula>
    </cfRule>
  </conditionalFormatting>
  <conditionalFormatting sqref="B7:B9">
    <cfRule type="cellIs" dxfId="0" priority="1" operator="equal">
      <formula>"kW"</formula>
    </cfRule>
  </conditionalFormatting>
  <dataValidations count="2">
    <dataValidation type="list" allowBlank="1" showInputMessage="1" showErrorMessage="1" sqref="C3">
      <formula1>"1,2,3,4,5"</formula1>
    </dataValidation>
    <dataValidation type="list" allowBlank="1" showInputMessage="1" showErrorMessage="1" sqref="B7:B9">
      <formula1>"kWh, kW, # of Customers"</formula1>
    </dataValidation>
  </dataValidations>
  <pageMargins left="0.70866141732283472" right="0.70866141732283472" top="0.74803149606299213" bottom="0.74803149606299213" header="0.31496062992125984" footer="0.31496062992125984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DVA Model</vt:lpstr>
      <vt:lpstr>1536</vt:lpstr>
      <vt:lpstr>1555</vt:lpstr>
      <vt:lpstr>'1536'!Print_Area</vt:lpstr>
      <vt:lpstr>'1555'!Print_Area</vt:lpstr>
      <vt:lpstr>'DVA Model'!Print_Area</vt:lpstr>
    </vt:vector>
  </TitlesOfParts>
  <Company>PowerStream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Barrett</dc:creator>
  <cp:lastModifiedBy>Tom Barrett</cp:lastModifiedBy>
  <cp:lastPrinted>2016-09-12T15:56:01Z</cp:lastPrinted>
  <dcterms:created xsi:type="dcterms:W3CDTF">2016-09-09T17:21:20Z</dcterms:created>
  <dcterms:modified xsi:type="dcterms:W3CDTF">2016-09-12T15:57:51Z</dcterms:modified>
</cp:coreProperties>
</file>