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640" activeTab="7"/>
  </bookViews>
  <sheets>
    <sheet name="Summary Tables" sheetId="15" r:id="rId1"/>
    <sheet name="Residential" sheetId="1" r:id="rId2"/>
    <sheet name="GS&lt;50" sheetId="9" r:id="rId3"/>
    <sheet name="GS&gt;50" sheetId="10" r:id="rId4"/>
    <sheet name="LU" sheetId="11" r:id="rId5"/>
    <sheet name="USL" sheetId="12" r:id="rId6"/>
    <sheet name="Sentinel" sheetId="13" r:id="rId7"/>
    <sheet name="SL" sheetId="14" r:id="rId8"/>
    <sheet name="Res - Summary" sheetId="18" r:id="rId9"/>
    <sheet name="100" sheetId="17" r:id="rId10"/>
    <sheet name="250" sheetId="19" r:id="rId11"/>
    <sheet name="10th Percentile" sheetId="35" r:id="rId12"/>
    <sheet name="500" sheetId="20" r:id="rId13"/>
    <sheet name="1000" sheetId="21" r:id="rId14"/>
    <sheet name="1500" sheetId="22" r:id="rId15"/>
    <sheet name="2000" sheetId="23" r:id="rId16"/>
    <sheet name="GS&lt;50 - Summary" sheetId="24" r:id="rId17"/>
    <sheet name="GS1000" sheetId="25" r:id="rId18"/>
    <sheet name="GS3000" sheetId="26" r:id="rId19"/>
    <sheet name="GS5000" sheetId="27" r:id="rId20"/>
    <sheet name="GS10000" sheetId="28" r:id="rId21"/>
    <sheet name="GS15000" sheetId="29" r:id="rId22"/>
    <sheet name="GS&gt;50 - Summary" sheetId="30" r:id="rId23"/>
    <sheet name="GSG60" sheetId="31" r:id="rId24"/>
    <sheet name="GSG100" sheetId="32" r:id="rId25"/>
    <sheet name="GSG500" sheetId="33" r:id="rId26"/>
    <sheet name="GSG1000" sheetId="34" r:id="rId27"/>
  </sheets>
  <externalReferences>
    <externalReference r:id="rId28"/>
    <externalReference r:id="rId29"/>
    <externalReference r:id="rId30"/>
    <externalReference r:id="rId31"/>
  </externalReferences>
  <definedNames>
    <definedName name="EBNUMBER">'[1]LDC Info'!$E$16</definedName>
    <definedName name="GSL_current">'[2]PS Bill Impacts'!$AD$60:$AJ$65</definedName>
    <definedName name="GSL_kW">'[2]PS Bill Impacts'!$AD$58:$AJ$58</definedName>
    <definedName name="GSL_kWh">'[2]PS Bill Impacts'!$AB$60:$AB$65</definedName>
    <definedName name="GSL_new">'[2]PS Bill Impacts'!$AD$71:$AJ$76</definedName>
    <definedName name="LU_Current">'[2]PS Bill Impacts'!$AQ$60:$AW$65</definedName>
    <definedName name="LU_kW">'[2]PS Bill Impacts'!$AQ$58:$AW$58</definedName>
    <definedName name="LU_kWh">'[2]PS Bill Impacts'!$AO$60:$AO$65</definedName>
    <definedName name="LU_New">'[2]PS Bill Impacts'!$AQ$71:$AW$76</definedName>
    <definedName name="_xlnm.Print_Area" localSheetId="9">'100'!$A$1:$S$73</definedName>
    <definedName name="_xlnm.Print_Area" localSheetId="13">'1000'!$A$1:$T$73</definedName>
    <definedName name="_xlnm.Print_Area" localSheetId="11">'10th Percentile'!$A$1:$T$73</definedName>
    <definedName name="_xlnm.Print_Area" localSheetId="14">'1500'!$A$1:$T$73</definedName>
    <definedName name="_xlnm.Print_Area" localSheetId="15">'2000'!$A$1:$T$73</definedName>
    <definedName name="_xlnm.Print_Area" localSheetId="10">'250'!$A$1:$S$73</definedName>
    <definedName name="_xlnm.Print_Area" localSheetId="12">'500'!$A$1:$T$73</definedName>
    <definedName name="_xlnm.Print_Area" localSheetId="2">'GS&lt;50'!$B$1:$T$74</definedName>
    <definedName name="_xlnm.Print_Area" localSheetId="16">'GS&lt;50 - Summary'!$B$41:$G$62</definedName>
    <definedName name="_xlnm.Print_Area" localSheetId="3">'GS&gt;50'!$B$1:$S$77</definedName>
    <definedName name="_xlnm.Print_Area" localSheetId="22">'GS&gt;50 - Summary'!$B$41:$G$62</definedName>
    <definedName name="_xlnm.Print_Area" localSheetId="17">'GS1000'!$A$1:$T$73</definedName>
    <definedName name="_xlnm.Print_Area" localSheetId="18">'GS3000'!$B$4:$S$73</definedName>
    <definedName name="_xlnm.Print_Area" localSheetId="4">LU!$B$1:$S$77</definedName>
    <definedName name="_xlnm.Print_Area" localSheetId="8">'Res - Summary'!$B$44:$G$67</definedName>
    <definedName name="_xlnm.Print_Area" localSheetId="1">Residential!$A$1:$T$74</definedName>
    <definedName name="_xlnm.Print_Area" localSheetId="6">Sentinel!$B$1:$T$77</definedName>
    <definedName name="_xlnm.Print_Area" localSheetId="7">SL!$B$10:$T$77</definedName>
    <definedName name="_xlnm.Print_Area" localSheetId="0">'Summary Tables'!$B$41:$I$62</definedName>
    <definedName name="_xlnm.Print_Area" localSheetId="5">USL!$B$1:$S$76</definedName>
    <definedName name="_xlnm.Print_Titles" localSheetId="0">'Summary Tables'!$B:$E</definedName>
    <definedName name="SENT_Current">'[2]PS Bill Impacts'!$BQ$60:$BW$63</definedName>
    <definedName name="SENT_kW">'[2]PS Bill Impacts'!$BQ$58:$BU$58</definedName>
    <definedName name="SENT_kWh">'[2]PS Bill Impacts'!$BO$60:$BO$63</definedName>
    <definedName name="SENT_New">'[2]PS Bill Impacts'!$BQ$71:$BW$74</definedName>
    <definedName name="SL_Current">'[2]PS Bill Impacts'!$CD$60:$CJ$64</definedName>
    <definedName name="SL_kW">'[2]PS Bill Impacts'!$CD$58:$CI$58</definedName>
    <definedName name="SL_kWh">'[2]PS Bill Impacts'!$CB$60:$CB$64</definedName>
    <definedName name="SL_New">'[2]PS Bill Impacts'!$CC$71:$CJ$75</definedName>
    <definedName name="Utility">[2]Inputs!$C$5</definedName>
  </definedNames>
  <calcPr calcId="145621"/>
</workbook>
</file>

<file path=xl/calcChain.xml><?xml version="1.0" encoding="utf-8"?>
<calcChain xmlns="http://schemas.openxmlformats.org/spreadsheetml/2006/main">
  <c r="E31" i="14" l="1"/>
  <c r="E31" i="12"/>
  <c r="S73" i="34" l="1"/>
  <c r="R73" i="34"/>
  <c r="M73" i="34"/>
  <c r="L73" i="34"/>
  <c r="S67" i="34"/>
  <c r="R67" i="34"/>
  <c r="M67" i="34"/>
  <c r="L67" i="34"/>
  <c r="I62" i="34"/>
  <c r="J62" i="34" s="1"/>
  <c r="G62" i="34"/>
  <c r="M62" i="34" s="1"/>
  <c r="P61" i="34"/>
  <c r="O61" i="34"/>
  <c r="J61" i="34"/>
  <c r="E61" i="34"/>
  <c r="G61" i="34" s="1"/>
  <c r="I60" i="34"/>
  <c r="O60" i="34" s="1"/>
  <c r="F60" i="34"/>
  <c r="I59" i="34"/>
  <c r="O59" i="34" s="1"/>
  <c r="F59" i="34"/>
  <c r="I58" i="34"/>
  <c r="O58" i="34" s="1"/>
  <c r="F58" i="34"/>
  <c r="J57" i="34"/>
  <c r="E57" i="34"/>
  <c r="P57" i="34" s="1"/>
  <c r="R56" i="34"/>
  <c r="P56" i="34"/>
  <c r="J56" i="34"/>
  <c r="G56" i="34"/>
  <c r="P55" i="34"/>
  <c r="H55" i="34"/>
  <c r="H54" i="34"/>
  <c r="P54" i="34" s="1"/>
  <c r="A52" i="34"/>
  <c r="O52" i="34" s="1"/>
  <c r="E51" i="34"/>
  <c r="E52" i="34" s="1"/>
  <c r="A51" i="34"/>
  <c r="O51" i="34" s="1"/>
  <c r="S49" i="34"/>
  <c r="P49" i="34"/>
  <c r="R49" i="34" s="1"/>
  <c r="G49" i="34"/>
  <c r="L49" i="34" s="1"/>
  <c r="J48" i="34"/>
  <c r="H48" i="34"/>
  <c r="P48" i="34" s="1"/>
  <c r="G48" i="34"/>
  <c r="M48" i="34" s="1"/>
  <c r="E48" i="34"/>
  <c r="E60" i="34" s="1"/>
  <c r="J60" i="34" s="1"/>
  <c r="E47" i="34"/>
  <c r="A47" i="34"/>
  <c r="F47" i="34" s="1"/>
  <c r="O46" i="34"/>
  <c r="I46" i="34"/>
  <c r="F46" i="34"/>
  <c r="S45" i="34"/>
  <c r="O45" i="34"/>
  <c r="P45" i="34" s="1"/>
  <c r="R45" i="34" s="1"/>
  <c r="I45" i="34"/>
  <c r="F45" i="34"/>
  <c r="E44" i="34"/>
  <c r="B44" i="34"/>
  <c r="A44" i="34"/>
  <c r="E43" i="34"/>
  <c r="B43" i="34"/>
  <c r="A43" i="34"/>
  <c r="E42" i="34"/>
  <c r="B42" i="34"/>
  <c r="A42" i="34"/>
  <c r="E41" i="34"/>
  <c r="B41" i="34"/>
  <c r="A41" i="34"/>
  <c r="E40" i="34"/>
  <c r="G40" i="34" s="1"/>
  <c r="M40" i="34" s="1"/>
  <c r="A40" i="34"/>
  <c r="O38" i="34"/>
  <c r="P38" i="34" s="1"/>
  <c r="I38" i="34"/>
  <c r="J38" i="34" s="1"/>
  <c r="F38" i="34"/>
  <c r="G38" i="34" s="1"/>
  <c r="M38" i="34" s="1"/>
  <c r="A37" i="34"/>
  <c r="B36" i="34"/>
  <c r="A36" i="34"/>
  <c r="E35" i="34"/>
  <c r="B35" i="34"/>
  <c r="A35" i="34"/>
  <c r="E34" i="34"/>
  <c r="B34" i="34"/>
  <c r="A34" i="34"/>
  <c r="E33" i="34"/>
  <c r="B33" i="34"/>
  <c r="A33" i="34"/>
  <c r="E32" i="34"/>
  <c r="A32" i="34"/>
  <c r="O32" i="34" s="1"/>
  <c r="O31" i="34"/>
  <c r="F31" i="34"/>
  <c r="G31" i="34" s="1"/>
  <c r="M31" i="34" s="1"/>
  <c r="E31" i="34"/>
  <c r="O30" i="34"/>
  <c r="I30" i="34"/>
  <c r="F30" i="34"/>
  <c r="E30" i="34"/>
  <c r="E29" i="34"/>
  <c r="E37" i="34" s="1"/>
  <c r="A29" i="34"/>
  <c r="O28" i="34"/>
  <c r="P28" i="34" s="1"/>
  <c r="I28" i="34"/>
  <c r="J28" i="34" s="1"/>
  <c r="F28" i="34"/>
  <c r="G28" i="34" s="1"/>
  <c r="M28" i="34" s="1"/>
  <c r="O27" i="34"/>
  <c r="P27" i="34" s="1"/>
  <c r="F27" i="34"/>
  <c r="G27" i="34" s="1"/>
  <c r="M27" i="34" s="1"/>
  <c r="A26" i="34"/>
  <c r="O26" i="34" s="1"/>
  <c r="P26" i="34" s="1"/>
  <c r="A25" i="34"/>
  <c r="F25" i="34" s="1"/>
  <c r="G25" i="34" s="1"/>
  <c r="O24" i="34"/>
  <c r="P24" i="34" s="1"/>
  <c r="I24" i="34"/>
  <c r="J24" i="34" s="1"/>
  <c r="F24" i="34"/>
  <c r="G24" i="34" s="1"/>
  <c r="M24" i="34" s="1"/>
  <c r="A23" i="34"/>
  <c r="I23" i="34" s="1"/>
  <c r="J23" i="34" s="1"/>
  <c r="R20" i="34"/>
  <c r="O20" i="34"/>
  <c r="L20" i="34"/>
  <c r="I20" i="34"/>
  <c r="S73" i="33"/>
  <c r="R73" i="33"/>
  <c r="M73" i="33"/>
  <c r="L73" i="33"/>
  <c r="S67" i="33"/>
  <c r="R67" i="33"/>
  <c r="M67" i="33"/>
  <c r="L67" i="33"/>
  <c r="J62" i="33"/>
  <c r="S62" i="33" s="1"/>
  <c r="I62" i="33"/>
  <c r="O62" i="33" s="1"/>
  <c r="P62" i="33" s="1"/>
  <c r="R62" i="33" s="1"/>
  <c r="G62" i="33"/>
  <c r="M62" i="33" s="1"/>
  <c r="O61" i="33"/>
  <c r="P61" i="33" s="1"/>
  <c r="L61" i="33"/>
  <c r="J61" i="33"/>
  <c r="G61" i="33"/>
  <c r="M61" i="33" s="1"/>
  <c r="E61" i="33"/>
  <c r="F60" i="33"/>
  <c r="I60" i="33" s="1"/>
  <c r="O60" i="33" s="1"/>
  <c r="F59" i="33"/>
  <c r="I59" i="33" s="1"/>
  <c r="O59" i="33" s="1"/>
  <c r="F58" i="33"/>
  <c r="I58" i="33" s="1"/>
  <c r="O58" i="33" s="1"/>
  <c r="P57" i="33"/>
  <c r="R57" i="33" s="1"/>
  <c r="S57" i="33" s="1"/>
  <c r="L57" i="33"/>
  <c r="J57" i="33"/>
  <c r="G57" i="33"/>
  <c r="M57" i="33" s="1"/>
  <c r="E57" i="33"/>
  <c r="P56" i="33"/>
  <c r="R56" i="33" s="1"/>
  <c r="S56" i="33" s="1"/>
  <c r="L56" i="33"/>
  <c r="J56" i="33"/>
  <c r="G56" i="33"/>
  <c r="M56" i="33" s="1"/>
  <c r="H55" i="33"/>
  <c r="P55" i="33" s="1"/>
  <c r="H54" i="33"/>
  <c r="P54" i="33" s="1"/>
  <c r="A52" i="33"/>
  <c r="O52" i="33" s="1"/>
  <c r="E51" i="33"/>
  <c r="E52" i="33" s="1"/>
  <c r="A51" i="33"/>
  <c r="O51" i="33" s="1"/>
  <c r="S49" i="33"/>
  <c r="P49" i="33"/>
  <c r="R49" i="33" s="1"/>
  <c r="L49" i="33"/>
  <c r="G49" i="33"/>
  <c r="J48" i="33"/>
  <c r="R48" i="33" s="1"/>
  <c r="H48" i="33"/>
  <c r="P48" i="33" s="1"/>
  <c r="E48" i="33"/>
  <c r="E60" i="33" s="1"/>
  <c r="E47" i="33"/>
  <c r="A47" i="33"/>
  <c r="F47" i="33" s="1"/>
  <c r="O46" i="33"/>
  <c r="I46" i="33"/>
  <c r="F46" i="33"/>
  <c r="S45" i="33"/>
  <c r="O45" i="33"/>
  <c r="P45" i="33" s="1"/>
  <c r="R45" i="33" s="1"/>
  <c r="I45" i="33"/>
  <c r="F45" i="33"/>
  <c r="E44" i="33"/>
  <c r="B44" i="33"/>
  <c r="A44" i="33"/>
  <c r="E43" i="33"/>
  <c r="B43" i="33"/>
  <c r="A43" i="33"/>
  <c r="F43" i="33" s="1"/>
  <c r="E42" i="33"/>
  <c r="B42" i="33"/>
  <c r="A42" i="33"/>
  <c r="E41" i="33"/>
  <c r="B41" i="33"/>
  <c r="A41" i="33"/>
  <c r="F41" i="33" s="1"/>
  <c r="E40" i="33"/>
  <c r="A40" i="33"/>
  <c r="O40" i="33" s="1"/>
  <c r="O38" i="33"/>
  <c r="P38" i="33" s="1"/>
  <c r="I38" i="33"/>
  <c r="J38" i="33" s="1"/>
  <c r="S38" i="33" s="1"/>
  <c r="F38" i="33"/>
  <c r="G38" i="33" s="1"/>
  <c r="M38" i="33" s="1"/>
  <c r="A37" i="33"/>
  <c r="O37" i="33" s="1"/>
  <c r="B36" i="33"/>
  <c r="A36" i="33"/>
  <c r="E35" i="33"/>
  <c r="B35" i="33"/>
  <c r="A35" i="33"/>
  <c r="F35" i="33" s="1"/>
  <c r="E34" i="33"/>
  <c r="B34" i="33"/>
  <c r="A34" i="33"/>
  <c r="E33" i="33"/>
  <c r="B33" i="33"/>
  <c r="A33" i="33"/>
  <c r="F33" i="33" s="1"/>
  <c r="E32" i="33"/>
  <c r="A32" i="33"/>
  <c r="I32" i="33" s="1"/>
  <c r="J32" i="33" s="1"/>
  <c r="O31" i="33"/>
  <c r="F31" i="33"/>
  <c r="E31" i="33"/>
  <c r="O30" i="33"/>
  <c r="I30" i="33"/>
  <c r="F30" i="33"/>
  <c r="E30" i="33"/>
  <c r="E29" i="33"/>
  <c r="A29" i="33"/>
  <c r="F29" i="33" s="1"/>
  <c r="G29" i="33" s="1"/>
  <c r="O28" i="33"/>
  <c r="P28" i="33" s="1"/>
  <c r="I28" i="33"/>
  <c r="J28" i="33" s="1"/>
  <c r="S28" i="33" s="1"/>
  <c r="F28" i="33"/>
  <c r="G28" i="33" s="1"/>
  <c r="O27" i="33"/>
  <c r="P27" i="33" s="1"/>
  <c r="F27" i="33"/>
  <c r="G27" i="33" s="1"/>
  <c r="M27" i="33" s="1"/>
  <c r="A26" i="33"/>
  <c r="F26" i="33" s="1"/>
  <c r="G26" i="33" s="1"/>
  <c r="A25" i="33"/>
  <c r="F25" i="33" s="1"/>
  <c r="G25" i="33" s="1"/>
  <c r="O24" i="33"/>
  <c r="P24" i="33" s="1"/>
  <c r="I24" i="33"/>
  <c r="J24" i="33" s="1"/>
  <c r="F24" i="33"/>
  <c r="G24" i="33" s="1"/>
  <c r="M24" i="33" s="1"/>
  <c r="A23" i="33"/>
  <c r="F23" i="33" s="1"/>
  <c r="G23" i="33" s="1"/>
  <c r="R20" i="33"/>
  <c r="O20" i="33"/>
  <c r="L20" i="33"/>
  <c r="I20" i="33"/>
  <c r="S73" i="32"/>
  <c r="R73" i="32"/>
  <c r="M73" i="32"/>
  <c r="L73" i="32"/>
  <c r="S67" i="32"/>
  <c r="R67" i="32"/>
  <c r="M67" i="32"/>
  <c r="L67" i="32"/>
  <c r="J62" i="32"/>
  <c r="S62" i="32" s="1"/>
  <c r="I62" i="32"/>
  <c r="O62" i="32" s="1"/>
  <c r="P62" i="32" s="1"/>
  <c r="R62" i="32" s="1"/>
  <c r="G62" i="32"/>
  <c r="M62" i="32" s="1"/>
  <c r="O61" i="32"/>
  <c r="P61" i="32" s="1"/>
  <c r="L61" i="32"/>
  <c r="J61" i="32"/>
  <c r="G61" i="32"/>
  <c r="M61" i="32" s="1"/>
  <c r="E61" i="32"/>
  <c r="F60" i="32"/>
  <c r="I60" i="32" s="1"/>
  <c r="O60" i="32" s="1"/>
  <c r="F59" i="32"/>
  <c r="I59" i="32" s="1"/>
  <c r="O59" i="32" s="1"/>
  <c r="F58" i="32"/>
  <c r="I58" i="32" s="1"/>
  <c r="O58" i="32" s="1"/>
  <c r="P57" i="32"/>
  <c r="R57" i="32" s="1"/>
  <c r="S57" i="32" s="1"/>
  <c r="L57" i="32"/>
  <c r="J57" i="32"/>
  <c r="G57" i="32"/>
  <c r="M57" i="32" s="1"/>
  <c r="E57" i="32"/>
  <c r="P56" i="32"/>
  <c r="R56" i="32" s="1"/>
  <c r="S56" i="32" s="1"/>
  <c r="L56" i="32"/>
  <c r="J56" i="32"/>
  <c r="G56" i="32"/>
  <c r="M56" i="32" s="1"/>
  <c r="H55" i="32"/>
  <c r="P55" i="32" s="1"/>
  <c r="H54" i="32"/>
  <c r="P54" i="32" s="1"/>
  <c r="A52" i="32"/>
  <c r="O52" i="32" s="1"/>
  <c r="E51" i="32"/>
  <c r="E52" i="32" s="1"/>
  <c r="A51" i="32"/>
  <c r="O51" i="32" s="1"/>
  <c r="S49" i="32"/>
  <c r="P49" i="32"/>
  <c r="R49" i="32" s="1"/>
  <c r="L49" i="32"/>
  <c r="G49" i="32"/>
  <c r="J48" i="32"/>
  <c r="R48" i="32" s="1"/>
  <c r="H48" i="32"/>
  <c r="P48" i="32" s="1"/>
  <c r="E48" i="32"/>
  <c r="E60" i="32" s="1"/>
  <c r="E47" i="32"/>
  <c r="A47" i="32"/>
  <c r="F47" i="32" s="1"/>
  <c r="G47" i="32" s="1"/>
  <c r="O46" i="32"/>
  <c r="I46" i="32"/>
  <c r="F46" i="32"/>
  <c r="S45" i="32"/>
  <c r="O45" i="32"/>
  <c r="P45" i="32" s="1"/>
  <c r="R45" i="32" s="1"/>
  <c r="I45" i="32"/>
  <c r="F45" i="32"/>
  <c r="E44" i="32"/>
  <c r="B44" i="32"/>
  <c r="A44" i="32"/>
  <c r="E43" i="32"/>
  <c r="B43" i="32"/>
  <c r="A43" i="32"/>
  <c r="F43" i="32" s="1"/>
  <c r="E42" i="32"/>
  <c r="B42" i="32"/>
  <c r="A42" i="32"/>
  <c r="F42" i="32" s="1"/>
  <c r="E41" i="32"/>
  <c r="B41" i="32"/>
  <c r="A41" i="32"/>
  <c r="F41" i="32" s="1"/>
  <c r="G40" i="32"/>
  <c r="M40" i="32" s="1"/>
  <c r="E40" i="32"/>
  <c r="A40" i="32"/>
  <c r="O40" i="32" s="1"/>
  <c r="O38" i="32"/>
  <c r="P38" i="32" s="1"/>
  <c r="I38" i="32"/>
  <c r="J38" i="32" s="1"/>
  <c r="F38" i="32"/>
  <c r="G38" i="32" s="1"/>
  <c r="M38" i="32" s="1"/>
  <c r="E37" i="32"/>
  <c r="G37" i="32" s="1"/>
  <c r="M37" i="32" s="1"/>
  <c r="A37" i="32"/>
  <c r="O37" i="32" s="1"/>
  <c r="B36" i="32"/>
  <c r="A36" i="32"/>
  <c r="E35" i="32"/>
  <c r="B35" i="32"/>
  <c r="A35" i="32"/>
  <c r="F35" i="32" s="1"/>
  <c r="G35" i="32" s="1"/>
  <c r="M35" i="32" s="1"/>
  <c r="E34" i="32"/>
  <c r="B34" i="32"/>
  <c r="A34" i="32"/>
  <c r="E33" i="32"/>
  <c r="B33" i="32"/>
  <c r="A33" i="32"/>
  <c r="F33" i="32" s="1"/>
  <c r="E32" i="32"/>
  <c r="A32" i="32"/>
  <c r="O32" i="32" s="1"/>
  <c r="O31" i="32"/>
  <c r="F31" i="32"/>
  <c r="E31" i="32"/>
  <c r="O30" i="32"/>
  <c r="I30" i="32"/>
  <c r="F30" i="32"/>
  <c r="E30" i="32"/>
  <c r="E29" i="32"/>
  <c r="A29" i="32"/>
  <c r="I29" i="32" s="1"/>
  <c r="O28" i="32"/>
  <c r="P28" i="32" s="1"/>
  <c r="I28" i="32"/>
  <c r="J28" i="32" s="1"/>
  <c r="S28" i="32" s="1"/>
  <c r="F28" i="32"/>
  <c r="G28" i="32" s="1"/>
  <c r="M28" i="32" s="1"/>
  <c r="O27" i="32"/>
  <c r="P27" i="32" s="1"/>
  <c r="F27" i="32"/>
  <c r="G27" i="32" s="1"/>
  <c r="M27" i="32" s="1"/>
  <c r="A26" i="32"/>
  <c r="O26" i="32" s="1"/>
  <c r="P26" i="32" s="1"/>
  <c r="A25" i="32"/>
  <c r="I25" i="32" s="1"/>
  <c r="J25" i="32" s="1"/>
  <c r="O24" i="32"/>
  <c r="P24" i="32" s="1"/>
  <c r="I24" i="32"/>
  <c r="J24" i="32" s="1"/>
  <c r="S24" i="32" s="1"/>
  <c r="F24" i="32"/>
  <c r="G24" i="32" s="1"/>
  <c r="M24" i="32" s="1"/>
  <c r="A23" i="32"/>
  <c r="R20" i="32"/>
  <c r="O20" i="32"/>
  <c r="L20" i="32"/>
  <c r="I20" i="32"/>
  <c r="S73" i="31"/>
  <c r="R73" i="31"/>
  <c r="M73" i="31"/>
  <c r="L73" i="31"/>
  <c r="S67" i="31"/>
  <c r="R67" i="31"/>
  <c r="M67" i="31"/>
  <c r="L67" i="31"/>
  <c r="L62" i="31"/>
  <c r="I62" i="31"/>
  <c r="J62" i="31" s="1"/>
  <c r="S62" i="31" s="1"/>
  <c r="G62" i="31"/>
  <c r="M62" i="31" s="1"/>
  <c r="O61" i="31"/>
  <c r="E61" i="31"/>
  <c r="I60" i="31"/>
  <c r="O60" i="31" s="1"/>
  <c r="F60" i="31"/>
  <c r="E60" i="31"/>
  <c r="I59" i="31"/>
  <c r="O59" i="31" s="1"/>
  <c r="F59" i="31"/>
  <c r="E59" i="31"/>
  <c r="I58" i="31"/>
  <c r="O58" i="31" s="1"/>
  <c r="F58" i="31"/>
  <c r="E58" i="31"/>
  <c r="E57" i="31"/>
  <c r="P56" i="31"/>
  <c r="J56" i="31"/>
  <c r="G56" i="31"/>
  <c r="H55" i="31"/>
  <c r="P55" i="31" s="1"/>
  <c r="E55" i="31"/>
  <c r="H54" i="31"/>
  <c r="P54" i="31" s="1"/>
  <c r="A52" i="31"/>
  <c r="F52" i="31" s="1"/>
  <c r="E51" i="31"/>
  <c r="E52" i="31" s="1"/>
  <c r="A51" i="31"/>
  <c r="F51" i="31" s="1"/>
  <c r="S49" i="31"/>
  <c r="P49" i="31"/>
  <c r="R49" i="31" s="1"/>
  <c r="G49" i="31"/>
  <c r="L49" i="31" s="1"/>
  <c r="J48" i="31"/>
  <c r="S48" i="31" s="1"/>
  <c r="H48" i="31"/>
  <c r="P48" i="31" s="1"/>
  <c r="R48" i="31" s="1"/>
  <c r="G48" i="31"/>
  <c r="M48" i="31" s="1"/>
  <c r="E48" i="31"/>
  <c r="E54" i="31" s="1"/>
  <c r="J54" i="31" s="1"/>
  <c r="E47" i="31"/>
  <c r="A47" i="31"/>
  <c r="F47" i="31" s="1"/>
  <c r="O46" i="31"/>
  <c r="I46" i="31"/>
  <c r="F46" i="31"/>
  <c r="S45" i="31"/>
  <c r="O45" i="31"/>
  <c r="P45" i="31" s="1"/>
  <c r="R45" i="31" s="1"/>
  <c r="I45" i="31"/>
  <c r="F45" i="31"/>
  <c r="E44" i="31"/>
  <c r="B44" i="31"/>
  <c r="A44" i="31"/>
  <c r="F44" i="31" s="1"/>
  <c r="E43" i="31"/>
  <c r="B43" i="31"/>
  <c r="A43" i="31"/>
  <c r="F43" i="31" s="1"/>
  <c r="E42" i="31"/>
  <c r="B42" i="31"/>
  <c r="A42" i="31"/>
  <c r="E41" i="31"/>
  <c r="B41" i="31"/>
  <c r="A41" i="31"/>
  <c r="G40" i="31"/>
  <c r="M40" i="31" s="1"/>
  <c r="E40" i="31"/>
  <c r="A40" i="31"/>
  <c r="O38" i="31"/>
  <c r="P38" i="31" s="1"/>
  <c r="I38" i="31"/>
  <c r="J38" i="31" s="1"/>
  <c r="F38" i="31"/>
  <c r="G38" i="31" s="1"/>
  <c r="M38" i="31" s="1"/>
  <c r="A37" i="31"/>
  <c r="B36" i="31"/>
  <c r="A36" i="31"/>
  <c r="E35" i="31"/>
  <c r="B35" i="31"/>
  <c r="A35" i="31"/>
  <c r="E34" i="31"/>
  <c r="B34" i="31"/>
  <c r="A34" i="31"/>
  <c r="E33" i="31"/>
  <c r="B33" i="31"/>
  <c r="A33" i="31"/>
  <c r="E32" i="31"/>
  <c r="A32" i="31"/>
  <c r="O32" i="31" s="1"/>
  <c r="O31" i="31"/>
  <c r="F31" i="31"/>
  <c r="E31" i="31"/>
  <c r="O30" i="31"/>
  <c r="I30" i="31"/>
  <c r="F30" i="31"/>
  <c r="E30" i="31"/>
  <c r="E29" i="31"/>
  <c r="E37" i="31" s="1"/>
  <c r="A29" i="31"/>
  <c r="O28" i="31"/>
  <c r="P28" i="31" s="1"/>
  <c r="I28" i="31"/>
  <c r="J28" i="31" s="1"/>
  <c r="S28" i="31" s="1"/>
  <c r="F28" i="31"/>
  <c r="G28" i="31" s="1"/>
  <c r="M28" i="31" s="1"/>
  <c r="O27" i="31"/>
  <c r="P27" i="31" s="1"/>
  <c r="F27" i="31"/>
  <c r="G27" i="31" s="1"/>
  <c r="M27" i="31" s="1"/>
  <c r="A26" i="31"/>
  <c r="O26" i="31" s="1"/>
  <c r="P26" i="31" s="1"/>
  <c r="A25" i="31"/>
  <c r="O25" i="31" s="1"/>
  <c r="P25" i="31" s="1"/>
  <c r="O24" i="31"/>
  <c r="P24" i="31" s="1"/>
  <c r="I24" i="31"/>
  <c r="J24" i="31" s="1"/>
  <c r="F24" i="31"/>
  <c r="G24" i="31" s="1"/>
  <c r="M24" i="31" s="1"/>
  <c r="A23" i="31"/>
  <c r="R20" i="31"/>
  <c r="O20" i="31"/>
  <c r="L20" i="31"/>
  <c r="I20" i="31"/>
  <c r="S70" i="29"/>
  <c r="R70" i="29"/>
  <c r="S64" i="29"/>
  <c r="R64" i="29"/>
  <c r="J59" i="29"/>
  <c r="S59" i="29" s="1"/>
  <c r="I59" i="29"/>
  <c r="O59" i="29" s="1"/>
  <c r="P59" i="29" s="1"/>
  <c r="R59" i="29" s="1"/>
  <c r="G59" i="29"/>
  <c r="M59" i="29" s="1"/>
  <c r="O58" i="29"/>
  <c r="G58" i="29"/>
  <c r="E58" i="29"/>
  <c r="P58" i="29" s="1"/>
  <c r="H57" i="29"/>
  <c r="P57" i="29" s="1"/>
  <c r="F57" i="29"/>
  <c r="I57" i="29" s="1"/>
  <c r="O57" i="29" s="1"/>
  <c r="E57" i="29"/>
  <c r="G57" i="29" s="1"/>
  <c r="H56" i="29"/>
  <c r="F56" i="29"/>
  <c r="I56" i="29" s="1"/>
  <c r="O56" i="29" s="1"/>
  <c r="E56" i="29"/>
  <c r="G56" i="29" s="1"/>
  <c r="H55" i="29"/>
  <c r="P55" i="29" s="1"/>
  <c r="F55" i="29"/>
  <c r="I55" i="29" s="1"/>
  <c r="O55" i="29" s="1"/>
  <c r="E55" i="29"/>
  <c r="G55" i="29" s="1"/>
  <c r="G54" i="29"/>
  <c r="E54" i="29"/>
  <c r="J54" i="29" s="1"/>
  <c r="P53" i="29"/>
  <c r="R53" i="29" s="1"/>
  <c r="S53" i="29" s="1"/>
  <c r="L53" i="29"/>
  <c r="J53" i="29"/>
  <c r="G53" i="29"/>
  <c r="M53" i="29" s="1"/>
  <c r="O51" i="29"/>
  <c r="A49" i="29"/>
  <c r="F49" i="29" s="1"/>
  <c r="H48" i="29"/>
  <c r="H49" i="29" s="1"/>
  <c r="E48" i="29"/>
  <c r="A48" i="29"/>
  <c r="O48" i="29" s="1"/>
  <c r="P46" i="29"/>
  <c r="R46" i="29" s="1"/>
  <c r="J46" i="29"/>
  <c r="L46" i="29" s="1"/>
  <c r="G46" i="29"/>
  <c r="H45" i="29"/>
  <c r="F45" i="29"/>
  <c r="E45" i="29"/>
  <c r="E44" i="29"/>
  <c r="A44" i="29"/>
  <c r="F44" i="29" s="1"/>
  <c r="O43" i="29"/>
  <c r="P43" i="29" s="1"/>
  <c r="I43" i="29"/>
  <c r="J43" i="29" s="1"/>
  <c r="F43" i="29"/>
  <c r="G43" i="29" s="1"/>
  <c r="M43" i="29" s="1"/>
  <c r="E42" i="29"/>
  <c r="B42" i="29"/>
  <c r="A42" i="29"/>
  <c r="O42" i="29" s="1"/>
  <c r="E41" i="29"/>
  <c r="B41" i="29"/>
  <c r="A41" i="29"/>
  <c r="E40" i="29"/>
  <c r="G40" i="29" s="1"/>
  <c r="M40" i="29" s="1"/>
  <c r="A40" i="29"/>
  <c r="O40" i="29" s="1"/>
  <c r="A38" i="29"/>
  <c r="B37" i="29"/>
  <c r="A37" i="29"/>
  <c r="F37" i="29" s="1"/>
  <c r="G37" i="29" s="1"/>
  <c r="M37" i="29" s="1"/>
  <c r="B36" i="29"/>
  <c r="A36" i="29"/>
  <c r="F36" i="29" s="1"/>
  <c r="G36" i="29" s="1"/>
  <c r="M36" i="29" s="1"/>
  <c r="E35" i="29"/>
  <c r="E38" i="29" s="1"/>
  <c r="G38" i="29" s="1"/>
  <c r="M38" i="29" s="1"/>
  <c r="B35" i="29"/>
  <c r="A35" i="29"/>
  <c r="O35" i="29" s="1"/>
  <c r="E34" i="29"/>
  <c r="B34" i="29"/>
  <c r="A34" i="29"/>
  <c r="E33" i="29"/>
  <c r="B33" i="29"/>
  <c r="A33" i="29"/>
  <c r="E32" i="29"/>
  <c r="A32" i="29"/>
  <c r="O32" i="29" s="1"/>
  <c r="O31" i="29"/>
  <c r="F31" i="29"/>
  <c r="E31" i="29"/>
  <c r="O30" i="29"/>
  <c r="I30" i="29"/>
  <c r="F30" i="29"/>
  <c r="E30" i="29"/>
  <c r="E29" i="29"/>
  <c r="A29" i="29"/>
  <c r="O28" i="29"/>
  <c r="P28" i="29" s="1"/>
  <c r="I28" i="29"/>
  <c r="J28" i="29" s="1"/>
  <c r="F28" i="29"/>
  <c r="G28" i="29" s="1"/>
  <c r="M28" i="29" s="1"/>
  <c r="O27" i="29"/>
  <c r="P27" i="29" s="1"/>
  <c r="F27" i="29"/>
  <c r="G27" i="29" s="1"/>
  <c r="M27" i="29" s="1"/>
  <c r="A26" i="29"/>
  <c r="F26" i="29" s="1"/>
  <c r="G26" i="29" s="1"/>
  <c r="A25" i="29"/>
  <c r="O25" i="29" s="1"/>
  <c r="P25" i="29" s="1"/>
  <c r="O24" i="29"/>
  <c r="P24" i="29" s="1"/>
  <c r="I24" i="29"/>
  <c r="J24" i="29" s="1"/>
  <c r="F24" i="29"/>
  <c r="G24" i="29" s="1"/>
  <c r="M24" i="29" s="1"/>
  <c r="A23" i="29"/>
  <c r="F23" i="29" s="1"/>
  <c r="G23" i="29" s="1"/>
  <c r="R20" i="29"/>
  <c r="O20" i="29"/>
  <c r="L20" i="29"/>
  <c r="I20" i="29"/>
  <c r="S70" i="28"/>
  <c r="R70" i="28"/>
  <c r="S64" i="28"/>
  <c r="R64" i="28"/>
  <c r="J59" i="28"/>
  <c r="S59" i="28" s="1"/>
  <c r="I59" i="28"/>
  <c r="O59" i="28" s="1"/>
  <c r="P59" i="28" s="1"/>
  <c r="R59" i="28" s="1"/>
  <c r="G59" i="28"/>
  <c r="M59" i="28" s="1"/>
  <c r="O58" i="28"/>
  <c r="G58" i="28"/>
  <c r="E58" i="28"/>
  <c r="P58" i="28" s="1"/>
  <c r="H57" i="28"/>
  <c r="P57" i="28" s="1"/>
  <c r="F57" i="28"/>
  <c r="I57" i="28" s="1"/>
  <c r="O57" i="28" s="1"/>
  <c r="E57" i="28"/>
  <c r="G57" i="28" s="1"/>
  <c r="H56" i="28"/>
  <c r="F56" i="28"/>
  <c r="I56" i="28" s="1"/>
  <c r="O56" i="28" s="1"/>
  <c r="E56" i="28"/>
  <c r="G56" i="28" s="1"/>
  <c r="H55" i="28"/>
  <c r="P55" i="28" s="1"/>
  <c r="F55" i="28"/>
  <c r="I55" i="28" s="1"/>
  <c r="O55" i="28" s="1"/>
  <c r="E55" i="28"/>
  <c r="G55" i="28" s="1"/>
  <c r="G54" i="28"/>
  <c r="E54" i="28"/>
  <c r="J54" i="28" s="1"/>
  <c r="P53" i="28"/>
  <c r="R53" i="28" s="1"/>
  <c r="S53" i="28" s="1"/>
  <c r="L53" i="28"/>
  <c r="J53" i="28"/>
  <c r="G53" i="28"/>
  <c r="M53" i="28" s="1"/>
  <c r="O51" i="28"/>
  <c r="A49" i="28"/>
  <c r="F49" i="28" s="1"/>
  <c r="H48" i="28"/>
  <c r="H49" i="28" s="1"/>
  <c r="E48" i="28"/>
  <c r="A48" i="28"/>
  <c r="O48" i="28" s="1"/>
  <c r="P46" i="28"/>
  <c r="R46" i="28" s="1"/>
  <c r="J46" i="28"/>
  <c r="L46" i="28" s="1"/>
  <c r="G46" i="28"/>
  <c r="H45" i="28"/>
  <c r="F45" i="28"/>
  <c r="E45" i="28"/>
  <c r="E44" i="28"/>
  <c r="A44" i="28"/>
  <c r="F44" i="28" s="1"/>
  <c r="O43" i="28"/>
  <c r="P43" i="28" s="1"/>
  <c r="I43" i="28"/>
  <c r="J43" i="28" s="1"/>
  <c r="F43" i="28"/>
  <c r="G43" i="28" s="1"/>
  <c r="M43" i="28" s="1"/>
  <c r="E42" i="28"/>
  <c r="B42" i="28"/>
  <c r="A42" i="28"/>
  <c r="O42" i="28" s="1"/>
  <c r="P42" i="28" s="1"/>
  <c r="E41" i="28"/>
  <c r="B41" i="28"/>
  <c r="A41" i="28"/>
  <c r="G40" i="28"/>
  <c r="M40" i="28" s="1"/>
  <c r="E40" i="28"/>
  <c r="A40" i="28"/>
  <c r="O40" i="28" s="1"/>
  <c r="P40" i="28" s="1"/>
  <c r="A38" i="28"/>
  <c r="B37" i="28"/>
  <c r="A37" i="28"/>
  <c r="F37" i="28" s="1"/>
  <c r="G37" i="28" s="1"/>
  <c r="M37" i="28" s="1"/>
  <c r="B36" i="28"/>
  <c r="A36" i="28"/>
  <c r="F36" i="28" s="1"/>
  <c r="G36" i="28" s="1"/>
  <c r="M36" i="28" s="1"/>
  <c r="E35" i="28"/>
  <c r="E38" i="28" s="1"/>
  <c r="G38" i="28" s="1"/>
  <c r="M38" i="28" s="1"/>
  <c r="B35" i="28"/>
  <c r="A35" i="28"/>
  <c r="O35" i="28" s="1"/>
  <c r="E34" i="28"/>
  <c r="B34" i="28"/>
  <c r="A34" i="28"/>
  <c r="E33" i="28"/>
  <c r="B33" i="28"/>
  <c r="A33" i="28"/>
  <c r="F33" i="28" s="1"/>
  <c r="E32" i="28"/>
  <c r="A32" i="28"/>
  <c r="O32" i="28" s="1"/>
  <c r="O31" i="28"/>
  <c r="F31" i="28"/>
  <c r="E31" i="28"/>
  <c r="O30" i="28"/>
  <c r="I30" i="28"/>
  <c r="F30" i="28"/>
  <c r="E30" i="28"/>
  <c r="E29" i="28"/>
  <c r="A29" i="28"/>
  <c r="O28" i="28"/>
  <c r="P28" i="28" s="1"/>
  <c r="I28" i="28"/>
  <c r="J28" i="28" s="1"/>
  <c r="F28" i="28"/>
  <c r="G28" i="28" s="1"/>
  <c r="M28" i="28" s="1"/>
  <c r="O27" i="28"/>
  <c r="P27" i="28" s="1"/>
  <c r="F27" i="28"/>
  <c r="G27" i="28" s="1"/>
  <c r="M27" i="28" s="1"/>
  <c r="A26" i="28"/>
  <c r="F26" i="28" s="1"/>
  <c r="G26" i="28" s="1"/>
  <c r="A25" i="28"/>
  <c r="O25" i="28" s="1"/>
  <c r="P25" i="28" s="1"/>
  <c r="O24" i="28"/>
  <c r="P24" i="28" s="1"/>
  <c r="I24" i="28"/>
  <c r="J24" i="28" s="1"/>
  <c r="F24" i="28"/>
  <c r="G24" i="28" s="1"/>
  <c r="M24" i="28" s="1"/>
  <c r="A23" i="28"/>
  <c r="R20" i="28"/>
  <c r="O20" i="28"/>
  <c r="L20" i="28"/>
  <c r="I20" i="28"/>
  <c r="S70" i="27"/>
  <c r="R70" i="27"/>
  <c r="S64" i="27"/>
  <c r="R64" i="27"/>
  <c r="S59" i="27"/>
  <c r="J59" i="27"/>
  <c r="L59" i="27" s="1"/>
  <c r="I59" i="27"/>
  <c r="O59" i="27" s="1"/>
  <c r="P59" i="27" s="1"/>
  <c r="R59" i="27" s="1"/>
  <c r="G59" i="27"/>
  <c r="M59" i="27" s="1"/>
  <c r="O58" i="27"/>
  <c r="J58" i="27"/>
  <c r="E58" i="27"/>
  <c r="G58" i="27" s="1"/>
  <c r="H57" i="27"/>
  <c r="F57" i="27"/>
  <c r="E57" i="27"/>
  <c r="H56" i="27"/>
  <c r="F56" i="27"/>
  <c r="E56" i="27"/>
  <c r="H55" i="27"/>
  <c r="F55" i="27"/>
  <c r="F45" i="27" s="1"/>
  <c r="E55" i="27"/>
  <c r="P54" i="27"/>
  <c r="R54" i="27" s="1"/>
  <c r="S54" i="27" s="1"/>
  <c r="J54" i="27"/>
  <c r="G54" i="27"/>
  <c r="E54" i="27"/>
  <c r="P53" i="27"/>
  <c r="R53" i="27" s="1"/>
  <c r="S53" i="27" s="1"/>
  <c r="J53" i="27"/>
  <c r="G53" i="27"/>
  <c r="O51" i="27"/>
  <c r="A49" i="27"/>
  <c r="O49" i="27" s="1"/>
  <c r="H48" i="27"/>
  <c r="E48" i="27"/>
  <c r="E49" i="27" s="1"/>
  <c r="A48" i="27"/>
  <c r="P46" i="27"/>
  <c r="J46" i="27"/>
  <c r="L46" i="27" s="1"/>
  <c r="G46" i="27"/>
  <c r="H45" i="27"/>
  <c r="E45" i="27"/>
  <c r="E44" i="27"/>
  <c r="A44" i="27"/>
  <c r="F44" i="27" s="1"/>
  <c r="O43" i="27"/>
  <c r="P43" i="27" s="1"/>
  <c r="I43" i="27"/>
  <c r="J43" i="27" s="1"/>
  <c r="F43" i="27"/>
  <c r="G43" i="27" s="1"/>
  <c r="M43" i="27" s="1"/>
  <c r="E42" i="27"/>
  <c r="B42" i="27"/>
  <c r="A42" i="27"/>
  <c r="F41" i="27"/>
  <c r="E41" i="27"/>
  <c r="B41" i="27"/>
  <c r="A41" i="27"/>
  <c r="E40" i="27"/>
  <c r="G40" i="27" s="1"/>
  <c r="M40" i="27" s="1"/>
  <c r="A40" i="27"/>
  <c r="A38" i="27"/>
  <c r="O38" i="27" s="1"/>
  <c r="B37" i="27"/>
  <c r="A37" i="27"/>
  <c r="F37" i="27" s="1"/>
  <c r="G37" i="27" s="1"/>
  <c r="M37" i="27" s="1"/>
  <c r="B36" i="27"/>
  <c r="A36" i="27"/>
  <c r="O36" i="27" s="1"/>
  <c r="P36" i="27" s="1"/>
  <c r="E35" i="27"/>
  <c r="E38" i="27" s="1"/>
  <c r="B35" i="27"/>
  <c r="A35" i="27"/>
  <c r="O35" i="27" s="1"/>
  <c r="E34" i="27"/>
  <c r="B34" i="27"/>
  <c r="A34" i="27"/>
  <c r="F34" i="27" s="1"/>
  <c r="E33" i="27"/>
  <c r="B33" i="27"/>
  <c r="A33" i="27"/>
  <c r="F32" i="27"/>
  <c r="E32" i="27"/>
  <c r="A32" i="27"/>
  <c r="O32" i="27" s="1"/>
  <c r="O31" i="27"/>
  <c r="F31" i="27"/>
  <c r="E31" i="27"/>
  <c r="O30" i="27"/>
  <c r="I30" i="27"/>
  <c r="F30" i="27"/>
  <c r="E30" i="27"/>
  <c r="E29" i="27"/>
  <c r="A29" i="27"/>
  <c r="F29" i="27" s="1"/>
  <c r="O28" i="27"/>
  <c r="P28" i="27" s="1"/>
  <c r="I28" i="27"/>
  <c r="J28" i="27" s="1"/>
  <c r="S28" i="27" s="1"/>
  <c r="F28" i="27"/>
  <c r="G28" i="27" s="1"/>
  <c r="M28" i="27" s="1"/>
  <c r="O27" i="27"/>
  <c r="P27" i="27" s="1"/>
  <c r="F27" i="27"/>
  <c r="G27" i="27" s="1"/>
  <c r="M27" i="27" s="1"/>
  <c r="A26" i="27"/>
  <c r="O26" i="27" s="1"/>
  <c r="P26" i="27" s="1"/>
  <c r="A25" i="27"/>
  <c r="F25" i="27" s="1"/>
  <c r="G25" i="27" s="1"/>
  <c r="O24" i="27"/>
  <c r="P24" i="27" s="1"/>
  <c r="I24" i="27"/>
  <c r="J24" i="27" s="1"/>
  <c r="F24" i="27"/>
  <c r="G24" i="27" s="1"/>
  <c r="M24" i="27" s="1"/>
  <c r="A23" i="27"/>
  <c r="F23" i="27" s="1"/>
  <c r="G23" i="27" s="1"/>
  <c r="R20" i="27"/>
  <c r="O20" i="27"/>
  <c r="L20" i="27"/>
  <c r="I20" i="27"/>
  <c r="S70" i="26"/>
  <c r="R70" i="26"/>
  <c r="S64" i="26"/>
  <c r="R64" i="26"/>
  <c r="J59" i="26"/>
  <c r="S59" i="26" s="1"/>
  <c r="I59" i="26"/>
  <c r="O59" i="26" s="1"/>
  <c r="P59" i="26" s="1"/>
  <c r="R59" i="26" s="1"/>
  <c r="G59" i="26"/>
  <c r="M59" i="26" s="1"/>
  <c r="O58" i="26"/>
  <c r="E58" i="26"/>
  <c r="P58" i="26" s="1"/>
  <c r="H57" i="26"/>
  <c r="P57" i="26" s="1"/>
  <c r="F57" i="26"/>
  <c r="I57" i="26" s="1"/>
  <c r="O57" i="26" s="1"/>
  <c r="E57" i="26"/>
  <c r="G57" i="26" s="1"/>
  <c r="H56" i="26"/>
  <c r="F56" i="26"/>
  <c r="I56" i="26" s="1"/>
  <c r="O56" i="26" s="1"/>
  <c r="E56" i="26"/>
  <c r="G56" i="26" s="1"/>
  <c r="H55" i="26"/>
  <c r="P55" i="26" s="1"/>
  <c r="F55" i="26"/>
  <c r="I55" i="26" s="1"/>
  <c r="O55" i="26" s="1"/>
  <c r="E55" i="26"/>
  <c r="G55" i="26" s="1"/>
  <c r="G54" i="26"/>
  <c r="E54" i="26"/>
  <c r="J54" i="26" s="1"/>
  <c r="P53" i="26"/>
  <c r="R53" i="26" s="1"/>
  <c r="S53" i="26" s="1"/>
  <c r="L53" i="26"/>
  <c r="J53" i="26"/>
  <c r="G53" i="26"/>
  <c r="M53" i="26" s="1"/>
  <c r="O51" i="26"/>
  <c r="A49" i="26"/>
  <c r="F49" i="26" s="1"/>
  <c r="H48" i="26"/>
  <c r="H49" i="26" s="1"/>
  <c r="E48" i="26"/>
  <c r="A48" i="26"/>
  <c r="O48" i="26" s="1"/>
  <c r="P46" i="26"/>
  <c r="R46" i="26" s="1"/>
  <c r="J46" i="26"/>
  <c r="L46" i="26" s="1"/>
  <c r="G46" i="26"/>
  <c r="H45" i="26"/>
  <c r="F45" i="26"/>
  <c r="E45" i="26"/>
  <c r="E44" i="26"/>
  <c r="A44" i="26"/>
  <c r="F44" i="26" s="1"/>
  <c r="G44" i="26" s="1"/>
  <c r="O43" i="26"/>
  <c r="P43" i="26" s="1"/>
  <c r="I43" i="26"/>
  <c r="J43" i="26" s="1"/>
  <c r="F43" i="26"/>
  <c r="G43" i="26" s="1"/>
  <c r="M43" i="26" s="1"/>
  <c r="E42" i="26"/>
  <c r="B42" i="26"/>
  <c r="A42" i="26"/>
  <c r="O42" i="26" s="1"/>
  <c r="E41" i="26"/>
  <c r="B41" i="26"/>
  <c r="A41" i="26"/>
  <c r="E40" i="26"/>
  <c r="G40" i="26" s="1"/>
  <c r="M40" i="26" s="1"/>
  <c r="A40" i="26"/>
  <c r="O40" i="26" s="1"/>
  <c r="P40" i="26" s="1"/>
  <c r="A38" i="26"/>
  <c r="B37" i="26"/>
  <c r="A37" i="26"/>
  <c r="F37" i="26" s="1"/>
  <c r="G37" i="26" s="1"/>
  <c r="M37" i="26" s="1"/>
  <c r="B36" i="26"/>
  <c r="A36" i="26"/>
  <c r="F36" i="26" s="1"/>
  <c r="G36" i="26" s="1"/>
  <c r="M36" i="26" s="1"/>
  <c r="E35" i="26"/>
  <c r="E38" i="26" s="1"/>
  <c r="G38" i="26" s="1"/>
  <c r="M38" i="26" s="1"/>
  <c r="B35" i="26"/>
  <c r="A35" i="26"/>
  <c r="O35" i="26" s="1"/>
  <c r="E34" i="26"/>
  <c r="B34" i="26"/>
  <c r="A34" i="26"/>
  <c r="E33" i="26"/>
  <c r="B33" i="26"/>
  <c r="A33" i="26"/>
  <c r="E32" i="26"/>
  <c r="A32" i="26"/>
  <c r="O32" i="26" s="1"/>
  <c r="P32" i="26" s="1"/>
  <c r="O31" i="26"/>
  <c r="F31" i="26"/>
  <c r="E31" i="26"/>
  <c r="O30" i="26"/>
  <c r="I30" i="26"/>
  <c r="F30" i="26"/>
  <c r="E30" i="26"/>
  <c r="E29" i="26"/>
  <c r="A29" i="26"/>
  <c r="O28" i="26"/>
  <c r="P28" i="26" s="1"/>
  <c r="I28" i="26"/>
  <c r="J28" i="26" s="1"/>
  <c r="F28" i="26"/>
  <c r="G28" i="26" s="1"/>
  <c r="M28" i="26" s="1"/>
  <c r="O27" i="26"/>
  <c r="P27" i="26" s="1"/>
  <c r="F27" i="26"/>
  <c r="G27" i="26" s="1"/>
  <c r="M27" i="26" s="1"/>
  <c r="A26" i="26"/>
  <c r="F26" i="26" s="1"/>
  <c r="G26" i="26" s="1"/>
  <c r="A25" i="26"/>
  <c r="O25" i="26" s="1"/>
  <c r="P25" i="26" s="1"/>
  <c r="O24" i="26"/>
  <c r="P24" i="26" s="1"/>
  <c r="I24" i="26"/>
  <c r="J24" i="26" s="1"/>
  <c r="F24" i="26"/>
  <c r="G24" i="26" s="1"/>
  <c r="M24" i="26" s="1"/>
  <c r="A23" i="26"/>
  <c r="F23" i="26" s="1"/>
  <c r="G23" i="26" s="1"/>
  <c r="R20" i="26"/>
  <c r="O20" i="26"/>
  <c r="L20" i="26"/>
  <c r="I20" i="26"/>
  <c r="S70" i="25"/>
  <c r="R70" i="25"/>
  <c r="S64" i="25"/>
  <c r="R64" i="25"/>
  <c r="J59" i="25"/>
  <c r="S59" i="25" s="1"/>
  <c r="I59" i="25"/>
  <c r="O59" i="25" s="1"/>
  <c r="P59" i="25" s="1"/>
  <c r="R59" i="25" s="1"/>
  <c r="G59" i="25"/>
  <c r="M59" i="25" s="1"/>
  <c r="O58" i="25"/>
  <c r="E58" i="25"/>
  <c r="P58" i="25" s="1"/>
  <c r="H57" i="25"/>
  <c r="P57" i="25" s="1"/>
  <c r="F57" i="25"/>
  <c r="I57" i="25" s="1"/>
  <c r="O57" i="25" s="1"/>
  <c r="E57" i="25"/>
  <c r="G57" i="25" s="1"/>
  <c r="H56" i="25"/>
  <c r="F56" i="25"/>
  <c r="I56" i="25" s="1"/>
  <c r="O56" i="25" s="1"/>
  <c r="E56" i="25"/>
  <c r="G56" i="25" s="1"/>
  <c r="H55" i="25"/>
  <c r="P55" i="25" s="1"/>
  <c r="F55" i="25"/>
  <c r="I55" i="25" s="1"/>
  <c r="O55" i="25" s="1"/>
  <c r="E55" i="25"/>
  <c r="G55" i="25" s="1"/>
  <c r="P54" i="25"/>
  <c r="G54" i="25"/>
  <c r="E54" i="25"/>
  <c r="J54" i="25" s="1"/>
  <c r="P53" i="25"/>
  <c r="R53" i="25" s="1"/>
  <c r="S53" i="25" s="1"/>
  <c r="L53" i="25"/>
  <c r="J53" i="25"/>
  <c r="G53" i="25"/>
  <c r="M53" i="25" s="1"/>
  <c r="O51" i="25"/>
  <c r="A49" i="25"/>
  <c r="F49" i="25" s="1"/>
  <c r="H48" i="25"/>
  <c r="H49" i="25" s="1"/>
  <c r="E48" i="25"/>
  <c r="A48" i="25"/>
  <c r="O48" i="25" s="1"/>
  <c r="P46" i="25"/>
  <c r="R46" i="25" s="1"/>
  <c r="J46" i="25"/>
  <c r="L46" i="25" s="1"/>
  <c r="G46" i="25"/>
  <c r="H45" i="25"/>
  <c r="F45" i="25"/>
  <c r="G45" i="25" s="1"/>
  <c r="E45" i="25"/>
  <c r="E44" i="25"/>
  <c r="A44" i="25"/>
  <c r="F44" i="25" s="1"/>
  <c r="O43" i="25"/>
  <c r="P43" i="25" s="1"/>
  <c r="I43" i="25"/>
  <c r="J43" i="25" s="1"/>
  <c r="F43" i="25"/>
  <c r="G43" i="25" s="1"/>
  <c r="M43" i="25" s="1"/>
  <c r="E42" i="25"/>
  <c r="B42" i="25"/>
  <c r="A42" i="25"/>
  <c r="O42" i="25" s="1"/>
  <c r="P42" i="25" s="1"/>
  <c r="E41" i="25"/>
  <c r="B41" i="25"/>
  <c r="A41" i="25"/>
  <c r="E40" i="25"/>
  <c r="G40" i="25" s="1"/>
  <c r="M40" i="25" s="1"/>
  <c r="A40" i="25"/>
  <c r="O40" i="25" s="1"/>
  <c r="A38" i="25"/>
  <c r="B37" i="25"/>
  <c r="A37" i="25"/>
  <c r="F37" i="25" s="1"/>
  <c r="G37" i="25" s="1"/>
  <c r="M37" i="25" s="1"/>
  <c r="B36" i="25"/>
  <c r="A36" i="25"/>
  <c r="F36" i="25" s="1"/>
  <c r="G36" i="25" s="1"/>
  <c r="M36" i="25" s="1"/>
  <c r="E35" i="25"/>
  <c r="E38" i="25" s="1"/>
  <c r="G38" i="25" s="1"/>
  <c r="M38" i="25" s="1"/>
  <c r="B35" i="25"/>
  <c r="A35" i="25"/>
  <c r="F35" i="25" s="1"/>
  <c r="E34" i="25"/>
  <c r="B34" i="25"/>
  <c r="A34" i="25"/>
  <c r="E33" i="25"/>
  <c r="B33" i="25"/>
  <c r="A33" i="25"/>
  <c r="F33" i="25" s="1"/>
  <c r="E32" i="25"/>
  <c r="A32" i="25"/>
  <c r="O32" i="25" s="1"/>
  <c r="O31" i="25"/>
  <c r="F31" i="25"/>
  <c r="E31" i="25"/>
  <c r="O30" i="25"/>
  <c r="I30" i="25"/>
  <c r="F30" i="25"/>
  <c r="E30" i="25"/>
  <c r="E29" i="25"/>
  <c r="A29" i="25"/>
  <c r="O28" i="25"/>
  <c r="P28" i="25" s="1"/>
  <c r="I28" i="25"/>
  <c r="J28" i="25" s="1"/>
  <c r="S28" i="25" s="1"/>
  <c r="F28" i="25"/>
  <c r="G28" i="25" s="1"/>
  <c r="M28" i="25" s="1"/>
  <c r="O27" i="25"/>
  <c r="P27" i="25" s="1"/>
  <c r="F27" i="25"/>
  <c r="G27" i="25" s="1"/>
  <c r="M27" i="25" s="1"/>
  <c r="A26" i="25"/>
  <c r="O26" i="25" s="1"/>
  <c r="P26" i="25" s="1"/>
  <c r="A25" i="25"/>
  <c r="O25" i="25" s="1"/>
  <c r="P25" i="25" s="1"/>
  <c r="O24" i="25"/>
  <c r="P24" i="25" s="1"/>
  <c r="I24" i="25"/>
  <c r="J24" i="25" s="1"/>
  <c r="F24" i="25"/>
  <c r="G24" i="25" s="1"/>
  <c r="M24" i="25" s="1"/>
  <c r="A23" i="25"/>
  <c r="I23" i="25" s="1"/>
  <c r="J23" i="25" s="1"/>
  <c r="R20" i="25"/>
  <c r="O20" i="25"/>
  <c r="L20" i="25"/>
  <c r="I20" i="25"/>
  <c r="S70" i="23"/>
  <c r="R70" i="23"/>
  <c r="S64" i="23"/>
  <c r="R64" i="23"/>
  <c r="J59" i="23"/>
  <c r="S59" i="23" s="1"/>
  <c r="I59" i="23"/>
  <c r="O59" i="23" s="1"/>
  <c r="P59" i="23" s="1"/>
  <c r="R59" i="23" s="1"/>
  <c r="G59" i="23"/>
  <c r="M59" i="23" s="1"/>
  <c r="O58" i="23"/>
  <c r="E58" i="23"/>
  <c r="P58" i="23" s="1"/>
  <c r="I57" i="23"/>
  <c r="O57" i="23" s="1"/>
  <c r="E57" i="23"/>
  <c r="G57" i="23" s="1"/>
  <c r="I56" i="23"/>
  <c r="O56" i="23" s="1"/>
  <c r="E56" i="23"/>
  <c r="G56" i="23" s="1"/>
  <c r="I55" i="23"/>
  <c r="O55" i="23" s="1"/>
  <c r="E55" i="23"/>
  <c r="G55" i="23" s="1"/>
  <c r="G54" i="23"/>
  <c r="M54" i="23" s="1"/>
  <c r="E54" i="23"/>
  <c r="J54" i="23" s="1"/>
  <c r="S54" i="23" s="1"/>
  <c r="P53" i="23"/>
  <c r="R53" i="23" s="1"/>
  <c r="S53" i="23" s="1"/>
  <c r="J53" i="23"/>
  <c r="G53" i="23"/>
  <c r="O51" i="23"/>
  <c r="O49" i="23"/>
  <c r="I49" i="23"/>
  <c r="F49" i="23"/>
  <c r="O48" i="23"/>
  <c r="I48" i="23"/>
  <c r="H48" i="23"/>
  <c r="H49" i="23" s="1"/>
  <c r="F48" i="23"/>
  <c r="E48" i="23"/>
  <c r="P46" i="23"/>
  <c r="R46" i="23" s="1"/>
  <c r="J46" i="23"/>
  <c r="L46" i="23" s="1"/>
  <c r="G46" i="23"/>
  <c r="O45" i="23"/>
  <c r="I45" i="23"/>
  <c r="H45" i="23"/>
  <c r="P45" i="23" s="1"/>
  <c r="F45" i="23"/>
  <c r="E45" i="23"/>
  <c r="J45" i="23" s="1"/>
  <c r="I44" i="23"/>
  <c r="F44" i="23"/>
  <c r="E44" i="23"/>
  <c r="O43" i="23"/>
  <c r="I43" i="23"/>
  <c r="F43" i="23"/>
  <c r="E43" i="23"/>
  <c r="E42" i="23"/>
  <c r="B42" i="23"/>
  <c r="A42" i="23"/>
  <c r="E41" i="23"/>
  <c r="B41" i="23"/>
  <c r="A41" i="23"/>
  <c r="F41" i="23" s="1"/>
  <c r="O40" i="23"/>
  <c r="P40" i="23" s="1"/>
  <c r="I40" i="23"/>
  <c r="J40" i="23" s="1"/>
  <c r="G40" i="23"/>
  <c r="M40" i="23" s="1"/>
  <c r="E40" i="23"/>
  <c r="O38" i="23"/>
  <c r="I38" i="23"/>
  <c r="E38" i="23"/>
  <c r="I37" i="23"/>
  <c r="J37" i="23" s="1"/>
  <c r="B37" i="23"/>
  <c r="A37" i="23"/>
  <c r="F37" i="23" s="1"/>
  <c r="G37" i="23" s="1"/>
  <c r="M37" i="23" s="1"/>
  <c r="B36" i="23"/>
  <c r="A36" i="23"/>
  <c r="F36" i="23" s="1"/>
  <c r="G36" i="23" s="1"/>
  <c r="M36" i="23" s="1"/>
  <c r="B35" i="23"/>
  <c r="A35" i="23"/>
  <c r="F35" i="23" s="1"/>
  <c r="G35" i="23" s="1"/>
  <c r="M35" i="23" s="1"/>
  <c r="B34" i="23"/>
  <c r="A34" i="23"/>
  <c r="F34" i="23" s="1"/>
  <c r="G34" i="23" s="1"/>
  <c r="M34" i="23" s="1"/>
  <c r="B33" i="23"/>
  <c r="A33" i="23"/>
  <c r="F33" i="23" s="1"/>
  <c r="G33" i="23" s="1"/>
  <c r="M33" i="23" s="1"/>
  <c r="O32" i="23"/>
  <c r="I32" i="23"/>
  <c r="F32" i="23"/>
  <c r="E32" i="23"/>
  <c r="O31" i="23"/>
  <c r="I31" i="23"/>
  <c r="F31" i="23"/>
  <c r="G31" i="23" s="1"/>
  <c r="M31" i="23" s="1"/>
  <c r="E31" i="23"/>
  <c r="O30" i="23"/>
  <c r="I30" i="23"/>
  <c r="F30" i="23"/>
  <c r="E30" i="23"/>
  <c r="I29" i="23"/>
  <c r="F29" i="23"/>
  <c r="E29" i="23"/>
  <c r="O28" i="23"/>
  <c r="P28" i="23" s="1"/>
  <c r="I28" i="23"/>
  <c r="J28" i="23" s="1"/>
  <c r="S28" i="23" s="1"/>
  <c r="F28" i="23"/>
  <c r="G28" i="23" s="1"/>
  <c r="M28" i="23" s="1"/>
  <c r="O27" i="23"/>
  <c r="P27" i="23" s="1"/>
  <c r="F27" i="23"/>
  <c r="G27" i="23" s="1"/>
  <c r="M27" i="23" s="1"/>
  <c r="O26" i="23"/>
  <c r="P26" i="23" s="1"/>
  <c r="I26" i="23"/>
  <c r="J26" i="23" s="1"/>
  <c r="S26" i="23" s="1"/>
  <c r="F26" i="23"/>
  <c r="G26" i="23" s="1"/>
  <c r="O25" i="23"/>
  <c r="P25" i="23" s="1"/>
  <c r="I25" i="23"/>
  <c r="J25" i="23" s="1"/>
  <c r="F25" i="23"/>
  <c r="G25" i="23" s="1"/>
  <c r="O24" i="23"/>
  <c r="P24" i="23" s="1"/>
  <c r="I24" i="23"/>
  <c r="J24" i="23" s="1"/>
  <c r="S24" i="23" s="1"/>
  <c r="F24" i="23"/>
  <c r="G24" i="23" s="1"/>
  <c r="M24" i="23" s="1"/>
  <c r="I23" i="23"/>
  <c r="J23" i="23" s="1"/>
  <c r="F23" i="23"/>
  <c r="G23" i="23" s="1"/>
  <c r="P9" i="23"/>
  <c r="S70" i="22"/>
  <c r="R70" i="22"/>
  <c r="S64" i="22"/>
  <c r="R64" i="22"/>
  <c r="S59" i="22"/>
  <c r="J59" i="22"/>
  <c r="L59" i="22" s="1"/>
  <c r="I59" i="22"/>
  <c r="O59" i="22" s="1"/>
  <c r="P59" i="22" s="1"/>
  <c r="R59" i="22" s="1"/>
  <c r="G59" i="22"/>
  <c r="M59" i="22" s="1"/>
  <c r="O58" i="22"/>
  <c r="G58" i="22"/>
  <c r="E58" i="22"/>
  <c r="J57" i="22"/>
  <c r="I57" i="22"/>
  <c r="O57" i="22" s="1"/>
  <c r="G57" i="22"/>
  <c r="E57" i="22"/>
  <c r="I56" i="22"/>
  <c r="O56" i="22" s="1"/>
  <c r="E56" i="22"/>
  <c r="G56" i="22" s="1"/>
  <c r="J55" i="22"/>
  <c r="I55" i="22"/>
  <c r="O55" i="22" s="1"/>
  <c r="G55" i="22"/>
  <c r="E55" i="22"/>
  <c r="P55" i="22" s="1"/>
  <c r="R55" i="22" s="1"/>
  <c r="S54" i="22"/>
  <c r="J54" i="22"/>
  <c r="G54" i="22"/>
  <c r="M54" i="22" s="1"/>
  <c r="E54" i="22"/>
  <c r="P54" i="22" s="1"/>
  <c r="P53" i="22"/>
  <c r="L53" i="22"/>
  <c r="J53" i="22"/>
  <c r="R53" i="22" s="1"/>
  <c r="S53" i="22" s="1"/>
  <c r="G53" i="22"/>
  <c r="O51" i="22"/>
  <c r="O49" i="22"/>
  <c r="I49" i="22"/>
  <c r="F49" i="22"/>
  <c r="O48" i="22"/>
  <c r="I48" i="22"/>
  <c r="H48" i="22"/>
  <c r="H49" i="22" s="1"/>
  <c r="F48" i="22"/>
  <c r="E48" i="22"/>
  <c r="E49" i="22" s="1"/>
  <c r="P46" i="22"/>
  <c r="J46" i="22"/>
  <c r="L46" i="22" s="1"/>
  <c r="G46" i="22"/>
  <c r="P45" i="22"/>
  <c r="O45" i="22"/>
  <c r="I45" i="22"/>
  <c r="H45" i="22"/>
  <c r="F45" i="22"/>
  <c r="E45" i="22"/>
  <c r="J45" i="22" s="1"/>
  <c r="I44" i="22"/>
  <c r="F44" i="22"/>
  <c r="E44" i="22"/>
  <c r="O43" i="22"/>
  <c r="I43" i="22"/>
  <c r="F43" i="22"/>
  <c r="E43" i="22"/>
  <c r="E42" i="22"/>
  <c r="B42" i="22"/>
  <c r="A42" i="22"/>
  <c r="E41" i="22"/>
  <c r="B41" i="22"/>
  <c r="A41" i="22"/>
  <c r="F41" i="22" s="1"/>
  <c r="O40" i="22"/>
  <c r="I40" i="22"/>
  <c r="E40" i="22"/>
  <c r="G40" i="22" s="1"/>
  <c r="M40" i="22" s="1"/>
  <c r="O38" i="22"/>
  <c r="I38" i="22"/>
  <c r="E38" i="22"/>
  <c r="B37" i="22"/>
  <c r="A37" i="22"/>
  <c r="F37" i="22" s="1"/>
  <c r="G37" i="22" s="1"/>
  <c r="M37" i="22" s="1"/>
  <c r="B36" i="22"/>
  <c r="A36" i="22"/>
  <c r="F36" i="22" s="1"/>
  <c r="G36" i="22" s="1"/>
  <c r="M36" i="22" s="1"/>
  <c r="B35" i="22"/>
  <c r="A35" i="22"/>
  <c r="F35" i="22" s="1"/>
  <c r="G35" i="22" s="1"/>
  <c r="M35" i="22" s="1"/>
  <c r="B34" i="22"/>
  <c r="A34" i="22"/>
  <c r="F34" i="22" s="1"/>
  <c r="G34" i="22" s="1"/>
  <c r="M34" i="22" s="1"/>
  <c r="B33" i="22"/>
  <c r="A33" i="22"/>
  <c r="F33" i="22" s="1"/>
  <c r="G33" i="22" s="1"/>
  <c r="M33" i="22" s="1"/>
  <c r="O32" i="22"/>
  <c r="I32" i="22"/>
  <c r="F32" i="22"/>
  <c r="E32" i="22"/>
  <c r="O31" i="22"/>
  <c r="I31" i="22"/>
  <c r="F31" i="22"/>
  <c r="G31" i="22" s="1"/>
  <c r="M31" i="22" s="1"/>
  <c r="E31" i="22"/>
  <c r="O30" i="22"/>
  <c r="I30" i="22"/>
  <c r="F30" i="22"/>
  <c r="E30" i="22"/>
  <c r="I29" i="22"/>
  <c r="F29" i="22"/>
  <c r="E29" i="22"/>
  <c r="O28" i="22"/>
  <c r="P28" i="22" s="1"/>
  <c r="I28" i="22"/>
  <c r="J28" i="22" s="1"/>
  <c r="F28" i="22"/>
  <c r="G28" i="22" s="1"/>
  <c r="M28" i="22" s="1"/>
  <c r="O27" i="22"/>
  <c r="P27" i="22" s="1"/>
  <c r="F27" i="22"/>
  <c r="G27" i="22" s="1"/>
  <c r="M27" i="22" s="1"/>
  <c r="O26" i="22"/>
  <c r="P26" i="22" s="1"/>
  <c r="I26" i="22"/>
  <c r="J26" i="22" s="1"/>
  <c r="F26" i="22"/>
  <c r="G26" i="22" s="1"/>
  <c r="O25" i="22"/>
  <c r="P25" i="22" s="1"/>
  <c r="I25" i="22"/>
  <c r="J25" i="22" s="1"/>
  <c r="F25" i="22"/>
  <c r="G25" i="22" s="1"/>
  <c r="O24" i="22"/>
  <c r="P24" i="22" s="1"/>
  <c r="I24" i="22"/>
  <c r="J24" i="22" s="1"/>
  <c r="S24" i="22" s="1"/>
  <c r="F24" i="22"/>
  <c r="G24" i="22" s="1"/>
  <c r="M24" i="22" s="1"/>
  <c r="I23" i="22"/>
  <c r="J23" i="22" s="1"/>
  <c r="F23" i="22"/>
  <c r="G23" i="22" s="1"/>
  <c r="P9" i="22"/>
  <c r="S70" i="21"/>
  <c r="R70" i="21"/>
  <c r="S64" i="21"/>
  <c r="R64" i="21"/>
  <c r="R59" i="21"/>
  <c r="L59" i="21"/>
  <c r="J59" i="21"/>
  <c r="S59" i="21" s="1"/>
  <c r="I59" i="21"/>
  <c r="O59" i="21" s="1"/>
  <c r="P59" i="21" s="1"/>
  <c r="G59" i="21"/>
  <c r="M59" i="21" s="1"/>
  <c r="O58" i="21"/>
  <c r="E58" i="21"/>
  <c r="I57" i="21"/>
  <c r="O57" i="21" s="1"/>
  <c r="E57" i="21"/>
  <c r="G57" i="21" s="1"/>
  <c r="I56" i="21"/>
  <c r="O56" i="21" s="1"/>
  <c r="E56" i="21"/>
  <c r="I55" i="21"/>
  <c r="O55" i="21" s="1"/>
  <c r="E55" i="21"/>
  <c r="G55" i="21" s="1"/>
  <c r="E54" i="21"/>
  <c r="J54" i="21" s="1"/>
  <c r="P53" i="21"/>
  <c r="J53" i="21"/>
  <c r="G53" i="21"/>
  <c r="O51" i="21"/>
  <c r="O49" i="21"/>
  <c r="I49" i="21"/>
  <c r="F49" i="21"/>
  <c r="O48" i="21"/>
  <c r="I48" i="21"/>
  <c r="H48" i="21"/>
  <c r="F48" i="21"/>
  <c r="E48" i="21"/>
  <c r="R46" i="21"/>
  <c r="P46" i="21"/>
  <c r="J46" i="21"/>
  <c r="L46" i="21" s="1"/>
  <c r="G46" i="21"/>
  <c r="O45" i="21"/>
  <c r="I45" i="21"/>
  <c r="H45" i="21"/>
  <c r="F45" i="21"/>
  <c r="E45" i="21"/>
  <c r="I44" i="21"/>
  <c r="F44" i="21"/>
  <c r="E44" i="21"/>
  <c r="O43" i="21"/>
  <c r="I43" i="21"/>
  <c r="F43" i="21"/>
  <c r="G43" i="21" s="1"/>
  <c r="M43" i="21" s="1"/>
  <c r="E43" i="21"/>
  <c r="E42" i="21"/>
  <c r="B42" i="21"/>
  <c r="A42" i="21"/>
  <c r="E41" i="21"/>
  <c r="B41" i="21"/>
  <c r="A41" i="21"/>
  <c r="O40" i="21"/>
  <c r="I40" i="21"/>
  <c r="E40" i="21"/>
  <c r="G40" i="21" s="1"/>
  <c r="M40" i="21" s="1"/>
  <c r="O38" i="21"/>
  <c r="I38" i="21"/>
  <c r="J38" i="21" s="1"/>
  <c r="E38" i="21"/>
  <c r="G38" i="21" s="1"/>
  <c r="M38" i="21" s="1"/>
  <c r="B37" i="21"/>
  <c r="A37" i="21"/>
  <c r="F37" i="21" s="1"/>
  <c r="G37" i="21" s="1"/>
  <c r="M37" i="21" s="1"/>
  <c r="B36" i="21"/>
  <c r="A36" i="21"/>
  <c r="F36" i="21" s="1"/>
  <c r="G36" i="21" s="1"/>
  <c r="M36" i="21" s="1"/>
  <c r="B35" i="21"/>
  <c r="A35" i="21"/>
  <c r="F35" i="21" s="1"/>
  <c r="G35" i="21" s="1"/>
  <c r="M35" i="21" s="1"/>
  <c r="B34" i="21"/>
  <c r="A34" i="21"/>
  <c r="F34" i="21" s="1"/>
  <c r="G34" i="21" s="1"/>
  <c r="M34" i="21" s="1"/>
  <c r="B33" i="21"/>
  <c r="A33" i="21"/>
  <c r="F33" i="21" s="1"/>
  <c r="G33" i="21" s="1"/>
  <c r="M33" i="21" s="1"/>
  <c r="O32" i="21"/>
  <c r="I32" i="21"/>
  <c r="F32" i="21"/>
  <c r="E32" i="21"/>
  <c r="O31" i="21"/>
  <c r="I31" i="21"/>
  <c r="F31" i="21"/>
  <c r="E31" i="21"/>
  <c r="O30" i="21"/>
  <c r="I30" i="21"/>
  <c r="F30" i="21"/>
  <c r="E30" i="21"/>
  <c r="I29" i="21"/>
  <c r="F29" i="21"/>
  <c r="E29" i="21"/>
  <c r="O28" i="21"/>
  <c r="P28" i="21" s="1"/>
  <c r="I28" i="21"/>
  <c r="J28" i="21" s="1"/>
  <c r="F28" i="21"/>
  <c r="G28" i="21" s="1"/>
  <c r="M28" i="21" s="1"/>
  <c r="O27" i="21"/>
  <c r="P27" i="21" s="1"/>
  <c r="F27" i="21"/>
  <c r="G27" i="21" s="1"/>
  <c r="M27" i="21" s="1"/>
  <c r="O26" i="21"/>
  <c r="P26" i="21" s="1"/>
  <c r="I26" i="21"/>
  <c r="J26" i="21" s="1"/>
  <c r="S26" i="21" s="1"/>
  <c r="F26" i="21"/>
  <c r="G26" i="21" s="1"/>
  <c r="O25" i="21"/>
  <c r="P25" i="21" s="1"/>
  <c r="I25" i="21"/>
  <c r="J25" i="21" s="1"/>
  <c r="F25" i="21"/>
  <c r="G25" i="21" s="1"/>
  <c r="O24" i="21"/>
  <c r="P24" i="21" s="1"/>
  <c r="I24" i="21"/>
  <c r="J24" i="21" s="1"/>
  <c r="F24" i="21"/>
  <c r="G24" i="21" s="1"/>
  <c r="M24" i="21" s="1"/>
  <c r="I23" i="21"/>
  <c r="J23" i="21" s="1"/>
  <c r="F23" i="21"/>
  <c r="G23" i="21" s="1"/>
  <c r="P9" i="21"/>
  <c r="S70" i="20"/>
  <c r="R70" i="20"/>
  <c r="S64" i="20"/>
  <c r="R64" i="20"/>
  <c r="J59" i="20"/>
  <c r="S59" i="20" s="1"/>
  <c r="I59" i="20"/>
  <c r="O59" i="20" s="1"/>
  <c r="P59" i="20" s="1"/>
  <c r="R59" i="20" s="1"/>
  <c r="G59" i="20"/>
  <c r="M59" i="20" s="1"/>
  <c r="O58" i="20"/>
  <c r="E58" i="20"/>
  <c r="P58" i="20" s="1"/>
  <c r="J57" i="20"/>
  <c r="I57" i="20"/>
  <c r="O57" i="20" s="1"/>
  <c r="E57" i="20"/>
  <c r="G57" i="20" s="1"/>
  <c r="J56" i="20"/>
  <c r="I56" i="20"/>
  <c r="O56" i="20" s="1"/>
  <c r="E56" i="20"/>
  <c r="G56" i="20" s="1"/>
  <c r="J55" i="20"/>
  <c r="I55" i="20"/>
  <c r="O55" i="20" s="1"/>
  <c r="E55" i="20"/>
  <c r="G55" i="20" s="1"/>
  <c r="E54" i="20"/>
  <c r="P54" i="20" s="1"/>
  <c r="P53" i="20"/>
  <c r="R53" i="20" s="1"/>
  <c r="S53" i="20" s="1"/>
  <c r="J53" i="20"/>
  <c r="G53" i="20"/>
  <c r="O51" i="20"/>
  <c r="O49" i="20"/>
  <c r="I49" i="20"/>
  <c r="F49" i="20"/>
  <c r="O48" i="20"/>
  <c r="I48" i="20"/>
  <c r="H48" i="20"/>
  <c r="H49" i="20" s="1"/>
  <c r="F48" i="20"/>
  <c r="E48" i="20"/>
  <c r="P46" i="20"/>
  <c r="R46" i="20" s="1"/>
  <c r="J46" i="20"/>
  <c r="L46" i="20" s="1"/>
  <c r="G46" i="20"/>
  <c r="O45" i="20"/>
  <c r="I45" i="20"/>
  <c r="H45" i="20"/>
  <c r="P45" i="20" s="1"/>
  <c r="F45" i="20"/>
  <c r="E45" i="20"/>
  <c r="J45" i="20" s="1"/>
  <c r="I44" i="20"/>
  <c r="F44" i="20"/>
  <c r="E44" i="20"/>
  <c r="O43" i="20"/>
  <c r="I43" i="20"/>
  <c r="F43" i="20"/>
  <c r="E43" i="20"/>
  <c r="E42" i="20"/>
  <c r="B42" i="20"/>
  <c r="A42" i="20"/>
  <c r="E41" i="20"/>
  <c r="B41" i="20"/>
  <c r="A41" i="20"/>
  <c r="F41" i="20" s="1"/>
  <c r="O40" i="20"/>
  <c r="P40" i="20" s="1"/>
  <c r="I40" i="20"/>
  <c r="J40" i="20" s="1"/>
  <c r="G40" i="20"/>
  <c r="M40" i="20" s="1"/>
  <c r="E40" i="20"/>
  <c r="O38" i="20"/>
  <c r="I38" i="20"/>
  <c r="E38" i="20"/>
  <c r="B37" i="20"/>
  <c r="A37" i="20"/>
  <c r="F37" i="20" s="1"/>
  <c r="G37" i="20" s="1"/>
  <c r="M37" i="20" s="1"/>
  <c r="B36" i="20"/>
  <c r="A36" i="20"/>
  <c r="F36" i="20" s="1"/>
  <c r="G36" i="20" s="1"/>
  <c r="M36" i="20" s="1"/>
  <c r="B35" i="20"/>
  <c r="A35" i="20"/>
  <c r="F35" i="20" s="1"/>
  <c r="G35" i="20" s="1"/>
  <c r="M35" i="20" s="1"/>
  <c r="B34" i="20"/>
  <c r="A34" i="20"/>
  <c r="F34" i="20" s="1"/>
  <c r="G34" i="20" s="1"/>
  <c r="M34" i="20" s="1"/>
  <c r="B33" i="20"/>
  <c r="A33" i="20"/>
  <c r="F33" i="20" s="1"/>
  <c r="G33" i="20" s="1"/>
  <c r="M33" i="20" s="1"/>
  <c r="O32" i="20"/>
  <c r="I32" i="20"/>
  <c r="F32" i="20"/>
  <c r="E32" i="20"/>
  <c r="O31" i="20"/>
  <c r="I31" i="20"/>
  <c r="F31" i="20"/>
  <c r="E31" i="20"/>
  <c r="O30" i="20"/>
  <c r="I30" i="20"/>
  <c r="F30" i="20"/>
  <c r="E30" i="20"/>
  <c r="I29" i="20"/>
  <c r="F29" i="20"/>
  <c r="E29" i="20"/>
  <c r="O28" i="20"/>
  <c r="P28" i="20" s="1"/>
  <c r="I28" i="20"/>
  <c r="J28" i="20" s="1"/>
  <c r="S28" i="20" s="1"/>
  <c r="F28" i="20"/>
  <c r="G28" i="20" s="1"/>
  <c r="M28" i="20" s="1"/>
  <c r="O27" i="20"/>
  <c r="P27" i="20" s="1"/>
  <c r="F27" i="20"/>
  <c r="G27" i="20" s="1"/>
  <c r="M27" i="20" s="1"/>
  <c r="O26" i="20"/>
  <c r="P26" i="20" s="1"/>
  <c r="I26" i="20"/>
  <c r="J26" i="20" s="1"/>
  <c r="S26" i="20" s="1"/>
  <c r="F26" i="20"/>
  <c r="G26" i="20" s="1"/>
  <c r="O25" i="20"/>
  <c r="P25" i="20" s="1"/>
  <c r="I25" i="20"/>
  <c r="J25" i="20" s="1"/>
  <c r="F25" i="20"/>
  <c r="G25" i="20" s="1"/>
  <c r="O24" i="20"/>
  <c r="P24" i="20" s="1"/>
  <c r="I24" i="20"/>
  <c r="J24" i="20" s="1"/>
  <c r="F24" i="20"/>
  <c r="G24" i="20" s="1"/>
  <c r="M24" i="20" s="1"/>
  <c r="I23" i="20"/>
  <c r="J23" i="20" s="1"/>
  <c r="F23" i="20"/>
  <c r="G23" i="20" s="1"/>
  <c r="P9" i="20"/>
  <c r="S70" i="35"/>
  <c r="R70" i="35"/>
  <c r="S64" i="35"/>
  <c r="R64" i="35"/>
  <c r="J59" i="35"/>
  <c r="S59" i="35" s="1"/>
  <c r="I59" i="35"/>
  <c r="O59" i="35" s="1"/>
  <c r="P59" i="35" s="1"/>
  <c r="R59" i="35" s="1"/>
  <c r="G59" i="35"/>
  <c r="M59" i="35" s="1"/>
  <c r="O58" i="35"/>
  <c r="E58" i="35"/>
  <c r="P58" i="35" s="1"/>
  <c r="I57" i="35"/>
  <c r="O57" i="35" s="1"/>
  <c r="E57" i="35"/>
  <c r="G57" i="35" s="1"/>
  <c r="I56" i="35"/>
  <c r="O56" i="35" s="1"/>
  <c r="E56" i="35"/>
  <c r="G56" i="35" s="1"/>
  <c r="I55" i="35"/>
  <c r="O55" i="35" s="1"/>
  <c r="E55" i="35"/>
  <c r="G55" i="35" s="1"/>
  <c r="G54" i="35"/>
  <c r="M54" i="35" s="1"/>
  <c r="E54" i="35"/>
  <c r="P54" i="35" s="1"/>
  <c r="P53" i="35"/>
  <c r="R53" i="35" s="1"/>
  <c r="S53" i="35" s="1"/>
  <c r="J53" i="35"/>
  <c r="G53" i="35"/>
  <c r="O51" i="35"/>
  <c r="O49" i="35"/>
  <c r="I49" i="35"/>
  <c r="F49" i="35"/>
  <c r="O48" i="35"/>
  <c r="I48" i="35"/>
  <c r="H48" i="35"/>
  <c r="H49" i="35" s="1"/>
  <c r="F48" i="35"/>
  <c r="E48" i="35"/>
  <c r="P46" i="35"/>
  <c r="R46" i="35" s="1"/>
  <c r="J46" i="35"/>
  <c r="L46" i="35" s="1"/>
  <c r="G46" i="35"/>
  <c r="O45" i="35"/>
  <c r="I45" i="35"/>
  <c r="H45" i="35"/>
  <c r="P45" i="35" s="1"/>
  <c r="R45" i="35" s="1"/>
  <c r="F45" i="35"/>
  <c r="E45" i="35"/>
  <c r="J45" i="35" s="1"/>
  <c r="I44" i="35"/>
  <c r="F44" i="35"/>
  <c r="E44" i="35"/>
  <c r="O43" i="35"/>
  <c r="I43" i="35"/>
  <c r="F43" i="35"/>
  <c r="E43" i="35"/>
  <c r="E42" i="35"/>
  <c r="B42" i="35"/>
  <c r="A42" i="35"/>
  <c r="E41" i="35"/>
  <c r="B41" i="35"/>
  <c r="A41" i="35"/>
  <c r="O40" i="35"/>
  <c r="P40" i="35" s="1"/>
  <c r="I40" i="35"/>
  <c r="J40" i="35" s="1"/>
  <c r="G40" i="35"/>
  <c r="M40" i="35" s="1"/>
  <c r="E40" i="35"/>
  <c r="O38" i="35"/>
  <c r="I38" i="35"/>
  <c r="E38" i="35"/>
  <c r="B37" i="35"/>
  <c r="A37" i="35"/>
  <c r="F37" i="35" s="1"/>
  <c r="G37" i="35" s="1"/>
  <c r="M37" i="35" s="1"/>
  <c r="B36" i="35"/>
  <c r="A36" i="35"/>
  <c r="F36" i="35" s="1"/>
  <c r="G36" i="35" s="1"/>
  <c r="M36" i="35" s="1"/>
  <c r="B35" i="35"/>
  <c r="A35" i="35"/>
  <c r="F35" i="35" s="1"/>
  <c r="G35" i="35" s="1"/>
  <c r="M35" i="35" s="1"/>
  <c r="B34" i="35"/>
  <c r="A34" i="35"/>
  <c r="F34" i="35" s="1"/>
  <c r="G34" i="35" s="1"/>
  <c r="M34" i="35" s="1"/>
  <c r="B33" i="35"/>
  <c r="A33" i="35"/>
  <c r="F33" i="35" s="1"/>
  <c r="G33" i="35" s="1"/>
  <c r="M33" i="35" s="1"/>
  <c r="O32" i="35"/>
  <c r="I32" i="35"/>
  <c r="F32" i="35"/>
  <c r="E32" i="35"/>
  <c r="O31" i="35"/>
  <c r="I31" i="35"/>
  <c r="F31" i="35"/>
  <c r="E31" i="35"/>
  <c r="O30" i="35"/>
  <c r="I30" i="35"/>
  <c r="F30" i="35"/>
  <c r="E30" i="35"/>
  <c r="I29" i="35"/>
  <c r="F29" i="35"/>
  <c r="E29" i="35"/>
  <c r="O28" i="35"/>
  <c r="P28" i="35" s="1"/>
  <c r="I28" i="35"/>
  <c r="J28" i="35" s="1"/>
  <c r="S28" i="35" s="1"/>
  <c r="F28" i="35"/>
  <c r="G28" i="35" s="1"/>
  <c r="M28" i="35" s="1"/>
  <c r="O27" i="35"/>
  <c r="P27" i="35" s="1"/>
  <c r="F27" i="35"/>
  <c r="G27" i="35" s="1"/>
  <c r="M27" i="35" s="1"/>
  <c r="O26" i="35"/>
  <c r="P26" i="35" s="1"/>
  <c r="I26" i="35"/>
  <c r="J26" i="35" s="1"/>
  <c r="S26" i="35" s="1"/>
  <c r="F26" i="35"/>
  <c r="G26" i="35" s="1"/>
  <c r="O25" i="35"/>
  <c r="P25" i="35" s="1"/>
  <c r="I25" i="35"/>
  <c r="J25" i="35" s="1"/>
  <c r="F25" i="35"/>
  <c r="G25" i="35" s="1"/>
  <c r="O24" i="35"/>
  <c r="P24" i="35" s="1"/>
  <c r="I24" i="35"/>
  <c r="J24" i="35" s="1"/>
  <c r="S24" i="35" s="1"/>
  <c r="F24" i="35"/>
  <c r="G24" i="35" s="1"/>
  <c r="M24" i="35" s="1"/>
  <c r="I23" i="35"/>
  <c r="J23" i="35" s="1"/>
  <c r="F23" i="35"/>
  <c r="G23" i="35" s="1"/>
  <c r="P9" i="35"/>
  <c r="S70" i="19"/>
  <c r="R70" i="19"/>
  <c r="S64" i="19"/>
  <c r="R64" i="19"/>
  <c r="I59" i="19"/>
  <c r="J59" i="19" s="1"/>
  <c r="G59" i="19"/>
  <c r="M59" i="19" s="1"/>
  <c r="O58" i="19"/>
  <c r="E58" i="19"/>
  <c r="J58" i="19" s="1"/>
  <c r="I57" i="19"/>
  <c r="O57" i="19" s="1"/>
  <c r="E57" i="19"/>
  <c r="G57" i="19" s="1"/>
  <c r="I56" i="19"/>
  <c r="O56" i="19" s="1"/>
  <c r="G56" i="19"/>
  <c r="E56" i="19"/>
  <c r="I55" i="19"/>
  <c r="O55" i="19" s="1"/>
  <c r="E55" i="19"/>
  <c r="G55" i="19" s="1"/>
  <c r="E54" i="19"/>
  <c r="P54" i="19" s="1"/>
  <c r="P53" i="19"/>
  <c r="M53" i="19"/>
  <c r="L53" i="19"/>
  <c r="J53" i="19"/>
  <c r="R53" i="19" s="1"/>
  <c r="S53" i="19" s="1"/>
  <c r="G53" i="19"/>
  <c r="O51" i="19"/>
  <c r="O49" i="19"/>
  <c r="I49" i="19"/>
  <c r="F49" i="19"/>
  <c r="O48" i="19"/>
  <c r="I48" i="19"/>
  <c r="H48" i="19"/>
  <c r="H49" i="19" s="1"/>
  <c r="F48" i="19"/>
  <c r="E48" i="19"/>
  <c r="P46" i="19"/>
  <c r="J46" i="19"/>
  <c r="L46" i="19" s="1"/>
  <c r="G46" i="19"/>
  <c r="O45" i="19"/>
  <c r="I45" i="19"/>
  <c r="H45" i="19"/>
  <c r="P45" i="19" s="1"/>
  <c r="F45" i="19"/>
  <c r="E45" i="19"/>
  <c r="J45" i="19" s="1"/>
  <c r="I44" i="19"/>
  <c r="F44" i="19"/>
  <c r="E44" i="19"/>
  <c r="O43" i="19"/>
  <c r="I43" i="19"/>
  <c r="F43" i="19"/>
  <c r="G43" i="19" s="1"/>
  <c r="M43" i="19" s="1"/>
  <c r="E43" i="19"/>
  <c r="E42" i="19"/>
  <c r="B42" i="19"/>
  <c r="A42" i="19"/>
  <c r="F42" i="19" s="1"/>
  <c r="E41" i="19"/>
  <c r="B41" i="19"/>
  <c r="A41" i="19"/>
  <c r="F41" i="19" s="1"/>
  <c r="G41" i="19" s="1"/>
  <c r="M41" i="19" s="1"/>
  <c r="O40" i="19"/>
  <c r="I40" i="19"/>
  <c r="E40" i="19"/>
  <c r="G40" i="19" s="1"/>
  <c r="M40" i="19" s="1"/>
  <c r="O38" i="19"/>
  <c r="I38" i="19"/>
  <c r="E38" i="19"/>
  <c r="G38" i="19" s="1"/>
  <c r="M38" i="19" s="1"/>
  <c r="B37" i="19"/>
  <c r="A37" i="19"/>
  <c r="F37" i="19" s="1"/>
  <c r="G37" i="19" s="1"/>
  <c r="M37" i="19" s="1"/>
  <c r="B36" i="19"/>
  <c r="A36" i="19"/>
  <c r="O36" i="19" s="1"/>
  <c r="P36" i="19" s="1"/>
  <c r="B35" i="19"/>
  <c r="A35" i="19"/>
  <c r="O35" i="19" s="1"/>
  <c r="P35" i="19" s="1"/>
  <c r="B34" i="19"/>
  <c r="A34" i="19"/>
  <c r="O34" i="19" s="1"/>
  <c r="P34" i="19" s="1"/>
  <c r="B33" i="19"/>
  <c r="A33" i="19"/>
  <c r="F33" i="19" s="1"/>
  <c r="G33" i="19" s="1"/>
  <c r="M33" i="19" s="1"/>
  <c r="O32" i="19"/>
  <c r="I32" i="19"/>
  <c r="F32" i="19"/>
  <c r="E32" i="19"/>
  <c r="O31" i="19"/>
  <c r="I31" i="19"/>
  <c r="F31" i="19"/>
  <c r="E31" i="19"/>
  <c r="O30" i="19"/>
  <c r="I30" i="19"/>
  <c r="J30" i="19" s="1"/>
  <c r="F30" i="19"/>
  <c r="E30" i="19"/>
  <c r="I29" i="19"/>
  <c r="F29" i="19"/>
  <c r="E29" i="19"/>
  <c r="O28" i="19"/>
  <c r="P28" i="19" s="1"/>
  <c r="I28" i="19"/>
  <c r="J28" i="19" s="1"/>
  <c r="F28" i="19"/>
  <c r="G28" i="19" s="1"/>
  <c r="M28" i="19" s="1"/>
  <c r="O27" i="19"/>
  <c r="P27" i="19" s="1"/>
  <c r="F27" i="19"/>
  <c r="G27" i="19" s="1"/>
  <c r="M27" i="19" s="1"/>
  <c r="O26" i="19"/>
  <c r="P26" i="19" s="1"/>
  <c r="I26" i="19"/>
  <c r="J26" i="19" s="1"/>
  <c r="S26" i="19" s="1"/>
  <c r="F26" i="19"/>
  <c r="G26" i="19" s="1"/>
  <c r="O25" i="19"/>
  <c r="P25" i="19" s="1"/>
  <c r="I25" i="19"/>
  <c r="J25" i="19" s="1"/>
  <c r="F25" i="19"/>
  <c r="G25" i="19" s="1"/>
  <c r="O24" i="19"/>
  <c r="P24" i="19" s="1"/>
  <c r="I24" i="19"/>
  <c r="J24" i="19" s="1"/>
  <c r="F24" i="19"/>
  <c r="G24" i="19" s="1"/>
  <c r="M24" i="19" s="1"/>
  <c r="I23" i="19"/>
  <c r="J23" i="19" s="1"/>
  <c r="F23" i="19"/>
  <c r="G23" i="19" s="1"/>
  <c r="P9" i="19"/>
  <c r="S70" i="17"/>
  <c r="R70" i="17"/>
  <c r="S64" i="17"/>
  <c r="R64" i="17"/>
  <c r="J59" i="17"/>
  <c r="S59" i="17" s="1"/>
  <c r="I59" i="17"/>
  <c r="O59" i="17" s="1"/>
  <c r="P59" i="17" s="1"/>
  <c r="R59" i="17" s="1"/>
  <c r="G59" i="17"/>
  <c r="M59" i="17" s="1"/>
  <c r="O58" i="17"/>
  <c r="E58" i="17"/>
  <c r="G58" i="17" s="1"/>
  <c r="I57" i="17"/>
  <c r="O57" i="17" s="1"/>
  <c r="E57" i="17"/>
  <c r="G57" i="17" s="1"/>
  <c r="J56" i="17"/>
  <c r="I56" i="17"/>
  <c r="O56" i="17" s="1"/>
  <c r="P56" i="17" s="1"/>
  <c r="E56" i="17"/>
  <c r="G56" i="17" s="1"/>
  <c r="I55" i="17"/>
  <c r="O55" i="17" s="1"/>
  <c r="G55" i="17"/>
  <c r="E55" i="17"/>
  <c r="P55" i="17" s="1"/>
  <c r="E54" i="17"/>
  <c r="J54" i="17" s="1"/>
  <c r="P53" i="17"/>
  <c r="R53" i="17" s="1"/>
  <c r="J53" i="17"/>
  <c r="G53" i="17"/>
  <c r="O51" i="17"/>
  <c r="O49" i="17"/>
  <c r="I49" i="17"/>
  <c r="F49" i="17"/>
  <c r="O48" i="17"/>
  <c r="I48" i="17"/>
  <c r="H48" i="17"/>
  <c r="H49" i="17" s="1"/>
  <c r="F48" i="17"/>
  <c r="E48" i="17"/>
  <c r="P46" i="17"/>
  <c r="R46" i="17" s="1"/>
  <c r="L46" i="17"/>
  <c r="J46" i="17"/>
  <c r="S46" i="17" s="1"/>
  <c r="G46" i="17"/>
  <c r="O45" i="17"/>
  <c r="I45" i="17"/>
  <c r="H45" i="17"/>
  <c r="P45" i="17" s="1"/>
  <c r="F45" i="17"/>
  <c r="E45" i="17"/>
  <c r="G45" i="17" s="1"/>
  <c r="I44" i="17"/>
  <c r="F44" i="17"/>
  <c r="E44" i="17"/>
  <c r="O43" i="17"/>
  <c r="I43" i="17"/>
  <c r="F43" i="17"/>
  <c r="E43" i="17"/>
  <c r="E42" i="17"/>
  <c r="B42" i="17"/>
  <c r="A42" i="17"/>
  <c r="F42" i="17" s="1"/>
  <c r="G42" i="17" s="1"/>
  <c r="M42" i="17" s="1"/>
  <c r="E41" i="17"/>
  <c r="B41" i="17"/>
  <c r="A41" i="17"/>
  <c r="O40" i="17"/>
  <c r="I40" i="17"/>
  <c r="E40" i="17"/>
  <c r="G40" i="17" s="1"/>
  <c r="M40" i="17" s="1"/>
  <c r="O38" i="17"/>
  <c r="I38" i="17"/>
  <c r="E38" i="17"/>
  <c r="G38" i="17" s="1"/>
  <c r="M38" i="17" s="1"/>
  <c r="B37" i="17"/>
  <c r="A37" i="17"/>
  <c r="F37" i="17" s="1"/>
  <c r="G37" i="17" s="1"/>
  <c r="M37" i="17" s="1"/>
  <c r="B36" i="17"/>
  <c r="A36" i="17"/>
  <c r="F36" i="17" s="1"/>
  <c r="G36" i="17" s="1"/>
  <c r="M36" i="17" s="1"/>
  <c r="B35" i="17"/>
  <c r="A35" i="17"/>
  <c r="F35" i="17" s="1"/>
  <c r="G35" i="17" s="1"/>
  <c r="M35" i="17" s="1"/>
  <c r="B34" i="17"/>
  <c r="A34" i="17"/>
  <c r="F34" i="17" s="1"/>
  <c r="G34" i="17" s="1"/>
  <c r="M34" i="17" s="1"/>
  <c r="B33" i="17"/>
  <c r="A33" i="17"/>
  <c r="O32" i="17"/>
  <c r="I32" i="17"/>
  <c r="F32" i="17"/>
  <c r="E32" i="17"/>
  <c r="O31" i="17"/>
  <c r="P31" i="17" s="1"/>
  <c r="I31" i="17"/>
  <c r="F31" i="17"/>
  <c r="E31" i="17"/>
  <c r="O30" i="17"/>
  <c r="I30" i="17"/>
  <c r="F30" i="17"/>
  <c r="G30" i="17" s="1"/>
  <c r="M30" i="17" s="1"/>
  <c r="E30" i="17"/>
  <c r="I29" i="17"/>
  <c r="F29" i="17"/>
  <c r="G29" i="17" s="1"/>
  <c r="E29" i="17"/>
  <c r="O28" i="17"/>
  <c r="P28" i="17" s="1"/>
  <c r="I28" i="17"/>
  <c r="J28" i="17" s="1"/>
  <c r="F28" i="17"/>
  <c r="G28" i="17" s="1"/>
  <c r="M28" i="17" s="1"/>
  <c r="O27" i="17"/>
  <c r="P27" i="17" s="1"/>
  <c r="F27" i="17"/>
  <c r="G27" i="17" s="1"/>
  <c r="M27" i="17" s="1"/>
  <c r="O26" i="17"/>
  <c r="P26" i="17" s="1"/>
  <c r="I26" i="17"/>
  <c r="J26" i="17" s="1"/>
  <c r="F26" i="17"/>
  <c r="G26" i="17" s="1"/>
  <c r="O25" i="17"/>
  <c r="P25" i="17" s="1"/>
  <c r="I25" i="17"/>
  <c r="J25" i="17" s="1"/>
  <c r="F25" i="17"/>
  <c r="G25" i="17" s="1"/>
  <c r="O24" i="17"/>
  <c r="P24" i="17" s="1"/>
  <c r="I24" i="17"/>
  <c r="J24" i="17" s="1"/>
  <c r="F24" i="17"/>
  <c r="G24" i="17" s="1"/>
  <c r="M24" i="17" s="1"/>
  <c r="I23" i="17"/>
  <c r="J23" i="17" s="1"/>
  <c r="F23" i="17"/>
  <c r="G23" i="17" s="1"/>
  <c r="P9" i="17"/>
  <c r="H55" i="11"/>
  <c r="H54" i="11"/>
  <c r="H48" i="11"/>
  <c r="H58" i="10"/>
  <c r="I32" i="1"/>
  <c r="I26" i="1"/>
  <c r="H48" i="1"/>
  <c r="H45" i="1"/>
  <c r="I23" i="26" l="1"/>
  <c r="J23" i="26" s="1"/>
  <c r="I32" i="32"/>
  <c r="F36" i="19"/>
  <c r="G36" i="19" s="1"/>
  <c r="M36" i="19" s="1"/>
  <c r="F32" i="29"/>
  <c r="I40" i="33"/>
  <c r="F32" i="26"/>
  <c r="I23" i="33"/>
  <c r="J23" i="33" s="1"/>
  <c r="I37" i="20"/>
  <c r="J37" i="20" s="1"/>
  <c r="O36" i="23"/>
  <c r="P36" i="23" s="1"/>
  <c r="F35" i="27"/>
  <c r="G35" i="27" s="1"/>
  <c r="M35" i="27" s="1"/>
  <c r="O36" i="29"/>
  <c r="P36" i="29" s="1"/>
  <c r="I49" i="29"/>
  <c r="I26" i="33"/>
  <c r="J26" i="33" s="1"/>
  <c r="I37" i="33"/>
  <c r="J37" i="33" s="1"/>
  <c r="F36" i="34"/>
  <c r="G36" i="34" s="1"/>
  <c r="M36" i="34" s="1"/>
  <c r="O36" i="20"/>
  <c r="P36" i="20" s="1"/>
  <c r="F32" i="28"/>
  <c r="G32" i="28" s="1"/>
  <c r="F35" i="29"/>
  <c r="G35" i="29" s="1"/>
  <c r="M35" i="29" s="1"/>
  <c r="O49" i="29"/>
  <c r="P49" i="29" s="1"/>
  <c r="O26" i="33"/>
  <c r="P26" i="33" s="1"/>
  <c r="O42" i="19"/>
  <c r="P42" i="19" s="1"/>
  <c r="O42" i="21"/>
  <c r="P42" i="21" s="1"/>
  <c r="O42" i="33"/>
  <c r="P42" i="33" s="1"/>
  <c r="J31" i="35"/>
  <c r="S31" i="35" s="1"/>
  <c r="F41" i="17"/>
  <c r="G41" i="17" s="1"/>
  <c r="M41" i="17" s="1"/>
  <c r="O42" i="17"/>
  <c r="P42" i="17" s="1"/>
  <c r="F41" i="35"/>
  <c r="G41" i="35" s="1"/>
  <c r="M41" i="35" s="1"/>
  <c r="F33" i="26"/>
  <c r="G33" i="26" s="1"/>
  <c r="M33" i="26" s="1"/>
  <c r="F33" i="27"/>
  <c r="G33" i="27" s="1"/>
  <c r="M33" i="27" s="1"/>
  <c r="F35" i="28"/>
  <c r="G35" i="28" s="1"/>
  <c r="M35" i="28" s="1"/>
  <c r="P48" i="29"/>
  <c r="F52" i="32"/>
  <c r="G52" i="32" s="1"/>
  <c r="O32" i="33"/>
  <c r="P32" i="33" s="1"/>
  <c r="R32" i="33" s="1"/>
  <c r="F52" i="34"/>
  <c r="G52" i="34" s="1"/>
  <c r="P48" i="20"/>
  <c r="P48" i="23"/>
  <c r="F41" i="25"/>
  <c r="G41" i="25" s="1"/>
  <c r="M41" i="25" s="1"/>
  <c r="I49" i="25"/>
  <c r="J49" i="25" s="1"/>
  <c r="F41" i="26"/>
  <c r="G41" i="26" s="1"/>
  <c r="M41" i="26" s="1"/>
  <c r="O49" i="26"/>
  <c r="P49" i="26" s="1"/>
  <c r="F36" i="27"/>
  <c r="G36" i="27" s="1"/>
  <c r="M36" i="27" s="1"/>
  <c r="F41" i="28"/>
  <c r="G41" i="28" s="1"/>
  <c r="M41" i="28" s="1"/>
  <c r="I49" i="28"/>
  <c r="F33" i="29"/>
  <c r="G33" i="29" s="1"/>
  <c r="M33" i="29" s="1"/>
  <c r="F48" i="29"/>
  <c r="G48" i="29" s="1"/>
  <c r="F41" i="31"/>
  <c r="G41" i="31" s="1"/>
  <c r="M41" i="31" s="1"/>
  <c r="O25" i="32"/>
  <c r="P25" i="32" s="1"/>
  <c r="R25" i="32" s="1"/>
  <c r="S25" i="32" s="1"/>
  <c r="F32" i="32"/>
  <c r="G32" i="32" s="1"/>
  <c r="F26" i="34"/>
  <c r="G26" i="34" s="1"/>
  <c r="F48" i="25"/>
  <c r="G48" i="25" s="1"/>
  <c r="O49" i="25"/>
  <c r="P49" i="25" s="1"/>
  <c r="F35" i="26"/>
  <c r="G35" i="26" s="1"/>
  <c r="M35" i="26" s="1"/>
  <c r="F48" i="26"/>
  <c r="G48" i="26" s="1"/>
  <c r="O36" i="28"/>
  <c r="P36" i="28" s="1"/>
  <c r="F48" i="28"/>
  <c r="G48" i="28" s="1"/>
  <c r="O49" i="28"/>
  <c r="P49" i="28" s="1"/>
  <c r="F32" i="33"/>
  <c r="G32" i="33" s="1"/>
  <c r="L32" i="33" s="1"/>
  <c r="I26" i="34"/>
  <c r="J26" i="34" s="1"/>
  <c r="S26" i="34" s="1"/>
  <c r="P30" i="35"/>
  <c r="P32" i="35"/>
  <c r="R38" i="33"/>
  <c r="R28" i="34"/>
  <c r="R24" i="21"/>
  <c r="L26" i="20"/>
  <c r="M26" i="20" s="1"/>
  <c r="R26" i="20"/>
  <c r="O35" i="25"/>
  <c r="P35" i="25" s="1"/>
  <c r="O42" i="32"/>
  <c r="P42" i="32" s="1"/>
  <c r="F34" i="33"/>
  <c r="G34" i="33" s="1"/>
  <c r="M34" i="33" s="1"/>
  <c r="F42" i="33"/>
  <c r="G42" i="33" s="1"/>
  <c r="M42" i="33" s="1"/>
  <c r="F33" i="34"/>
  <c r="G33" i="34" s="1"/>
  <c r="M33" i="34" s="1"/>
  <c r="F35" i="34"/>
  <c r="G35" i="34" s="1"/>
  <c r="M35" i="34" s="1"/>
  <c r="F41" i="34"/>
  <c r="G41" i="34" s="1"/>
  <c r="M41" i="34" s="1"/>
  <c r="F43" i="34"/>
  <c r="G43" i="34" s="1"/>
  <c r="M43" i="34" s="1"/>
  <c r="F26" i="25"/>
  <c r="G26" i="25" s="1"/>
  <c r="F26" i="27"/>
  <c r="G26" i="27" s="1"/>
  <c r="I38" i="27"/>
  <c r="J38" i="27" s="1"/>
  <c r="F25" i="28"/>
  <c r="G25" i="28" s="1"/>
  <c r="O26" i="28"/>
  <c r="P26" i="28" s="1"/>
  <c r="F25" i="29"/>
  <c r="G25" i="29" s="1"/>
  <c r="O26" i="29"/>
  <c r="P26" i="29" s="1"/>
  <c r="R43" i="29"/>
  <c r="F25" i="31"/>
  <c r="G25" i="31" s="1"/>
  <c r="F52" i="33"/>
  <c r="G52" i="33" s="1"/>
  <c r="F23" i="34"/>
  <c r="G23" i="34" s="1"/>
  <c r="L23" i="34" s="1"/>
  <c r="M23" i="34" s="1"/>
  <c r="I37" i="17"/>
  <c r="J37" i="17" s="1"/>
  <c r="L37" i="17" s="1"/>
  <c r="F35" i="19"/>
  <c r="G35" i="19" s="1"/>
  <c r="M35" i="19" s="1"/>
  <c r="O35" i="20"/>
  <c r="P35" i="20" s="1"/>
  <c r="O35" i="23"/>
  <c r="P35" i="23" s="1"/>
  <c r="F23" i="25"/>
  <c r="G23" i="25" s="1"/>
  <c r="L23" i="25" s="1"/>
  <c r="M23" i="25" s="1"/>
  <c r="I26" i="25"/>
  <c r="J26" i="25" s="1"/>
  <c r="R26" i="25" s="1"/>
  <c r="I29" i="27"/>
  <c r="J29" i="27" s="1"/>
  <c r="I25" i="28"/>
  <c r="J25" i="28" s="1"/>
  <c r="R25" i="28" s="1"/>
  <c r="S25" i="28" s="1"/>
  <c r="P48" i="28"/>
  <c r="I25" i="29"/>
  <c r="J25" i="29" s="1"/>
  <c r="F41" i="29"/>
  <c r="G41" i="29" s="1"/>
  <c r="M41" i="29" s="1"/>
  <c r="I25" i="31"/>
  <c r="J25" i="31" s="1"/>
  <c r="R25" i="31" s="1"/>
  <c r="S25" i="31" s="1"/>
  <c r="F33" i="31"/>
  <c r="G33" i="31" s="1"/>
  <c r="M33" i="31" s="1"/>
  <c r="F35" i="31"/>
  <c r="G35" i="31" s="1"/>
  <c r="M35" i="31" s="1"/>
  <c r="F25" i="32"/>
  <c r="G25" i="32" s="1"/>
  <c r="L25" i="32" s="1"/>
  <c r="M25" i="32" s="1"/>
  <c r="J30" i="32"/>
  <c r="S30" i="32" s="1"/>
  <c r="I37" i="32"/>
  <c r="J37" i="32" s="1"/>
  <c r="I40" i="32"/>
  <c r="J40" i="32" s="1"/>
  <c r="F51" i="32"/>
  <c r="G51" i="32" s="1"/>
  <c r="F36" i="33"/>
  <c r="G36" i="33" s="1"/>
  <c r="M36" i="33" s="1"/>
  <c r="F34" i="19"/>
  <c r="G34" i="19" s="1"/>
  <c r="M34" i="19" s="1"/>
  <c r="O34" i="20"/>
  <c r="P34" i="20" s="1"/>
  <c r="F42" i="21"/>
  <c r="G42" i="21" s="1"/>
  <c r="M42" i="21" s="1"/>
  <c r="O34" i="23"/>
  <c r="P34" i="23" s="1"/>
  <c r="F32" i="25"/>
  <c r="G32" i="25" s="1"/>
  <c r="O36" i="25"/>
  <c r="P36" i="25" s="1"/>
  <c r="I49" i="26"/>
  <c r="J49" i="26" s="1"/>
  <c r="F36" i="32"/>
  <c r="G36" i="32" s="1"/>
  <c r="M36" i="32" s="1"/>
  <c r="F51" i="33"/>
  <c r="G51" i="33" s="1"/>
  <c r="F51" i="34"/>
  <c r="G51" i="34" s="1"/>
  <c r="L23" i="35"/>
  <c r="M23" i="35" s="1"/>
  <c r="R43" i="25"/>
  <c r="P31" i="31"/>
  <c r="R24" i="34"/>
  <c r="G47" i="34"/>
  <c r="P43" i="17"/>
  <c r="R25" i="17"/>
  <c r="S25" i="17" s="1"/>
  <c r="P43" i="19"/>
  <c r="P48" i="21"/>
  <c r="R28" i="23"/>
  <c r="P30" i="26"/>
  <c r="G30" i="27"/>
  <c r="M30" i="27" s="1"/>
  <c r="R28" i="31"/>
  <c r="G47" i="31"/>
  <c r="R24" i="32"/>
  <c r="J31" i="17"/>
  <c r="R31" i="17" s="1"/>
  <c r="L26" i="19"/>
  <c r="M26" i="19" s="1"/>
  <c r="R28" i="22"/>
  <c r="P31" i="22"/>
  <c r="P32" i="22"/>
  <c r="R24" i="23"/>
  <c r="G44" i="25"/>
  <c r="R28" i="26"/>
  <c r="G32" i="26"/>
  <c r="R43" i="27"/>
  <c r="R43" i="28"/>
  <c r="G44" i="29"/>
  <c r="R24" i="31"/>
  <c r="R24" i="33"/>
  <c r="R28" i="33"/>
  <c r="P31" i="19"/>
  <c r="P32" i="19"/>
  <c r="R28" i="20"/>
  <c r="L25" i="21"/>
  <c r="M25" i="21" s="1"/>
  <c r="P43" i="21"/>
  <c r="G44" i="21"/>
  <c r="G48" i="21"/>
  <c r="G34" i="27"/>
  <c r="M34" i="27" s="1"/>
  <c r="G33" i="33"/>
  <c r="M33" i="33" s="1"/>
  <c r="G44" i="17"/>
  <c r="G48" i="20"/>
  <c r="R25" i="23"/>
  <c r="S25" i="23" s="1"/>
  <c r="G44" i="28"/>
  <c r="L28" i="29"/>
  <c r="G30" i="31"/>
  <c r="M30" i="31" s="1"/>
  <c r="G42" i="32"/>
  <c r="M42" i="32" s="1"/>
  <c r="R24" i="35"/>
  <c r="L43" i="25"/>
  <c r="S43" i="25"/>
  <c r="L43" i="29"/>
  <c r="S43" i="29"/>
  <c r="L24" i="29"/>
  <c r="S24" i="29"/>
  <c r="L43" i="28"/>
  <c r="S43" i="28"/>
  <c r="L24" i="31"/>
  <c r="S24" i="31"/>
  <c r="L43" i="26"/>
  <c r="S43" i="26"/>
  <c r="L24" i="28"/>
  <c r="S24" i="28"/>
  <c r="R24" i="17"/>
  <c r="R28" i="17"/>
  <c r="G48" i="17"/>
  <c r="R24" i="19"/>
  <c r="R28" i="19"/>
  <c r="G44" i="19"/>
  <c r="G48" i="19"/>
  <c r="R28" i="35"/>
  <c r="J29" i="20"/>
  <c r="J31" i="20"/>
  <c r="S31" i="20" s="1"/>
  <c r="P43" i="20"/>
  <c r="G44" i="20"/>
  <c r="L24" i="21"/>
  <c r="L24" i="22"/>
  <c r="R43" i="26"/>
  <c r="R24" i="28"/>
  <c r="L28" i="33"/>
  <c r="R25" i="19"/>
  <c r="S25" i="19" s="1"/>
  <c r="R26" i="35"/>
  <c r="P43" i="35"/>
  <c r="G44" i="35"/>
  <c r="G48" i="35"/>
  <c r="L28" i="21"/>
  <c r="R26" i="23"/>
  <c r="P31" i="27"/>
  <c r="P30" i="29"/>
  <c r="L38" i="31"/>
  <c r="L24" i="32"/>
  <c r="G33" i="32"/>
  <c r="M33" i="32" s="1"/>
  <c r="R38" i="34"/>
  <c r="G32" i="17"/>
  <c r="R26" i="19"/>
  <c r="G30" i="19"/>
  <c r="M30" i="19" s="1"/>
  <c r="G29" i="22"/>
  <c r="P30" i="22"/>
  <c r="J29" i="23"/>
  <c r="P30" i="23"/>
  <c r="J31" i="23"/>
  <c r="S31" i="23" s="1"/>
  <c r="P43" i="23"/>
  <c r="G44" i="23"/>
  <c r="G48" i="23"/>
  <c r="P30" i="28"/>
  <c r="G31" i="28"/>
  <c r="M31" i="28" s="1"/>
  <c r="R24" i="29"/>
  <c r="G32" i="29"/>
  <c r="R26" i="34"/>
  <c r="P32" i="34"/>
  <c r="R25" i="20"/>
  <c r="S25" i="20" s="1"/>
  <c r="G29" i="21"/>
  <c r="G30" i="21"/>
  <c r="M30" i="21" s="1"/>
  <c r="P31" i="21"/>
  <c r="P32" i="21"/>
  <c r="G44" i="22"/>
  <c r="L28" i="23"/>
  <c r="P32" i="23"/>
  <c r="G44" i="27"/>
  <c r="R28" i="28"/>
  <c r="J30" i="33"/>
  <c r="S30" i="33" s="1"/>
  <c r="G31" i="33"/>
  <c r="M31" i="33" s="1"/>
  <c r="P31" i="34"/>
  <c r="G30" i="33"/>
  <c r="M30" i="33" s="1"/>
  <c r="P30" i="33"/>
  <c r="G35" i="33"/>
  <c r="M35" i="33" s="1"/>
  <c r="G41" i="33"/>
  <c r="M41" i="33" s="1"/>
  <c r="G47" i="33"/>
  <c r="P31" i="33"/>
  <c r="E37" i="33"/>
  <c r="G37" i="33" s="1"/>
  <c r="M37" i="33" s="1"/>
  <c r="G30" i="32"/>
  <c r="M30" i="32" s="1"/>
  <c r="P31" i="32"/>
  <c r="G41" i="32"/>
  <c r="M41" i="32" s="1"/>
  <c r="L24" i="34"/>
  <c r="S24" i="34"/>
  <c r="S28" i="34"/>
  <c r="L28" i="34"/>
  <c r="I29" i="34"/>
  <c r="J29" i="34" s="1"/>
  <c r="P30" i="34"/>
  <c r="J30" i="34"/>
  <c r="L61" i="34"/>
  <c r="S62" i="34"/>
  <c r="L62" i="34"/>
  <c r="I25" i="34"/>
  <c r="J25" i="34" s="1"/>
  <c r="O25" i="34"/>
  <c r="P25" i="34" s="1"/>
  <c r="F34" i="34"/>
  <c r="G34" i="34" s="1"/>
  <c r="M34" i="34" s="1"/>
  <c r="G37" i="34"/>
  <c r="M37" i="34" s="1"/>
  <c r="L38" i="34"/>
  <c r="S38" i="34"/>
  <c r="O40" i="34"/>
  <c r="P40" i="34" s="1"/>
  <c r="I40" i="34"/>
  <c r="J40" i="34" s="1"/>
  <c r="F44" i="34"/>
  <c r="G44" i="34" s="1"/>
  <c r="I44" i="34"/>
  <c r="J44" i="34" s="1"/>
  <c r="O44" i="34"/>
  <c r="P44" i="34" s="1"/>
  <c r="O62" i="34"/>
  <c r="P62" i="34" s="1"/>
  <c r="R62" i="34" s="1"/>
  <c r="O37" i="34"/>
  <c r="P37" i="34" s="1"/>
  <c r="I37" i="34"/>
  <c r="J37" i="34" s="1"/>
  <c r="O42" i="34"/>
  <c r="P42" i="34" s="1"/>
  <c r="F42" i="34"/>
  <c r="G42" i="34" s="1"/>
  <c r="M42" i="34" s="1"/>
  <c r="F29" i="34"/>
  <c r="G29" i="34" s="1"/>
  <c r="G30" i="34"/>
  <c r="M30" i="34" s="1"/>
  <c r="S48" i="34"/>
  <c r="L48" i="34"/>
  <c r="P52" i="34"/>
  <c r="S56" i="34"/>
  <c r="L56" i="34"/>
  <c r="M56" i="34" s="1"/>
  <c r="R61" i="34"/>
  <c r="S61" i="34" s="1"/>
  <c r="S60" i="34"/>
  <c r="R48" i="34"/>
  <c r="R57" i="34"/>
  <c r="S57" i="34" s="1"/>
  <c r="G60" i="34"/>
  <c r="M61" i="34"/>
  <c r="F32" i="34"/>
  <c r="G32" i="34" s="1"/>
  <c r="I47" i="34"/>
  <c r="J47" i="34" s="1"/>
  <c r="E54" i="34"/>
  <c r="H58" i="34"/>
  <c r="P58" i="34" s="1"/>
  <c r="H59" i="34"/>
  <c r="P59" i="34" s="1"/>
  <c r="H60" i="34"/>
  <c r="P60" i="34" s="1"/>
  <c r="R60" i="34" s="1"/>
  <c r="I51" i="34"/>
  <c r="J51" i="34" s="1"/>
  <c r="I52" i="34"/>
  <c r="J52" i="34" s="1"/>
  <c r="E58" i="34"/>
  <c r="E59" i="34"/>
  <c r="I32" i="34"/>
  <c r="J32" i="34" s="1"/>
  <c r="P51" i="34"/>
  <c r="G57" i="34"/>
  <c r="L57" i="34" s="1"/>
  <c r="L24" i="33"/>
  <c r="S24" i="33"/>
  <c r="L23" i="33"/>
  <c r="M23" i="33" s="1"/>
  <c r="S32" i="33"/>
  <c r="I25" i="33"/>
  <c r="J25" i="33" s="1"/>
  <c r="O25" i="33"/>
  <c r="P25" i="33" s="1"/>
  <c r="M28" i="33"/>
  <c r="I29" i="33"/>
  <c r="J29" i="33" s="1"/>
  <c r="P52" i="33"/>
  <c r="R61" i="33"/>
  <c r="P40" i="33"/>
  <c r="J40" i="33"/>
  <c r="J60" i="33"/>
  <c r="G60" i="33"/>
  <c r="L38" i="33"/>
  <c r="G40" i="33"/>
  <c r="M40" i="33" s="1"/>
  <c r="F44" i="33"/>
  <c r="G44" i="33" s="1"/>
  <c r="I44" i="33"/>
  <c r="J44" i="33" s="1"/>
  <c r="O44" i="33"/>
  <c r="P44" i="33" s="1"/>
  <c r="S61" i="33"/>
  <c r="P37" i="33"/>
  <c r="G43" i="33"/>
  <c r="M43" i="33" s="1"/>
  <c r="S48" i="33"/>
  <c r="I47" i="33"/>
  <c r="J47" i="33" s="1"/>
  <c r="E54" i="33"/>
  <c r="H58" i="33"/>
  <c r="P58" i="33" s="1"/>
  <c r="H59" i="33"/>
  <c r="P59" i="33" s="1"/>
  <c r="H60" i="33"/>
  <c r="P60" i="33" s="1"/>
  <c r="R60" i="33" s="1"/>
  <c r="G48" i="33"/>
  <c r="M48" i="33" s="1"/>
  <c r="I51" i="33"/>
  <c r="J51" i="33" s="1"/>
  <c r="I52" i="33"/>
  <c r="J52" i="33" s="1"/>
  <c r="E58" i="33"/>
  <c r="E59" i="33"/>
  <c r="L62" i="33"/>
  <c r="P51" i="33"/>
  <c r="S38" i="32"/>
  <c r="L38" i="32"/>
  <c r="R38" i="32"/>
  <c r="F23" i="32"/>
  <c r="G23" i="32" s="1"/>
  <c r="F26" i="32"/>
  <c r="G26" i="32" s="1"/>
  <c r="P30" i="32"/>
  <c r="F34" i="32"/>
  <c r="G34" i="32" s="1"/>
  <c r="M34" i="32" s="1"/>
  <c r="P40" i="32"/>
  <c r="P52" i="32"/>
  <c r="R61" i="32"/>
  <c r="R28" i="32"/>
  <c r="F29" i="32"/>
  <c r="G29" i="32" s="1"/>
  <c r="P32" i="32"/>
  <c r="J60" i="32"/>
  <c r="G60" i="32"/>
  <c r="I23" i="32"/>
  <c r="J23" i="32" s="1"/>
  <c r="I26" i="32"/>
  <c r="J26" i="32" s="1"/>
  <c r="R26" i="32" s="1"/>
  <c r="L28" i="32"/>
  <c r="G31" i="32"/>
  <c r="M31" i="32" s="1"/>
  <c r="J32" i="32"/>
  <c r="P37" i="32"/>
  <c r="F44" i="32"/>
  <c r="G44" i="32" s="1"/>
  <c r="I44" i="32"/>
  <c r="J44" i="32" s="1"/>
  <c r="O44" i="32"/>
  <c r="P44" i="32" s="1"/>
  <c r="S61" i="32"/>
  <c r="G43" i="32"/>
  <c r="M43" i="32" s="1"/>
  <c r="S48" i="32"/>
  <c r="I47" i="32"/>
  <c r="J47" i="32" s="1"/>
  <c r="E54" i="32"/>
  <c r="H58" i="32"/>
  <c r="P58" i="32" s="1"/>
  <c r="H59" i="32"/>
  <c r="P59" i="32" s="1"/>
  <c r="H60" i="32"/>
  <c r="P60" i="32" s="1"/>
  <c r="R60" i="32" s="1"/>
  <c r="J29" i="32"/>
  <c r="G48" i="32"/>
  <c r="M48" i="32" s="1"/>
  <c r="I51" i="32"/>
  <c r="J51" i="32" s="1"/>
  <c r="I52" i="32"/>
  <c r="J52" i="32" s="1"/>
  <c r="E58" i="32"/>
  <c r="E59" i="32"/>
  <c r="L62" i="32"/>
  <c r="P51" i="32"/>
  <c r="F34" i="31"/>
  <c r="G34" i="31" s="1"/>
  <c r="M34" i="31" s="1"/>
  <c r="G37" i="31"/>
  <c r="M37" i="31" s="1"/>
  <c r="O40" i="31"/>
  <c r="P40" i="31" s="1"/>
  <c r="I40" i="31"/>
  <c r="J40" i="31" s="1"/>
  <c r="G55" i="31"/>
  <c r="J55" i="31"/>
  <c r="P57" i="31"/>
  <c r="R57" i="31" s="1"/>
  <c r="G57" i="31"/>
  <c r="J57" i="31"/>
  <c r="F23" i="31"/>
  <c r="G23" i="31" s="1"/>
  <c r="F26" i="31"/>
  <c r="G26" i="31" s="1"/>
  <c r="L28" i="31"/>
  <c r="F29" i="31"/>
  <c r="G29" i="31" s="1"/>
  <c r="G43" i="31"/>
  <c r="M43" i="31" s="1"/>
  <c r="G44" i="31"/>
  <c r="G52" i="31"/>
  <c r="I52" i="31"/>
  <c r="J52" i="31" s="1"/>
  <c r="G54" i="31"/>
  <c r="R55" i="31"/>
  <c r="S38" i="31"/>
  <c r="G31" i="31"/>
  <c r="M31" i="31" s="1"/>
  <c r="P32" i="31"/>
  <c r="F36" i="31"/>
  <c r="G36" i="31" s="1"/>
  <c r="M36" i="31" s="1"/>
  <c r="I51" i="31"/>
  <c r="J51" i="31" s="1"/>
  <c r="O52" i="31"/>
  <c r="P52" i="31" s="1"/>
  <c r="R54" i="31"/>
  <c r="J58" i="31"/>
  <c r="G58" i="31"/>
  <c r="J59" i="31"/>
  <c r="G59" i="31"/>
  <c r="J60" i="31"/>
  <c r="G60" i="31"/>
  <c r="G61" i="31"/>
  <c r="P61" i="31"/>
  <c r="J61" i="31"/>
  <c r="I23" i="31"/>
  <c r="J23" i="31" s="1"/>
  <c r="I26" i="31"/>
  <c r="J26" i="31" s="1"/>
  <c r="R26" i="31" s="1"/>
  <c r="I29" i="31"/>
  <c r="J29" i="31" s="1"/>
  <c r="P30" i="31"/>
  <c r="J30" i="31"/>
  <c r="O37" i="31"/>
  <c r="P37" i="31" s="1"/>
  <c r="I37" i="31"/>
  <c r="J37" i="31" s="1"/>
  <c r="R38" i="31"/>
  <c r="O42" i="31"/>
  <c r="P42" i="31" s="1"/>
  <c r="F42" i="31"/>
  <c r="G42" i="31" s="1"/>
  <c r="M42" i="31" s="1"/>
  <c r="S54" i="31"/>
  <c r="O51" i="31"/>
  <c r="P51" i="31" s="1"/>
  <c r="O44" i="31"/>
  <c r="P44" i="31" s="1"/>
  <c r="R56" i="31"/>
  <c r="S56" i="31" s="1"/>
  <c r="O62" i="31"/>
  <c r="P62" i="31" s="1"/>
  <c r="R62" i="31" s="1"/>
  <c r="F32" i="31"/>
  <c r="G32" i="31" s="1"/>
  <c r="I44" i="31"/>
  <c r="J44" i="31" s="1"/>
  <c r="I47" i="31"/>
  <c r="J47" i="31" s="1"/>
  <c r="L48" i="31"/>
  <c r="G51" i="31"/>
  <c r="L56" i="31"/>
  <c r="M56" i="31" s="1"/>
  <c r="H58" i="31"/>
  <c r="P58" i="31" s="1"/>
  <c r="R58" i="31" s="1"/>
  <c r="H59" i="31"/>
  <c r="P59" i="31" s="1"/>
  <c r="R59" i="31" s="1"/>
  <c r="H60" i="31"/>
  <c r="P60" i="31" s="1"/>
  <c r="R60" i="31" s="1"/>
  <c r="I32" i="31"/>
  <c r="J32" i="31" s="1"/>
  <c r="P40" i="29"/>
  <c r="G45" i="29"/>
  <c r="P54" i="29"/>
  <c r="E49" i="29"/>
  <c r="E51" i="29" s="1"/>
  <c r="J51" i="29" s="1"/>
  <c r="G31" i="29"/>
  <c r="M31" i="29" s="1"/>
  <c r="G45" i="28"/>
  <c r="P54" i="28"/>
  <c r="E49" i="28"/>
  <c r="E51" i="28" s="1"/>
  <c r="G51" i="28" s="1"/>
  <c r="G29" i="27"/>
  <c r="P58" i="27"/>
  <c r="G45" i="27"/>
  <c r="G45" i="26"/>
  <c r="P54" i="26"/>
  <c r="R54" i="26" s="1"/>
  <c r="S54" i="26" s="1"/>
  <c r="P31" i="26"/>
  <c r="P48" i="26"/>
  <c r="E49" i="26"/>
  <c r="E51" i="26" s="1"/>
  <c r="G58" i="26"/>
  <c r="E49" i="25"/>
  <c r="E51" i="25" s="1"/>
  <c r="G51" i="25" s="1"/>
  <c r="G35" i="25"/>
  <c r="M35" i="25" s="1"/>
  <c r="P40" i="25"/>
  <c r="G58" i="25"/>
  <c r="P48" i="25"/>
  <c r="I23" i="29"/>
  <c r="J23" i="29" s="1"/>
  <c r="R28" i="29"/>
  <c r="O34" i="29"/>
  <c r="P34" i="29" s="1"/>
  <c r="F34" i="29"/>
  <c r="G34" i="29" s="1"/>
  <c r="M34" i="29" s="1"/>
  <c r="H52" i="29"/>
  <c r="P52" i="29" s="1"/>
  <c r="H51" i="29"/>
  <c r="P51" i="29" s="1"/>
  <c r="R54" i="29"/>
  <c r="S28" i="29"/>
  <c r="I26" i="29"/>
  <c r="J26" i="29" s="1"/>
  <c r="P31" i="29"/>
  <c r="P32" i="29"/>
  <c r="O38" i="29"/>
  <c r="P38" i="29" s="1"/>
  <c r="I38" i="29"/>
  <c r="J38" i="29" s="1"/>
  <c r="P42" i="29"/>
  <c r="G51" i="29"/>
  <c r="S54" i="29"/>
  <c r="L54" i="29"/>
  <c r="P56" i="29"/>
  <c r="M54" i="29"/>
  <c r="F29" i="29"/>
  <c r="G29" i="29" s="1"/>
  <c r="G30" i="29"/>
  <c r="M30" i="29" s="1"/>
  <c r="I32" i="29"/>
  <c r="J32" i="29" s="1"/>
  <c r="P35" i="29"/>
  <c r="I40" i="29"/>
  <c r="J40" i="29" s="1"/>
  <c r="F42" i="29"/>
  <c r="G42" i="29" s="1"/>
  <c r="M42" i="29" s="1"/>
  <c r="I44" i="29"/>
  <c r="J44" i="29" s="1"/>
  <c r="I45" i="29"/>
  <c r="J45" i="29" s="1"/>
  <c r="O45" i="29"/>
  <c r="P45" i="29" s="1"/>
  <c r="L59" i="29"/>
  <c r="S46" i="29"/>
  <c r="J55" i="29"/>
  <c r="J56" i="29"/>
  <c r="J57" i="29"/>
  <c r="R57" i="29" s="1"/>
  <c r="I29" i="29"/>
  <c r="J29" i="29" s="1"/>
  <c r="J30" i="29"/>
  <c r="I48" i="29"/>
  <c r="J48" i="29" s="1"/>
  <c r="J58" i="29"/>
  <c r="F23" i="28"/>
  <c r="G23" i="28" s="1"/>
  <c r="I26" i="28"/>
  <c r="J26" i="28" s="1"/>
  <c r="P31" i="28"/>
  <c r="P32" i="28"/>
  <c r="O38" i="28"/>
  <c r="P38" i="28" s="1"/>
  <c r="I38" i="28"/>
  <c r="J38" i="28" s="1"/>
  <c r="H52" i="28"/>
  <c r="P52" i="28" s="1"/>
  <c r="H51" i="28"/>
  <c r="P51" i="28" s="1"/>
  <c r="R54" i="28"/>
  <c r="S54" i="28" s="1"/>
  <c r="I23" i="28"/>
  <c r="J23" i="28" s="1"/>
  <c r="O34" i="28"/>
  <c r="P34" i="28" s="1"/>
  <c r="F34" i="28"/>
  <c r="G34" i="28" s="1"/>
  <c r="M34" i="28" s="1"/>
  <c r="J51" i="28"/>
  <c r="L54" i="28"/>
  <c r="M54" i="28" s="1"/>
  <c r="P56" i="28"/>
  <c r="R58" i="28"/>
  <c r="L28" i="28"/>
  <c r="S28" i="28"/>
  <c r="F29" i="28"/>
  <c r="G29" i="28" s="1"/>
  <c r="G30" i="28"/>
  <c r="M30" i="28" s="1"/>
  <c r="I32" i="28"/>
  <c r="J32" i="28" s="1"/>
  <c r="G33" i="28"/>
  <c r="M33" i="28" s="1"/>
  <c r="P35" i="28"/>
  <c r="I40" i="28"/>
  <c r="J40" i="28" s="1"/>
  <c r="R40" i="28" s="1"/>
  <c r="F42" i="28"/>
  <c r="G42" i="28" s="1"/>
  <c r="M42" i="28" s="1"/>
  <c r="I44" i="28"/>
  <c r="J44" i="28" s="1"/>
  <c r="I45" i="28"/>
  <c r="J45" i="28" s="1"/>
  <c r="O45" i="28"/>
  <c r="P45" i="28" s="1"/>
  <c r="R45" i="28" s="1"/>
  <c r="E52" i="28"/>
  <c r="L59" i="28"/>
  <c r="S46" i="28"/>
  <c r="J55" i="28"/>
  <c r="R55" i="28" s="1"/>
  <c r="J56" i="28"/>
  <c r="J57" i="28"/>
  <c r="I29" i="28"/>
  <c r="J29" i="28" s="1"/>
  <c r="J30" i="28"/>
  <c r="I48" i="28"/>
  <c r="J48" i="28" s="1"/>
  <c r="J58" i="28"/>
  <c r="R24" i="27"/>
  <c r="L24" i="27"/>
  <c r="S24" i="27"/>
  <c r="O40" i="27"/>
  <c r="P40" i="27" s="1"/>
  <c r="I40" i="27"/>
  <c r="J40" i="27" s="1"/>
  <c r="I25" i="27"/>
  <c r="J25" i="27" s="1"/>
  <c r="O25" i="27"/>
  <c r="P25" i="27" s="1"/>
  <c r="R28" i="27"/>
  <c r="J30" i="27"/>
  <c r="G32" i="27"/>
  <c r="P32" i="27"/>
  <c r="O34" i="27"/>
  <c r="P34" i="27" s="1"/>
  <c r="P38" i="27"/>
  <c r="L58" i="27"/>
  <c r="M58" i="27" s="1"/>
  <c r="L53" i="27"/>
  <c r="M53" i="27"/>
  <c r="L54" i="27"/>
  <c r="M54" i="27"/>
  <c r="G55" i="27"/>
  <c r="I55" i="27"/>
  <c r="O45" i="27"/>
  <c r="P45" i="27" s="1"/>
  <c r="I45" i="27"/>
  <c r="J45" i="27" s="1"/>
  <c r="L28" i="27"/>
  <c r="P30" i="27"/>
  <c r="R46" i="27"/>
  <c r="E51" i="27"/>
  <c r="E52" i="27"/>
  <c r="G56" i="27"/>
  <c r="I56" i="27"/>
  <c r="R58" i="27"/>
  <c r="S58" i="27" s="1"/>
  <c r="F48" i="27"/>
  <c r="G48" i="27" s="1"/>
  <c r="O48" i="27"/>
  <c r="P48" i="27" s="1"/>
  <c r="I48" i="27"/>
  <c r="J48" i="27" s="1"/>
  <c r="I23" i="27"/>
  <c r="J23" i="27" s="1"/>
  <c r="I26" i="27"/>
  <c r="J26" i="27" s="1"/>
  <c r="G31" i="27"/>
  <c r="M31" i="27" s="1"/>
  <c r="G38" i="27"/>
  <c r="M38" i="27" s="1"/>
  <c r="O42" i="27"/>
  <c r="P42" i="27" s="1"/>
  <c r="F42" i="27"/>
  <c r="G42" i="27" s="1"/>
  <c r="M42" i="27" s="1"/>
  <c r="S43" i="27"/>
  <c r="L43" i="27"/>
  <c r="S46" i="27"/>
  <c r="H49" i="27"/>
  <c r="G57" i="27"/>
  <c r="I57" i="27"/>
  <c r="I32" i="27"/>
  <c r="J32" i="27" s="1"/>
  <c r="P35" i="27"/>
  <c r="G41" i="27"/>
  <c r="M41" i="27" s="1"/>
  <c r="I44" i="27"/>
  <c r="J44" i="27" s="1"/>
  <c r="F49" i="27"/>
  <c r="G49" i="27" s="1"/>
  <c r="I49" i="27"/>
  <c r="J49" i="27" s="1"/>
  <c r="L23" i="26"/>
  <c r="M23" i="26" s="1"/>
  <c r="R24" i="26"/>
  <c r="S24" i="26"/>
  <c r="L24" i="26"/>
  <c r="F25" i="26"/>
  <c r="G25" i="26" s="1"/>
  <c r="L28" i="26"/>
  <c r="S28" i="26"/>
  <c r="G31" i="26"/>
  <c r="M31" i="26" s="1"/>
  <c r="O36" i="26"/>
  <c r="P36" i="26" s="1"/>
  <c r="H52" i="26"/>
  <c r="P52" i="26" s="1"/>
  <c r="H51" i="26"/>
  <c r="P51" i="26" s="1"/>
  <c r="O38" i="26"/>
  <c r="P38" i="26" s="1"/>
  <c r="I38" i="26"/>
  <c r="J38" i="26" s="1"/>
  <c r="I25" i="26"/>
  <c r="J25" i="26" s="1"/>
  <c r="R25" i="26" s="1"/>
  <c r="O26" i="26"/>
  <c r="P26" i="26" s="1"/>
  <c r="G51" i="26"/>
  <c r="J51" i="26"/>
  <c r="L54" i="26"/>
  <c r="P56" i="26"/>
  <c r="I26" i="26"/>
  <c r="J26" i="26" s="1"/>
  <c r="O34" i="26"/>
  <c r="P34" i="26" s="1"/>
  <c r="F34" i="26"/>
  <c r="G34" i="26" s="1"/>
  <c r="M34" i="26" s="1"/>
  <c r="P42" i="26"/>
  <c r="M54" i="26"/>
  <c r="F29" i="26"/>
  <c r="G29" i="26" s="1"/>
  <c r="G30" i="26"/>
  <c r="M30" i="26" s="1"/>
  <c r="I32" i="26"/>
  <c r="J32" i="26" s="1"/>
  <c r="P35" i="26"/>
  <c r="I40" i="26"/>
  <c r="J40" i="26" s="1"/>
  <c r="F42" i="26"/>
  <c r="G42" i="26" s="1"/>
  <c r="M42" i="26" s="1"/>
  <c r="I44" i="26"/>
  <c r="J44" i="26" s="1"/>
  <c r="I45" i="26"/>
  <c r="J45" i="26" s="1"/>
  <c r="O45" i="26"/>
  <c r="P45" i="26" s="1"/>
  <c r="R45" i="26" s="1"/>
  <c r="E52" i="26"/>
  <c r="L59" i="26"/>
  <c r="S46" i="26"/>
  <c r="G49" i="26"/>
  <c r="J55" i="26"/>
  <c r="J56" i="26"/>
  <c r="J57" i="26"/>
  <c r="I29" i="26"/>
  <c r="J29" i="26" s="1"/>
  <c r="J30" i="26"/>
  <c r="I48" i="26"/>
  <c r="J48" i="26" s="1"/>
  <c r="J58" i="26"/>
  <c r="R58" i="26" s="1"/>
  <c r="R24" i="25"/>
  <c r="S24" i="25"/>
  <c r="L24" i="25"/>
  <c r="P30" i="25"/>
  <c r="G31" i="25"/>
  <c r="M31" i="25" s="1"/>
  <c r="F25" i="25"/>
  <c r="G25" i="25" s="1"/>
  <c r="P31" i="25"/>
  <c r="P32" i="25"/>
  <c r="O38" i="25"/>
  <c r="P38" i="25" s="1"/>
  <c r="I38" i="25"/>
  <c r="J38" i="25" s="1"/>
  <c r="H52" i="25"/>
  <c r="P52" i="25" s="1"/>
  <c r="H51" i="25"/>
  <c r="P51" i="25" s="1"/>
  <c r="R54" i="25"/>
  <c r="I25" i="25"/>
  <c r="J25" i="25" s="1"/>
  <c r="R25" i="25" s="1"/>
  <c r="R28" i="25"/>
  <c r="O34" i="25"/>
  <c r="P34" i="25" s="1"/>
  <c r="F34" i="25"/>
  <c r="G34" i="25" s="1"/>
  <c r="M34" i="25" s="1"/>
  <c r="J51" i="25"/>
  <c r="S54" i="25"/>
  <c r="L54" i="25"/>
  <c r="M54" i="25" s="1"/>
  <c r="P56" i="25"/>
  <c r="L28" i="25"/>
  <c r="F29" i="25"/>
  <c r="G29" i="25" s="1"/>
  <c r="G30" i="25"/>
  <c r="M30" i="25" s="1"/>
  <c r="I32" i="25"/>
  <c r="J32" i="25" s="1"/>
  <c r="G33" i="25"/>
  <c r="M33" i="25" s="1"/>
  <c r="I40" i="25"/>
  <c r="J40" i="25" s="1"/>
  <c r="F42" i="25"/>
  <c r="G42" i="25" s="1"/>
  <c r="M42" i="25" s="1"/>
  <c r="I44" i="25"/>
  <c r="J44" i="25" s="1"/>
  <c r="I45" i="25"/>
  <c r="J45" i="25" s="1"/>
  <c r="O45" i="25"/>
  <c r="P45" i="25" s="1"/>
  <c r="L59" i="25"/>
  <c r="S46" i="25"/>
  <c r="J55" i="25"/>
  <c r="R55" i="25" s="1"/>
  <c r="J56" i="25"/>
  <c r="J57" i="25"/>
  <c r="R57" i="25" s="1"/>
  <c r="I29" i="25"/>
  <c r="J29" i="25" s="1"/>
  <c r="J30" i="25"/>
  <c r="I48" i="25"/>
  <c r="J48" i="25" s="1"/>
  <c r="J58" i="25"/>
  <c r="R58" i="25" s="1"/>
  <c r="S45" i="23"/>
  <c r="R45" i="23"/>
  <c r="G30" i="23"/>
  <c r="M30" i="23" s="1"/>
  <c r="G45" i="23"/>
  <c r="P54" i="23"/>
  <c r="R54" i="23" s="1"/>
  <c r="P55" i="23"/>
  <c r="P56" i="23"/>
  <c r="R56" i="23" s="1"/>
  <c r="P57" i="23"/>
  <c r="J55" i="23"/>
  <c r="L55" i="23" s="1"/>
  <c r="M55" i="23" s="1"/>
  <c r="J56" i="23"/>
  <c r="J57" i="23"/>
  <c r="L57" i="23" s="1"/>
  <c r="M57" i="23" s="1"/>
  <c r="G29" i="23"/>
  <c r="G58" i="23"/>
  <c r="G30" i="22"/>
  <c r="M30" i="22" s="1"/>
  <c r="J40" i="22"/>
  <c r="S40" i="22" s="1"/>
  <c r="P57" i="22"/>
  <c r="R57" i="22" s="1"/>
  <c r="P40" i="22"/>
  <c r="J44" i="22"/>
  <c r="G45" i="22"/>
  <c r="R54" i="22"/>
  <c r="P48" i="22"/>
  <c r="L54" i="22"/>
  <c r="P38" i="21"/>
  <c r="R38" i="21" s="1"/>
  <c r="P45" i="21"/>
  <c r="P54" i="21"/>
  <c r="G31" i="21"/>
  <c r="M31" i="21" s="1"/>
  <c r="J40" i="21"/>
  <c r="S40" i="21" s="1"/>
  <c r="G54" i="21"/>
  <c r="M54" i="21" s="1"/>
  <c r="P30" i="21"/>
  <c r="G32" i="21"/>
  <c r="P40" i="21"/>
  <c r="R54" i="20"/>
  <c r="S45" i="20"/>
  <c r="R45" i="20"/>
  <c r="M57" i="20"/>
  <c r="L55" i="20"/>
  <c r="M55" i="20" s="1"/>
  <c r="L57" i="20"/>
  <c r="G54" i="20"/>
  <c r="M54" i="20" s="1"/>
  <c r="J54" i="20"/>
  <c r="S54" i="20" s="1"/>
  <c r="G58" i="20"/>
  <c r="G30" i="20"/>
  <c r="M30" i="20" s="1"/>
  <c r="G45" i="20"/>
  <c r="P55" i="20"/>
  <c r="R55" i="20" s="1"/>
  <c r="S55" i="20" s="1"/>
  <c r="P56" i="20"/>
  <c r="R56" i="20" s="1"/>
  <c r="S56" i="20" s="1"/>
  <c r="P57" i="20"/>
  <c r="R57" i="20" s="1"/>
  <c r="S57" i="20" s="1"/>
  <c r="S45" i="35"/>
  <c r="P31" i="35"/>
  <c r="P48" i="35"/>
  <c r="J55" i="35"/>
  <c r="L55" i="35" s="1"/>
  <c r="M55" i="35" s="1"/>
  <c r="J56" i="35"/>
  <c r="J57" i="35"/>
  <c r="L57" i="35" s="1"/>
  <c r="M57" i="35" s="1"/>
  <c r="G30" i="35"/>
  <c r="M30" i="35" s="1"/>
  <c r="J54" i="35"/>
  <c r="S54" i="35" s="1"/>
  <c r="G58" i="35"/>
  <c r="G45" i="35"/>
  <c r="P55" i="35"/>
  <c r="P56" i="35"/>
  <c r="R56" i="35" s="1"/>
  <c r="P57" i="35"/>
  <c r="R45" i="19"/>
  <c r="S45" i="19" s="1"/>
  <c r="P58" i="19"/>
  <c r="G45" i="19"/>
  <c r="G58" i="19"/>
  <c r="L58" i="19" s="1"/>
  <c r="M58" i="19" s="1"/>
  <c r="P38" i="19"/>
  <c r="G32" i="19"/>
  <c r="J38" i="19"/>
  <c r="L38" i="19" s="1"/>
  <c r="J40" i="19"/>
  <c r="L40" i="19" s="1"/>
  <c r="G42" i="19"/>
  <c r="M42" i="19" s="1"/>
  <c r="P48" i="19"/>
  <c r="G29" i="19"/>
  <c r="P30" i="19"/>
  <c r="R30" i="19" s="1"/>
  <c r="J31" i="19"/>
  <c r="S31" i="19" s="1"/>
  <c r="R45" i="17"/>
  <c r="P48" i="17"/>
  <c r="G54" i="17"/>
  <c r="M54" i="17" s="1"/>
  <c r="J58" i="17"/>
  <c r="P40" i="17"/>
  <c r="G31" i="17"/>
  <c r="M31" i="17" s="1"/>
  <c r="J40" i="17"/>
  <c r="S40" i="17" s="1"/>
  <c r="J45" i="17"/>
  <c r="J48" i="17"/>
  <c r="P54" i="17"/>
  <c r="R54" i="17" s="1"/>
  <c r="R56" i="17"/>
  <c r="P58" i="17"/>
  <c r="R58" i="17" s="1"/>
  <c r="S58" i="17" s="1"/>
  <c r="L24" i="23"/>
  <c r="L25" i="23"/>
  <c r="M25" i="23" s="1"/>
  <c r="L26" i="23"/>
  <c r="M26" i="23" s="1"/>
  <c r="P31" i="23"/>
  <c r="G38" i="23"/>
  <c r="M38" i="23" s="1"/>
  <c r="P38" i="23"/>
  <c r="J38" i="23"/>
  <c r="R40" i="23"/>
  <c r="J44" i="23"/>
  <c r="L23" i="23"/>
  <c r="M23" i="23" s="1"/>
  <c r="L37" i="23"/>
  <c r="S40" i="23"/>
  <c r="L40" i="23"/>
  <c r="O42" i="23"/>
  <c r="P42" i="23" s="1"/>
  <c r="F42" i="23"/>
  <c r="G42" i="23" s="1"/>
  <c r="M42" i="23" s="1"/>
  <c r="H51" i="23"/>
  <c r="P51" i="23" s="1"/>
  <c r="P49" i="23"/>
  <c r="H52" i="23"/>
  <c r="P52" i="23" s="1"/>
  <c r="J30" i="23"/>
  <c r="G32" i="23"/>
  <c r="G41" i="23"/>
  <c r="M41" i="23" s="1"/>
  <c r="G43" i="23"/>
  <c r="M43" i="23" s="1"/>
  <c r="L56" i="23"/>
  <c r="M56" i="23" s="1"/>
  <c r="L59" i="23"/>
  <c r="S46" i="23"/>
  <c r="E49" i="23"/>
  <c r="L53" i="23"/>
  <c r="M53" i="23" s="1"/>
  <c r="L54" i="23"/>
  <c r="J32" i="23"/>
  <c r="J43" i="23"/>
  <c r="L45" i="23"/>
  <c r="M45" i="23" s="1"/>
  <c r="J48" i="23"/>
  <c r="J58" i="23"/>
  <c r="R58" i="23" s="1"/>
  <c r="L23" i="22"/>
  <c r="M23" i="22" s="1"/>
  <c r="G49" i="22"/>
  <c r="E52" i="22"/>
  <c r="J49" i="22"/>
  <c r="E51" i="22"/>
  <c r="L25" i="22"/>
  <c r="M25" i="22" s="1"/>
  <c r="R24" i="22"/>
  <c r="J29" i="22"/>
  <c r="G38" i="22"/>
  <c r="M38" i="22" s="1"/>
  <c r="P38" i="22"/>
  <c r="J38" i="22"/>
  <c r="S55" i="22"/>
  <c r="L55" i="22"/>
  <c r="M55" i="22" s="1"/>
  <c r="P58" i="22"/>
  <c r="L26" i="22"/>
  <c r="M26" i="22" s="1"/>
  <c r="S26" i="22"/>
  <c r="L45" i="22"/>
  <c r="M45" i="22" s="1"/>
  <c r="R26" i="22"/>
  <c r="I37" i="22"/>
  <c r="J37" i="22" s="1"/>
  <c r="R46" i="22"/>
  <c r="M53" i="22"/>
  <c r="P56" i="22"/>
  <c r="S57" i="22"/>
  <c r="L57" i="22"/>
  <c r="M57" i="22" s="1"/>
  <c r="O42" i="22"/>
  <c r="P42" i="22" s="1"/>
  <c r="F42" i="22"/>
  <c r="G42" i="22" s="1"/>
  <c r="M42" i="22" s="1"/>
  <c r="G48" i="22"/>
  <c r="J48" i="22"/>
  <c r="R25" i="22"/>
  <c r="S25" i="22" s="1"/>
  <c r="L28" i="22"/>
  <c r="S28" i="22"/>
  <c r="O34" i="22"/>
  <c r="P34" i="22" s="1"/>
  <c r="O35" i="22"/>
  <c r="P35" i="22" s="1"/>
  <c r="O36" i="22"/>
  <c r="P36" i="22" s="1"/>
  <c r="P43" i="22"/>
  <c r="R45" i="22"/>
  <c r="S45" i="22" s="1"/>
  <c r="S46" i="22"/>
  <c r="H51" i="22"/>
  <c r="P51" i="22" s="1"/>
  <c r="P49" i="22"/>
  <c r="H52" i="22"/>
  <c r="P52" i="22" s="1"/>
  <c r="J30" i="22"/>
  <c r="G32" i="22"/>
  <c r="G41" i="22"/>
  <c r="M41" i="22" s="1"/>
  <c r="G43" i="22"/>
  <c r="M43" i="22" s="1"/>
  <c r="J32" i="22"/>
  <c r="J43" i="22"/>
  <c r="J58" i="22"/>
  <c r="J31" i="22"/>
  <c r="J56" i="22"/>
  <c r="L23" i="21"/>
  <c r="M23" i="21" s="1"/>
  <c r="G45" i="21"/>
  <c r="J45" i="21"/>
  <c r="P58" i="21"/>
  <c r="J58" i="21"/>
  <c r="G58" i="21"/>
  <c r="S24" i="21"/>
  <c r="R26" i="21"/>
  <c r="J30" i="21"/>
  <c r="S38" i="21"/>
  <c r="L38" i="21"/>
  <c r="F41" i="21"/>
  <c r="G41" i="21" s="1"/>
  <c r="M41" i="21" s="1"/>
  <c r="S54" i="21"/>
  <c r="S53" i="21"/>
  <c r="L53" i="21"/>
  <c r="P56" i="21"/>
  <c r="J56" i="21"/>
  <c r="G56" i="21"/>
  <c r="R28" i="21"/>
  <c r="R53" i="21"/>
  <c r="R25" i="21"/>
  <c r="S25" i="21" s="1"/>
  <c r="R45" i="21"/>
  <c r="P55" i="21"/>
  <c r="P57" i="21"/>
  <c r="L26" i="21"/>
  <c r="M26" i="21" s="1"/>
  <c r="S28" i="21"/>
  <c r="J29" i="21"/>
  <c r="H49" i="21"/>
  <c r="M53" i="21"/>
  <c r="R54" i="21"/>
  <c r="O34" i="21"/>
  <c r="P34" i="21" s="1"/>
  <c r="O35" i="21"/>
  <c r="P35" i="21" s="1"/>
  <c r="O36" i="21"/>
  <c r="P36" i="21" s="1"/>
  <c r="I37" i="21"/>
  <c r="J37" i="21" s="1"/>
  <c r="J44" i="21"/>
  <c r="S46" i="21"/>
  <c r="E49" i="21"/>
  <c r="J55" i="21"/>
  <c r="J57" i="21"/>
  <c r="J32" i="21"/>
  <c r="J43" i="21"/>
  <c r="J48" i="21"/>
  <c r="J31" i="21"/>
  <c r="S24" i="20"/>
  <c r="L24" i="20"/>
  <c r="L23" i="20"/>
  <c r="M23" i="20" s="1"/>
  <c r="R24" i="20"/>
  <c r="P30" i="20"/>
  <c r="G31" i="20"/>
  <c r="M31" i="20" s="1"/>
  <c r="L25" i="20"/>
  <c r="M25" i="20" s="1"/>
  <c r="G29" i="20"/>
  <c r="P31" i="20"/>
  <c r="L37" i="20"/>
  <c r="S40" i="20"/>
  <c r="L40" i="20"/>
  <c r="O42" i="20"/>
  <c r="P42" i="20" s="1"/>
  <c r="F42" i="20"/>
  <c r="G42" i="20" s="1"/>
  <c r="M42" i="20" s="1"/>
  <c r="P32" i="20"/>
  <c r="G38" i="20"/>
  <c r="M38" i="20" s="1"/>
  <c r="P38" i="20"/>
  <c r="J38" i="20"/>
  <c r="R40" i="20"/>
  <c r="L28" i="20"/>
  <c r="H51" i="20"/>
  <c r="P51" i="20" s="1"/>
  <c r="P49" i="20"/>
  <c r="H52" i="20"/>
  <c r="P52" i="20" s="1"/>
  <c r="J30" i="20"/>
  <c r="G32" i="20"/>
  <c r="G41" i="20"/>
  <c r="M41" i="20" s="1"/>
  <c r="G43" i="20"/>
  <c r="M43" i="20" s="1"/>
  <c r="L56" i="20"/>
  <c r="M56" i="20" s="1"/>
  <c r="L59" i="20"/>
  <c r="J44" i="20"/>
  <c r="S46" i="20"/>
  <c r="E49" i="20"/>
  <c r="L53" i="20"/>
  <c r="M53" i="20" s="1"/>
  <c r="L54" i="20"/>
  <c r="J32" i="20"/>
  <c r="J43" i="20"/>
  <c r="L45" i="20"/>
  <c r="M45" i="20" s="1"/>
  <c r="J48" i="20"/>
  <c r="J58" i="20"/>
  <c r="R58" i="20" s="1"/>
  <c r="J29" i="35"/>
  <c r="L28" i="35"/>
  <c r="G31" i="35"/>
  <c r="M31" i="35" s="1"/>
  <c r="R25" i="35"/>
  <c r="S25" i="35" s="1"/>
  <c r="S40" i="35"/>
  <c r="L40" i="35"/>
  <c r="G29" i="35"/>
  <c r="I37" i="35"/>
  <c r="J37" i="35" s="1"/>
  <c r="L24" i="35"/>
  <c r="L25" i="35"/>
  <c r="M25" i="35" s="1"/>
  <c r="L26" i="35"/>
  <c r="M26" i="35" s="1"/>
  <c r="O34" i="35"/>
  <c r="P34" i="35" s="1"/>
  <c r="O35" i="35"/>
  <c r="P35" i="35" s="1"/>
  <c r="O36" i="35"/>
  <c r="P36" i="35" s="1"/>
  <c r="O42" i="35"/>
  <c r="P42" i="35" s="1"/>
  <c r="F42" i="35"/>
  <c r="G42" i="35" s="1"/>
  <c r="M42" i="35" s="1"/>
  <c r="G38" i="35"/>
  <c r="M38" i="35" s="1"/>
  <c r="P38" i="35"/>
  <c r="J38" i="35"/>
  <c r="R40" i="35"/>
  <c r="H51" i="35"/>
  <c r="P51" i="35" s="1"/>
  <c r="P49" i="35"/>
  <c r="H52" i="35"/>
  <c r="P52" i="35" s="1"/>
  <c r="J30" i="35"/>
  <c r="G32" i="35"/>
  <c r="G43" i="35"/>
  <c r="M43" i="35" s="1"/>
  <c r="L56" i="35"/>
  <c r="M56" i="35" s="1"/>
  <c r="L59" i="35"/>
  <c r="J44" i="35"/>
  <c r="S46" i="35"/>
  <c r="E49" i="35"/>
  <c r="L53" i="35"/>
  <c r="M53" i="35" s="1"/>
  <c r="J32" i="35"/>
  <c r="J43" i="35"/>
  <c r="L45" i="35"/>
  <c r="M45" i="35" s="1"/>
  <c r="J48" i="35"/>
  <c r="J58" i="35"/>
  <c r="R58" i="35" s="1"/>
  <c r="L23" i="19"/>
  <c r="M23" i="19" s="1"/>
  <c r="S30" i="19"/>
  <c r="L24" i="19"/>
  <c r="S24" i="19"/>
  <c r="L25" i="19"/>
  <c r="M25" i="19" s="1"/>
  <c r="L28" i="19"/>
  <c r="S28" i="19"/>
  <c r="P56" i="19"/>
  <c r="H51" i="19"/>
  <c r="P51" i="19" s="1"/>
  <c r="P49" i="19"/>
  <c r="H52" i="19"/>
  <c r="P52" i="19" s="1"/>
  <c r="G31" i="19"/>
  <c r="M31" i="19" s="1"/>
  <c r="S59" i="19"/>
  <c r="L59" i="19"/>
  <c r="R46" i="19"/>
  <c r="J54" i="19"/>
  <c r="R54" i="19" s="1"/>
  <c r="J29" i="19"/>
  <c r="I37" i="19"/>
  <c r="J37" i="19" s="1"/>
  <c r="P40" i="19"/>
  <c r="J44" i="19"/>
  <c r="S46" i="19"/>
  <c r="E49" i="19"/>
  <c r="J55" i="19"/>
  <c r="P55" i="19"/>
  <c r="R55" i="19" s="1"/>
  <c r="J57" i="19"/>
  <c r="P57" i="19"/>
  <c r="R57" i="19" s="1"/>
  <c r="J32" i="19"/>
  <c r="J43" i="19"/>
  <c r="L45" i="19"/>
  <c r="M45" i="19" s="1"/>
  <c r="J48" i="19"/>
  <c r="O59" i="19"/>
  <c r="P59" i="19" s="1"/>
  <c r="R59" i="19" s="1"/>
  <c r="G54" i="19"/>
  <c r="M54" i="19" s="1"/>
  <c r="J56" i="19"/>
  <c r="R58" i="19"/>
  <c r="S58" i="19" s="1"/>
  <c r="L25" i="17"/>
  <c r="M25" i="17" s="1"/>
  <c r="R26" i="17"/>
  <c r="L24" i="17"/>
  <c r="S24" i="17"/>
  <c r="S28" i="17"/>
  <c r="L28" i="17"/>
  <c r="S26" i="17"/>
  <c r="L26" i="17"/>
  <c r="M26" i="17" s="1"/>
  <c r="P30" i="17"/>
  <c r="P32" i="17"/>
  <c r="F33" i="17"/>
  <c r="G33" i="17" s="1"/>
  <c r="M33" i="17" s="1"/>
  <c r="O35" i="17"/>
  <c r="P35" i="17" s="1"/>
  <c r="H51" i="17"/>
  <c r="P51" i="17" s="1"/>
  <c r="P49" i="17"/>
  <c r="H52" i="17"/>
  <c r="P52" i="17" s="1"/>
  <c r="S54" i="17"/>
  <c r="L54" i="17"/>
  <c r="S56" i="17"/>
  <c r="L58" i="17"/>
  <c r="M58" i="17" s="1"/>
  <c r="J29" i="17"/>
  <c r="J32" i="17"/>
  <c r="P57" i="17"/>
  <c r="O36" i="17"/>
  <c r="P36" i="17" s="1"/>
  <c r="P38" i="17"/>
  <c r="J38" i="17"/>
  <c r="S53" i="17"/>
  <c r="O34" i="17"/>
  <c r="P34" i="17" s="1"/>
  <c r="L23" i="17"/>
  <c r="M23" i="17" s="1"/>
  <c r="J30" i="17"/>
  <c r="G43" i="17"/>
  <c r="M43" i="17" s="1"/>
  <c r="L56" i="17"/>
  <c r="M56" i="17" s="1"/>
  <c r="L59" i="17"/>
  <c r="J44" i="17"/>
  <c r="E49" i="17"/>
  <c r="L53" i="17"/>
  <c r="M53" i="17" s="1"/>
  <c r="J55" i="17"/>
  <c r="J57" i="17"/>
  <c r="J43" i="17"/>
  <c r="L45" i="17"/>
  <c r="M45" i="17" s="1"/>
  <c r="R26" i="33" l="1"/>
  <c r="L26" i="33"/>
  <c r="M26" i="33" s="1"/>
  <c r="S26" i="33"/>
  <c r="R43" i="20"/>
  <c r="L44" i="22"/>
  <c r="M44" i="22" s="1"/>
  <c r="L25" i="29"/>
  <c r="M25" i="29" s="1"/>
  <c r="R31" i="35"/>
  <c r="R32" i="35"/>
  <c r="L31" i="23"/>
  <c r="R48" i="20"/>
  <c r="S48" i="20" s="1"/>
  <c r="L48" i="17"/>
  <c r="M48" i="17" s="1"/>
  <c r="L40" i="22"/>
  <c r="R31" i="23"/>
  <c r="R43" i="23"/>
  <c r="R26" i="28"/>
  <c r="L26" i="34"/>
  <c r="M26" i="34" s="1"/>
  <c r="L31" i="17"/>
  <c r="R25" i="29"/>
  <c r="S25" i="29" s="1"/>
  <c r="R32" i="21"/>
  <c r="R48" i="29"/>
  <c r="S48" i="29" s="1"/>
  <c r="L25" i="31"/>
  <c r="M25" i="31" s="1"/>
  <c r="R30" i="32"/>
  <c r="R48" i="21"/>
  <c r="S48" i="21" s="1"/>
  <c r="R30" i="27"/>
  <c r="S38" i="19"/>
  <c r="S31" i="17"/>
  <c r="S26" i="25"/>
  <c r="R32" i="22"/>
  <c r="L29" i="23"/>
  <c r="M29" i="23" s="1"/>
  <c r="L30" i="19"/>
  <c r="L26" i="25"/>
  <c r="M26" i="25" s="1"/>
  <c r="L25" i="28"/>
  <c r="M25" i="28" s="1"/>
  <c r="R31" i="20"/>
  <c r="R30" i="23"/>
  <c r="L30" i="32"/>
  <c r="R30" i="33"/>
  <c r="R48" i="35"/>
  <c r="S48" i="35" s="1"/>
  <c r="R40" i="29"/>
  <c r="S40" i="19"/>
  <c r="R38" i="19"/>
  <c r="R40" i="21"/>
  <c r="L40" i="21"/>
  <c r="R37" i="31"/>
  <c r="R52" i="31"/>
  <c r="S52" i="31" s="1"/>
  <c r="G39" i="21"/>
  <c r="G47" i="21" s="1"/>
  <c r="R49" i="22"/>
  <c r="S49" i="22" s="1"/>
  <c r="R40" i="22"/>
  <c r="R25" i="27"/>
  <c r="S25" i="27" s="1"/>
  <c r="R44" i="31"/>
  <c r="R44" i="34"/>
  <c r="R51" i="31"/>
  <c r="S51" i="31" s="1"/>
  <c r="R38" i="35"/>
  <c r="R26" i="26"/>
  <c r="R38" i="29"/>
  <c r="L31" i="20"/>
  <c r="R40" i="19"/>
  <c r="R30" i="34"/>
  <c r="L30" i="33"/>
  <c r="R37" i="32"/>
  <c r="R40" i="32"/>
  <c r="L52" i="34"/>
  <c r="M52" i="34" s="1"/>
  <c r="L47" i="34"/>
  <c r="M47" i="34" s="1"/>
  <c r="L37" i="34"/>
  <c r="S37" i="34"/>
  <c r="L29" i="34"/>
  <c r="M29" i="34" s="1"/>
  <c r="L32" i="34"/>
  <c r="M32" i="34" s="1"/>
  <c r="S32" i="34"/>
  <c r="R32" i="34"/>
  <c r="L51" i="34"/>
  <c r="M51" i="34" s="1"/>
  <c r="R51" i="34"/>
  <c r="S51" i="34" s="1"/>
  <c r="R52" i="34"/>
  <c r="S52" i="34" s="1"/>
  <c r="J59" i="34"/>
  <c r="G59" i="34"/>
  <c r="E55" i="34"/>
  <c r="G54" i="34"/>
  <c r="J54" i="34"/>
  <c r="R37" i="34"/>
  <c r="J58" i="34"/>
  <c r="R58" i="34" s="1"/>
  <c r="G58" i="34"/>
  <c r="M60" i="34"/>
  <c r="S30" i="34"/>
  <c r="L30" i="34"/>
  <c r="L60" i="34"/>
  <c r="M57" i="34"/>
  <c r="R59" i="34"/>
  <c r="S44" i="34"/>
  <c r="L44" i="34"/>
  <c r="L40" i="34"/>
  <c r="S40" i="34"/>
  <c r="R25" i="34"/>
  <c r="S25" i="34" s="1"/>
  <c r="R40" i="34"/>
  <c r="L25" i="34"/>
  <c r="M25" i="34" s="1"/>
  <c r="G39" i="34"/>
  <c r="L52" i="33"/>
  <c r="M52" i="33" s="1"/>
  <c r="L47" i="33"/>
  <c r="M47" i="33" s="1"/>
  <c r="S44" i="33"/>
  <c r="L44" i="33"/>
  <c r="S60" i="33"/>
  <c r="L60" i="33"/>
  <c r="J59" i="33"/>
  <c r="G59" i="33"/>
  <c r="L29" i="33"/>
  <c r="M29" i="33" s="1"/>
  <c r="S37" i="33"/>
  <c r="L37" i="33"/>
  <c r="S40" i="33"/>
  <c r="L40" i="33"/>
  <c r="R51" i="33"/>
  <c r="S51" i="33" s="1"/>
  <c r="J58" i="33"/>
  <c r="G58" i="33"/>
  <c r="E55" i="33"/>
  <c r="G54" i="33"/>
  <c r="J54" i="33"/>
  <c r="L48" i="33"/>
  <c r="R37" i="33"/>
  <c r="R44" i="33"/>
  <c r="R40" i="33"/>
  <c r="R52" i="33"/>
  <c r="S52" i="33" s="1"/>
  <c r="R25" i="33"/>
  <c r="S25" i="33" s="1"/>
  <c r="L51" i="33"/>
  <c r="M51" i="33" s="1"/>
  <c r="M60" i="33"/>
  <c r="M32" i="33"/>
  <c r="L25" i="33"/>
  <c r="M25" i="33" s="1"/>
  <c r="G39" i="33"/>
  <c r="L47" i="32"/>
  <c r="M47" i="32" s="1"/>
  <c r="L52" i="32"/>
  <c r="M52" i="32" s="1"/>
  <c r="S44" i="32"/>
  <c r="L44" i="32"/>
  <c r="L23" i="32"/>
  <c r="M23" i="32" s="1"/>
  <c r="S40" i="32"/>
  <c r="L40" i="32"/>
  <c r="J59" i="32"/>
  <c r="G59" i="32"/>
  <c r="R58" i="32"/>
  <c r="L48" i="32"/>
  <c r="S32" i="32"/>
  <c r="L32" i="32"/>
  <c r="M32" i="32" s="1"/>
  <c r="G39" i="32"/>
  <c r="L51" i="32"/>
  <c r="M51" i="32" s="1"/>
  <c r="L29" i="32"/>
  <c r="M29" i="32" s="1"/>
  <c r="R51" i="32"/>
  <c r="S51" i="32" s="1"/>
  <c r="J58" i="32"/>
  <c r="G58" i="32"/>
  <c r="E55" i="32"/>
  <c r="G54" i="32"/>
  <c r="J54" i="32"/>
  <c r="S37" i="32"/>
  <c r="L37" i="32"/>
  <c r="M60" i="32"/>
  <c r="R32" i="32"/>
  <c r="R44" i="32"/>
  <c r="S26" i="32"/>
  <c r="L26" i="32"/>
  <c r="M26" i="32" s="1"/>
  <c r="S60" i="32"/>
  <c r="L60" i="32"/>
  <c r="R52" i="32"/>
  <c r="S52" i="32" s="1"/>
  <c r="L37" i="31"/>
  <c r="S37" i="31"/>
  <c r="L47" i="31"/>
  <c r="M47" i="31" s="1"/>
  <c r="L52" i="31"/>
  <c r="M52" i="31" s="1"/>
  <c r="R30" i="31"/>
  <c r="L61" i="31"/>
  <c r="S60" i="31"/>
  <c r="L60" i="31"/>
  <c r="S58" i="31"/>
  <c r="L58" i="31"/>
  <c r="M58" i="31" s="1"/>
  <c r="R32" i="31"/>
  <c r="R40" i="31"/>
  <c r="S30" i="31"/>
  <c r="L30" i="31"/>
  <c r="M60" i="31"/>
  <c r="L32" i="31"/>
  <c r="M32" i="31" s="1"/>
  <c r="S32" i="31"/>
  <c r="R61" i="31"/>
  <c r="S61" i="31" s="1"/>
  <c r="G39" i="31"/>
  <c r="S55" i="31"/>
  <c r="L55" i="31"/>
  <c r="L23" i="31"/>
  <c r="M23" i="31" s="1"/>
  <c r="L40" i="31"/>
  <c r="S40" i="31"/>
  <c r="L29" i="31"/>
  <c r="M29" i="31" s="1"/>
  <c r="L51" i="31"/>
  <c r="M51" i="31" s="1"/>
  <c r="S44" i="31"/>
  <c r="L44" i="31"/>
  <c r="L54" i="31"/>
  <c r="M54" i="31" s="1"/>
  <c r="S26" i="31"/>
  <c r="L26" i="31"/>
  <c r="M26" i="31" s="1"/>
  <c r="M61" i="31"/>
  <c r="S59" i="31"/>
  <c r="L59" i="31"/>
  <c r="M59" i="31" s="1"/>
  <c r="S57" i="31"/>
  <c r="L57" i="31"/>
  <c r="M57" i="31" s="1"/>
  <c r="M55" i="31"/>
  <c r="G49" i="29"/>
  <c r="E52" i="29"/>
  <c r="J49" i="29"/>
  <c r="R45" i="29"/>
  <c r="G49" i="28"/>
  <c r="J49" i="28"/>
  <c r="R49" i="28" s="1"/>
  <c r="S49" i="28" s="1"/>
  <c r="R56" i="28"/>
  <c r="R38" i="28"/>
  <c r="R40" i="27"/>
  <c r="R48" i="27"/>
  <c r="S48" i="27" s="1"/>
  <c r="G49" i="25"/>
  <c r="L49" i="25" s="1"/>
  <c r="M49" i="25" s="1"/>
  <c r="E52" i="25"/>
  <c r="R38" i="25"/>
  <c r="R45" i="25"/>
  <c r="L32" i="29"/>
  <c r="M32" i="29" s="1"/>
  <c r="S32" i="29"/>
  <c r="G39" i="29"/>
  <c r="L58" i="29"/>
  <c r="M58" i="29" s="1"/>
  <c r="L56" i="29"/>
  <c r="M56" i="29" s="1"/>
  <c r="L44" i="29"/>
  <c r="M44" i="29" s="1"/>
  <c r="L48" i="29"/>
  <c r="M48" i="29" s="1"/>
  <c r="S30" i="29"/>
  <c r="L30" i="29"/>
  <c r="L55" i="29"/>
  <c r="M55" i="29" s="1"/>
  <c r="S38" i="29"/>
  <c r="L38" i="29"/>
  <c r="L26" i="29"/>
  <c r="M26" i="29" s="1"/>
  <c r="S26" i="29"/>
  <c r="R26" i="29"/>
  <c r="S45" i="29"/>
  <c r="L45" i="29"/>
  <c r="M45" i="29" s="1"/>
  <c r="R58" i="29"/>
  <c r="S58" i="29" s="1"/>
  <c r="L29" i="29"/>
  <c r="M29" i="29" s="1"/>
  <c r="L40" i="29"/>
  <c r="S40" i="29"/>
  <c r="S57" i="29"/>
  <c r="L57" i="29"/>
  <c r="M57" i="29" s="1"/>
  <c r="J52" i="29"/>
  <c r="G52" i="29"/>
  <c r="R55" i="29"/>
  <c r="S55" i="29" s="1"/>
  <c r="L51" i="29"/>
  <c r="M51" i="29" s="1"/>
  <c r="R32" i="29"/>
  <c r="R51" i="29"/>
  <c r="S51" i="29" s="1"/>
  <c r="L23" i="29"/>
  <c r="M23" i="29" s="1"/>
  <c r="R56" i="29"/>
  <c r="S56" i="29" s="1"/>
  <c r="R30" i="29"/>
  <c r="L32" i="28"/>
  <c r="M32" i="28" s="1"/>
  <c r="S32" i="28"/>
  <c r="L44" i="28"/>
  <c r="M44" i="28" s="1"/>
  <c r="L29" i="28"/>
  <c r="M29" i="28" s="1"/>
  <c r="S45" i="28"/>
  <c r="L45" i="28"/>
  <c r="M45" i="28" s="1"/>
  <c r="L40" i="28"/>
  <c r="S40" i="28"/>
  <c r="L23" i="28"/>
  <c r="M23" i="28" s="1"/>
  <c r="S38" i="28"/>
  <c r="L38" i="28"/>
  <c r="L26" i="28"/>
  <c r="M26" i="28" s="1"/>
  <c r="S26" i="28"/>
  <c r="L57" i="28"/>
  <c r="M57" i="28" s="1"/>
  <c r="J52" i="28"/>
  <c r="G52" i="28"/>
  <c r="R57" i="28"/>
  <c r="S57" i="28" s="1"/>
  <c r="G39" i="28"/>
  <c r="L58" i="28"/>
  <c r="M58" i="28" s="1"/>
  <c r="S58" i="28"/>
  <c r="S56" i="28"/>
  <c r="L56" i="28"/>
  <c r="M56" i="28" s="1"/>
  <c r="L51" i="28"/>
  <c r="R32" i="28"/>
  <c r="L48" i="28"/>
  <c r="M48" i="28" s="1"/>
  <c r="S30" i="28"/>
  <c r="L30" i="28"/>
  <c r="S55" i="28"/>
  <c r="L55" i="28"/>
  <c r="M55" i="28" s="1"/>
  <c r="M51" i="28"/>
  <c r="R48" i="28"/>
  <c r="S48" i="28" s="1"/>
  <c r="R51" i="28"/>
  <c r="S51" i="28" s="1"/>
  <c r="R30" i="28"/>
  <c r="L49" i="27"/>
  <c r="M49" i="27" s="1"/>
  <c r="S32" i="27"/>
  <c r="L32" i="27"/>
  <c r="M32" i="27" s="1"/>
  <c r="H52" i="27"/>
  <c r="P52" i="27" s="1"/>
  <c r="H51" i="27"/>
  <c r="P51" i="27" s="1"/>
  <c r="P49" i="27"/>
  <c r="R49" i="27" s="1"/>
  <c r="S49" i="27" s="1"/>
  <c r="O56" i="27"/>
  <c r="P56" i="27" s="1"/>
  <c r="J56" i="27"/>
  <c r="G51" i="27"/>
  <c r="J51" i="27"/>
  <c r="O55" i="27"/>
  <c r="P55" i="27" s="1"/>
  <c r="J55" i="27"/>
  <c r="L30" i="27"/>
  <c r="S30" i="27"/>
  <c r="L48" i="27"/>
  <c r="M48" i="27" s="1"/>
  <c r="O57" i="27"/>
  <c r="P57" i="27" s="1"/>
  <c r="J57" i="27"/>
  <c r="L23" i="27"/>
  <c r="M23" i="27" s="1"/>
  <c r="S40" i="27"/>
  <c r="L40" i="27"/>
  <c r="L44" i="27"/>
  <c r="M44" i="27" s="1"/>
  <c r="S26" i="27"/>
  <c r="L26" i="27"/>
  <c r="M26" i="27" s="1"/>
  <c r="L45" i="27"/>
  <c r="M45" i="27" s="1"/>
  <c r="L38" i="27"/>
  <c r="S38" i="27"/>
  <c r="R32" i="27"/>
  <c r="G39" i="27"/>
  <c r="L29" i="27"/>
  <c r="M29" i="27" s="1"/>
  <c r="J52" i="27"/>
  <c r="G52" i="27"/>
  <c r="R45" i="27"/>
  <c r="S45" i="27" s="1"/>
  <c r="R38" i="27"/>
  <c r="L25" i="27"/>
  <c r="M25" i="27" s="1"/>
  <c r="R26" i="27"/>
  <c r="L29" i="26"/>
  <c r="M29" i="26" s="1"/>
  <c r="S38" i="26"/>
  <c r="L38" i="26"/>
  <c r="L48" i="26"/>
  <c r="M48" i="26" s="1"/>
  <c r="S30" i="26"/>
  <c r="L30" i="26"/>
  <c r="R30" i="26"/>
  <c r="L55" i="26"/>
  <c r="M55" i="26" s="1"/>
  <c r="R51" i="26"/>
  <c r="L40" i="26"/>
  <c r="S40" i="26"/>
  <c r="L32" i="26"/>
  <c r="M32" i="26" s="1"/>
  <c r="S32" i="26"/>
  <c r="R38" i="26"/>
  <c r="S51" i="26"/>
  <c r="L51" i="26"/>
  <c r="R48" i="26"/>
  <c r="S48" i="26" s="1"/>
  <c r="S45" i="26"/>
  <c r="L45" i="26"/>
  <c r="M45" i="26" s="1"/>
  <c r="L57" i="26"/>
  <c r="M57" i="26" s="1"/>
  <c r="J52" i="26"/>
  <c r="G52" i="26"/>
  <c r="R55" i="26"/>
  <c r="S55" i="26" s="1"/>
  <c r="R56" i="26"/>
  <c r="M51" i="26"/>
  <c r="R40" i="26"/>
  <c r="S25" i="26"/>
  <c r="L25" i="26"/>
  <c r="M25" i="26" s="1"/>
  <c r="L58" i="26"/>
  <c r="M58" i="26" s="1"/>
  <c r="S58" i="26"/>
  <c r="S56" i="26"/>
  <c r="L56" i="26"/>
  <c r="M56" i="26" s="1"/>
  <c r="L44" i="26"/>
  <c r="M44" i="26" s="1"/>
  <c r="L49" i="26"/>
  <c r="M49" i="26" s="1"/>
  <c r="L26" i="26"/>
  <c r="M26" i="26" s="1"/>
  <c r="S26" i="26"/>
  <c r="R57" i="26"/>
  <c r="S57" i="26" s="1"/>
  <c r="R32" i="26"/>
  <c r="R49" i="26"/>
  <c r="S49" i="26" s="1"/>
  <c r="G39" i="26"/>
  <c r="L29" i="25"/>
  <c r="M29" i="25" s="1"/>
  <c r="G39" i="25"/>
  <c r="L32" i="25"/>
  <c r="M32" i="25" s="1"/>
  <c r="S32" i="25"/>
  <c r="L40" i="25"/>
  <c r="S40" i="25"/>
  <c r="S57" i="25"/>
  <c r="L57" i="25"/>
  <c r="M57" i="25" s="1"/>
  <c r="J52" i="25"/>
  <c r="G52" i="25"/>
  <c r="L51" i="25"/>
  <c r="R49" i="25"/>
  <c r="S49" i="25" s="1"/>
  <c r="R32" i="25"/>
  <c r="R30" i="25"/>
  <c r="L56" i="25"/>
  <c r="M56" i="25" s="1"/>
  <c r="R56" i="25"/>
  <c r="S56" i="25" s="1"/>
  <c r="M51" i="25"/>
  <c r="R40" i="25"/>
  <c r="R51" i="25"/>
  <c r="S51" i="25" s="1"/>
  <c r="L58" i="25"/>
  <c r="M58" i="25" s="1"/>
  <c r="S58" i="25"/>
  <c r="L44" i="25"/>
  <c r="M44" i="25" s="1"/>
  <c r="L48" i="25"/>
  <c r="M48" i="25" s="1"/>
  <c r="S30" i="25"/>
  <c r="L30" i="25"/>
  <c r="S55" i="25"/>
  <c r="L55" i="25"/>
  <c r="M55" i="25" s="1"/>
  <c r="S25" i="25"/>
  <c r="L25" i="25"/>
  <c r="M25" i="25" s="1"/>
  <c r="S38" i="25"/>
  <c r="L38" i="25"/>
  <c r="S45" i="25"/>
  <c r="L45" i="25"/>
  <c r="M45" i="25" s="1"/>
  <c r="R48" i="25"/>
  <c r="S48" i="25" s="1"/>
  <c r="G39" i="23"/>
  <c r="G47" i="23" s="1"/>
  <c r="S56" i="23"/>
  <c r="R55" i="23"/>
  <c r="S55" i="23" s="1"/>
  <c r="R38" i="23"/>
  <c r="R57" i="23"/>
  <c r="S57" i="23" s="1"/>
  <c r="R38" i="22"/>
  <c r="R56" i="21"/>
  <c r="L54" i="21"/>
  <c r="G39" i="20"/>
  <c r="G47" i="20" s="1"/>
  <c r="L54" i="35"/>
  <c r="R57" i="35"/>
  <c r="S57" i="35" s="1"/>
  <c r="S56" i="35"/>
  <c r="R54" i="35"/>
  <c r="R55" i="35"/>
  <c r="S55" i="35" s="1"/>
  <c r="R31" i="19"/>
  <c r="R40" i="17"/>
  <c r="L40" i="17"/>
  <c r="R30" i="17"/>
  <c r="S45" i="17"/>
  <c r="R57" i="17"/>
  <c r="R48" i="17"/>
  <c r="S48" i="17" s="1"/>
  <c r="L48" i="23"/>
  <c r="M48" i="23" s="1"/>
  <c r="S32" i="23"/>
  <c r="R32" i="23"/>
  <c r="L32" i="23"/>
  <c r="M32" i="23" s="1"/>
  <c r="L44" i="23"/>
  <c r="M44" i="23" s="1"/>
  <c r="L43" i="23"/>
  <c r="S43" i="23"/>
  <c r="R48" i="23"/>
  <c r="S48" i="23" s="1"/>
  <c r="L58" i="23"/>
  <c r="M58" i="23" s="1"/>
  <c r="S58" i="23"/>
  <c r="G49" i="23"/>
  <c r="E52" i="23"/>
  <c r="J49" i="23"/>
  <c r="R49" i="23" s="1"/>
  <c r="E51" i="23"/>
  <c r="S30" i="23"/>
  <c r="L30" i="23"/>
  <c r="S38" i="23"/>
  <c r="L38" i="23"/>
  <c r="L43" i="22"/>
  <c r="S43" i="22"/>
  <c r="R43" i="22"/>
  <c r="R58" i="22"/>
  <c r="S58" i="22" s="1"/>
  <c r="S38" i="22"/>
  <c r="L38" i="22"/>
  <c r="L29" i="22"/>
  <c r="M29" i="22" s="1"/>
  <c r="G39" i="22"/>
  <c r="L49" i="22"/>
  <c r="M49" i="22" s="1"/>
  <c r="L56" i="22"/>
  <c r="M56" i="22" s="1"/>
  <c r="L31" i="22"/>
  <c r="S31" i="22"/>
  <c r="L32" i="22"/>
  <c r="M32" i="22" s="1"/>
  <c r="S32" i="22"/>
  <c r="S30" i="22"/>
  <c r="L30" i="22"/>
  <c r="R30" i="22"/>
  <c r="L48" i="22"/>
  <c r="M48" i="22" s="1"/>
  <c r="R56" i="22"/>
  <c r="S56" i="22" s="1"/>
  <c r="L37" i="22"/>
  <c r="R31" i="22"/>
  <c r="G52" i="22"/>
  <c r="J52" i="22"/>
  <c r="R52" i="22" s="1"/>
  <c r="J51" i="22"/>
  <c r="G51" i="22"/>
  <c r="L58" i="22"/>
  <c r="M58" i="22" s="1"/>
  <c r="R48" i="22"/>
  <c r="S48" i="22" s="1"/>
  <c r="H51" i="21"/>
  <c r="P51" i="21" s="1"/>
  <c r="P49" i="21"/>
  <c r="H52" i="21"/>
  <c r="P52" i="21" s="1"/>
  <c r="L48" i="21"/>
  <c r="M48" i="21" s="1"/>
  <c r="L32" i="21"/>
  <c r="M32" i="21" s="1"/>
  <c r="S32" i="21"/>
  <c r="L37" i="21"/>
  <c r="L29" i="21"/>
  <c r="M29" i="21" s="1"/>
  <c r="R55" i="21"/>
  <c r="S56" i="21"/>
  <c r="L56" i="21"/>
  <c r="M56" i="21" s="1"/>
  <c r="L43" i="21"/>
  <c r="S43" i="21"/>
  <c r="L57" i="21"/>
  <c r="M57" i="21" s="1"/>
  <c r="L58" i="21"/>
  <c r="M58" i="21" s="1"/>
  <c r="S30" i="21"/>
  <c r="L30" i="21"/>
  <c r="R58" i="21"/>
  <c r="S58" i="21" s="1"/>
  <c r="R30" i="21"/>
  <c r="S55" i="21"/>
  <c r="L55" i="21"/>
  <c r="M55" i="21" s="1"/>
  <c r="L44" i="21"/>
  <c r="M44" i="21" s="1"/>
  <c r="S31" i="21"/>
  <c r="L31" i="21"/>
  <c r="G49" i="21"/>
  <c r="E52" i="21"/>
  <c r="J49" i="21"/>
  <c r="E51" i="21"/>
  <c r="R57" i="21"/>
  <c r="S57" i="21" s="1"/>
  <c r="R43" i="21"/>
  <c r="S45" i="21"/>
  <c r="L45" i="21"/>
  <c r="M45" i="21" s="1"/>
  <c r="R31" i="21"/>
  <c r="L44" i="20"/>
  <c r="M44" i="20" s="1"/>
  <c r="L29" i="20"/>
  <c r="M29" i="20" s="1"/>
  <c r="L58" i="20"/>
  <c r="M58" i="20" s="1"/>
  <c r="S58" i="20"/>
  <c r="G49" i="20"/>
  <c r="E52" i="20"/>
  <c r="J49" i="20"/>
  <c r="R49" i="20" s="1"/>
  <c r="E51" i="20"/>
  <c r="R32" i="20"/>
  <c r="R30" i="20"/>
  <c r="L48" i="20"/>
  <c r="M48" i="20" s="1"/>
  <c r="L32" i="20"/>
  <c r="M32" i="20" s="1"/>
  <c r="S32" i="20"/>
  <c r="S38" i="20"/>
  <c r="L38" i="20"/>
  <c r="S30" i="20"/>
  <c r="L30" i="20"/>
  <c r="R38" i="20"/>
  <c r="L43" i="20"/>
  <c r="S43" i="20"/>
  <c r="L43" i="35"/>
  <c r="S43" i="35"/>
  <c r="L44" i="35"/>
  <c r="M44" i="35" s="1"/>
  <c r="S38" i="35"/>
  <c r="L38" i="35"/>
  <c r="L31" i="35"/>
  <c r="L58" i="35"/>
  <c r="M58" i="35" s="1"/>
  <c r="S58" i="35"/>
  <c r="G49" i="35"/>
  <c r="E52" i="35"/>
  <c r="J49" i="35"/>
  <c r="R49" i="35" s="1"/>
  <c r="E51" i="35"/>
  <c r="L48" i="35"/>
  <c r="M48" i="35" s="1"/>
  <c r="L32" i="35"/>
  <c r="M32" i="35" s="1"/>
  <c r="S32" i="35"/>
  <c r="R43" i="35"/>
  <c r="G39" i="35"/>
  <c r="L29" i="35"/>
  <c r="M29" i="35" s="1"/>
  <c r="S30" i="35"/>
  <c r="R30" i="35"/>
  <c r="L30" i="35"/>
  <c r="L37" i="35"/>
  <c r="L48" i="19"/>
  <c r="M48" i="19" s="1"/>
  <c r="S32" i="19"/>
  <c r="L32" i="19"/>
  <c r="M32" i="19" s="1"/>
  <c r="R32" i="19"/>
  <c r="S55" i="19"/>
  <c r="L55" i="19"/>
  <c r="M55" i="19" s="1"/>
  <c r="L44" i="19"/>
  <c r="M44" i="19" s="1"/>
  <c r="L37" i="19"/>
  <c r="L31" i="19"/>
  <c r="L29" i="19"/>
  <c r="M29" i="19" s="1"/>
  <c r="R56" i="19"/>
  <c r="S56" i="19" s="1"/>
  <c r="L43" i="19"/>
  <c r="S43" i="19"/>
  <c r="G49" i="19"/>
  <c r="E52" i="19"/>
  <c r="J49" i="19"/>
  <c r="R49" i="19" s="1"/>
  <c r="E51" i="19"/>
  <c r="S54" i="19"/>
  <c r="L54" i="19"/>
  <c r="S57" i="19"/>
  <c r="L57" i="19"/>
  <c r="M57" i="19" s="1"/>
  <c r="R48" i="19"/>
  <c r="S48" i="19" s="1"/>
  <c r="R43" i="19"/>
  <c r="L56" i="19"/>
  <c r="M56" i="19" s="1"/>
  <c r="G39" i="19"/>
  <c r="L44" i="17"/>
  <c r="M44" i="17" s="1"/>
  <c r="S38" i="17"/>
  <c r="L38" i="17"/>
  <c r="L43" i="17"/>
  <c r="S43" i="17"/>
  <c r="G49" i="17"/>
  <c r="E52" i="17"/>
  <c r="J49" i="17"/>
  <c r="R49" i="17" s="1"/>
  <c r="E51" i="17"/>
  <c r="S30" i="17"/>
  <c r="L30" i="17"/>
  <c r="L29" i="17"/>
  <c r="M29" i="17" s="1"/>
  <c r="G39" i="17"/>
  <c r="L55" i="17"/>
  <c r="M55" i="17" s="1"/>
  <c r="R55" i="17"/>
  <c r="S55" i="17" s="1"/>
  <c r="S32" i="17"/>
  <c r="L32" i="17"/>
  <c r="M32" i="17" s="1"/>
  <c r="S57" i="17"/>
  <c r="L57" i="17"/>
  <c r="M57" i="17" s="1"/>
  <c r="R43" i="17"/>
  <c r="R32" i="17"/>
  <c r="R38" i="17"/>
  <c r="I33" i="29" l="1"/>
  <c r="J33" i="29" s="1"/>
  <c r="L33" i="29" s="1"/>
  <c r="I33" i="28"/>
  <c r="J33" i="28" s="1"/>
  <c r="L33" i="28" s="1"/>
  <c r="I33" i="26"/>
  <c r="J33" i="26" s="1"/>
  <c r="L33" i="26" s="1"/>
  <c r="I33" i="27"/>
  <c r="J33" i="27" s="1"/>
  <c r="L33" i="27" s="1"/>
  <c r="I33" i="25"/>
  <c r="J33" i="25" s="1"/>
  <c r="L33" i="25" s="1"/>
  <c r="I41" i="20"/>
  <c r="J41" i="20" s="1"/>
  <c r="L41" i="20" s="1"/>
  <c r="I41" i="17"/>
  <c r="J41" i="17" s="1"/>
  <c r="L41" i="17" s="1"/>
  <c r="I41" i="35"/>
  <c r="J41" i="35" s="1"/>
  <c r="L41" i="35" s="1"/>
  <c r="I41" i="22"/>
  <c r="J41" i="22" s="1"/>
  <c r="L41" i="22" s="1"/>
  <c r="I41" i="21"/>
  <c r="J41" i="21" s="1"/>
  <c r="L41" i="21" s="1"/>
  <c r="I41" i="23"/>
  <c r="J41" i="23" s="1"/>
  <c r="L41" i="23" s="1"/>
  <c r="I41" i="19"/>
  <c r="J41" i="19" s="1"/>
  <c r="L41" i="19" s="1"/>
  <c r="I33" i="23"/>
  <c r="J33" i="23" s="1"/>
  <c r="L33" i="23" s="1"/>
  <c r="I33" i="22"/>
  <c r="J33" i="22" s="1"/>
  <c r="L33" i="22" s="1"/>
  <c r="I33" i="21"/>
  <c r="J33" i="21" s="1"/>
  <c r="L33" i="21" s="1"/>
  <c r="I33" i="35"/>
  <c r="J33" i="35" s="1"/>
  <c r="L33" i="35" s="1"/>
  <c r="I33" i="17"/>
  <c r="J33" i="17" s="1"/>
  <c r="L33" i="17" s="1"/>
  <c r="I33" i="20"/>
  <c r="J33" i="20" s="1"/>
  <c r="L33" i="20" s="1"/>
  <c r="I33" i="19"/>
  <c r="J33" i="19" s="1"/>
  <c r="L33" i="19" s="1"/>
  <c r="I37" i="28"/>
  <c r="J37" i="28" s="1"/>
  <c r="L37" i="28" s="1"/>
  <c r="I37" i="25"/>
  <c r="J37" i="25" s="1"/>
  <c r="L37" i="25" s="1"/>
  <c r="I37" i="27"/>
  <c r="J37" i="27" s="1"/>
  <c r="L37" i="27" s="1"/>
  <c r="I37" i="29"/>
  <c r="J37" i="29" s="1"/>
  <c r="L37" i="29" s="1"/>
  <c r="I37" i="26"/>
  <c r="J37" i="26" s="1"/>
  <c r="L37" i="26" s="1"/>
  <c r="I41" i="29"/>
  <c r="J41" i="29" s="1"/>
  <c r="L41" i="29" s="1"/>
  <c r="I41" i="26"/>
  <c r="J41" i="26" s="1"/>
  <c r="L41" i="26" s="1"/>
  <c r="I41" i="28"/>
  <c r="J41" i="28" s="1"/>
  <c r="L41" i="28" s="1"/>
  <c r="I41" i="25"/>
  <c r="J41" i="25" s="1"/>
  <c r="L41" i="25" s="1"/>
  <c r="I41" i="27"/>
  <c r="J41" i="27" s="1"/>
  <c r="L41" i="27" s="1"/>
  <c r="L49" i="28"/>
  <c r="M49" i="28" s="1"/>
  <c r="G50" i="34"/>
  <c r="L54" i="34"/>
  <c r="R54" i="34"/>
  <c r="S54" i="34" s="1"/>
  <c r="S59" i="34"/>
  <c r="L59" i="34"/>
  <c r="M59" i="34" s="1"/>
  <c r="M54" i="34"/>
  <c r="S58" i="34"/>
  <c r="L58" i="34"/>
  <c r="M58" i="34" s="1"/>
  <c r="G55" i="34"/>
  <c r="J55" i="34"/>
  <c r="L54" i="33"/>
  <c r="M54" i="33" s="1"/>
  <c r="R54" i="33"/>
  <c r="S54" i="33" s="1"/>
  <c r="L58" i="33"/>
  <c r="G50" i="33"/>
  <c r="G55" i="33"/>
  <c r="J55" i="33"/>
  <c r="R58" i="33"/>
  <c r="S58" i="33" s="1"/>
  <c r="S59" i="33"/>
  <c r="L59" i="33"/>
  <c r="M59" i="33" s="1"/>
  <c r="R59" i="33"/>
  <c r="M58" i="33"/>
  <c r="G55" i="32"/>
  <c r="J55" i="32"/>
  <c r="M58" i="32"/>
  <c r="G50" i="32"/>
  <c r="L59" i="32"/>
  <c r="M59" i="32" s="1"/>
  <c r="R59" i="32"/>
  <c r="S59" i="32" s="1"/>
  <c r="L54" i="32"/>
  <c r="M54" i="32" s="1"/>
  <c r="R54" i="32"/>
  <c r="S54" i="32" s="1"/>
  <c r="S58" i="32"/>
  <c r="L58" i="32"/>
  <c r="G50" i="31"/>
  <c r="R49" i="29"/>
  <c r="S49" i="29" s="1"/>
  <c r="L49" i="29"/>
  <c r="M49" i="29" s="1"/>
  <c r="R55" i="27"/>
  <c r="S55" i="27" s="1"/>
  <c r="R56" i="27"/>
  <c r="S56" i="27" s="1"/>
  <c r="G47" i="29"/>
  <c r="L52" i="29"/>
  <c r="M52" i="29" s="1"/>
  <c r="R52" i="29"/>
  <c r="S52" i="29" s="1"/>
  <c r="G47" i="28"/>
  <c r="L52" i="28"/>
  <c r="M52" i="28" s="1"/>
  <c r="R52" i="28"/>
  <c r="S52" i="28" s="1"/>
  <c r="L52" i="27"/>
  <c r="M52" i="27" s="1"/>
  <c r="G47" i="27"/>
  <c r="L55" i="27"/>
  <c r="M55" i="27" s="1"/>
  <c r="L56" i="27"/>
  <c r="M56" i="27" s="1"/>
  <c r="R52" i="27"/>
  <c r="S52" i="27" s="1"/>
  <c r="L57" i="27"/>
  <c r="M57" i="27" s="1"/>
  <c r="L51" i="27"/>
  <c r="M51" i="27" s="1"/>
  <c r="R57" i="27"/>
  <c r="S57" i="27" s="1"/>
  <c r="R51" i="27"/>
  <c r="S51" i="27" s="1"/>
  <c r="G47" i="26"/>
  <c r="L52" i="26"/>
  <c r="M52" i="26" s="1"/>
  <c r="R52" i="26"/>
  <c r="S52" i="26" s="1"/>
  <c r="L52" i="25"/>
  <c r="M52" i="25" s="1"/>
  <c r="R52" i="25"/>
  <c r="S52" i="25" s="1"/>
  <c r="G47" i="25"/>
  <c r="R49" i="21"/>
  <c r="S49" i="21" s="1"/>
  <c r="L49" i="23"/>
  <c r="M49" i="23" s="1"/>
  <c r="S49" i="23"/>
  <c r="G52" i="23"/>
  <c r="J52" i="23"/>
  <c r="G50" i="23"/>
  <c r="J51" i="23"/>
  <c r="G51" i="23"/>
  <c r="S52" i="22"/>
  <c r="L52" i="22"/>
  <c r="M52" i="22" s="1"/>
  <c r="L51" i="22"/>
  <c r="M51" i="22" s="1"/>
  <c r="G47" i="22"/>
  <c r="R51" i="22"/>
  <c r="S51" i="22" s="1"/>
  <c r="J51" i="21"/>
  <c r="G51" i="21"/>
  <c r="R51" i="21"/>
  <c r="L49" i="21"/>
  <c r="M49" i="21" s="1"/>
  <c r="G52" i="21"/>
  <c r="J52" i="21"/>
  <c r="R52" i="21"/>
  <c r="G50" i="21"/>
  <c r="G50" i="20"/>
  <c r="J51" i="20"/>
  <c r="G51" i="20"/>
  <c r="L49" i="20"/>
  <c r="M49" i="20" s="1"/>
  <c r="S49" i="20"/>
  <c r="G52" i="20"/>
  <c r="J52" i="20"/>
  <c r="J51" i="35"/>
  <c r="G51" i="35"/>
  <c r="G47" i="35"/>
  <c r="L49" i="35"/>
  <c r="M49" i="35" s="1"/>
  <c r="S49" i="35"/>
  <c r="G52" i="35"/>
  <c r="J52" i="35"/>
  <c r="J51" i="19"/>
  <c r="G51" i="19"/>
  <c r="L49" i="19"/>
  <c r="M49" i="19" s="1"/>
  <c r="S49" i="19"/>
  <c r="G47" i="19"/>
  <c r="G52" i="19"/>
  <c r="J52" i="19"/>
  <c r="L49" i="17"/>
  <c r="M49" i="17" s="1"/>
  <c r="S49" i="17"/>
  <c r="G52" i="17"/>
  <c r="J52" i="17"/>
  <c r="G47" i="17"/>
  <c r="J51" i="17"/>
  <c r="G51" i="17"/>
  <c r="G53" i="34" l="1"/>
  <c r="L55" i="34"/>
  <c r="R55" i="34"/>
  <c r="S55" i="34" s="1"/>
  <c r="M55" i="34"/>
  <c r="G53" i="33"/>
  <c r="L55" i="33"/>
  <c r="M55" i="33" s="1"/>
  <c r="R55" i="33"/>
  <c r="S55" i="33" s="1"/>
  <c r="L55" i="32"/>
  <c r="R55" i="32"/>
  <c r="S55" i="32" s="1"/>
  <c r="M55" i="32"/>
  <c r="G53" i="32"/>
  <c r="G64" i="32" s="1"/>
  <c r="G53" i="31"/>
  <c r="G50" i="29"/>
  <c r="G50" i="28"/>
  <c r="G50" i="27"/>
  <c r="G50" i="26"/>
  <c r="G50" i="25"/>
  <c r="L51" i="23"/>
  <c r="M51" i="23" s="1"/>
  <c r="R51" i="23"/>
  <c r="S51" i="23" s="1"/>
  <c r="G67" i="23"/>
  <c r="G61" i="23"/>
  <c r="L52" i="23"/>
  <c r="M52" i="23" s="1"/>
  <c r="R52" i="23"/>
  <c r="S52" i="23" s="1"/>
  <c r="G50" i="22"/>
  <c r="G61" i="21"/>
  <c r="G67" i="21"/>
  <c r="S51" i="21"/>
  <c r="L51" i="21"/>
  <c r="M51" i="21" s="1"/>
  <c r="S52" i="21"/>
  <c r="L52" i="21"/>
  <c r="M52" i="21" s="1"/>
  <c r="L52" i="20"/>
  <c r="M52" i="20" s="1"/>
  <c r="R52" i="20"/>
  <c r="S52" i="20" s="1"/>
  <c r="G61" i="20"/>
  <c r="L51" i="20"/>
  <c r="M51" i="20" s="1"/>
  <c r="R51" i="20"/>
  <c r="S51" i="20" s="1"/>
  <c r="G67" i="20"/>
  <c r="G50" i="35"/>
  <c r="G61" i="35" s="1"/>
  <c r="L51" i="35"/>
  <c r="R51" i="35"/>
  <c r="S51" i="35" s="1"/>
  <c r="L52" i="35"/>
  <c r="R52" i="35"/>
  <c r="S52" i="35" s="1"/>
  <c r="M52" i="35"/>
  <c r="M51" i="35"/>
  <c r="L51" i="19"/>
  <c r="R51" i="19"/>
  <c r="S51" i="19" s="1"/>
  <c r="G50" i="19"/>
  <c r="G61" i="19" s="1"/>
  <c r="L52" i="19"/>
  <c r="M52" i="19" s="1"/>
  <c r="R52" i="19"/>
  <c r="S52" i="19" s="1"/>
  <c r="M51" i="19"/>
  <c r="L51" i="17"/>
  <c r="R51" i="17"/>
  <c r="S51" i="17" s="1"/>
  <c r="L52" i="17"/>
  <c r="M52" i="17" s="1"/>
  <c r="R52" i="17"/>
  <c r="S52" i="17" s="1"/>
  <c r="G50" i="17"/>
  <c r="M51" i="17"/>
  <c r="G70" i="34" l="1"/>
  <c r="G64" i="34"/>
  <c r="G70" i="33"/>
  <c r="G64" i="33"/>
  <c r="G65" i="32"/>
  <c r="G66" i="32" s="1"/>
  <c r="G70" i="32"/>
  <c r="G70" i="31"/>
  <c r="G64" i="31"/>
  <c r="G67" i="29"/>
  <c r="G61" i="29"/>
  <c r="G67" i="28"/>
  <c r="G61" i="28"/>
  <c r="G67" i="27"/>
  <c r="G61" i="27"/>
  <c r="G67" i="26"/>
  <c r="G61" i="26"/>
  <c r="G67" i="25"/>
  <c r="G61" i="25"/>
  <c r="G62" i="23"/>
  <c r="G68" i="23"/>
  <c r="G69" i="23" s="1"/>
  <c r="G67" i="22"/>
  <c r="G61" i="22"/>
  <c r="G62" i="21"/>
  <c r="G68" i="21"/>
  <c r="G69" i="21" s="1"/>
  <c r="G62" i="20"/>
  <c r="G63" i="20" s="1"/>
  <c r="G68" i="20"/>
  <c r="G69" i="20" s="1"/>
  <c r="G67" i="35"/>
  <c r="G62" i="35"/>
  <c r="G63" i="35" s="1"/>
  <c r="G62" i="19"/>
  <c r="G67" i="19"/>
  <c r="G67" i="17"/>
  <c r="G61" i="17"/>
  <c r="G71" i="34" l="1"/>
  <c r="G65" i="34"/>
  <c r="G66" i="34" s="1"/>
  <c r="G65" i="33"/>
  <c r="G66" i="33" s="1"/>
  <c r="G71" i="33"/>
  <c r="G72" i="33" s="1"/>
  <c r="G71" i="32"/>
  <c r="G68" i="32"/>
  <c r="G65" i="31"/>
  <c r="G71" i="31"/>
  <c r="G72" i="31" s="1"/>
  <c r="G62" i="29"/>
  <c r="G63" i="29" s="1"/>
  <c r="G68" i="29"/>
  <c r="G69" i="29" s="1"/>
  <c r="G68" i="28"/>
  <c r="G62" i="28"/>
  <c r="G63" i="28" s="1"/>
  <c r="G62" i="27"/>
  <c r="G63" i="27" s="1"/>
  <c r="G68" i="27"/>
  <c r="G69" i="27" s="1"/>
  <c r="G62" i="26"/>
  <c r="G63" i="26" s="1"/>
  <c r="G68" i="26"/>
  <c r="G69" i="26" s="1"/>
  <c r="G62" i="25"/>
  <c r="G63" i="25" s="1"/>
  <c r="G68" i="25"/>
  <c r="G69" i="25" s="1"/>
  <c r="G70" i="23"/>
  <c r="G63" i="23"/>
  <c r="G62" i="22"/>
  <c r="G68" i="22"/>
  <c r="G69" i="22" s="1"/>
  <c r="G63" i="21"/>
  <c r="G70" i="21"/>
  <c r="G71" i="21" s="1"/>
  <c r="G70" i="20"/>
  <c r="G71" i="20" s="1"/>
  <c r="G64" i="20"/>
  <c r="G65" i="20" s="1"/>
  <c r="G64" i="35"/>
  <c r="G65" i="35" s="1"/>
  <c r="G68" i="35"/>
  <c r="G69" i="35" s="1"/>
  <c r="G68" i="19"/>
  <c r="G69" i="19" s="1"/>
  <c r="G63" i="19"/>
  <c r="G62" i="17"/>
  <c r="G68" i="17"/>
  <c r="G69" i="17" s="1"/>
  <c r="G68" i="34" l="1"/>
  <c r="G72" i="34"/>
  <c r="G68" i="33"/>
  <c r="G74" i="33"/>
  <c r="G72" i="32"/>
  <c r="G66" i="31"/>
  <c r="G74" i="31"/>
  <c r="G70" i="29"/>
  <c r="G64" i="29"/>
  <c r="G65" i="29" s="1"/>
  <c r="G64" i="28"/>
  <c r="G69" i="28"/>
  <c r="G70" i="27"/>
  <c r="G71" i="27" s="1"/>
  <c r="G64" i="27"/>
  <c r="G65" i="27" s="1"/>
  <c r="G70" i="26"/>
  <c r="G64" i="26"/>
  <c r="G70" i="25"/>
  <c r="G64" i="25"/>
  <c r="G65" i="25" s="1"/>
  <c r="L70" i="23"/>
  <c r="M70" i="23" s="1"/>
  <c r="G64" i="23"/>
  <c r="G65" i="23" s="1"/>
  <c r="G71" i="23"/>
  <c r="G70" i="22"/>
  <c r="G71" i="22" s="1"/>
  <c r="G63" i="22"/>
  <c r="L70" i="21"/>
  <c r="M70" i="21" s="1"/>
  <c r="G64" i="21"/>
  <c r="M64" i="20"/>
  <c r="L64" i="20"/>
  <c r="L70" i="20"/>
  <c r="M70" i="20" s="1"/>
  <c r="G70" i="35"/>
  <c r="G71" i="35" s="1"/>
  <c r="M64" i="35"/>
  <c r="L64" i="35"/>
  <c r="G70" i="19"/>
  <c r="G71" i="19" s="1"/>
  <c r="G64" i="19"/>
  <c r="G63" i="17"/>
  <c r="G70" i="17"/>
  <c r="G71" i="17" s="1"/>
  <c r="G74" i="34" l="1"/>
  <c r="G74" i="32"/>
  <c r="G68" i="31"/>
  <c r="L70" i="29"/>
  <c r="M70" i="29" s="1"/>
  <c r="M64" i="29"/>
  <c r="L64" i="29"/>
  <c r="G71" i="29"/>
  <c r="M64" i="28"/>
  <c r="L64" i="28"/>
  <c r="G70" i="28"/>
  <c r="G71" i="28" s="1"/>
  <c r="G65" i="28"/>
  <c r="L64" i="27"/>
  <c r="M64" i="27"/>
  <c r="L70" i="27"/>
  <c r="M70" i="27" s="1"/>
  <c r="M64" i="26"/>
  <c r="L64" i="26"/>
  <c r="L70" i="26"/>
  <c r="M70" i="26" s="1"/>
  <c r="G65" i="26"/>
  <c r="G71" i="26"/>
  <c r="M64" i="25"/>
  <c r="L64" i="25"/>
  <c r="L70" i="25"/>
  <c r="M70" i="25" s="1"/>
  <c r="G71" i="25"/>
  <c r="M64" i="23"/>
  <c r="L64" i="23"/>
  <c r="L70" i="22"/>
  <c r="M70" i="22" s="1"/>
  <c r="G64" i="22"/>
  <c r="G65" i="22" s="1"/>
  <c r="M64" i="21"/>
  <c r="L64" i="21"/>
  <c r="G65" i="21"/>
  <c r="L70" i="35"/>
  <c r="M70" i="35" s="1"/>
  <c r="M64" i="19"/>
  <c r="L64" i="19"/>
  <c r="G65" i="19"/>
  <c r="L70" i="19"/>
  <c r="M70" i="19" s="1"/>
  <c r="G64" i="17"/>
  <c r="L70" i="17"/>
  <c r="M70" i="17" s="1"/>
  <c r="L70" i="28" l="1"/>
  <c r="M70" i="28" s="1"/>
  <c r="L64" i="22"/>
  <c r="M64" i="22"/>
  <c r="M64" i="17"/>
  <c r="L64" i="17"/>
  <c r="G65" i="17"/>
  <c r="E40" i="14" l="1"/>
  <c r="E41" i="11"/>
  <c r="R20" i="14" l="1"/>
  <c r="O20" i="14"/>
  <c r="L20" i="14"/>
  <c r="I20" i="14"/>
  <c r="R20" i="13"/>
  <c r="O20" i="13"/>
  <c r="L20" i="13"/>
  <c r="I20" i="13"/>
  <c r="R20" i="12"/>
  <c r="O20" i="12"/>
  <c r="L20" i="12"/>
  <c r="I20" i="12"/>
  <c r="R20" i="11"/>
  <c r="O20" i="11"/>
  <c r="L20" i="11"/>
  <c r="I20" i="11"/>
  <c r="R20" i="10"/>
  <c r="O20" i="10"/>
  <c r="L20" i="10"/>
  <c r="I20" i="10"/>
  <c r="R20" i="9"/>
  <c r="O20" i="9"/>
  <c r="L20" i="9"/>
  <c r="I20" i="9"/>
  <c r="I45" i="1" l="1"/>
  <c r="F59" i="14" l="1"/>
  <c r="F60" i="14"/>
  <c r="F58" i="14"/>
  <c r="F59" i="13"/>
  <c r="F60" i="13"/>
  <c r="F58" i="13"/>
  <c r="F58" i="12"/>
  <c r="F59" i="12"/>
  <c r="F57" i="12"/>
  <c r="F59" i="11"/>
  <c r="F60" i="11"/>
  <c r="F58" i="11"/>
  <c r="F59" i="10"/>
  <c r="F60" i="10"/>
  <c r="F58" i="10"/>
  <c r="A32" i="10" l="1"/>
  <c r="I32" i="10" s="1"/>
  <c r="F56" i="9" l="1"/>
  <c r="F57" i="9"/>
  <c r="F55" i="9"/>
  <c r="E38" i="1" l="1"/>
  <c r="E61" i="14" l="1"/>
  <c r="E61" i="13"/>
  <c r="E60" i="12"/>
  <c r="E61" i="11"/>
  <c r="E61" i="10"/>
  <c r="E58" i="9"/>
  <c r="O51" i="9"/>
  <c r="O51" i="1"/>
  <c r="G58" i="9" l="1"/>
  <c r="J58" i="9"/>
  <c r="F23" i="30"/>
  <c r="F23" i="24"/>
  <c r="A52" i="14"/>
  <c r="A51" i="14"/>
  <c r="A47" i="14"/>
  <c r="B44" i="14"/>
  <c r="A44" i="14"/>
  <c r="A40" i="14"/>
  <c r="O46" i="14"/>
  <c r="O45" i="14"/>
  <c r="O38" i="14"/>
  <c r="O37" i="14"/>
  <c r="O30" i="14"/>
  <c r="O28" i="14"/>
  <c r="O24" i="14"/>
  <c r="I46" i="14"/>
  <c r="F46" i="14"/>
  <c r="I45" i="14"/>
  <c r="F45" i="14"/>
  <c r="I38" i="14"/>
  <c r="F38" i="14"/>
  <c r="F37" i="14"/>
  <c r="I30" i="14"/>
  <c r="F30" i="14"/>
  <c r="I28" i="14"/>
  <c r="F28" i="14"/>
  <c r="I24" i="14"/>
  <c r="F24" i="14"/>
  <c r="A32" i="14"/>
  <c r="I32" i="14" s="1"/>
  <c r="A29" i="14"/>
  <c r="A26" i="14"/>
  <c r="I26" i="14" s="1"/>
  <c r="A25" i="14"/>
  <c r="A23" i="14"/>
  <c r="A52" i="13"/>
  <c r="A51" i="13"/>
  <c r="A47" i="13"/>
  <c r="A40" i="13"/>
  <c r="O46" i="13"/>
  <c r="O45" i="13"/>
  <c r="O44" i="13"/>
  <c r="O43" i="13"/>
  <c r="O38" i="13"/>
  <c r="O37" i="13"/>
  <c r="O30" i="13"/>
  <c r="O28" i="13"/>
  <c r="O24" i="13"/>
  <c r="I46" i="13"/>
  <c r="F46" i="13"/>
  <c r="I45" i="13"/>
  <c r="F45" i="13"/>
  <c r="I44" i="13"/>
  <c r="F44" i="13"/>
  <c r="I43" i="13"/>
  <c r="F43" i="13"/>
  <c r="I38" i="13"/>
  <c r="F38" i="13"/>
  <c r="I37" i="13"/>
  <c r="F37" i="13"/>
  <c r="I30" i="13"/>
  <c r="F30" i="13"/>
  <c r="I28" i="13"/>
  <c r="F28" i="13"/>
  <c r="I24" i="13"/>
  <c r="F24" i="13"/>
  <c r="A32" i="13"/>
  <c r="I32" i="13" s="1"/>
  <c r="A29" i="13"/>
  <c r="A26" i="13"/>
  <c r="I26" i="13" s="1"/>
  <c r="A25" i="13"/>
  <c r="A23" i="13"/>
  <c r="A51" i="12"/>
  <c r="A50" i="12"/>
  <c r="A46" i="12"/>
  <c r="A40" i="12"/>
  <c r="O45" i="12"/>
  <c r="O44" i="12"/>
  <c r="O43" i="12"/>
  <c r="O38" i="12"/>
  <c r="O37" i="12"/>
  <c r="O30" i="12"/>
  <c r="O28" i="12"/>
  <c r="O24" i="12"/>
  <c r="I45" i="12"/>
  <c r="F45" i="12"/>
  <c r="I44" i="12"/>
  <c r="F44" i="12"/>
  <c r="I43" i="12"/>
  <c r="F43" i="12"/>
  <c r="I38" i="12"/>
  <c r="F38" i="12"/>
  <c r="I37" i="12"/>
  <c r="F37" i="12"/>
  <c r="I30" i="12"/>
  <c r="F30" i="12"/>
  <c r="I28" i="12"/>
  <c r="F28" i="12"/>
  <c r="I24" i="12"/>
  <c r="F24" i="12"/>
  <c r="A32" i="12"/>
  <c r="I32" i="12" s="1"/>
  <c r="A29" i="12"/>
  <c r="A26" i="12"/>
  <c r="I26" i="12" s="1"/>
  <c r="A25" i="12"/>
  <c r="A23" i="12"/>
  <c r="A52" i="11"/>
  <c r="A51" i="11"/>
  <c r="A47" i="11"/>
  <c r="A41" i="11"/>
  <c r="O46" i="11"/>
  <c r="O45" i="11"/>
  <c r="O39" i="11"/>
  <c r="O38" i="11"/>
  <c r="O37" i="11"/>
  <c r="O30" i="11"/>
  <c r="O28" i="11"/>
  <c r="O24" i="11"/>
  <c r="I46" i="11"/>
  <c r="F46" i="11"/>
  <c r="I45" i="11"/>
  <c r="F45" i="11"/>
  <c r="I39" i="11"/>
  <c r="F39" i="11"/>
  <c r="I38" i="11"/>
  <c r="F38" i="11"/>
  <c r="I37" i="11"/>
  <c r="F37" i="11"/>
  <c r="I30" i="11"/>
  <c r="F30" i="11"/>
  <c r="I28" i="11"/>
  <c r="F28" i="11"/>
  <c r="I24" i="11"/>
  <c r="F24" i="11"/>
  <c r="A32" i="11"/>
  <c r="I32" i="11" s="1"/>
  <c r="A29" i="11"/>
  <c r="A26" i="11"/>
  <c r="I26" i="11" s="1"/>
  <c r="A25" i="11"/>
  <c r="A23" i="11"/>
  <c r="A52" i="10"/>
  <c r="A51" i="10"/>
  <c r="A47" i="10"/>
  <c r="B44" i="10"/>
  <c r="A44" i="10"/>
  <c r="A40" i="10"/>
  <c r="A37" i="10"/>
  <c r="O46" i="10"/>
  <c r="O45" i="10"/>
  <c r="O38" i="10"/>
  <c r="O30" i="10"/>
  <c r="O28" i="10"/>
  <c r="O24" i="10"/>
  <c r="I46" i="10"/>
  <c r="F46" i="10"/>
  <c r="I45" i="10"/>
  <c r="F45" i="10"/>
  <c r="I38" i="10"/>
  <c r="F38" i="10"/>
  <c r="I30" i="10"/>
  <c r="F30" i="10"/>
  <c r="I28" i="10"/>
  <c r="F28" i="10"/>
  <c r="I24" i="10"/>
  <c r="F24" i="10"/>
  <c r="A29" i="10"/>
  <c r="A26" i="10"/>
  <c r="I26" i="10" s="1"/>
  <c r="A25" i="10"/>
  <c r="A23" i="10"/>
  <c r="A49" i="9"/>
  <c r="A48" i="9"/>
  <c r="O43" i="9"/>
  <c r="O30" i="9"/>
  <c r="O28" i="9"/>
  <c r="O24" i="9"/>
  <c r="I43" i="9"/>
  <c r="F43" i="9"/>
  <c r="I30" i="9"/>
  <c r="F30" i="9"/>
  <c r="I28" i="9"/>
  <c r="F28" i="9"/>
  <c r="I24" i="9"/>
  <c r="F24" i="9"/>
  <c r="A44" i="9"/>
  <c r="A40" i="9"/>
  <c r="A38" i="9"/>
  <c r="A32" i="9"/>
  <c r="I32" i="9" s="1"/>
  <c r="A29" i="9"/>
  <c r="A26" i="9"/>
  <c r="I26" i="9" s="1"/>
  <c r="A25" i="9"/>
  <c r="A23" i="9"/>
  <c r="O43" i="1"/>
  <c r="O40" i="1"/>
  <c r="O38" i="1"/>
  <c r="O32" i="1"/>
  <c r="O31" i="1"/>
  <c r="O30" i="1"/>
  <c r="O28" i="1"/>
  <c r="O27" i="1"/>
  <c r="O26" i="1"/>
  <c r="O25" i="1"/>
  <c r="O24" i="1"/>
  <c r="F44" i="1"/>
  <c r="I43" i="1"/>
  <c r="F43" i="1"/>
  <c r="I40" i="1"/>
  <c r="I38" i="1"/>
  <c r="F32" i="1"/>
  <c r="I31" i="1"/>
  <c r="F31" i="1"/>
  <c r="I30" i="1"/>
  <c r="F30" i="1"/>
  <c r="F29" i="1"/>
  <c r="I28" i="1"/>
  <c r="F28" i="1"/>
  <c r="F27" i="1"/>
  <c r="F26" i="1"/>
  <c r="I25" i="1"/>
  <c r="F25" i="1"/>
  <c r="I24" i="1"/>
  <c r="F24" i="1"/>
  <c r="F23" i="1"/>
  <c r="E44" i="10" l="1"/>
  <c r="J45" i="14" l="1"/>
  <c r="M45" i="14"/>
  <c r="P45" i="14"/>
  <c r="J46" i="14"/>
  <c r="M46" i="14"/>
  <c r="P46" i="14"/>
  <c r="S45" i="10"/>
  <c r="L46" i="14" l="1"/>
  <c r="S46" i="14"/>
  <c r="R45" i="14"/>
  <c r="R46" i="14"/>
  <c r="L45" i="14"/>
  <c r="S45" i="14"/>
  <c r="M44" i="13" l="1"/>
  <c r="M45" i="13"/>
  <c r="M46" i="13"/>
  <c r="E43" i="1"/>
  <c r="E35" i="14"/>
  <c r="E36" i="14"/>
  <c r="E35" i="13"/>
  <c r="E35" i="12"/>
  <c r="E44" i="11"/>
  <c r="E35" i="11"/>
  <c r="P45" i="10"/>
  <c r="R45" i="10" l="1"/>
  <c r="E42" i="12"/>
  <c r="E43" i="11"/>
  <c r="D61" i="18" l="1"/>
  <c r="D48" i="18"/>
  <c r="D21" i="18"/>
  <c r="D35" i="18" s="1"/>
  <c r="B21" i="18"/>
  <c r="B35" i="18" s="1"/>
  <c r="C21" i="18"/>
  <c r="C35" i="18" s="1"/>
  <c r="I45" i="9" l="1"/>
  <c r="F45" i="9"/>
  <c r="H57" i="9"/>
  <c r="H56" i="9"/>
  <c r="H55" i="9"/>
  <c r="E57" i="9"/>
  <c r="E56" i="9"/>
  <c r="E55" i="9"/>
  <c r="O45" i="9"/>
  <c r="F45" i="1"/>
  <c r="E19" i="30" l="1"/>
  <c r="E20" i="30"/>
  <c r="E21" i="30"/>
  <c r="E22" i="30"/>
  <c r="E18" i="30"/>
  <c r="D22" i="30"/>
  <c r="D35" i="30" s="1"/>
  <c r="D47" i="30" s="1"/>
  <c r="D59" i="30" s="1"/>
  <c r="C22" i="30"/>
  <c r="C35" i="30" s="1"/>
  <c r="B22" i="30"/>
  <c r="B35" i="30" s="1"/>
  <c r="D21" i="30"/>
  <c r="D34" i="30" s="1"/>
  <c r="D46" i="30" s="1"/>
  <c r="D58" i="30" s="1"/>
  <c r="C21" i="30"/>
  <c r="C34" i="30" s="1"/>
  <c r="B21" i="30"/>
  <c r="B34" i="30" s="1"/>
  <c r="D20" i="30"/>
  <c r="D33" i="30" s="1"/>
  <c r="D45" i="30" s="1"/>
  <c r="D57" i="30" s="1"/>
  <c r="C20" i="30"/>
  <c r="C33" i="30" s="1"/>
  <c r="B20" i="30"/>
  <c r="B33" i="30" s="1"/>
  <c r="D19" i="30"/>
  <c r="D32" i="30" s="1"/>
  <c r="D44" i="30" s="1"/>
  <c r="D56" i="30" s="1"/>
  <c r="C19" i="30"/>
  <c r="C32" i="30" s="1"/>
  <c r="B19" i="30"/>
  <c r="B32" i="30" s="1"/>
  <c r="D18" i="30"/>
  <c r="D31" i="30" s="1"/>
  <c r="D43" i="30" s="1"/>
  <c r="D55" i="30" s="1"/>
  <c r="C18" i="30"/>
  <c r="C31" i="30" s="1"/>
  <c r="B18" i="30"/>
  <c r="B31" i="30" s="1"/>
  <c r="D23" i="24"/>
  <c r="D36" i="24" s="1"/>
  <c r="D48" i="24" s="1"/>
  <c r="D60" i="24" s="1"/>
  <c r="C23" i="24"/>
  <c r="C36" i="24" s="1"/>
  <c r="B23" i="24"/>
  <c r="B36" i="24" s="1"/>
  <c r="D22" i="24"/>
  <c r="D35" i="24" s="1"/>
  <c r="D47" i="24" s="1"/>
  <c r="D59" i="24" s="1"/>
  <c r="C22" i="24"/>
  <c r="C35" i="24" s="1"/>
  <c r="B22" i="24"/>
  <c r="B35" i="24" s="1"/>
  <c r="D21" i="24"/>
  <c r="D34" i="24" s="1"/>
  <c r="D46" i="24" s="1"/>
  <c r="D58" i="24" s="1"/>
  <c r="C21" i="24"/>
  <c r="C34" i="24" s="1"/>
  <c r="B21" i="24"/>
  <c r="B34" i="24" s="1"/>
  <c r="D20" i="24"/>
  <c r="D33" i="24" s="1"/>
  <c r="D45" i="24" s="1"/>
  <c r="D57" i="24" s="1"/>
  <c r="C20" i="24"/>
  <c r="C33" i="24" s="1"/>
  <c r="B20" i="24"/>
  <c r="B33" i="24" s="1"/>
  <c r="D19" i="24"/>
  <c r="D32" i="24" s="1"/>
  <c r="D44" i="24" s="1"/>
  <c r="D56" i="24" s="1"/>
  <c r="C19" i="24"/>
  <c r="C32" i="24" s="1"/>
  <c r="B19" i="24"/>
  <c r="B32" i="24" s="1"/>
  <c r="D18" i="24"/>
  <c r="D31" i="24" s="1"/>
  <c r="D43" i="24" s="1"/>
  <c r="D55" i="24" s="1"/>
  <c r="C18" i="24"/>
  <c r="C31" i="24" s="1"/>
  <c r="B18" i="24"/>
  <c r="B31" i="24" s="1"/>
  <c r="D26" i="18" l="1"/>
  <c r="D40" i="18" s="1"/>
  <c r="C26" i="18"/>
  <c r="C40" i="18" s="1"/>
  <c r="B26" i="18"/>
  <c r="B40" i="18" s="1"/>
  <c r="D25" i="18"/>
  <c r="D39" i="18" s="1"/>
  <c r="C25" i="18"/>
  <c r="C39" i="18" s="1"/>
  <c r="B25" i="18"/>
  <c r="B39" i="18" s="1"/>
  <c r="D24" i="18"/>
  <c r="D38" i="18" s="1"/>
  <c r="C24" i="18"/>
  <c r="C38" i="18" s="1"/>
  <c r="B24" i="18"/>
  <c r="B38" i="18" s="1"/>
  <c r="D23" i="18"/>
  <c r="D37" i="18" s="1"/>
  <c r="C23" i="18"/>
  <c r="C37" i="18" s="1"/>
  <c r="B23" i="18"/>
  <c r="B37" i="18" s="1"/>
  <c r="D22" i="18"/>
  <c r="D36" i="18" s="1"/>
  <c r="C22" i="18"/>
  <c r="C36" i="18" s="1"/>
  <c r="B22" i="18"/>
  <c r="B36" i="18" s="1"/>
  <c r="D20" i="18"/>
  <c r="D34" i="18" s="1"/>
  <c r="C20" i="18"/>
  <c r="C34" i="18" s="1"/>
  <c r="B20" i="18"/>
  <c r="B34" i="18" s="1"/>
  <c r="D19" i="18"/>
  <c r="D33" i="18" s="1"/>
  <c r="C19" i="18"/>
  <c r="C33" i="18" s="1"/>
  <c r="B19" i="18"/>
  <c r="B33" i="18" s="1"/>
  <c r="P9" i="1" l="1"/>
  <c r="S45" i="13" l="1"/>
  <c r="P45" i="13"/>
  <c r="P44" i="13" l="1"/>
  <c r="J44" i="13"/>
  <c r="S44" i="13" s="1"/>
  <c r="R45" i="13"/>
  <c r="E58" i="1"/>
  <c r="J58" i="1" s="1"/>
  <c r="E24" i="15"/>
  <c r="E37" i="15" s="1"/>
  <c r="D24" i="15"/>
  <c r="D37" i="15" s="1"/>
  <c r="C24" i="15"/>
  <c r="C37" i="15" s="1"/>
  <c r="B24" i="15"/>
  <c r="B37" i="15" s="1"/>
  <c r="E23" i="15"/>
  <c r="E36" i="15" s="1"/>
  <c r="D23" i="15"/>
  <c r="D36" i="15" s="1"/>
  <c r="C23" i="15"/>
  <c r="C36" i="15" s="1"/>
  <c r="B23" i="15"/>
  <c r="B36" i="15" s="1"/>
  <c r="E22" i="15"/>
  <c r="E35" i="15" s="1"/>
  <c r="D22" i="15"/>
  <c r="D35" i="15" s="1"/>
  <c r="C22" i="15"/>
  <c r="C35" i="15" s="1"/>
  <c r="B22" i="15"/>
  <c r="B35" i="15" s="1"/>
  <c r="E21" i="15"/>
  <c r="E34" i="15" s="1"/>
  <c r="D21" i="15"/>
  <c r="D34" i="15" s="1"/>
  <c r="C21" i="15"/>
  <c r="C34" i="15" s="1"/>
  <c r="B21" i="15"/>
  <c r="B34" i="15" s="1"/>
  <c r="E20" i="15"/>
  <c r="E33" i="15" s="1"/>
  <c r="D20" i="15"/>
  <c r="D33" i="15" s="1"/>
  <c r="C20" i="15"/>
  <c r="C33" i="15" s="1"/>
  <c r="B20" i="15"/>
  <c r="B33" i="15" s="1"/>
  <c r="E19" i="15"/>
  <c r="E32" i="15" s="1"/>
  <c r="D19" i="15"/>
  <c r="D32" i="15" s="1"/>
  <c r="C19" i="15"/>
  <c r="C32" i="15" s="1"/>
  <c r="B19" i="15"/>
  <c r="B32" i="15" s="1"/>
  <c r="E18" i="15"/>
  <c r="E31" i="15" s="1"/>
  <c r="D18" i="15"/>
  <c r="D31" i="15" s="1"/>
  <c r="C18" i="15"/>
  <c r="C31" i="15" s="1"/>
  <c r="B18" i="15"/>
  <c r="B31" i="15" s="1"/>
  <c r="L44" i="13" l="1"/>
  <c r="R44" i="13"/>
  <c r="I62" i="14"/>
  <c r="G61" i="14"/>
  <c r="I60" i="14"/>
  <c r="I59" i="14"/>
  <c r="I58" i="14"/>
  <c r="E57" i="14"/>
  <c r="P56" i="14"/>
  <c r="J56" i="14"/>
  <c r="G56" i="14"/>
  <c r="E51" i="14"/>
  <c r="S49" i="14"/>
  <c r="P49" i="14"/>
  <c r="G49" i="14"/>
  <c r="L49" i="14" s="1"/>
  <c r="E48" i="14"/>
  <c r="E47" i="14"/>
  <c r="E43" i="14"/>
  <c r="E42" i="14"/>
  <c r="E41" i="14"/>
  <c r="G37" i="14"/>
  <c r="M37" i="14" s="1"/>
  <c r="E34" i="14"/>
  <c r="E33" i="14"/>
  <c r="E32" i="14"/>
  <c r="E30" i="14"/>
  <c r="E29" i="14"/>
  <c r="P28" i="14"/>
  <c r="J28" i="14"/>
  <c r="S28" i="14" s="1"/>
  <c r="G28" i="14"/>
  <c r="M28" i="14" s="1"/>
  <c r="P24" i="14"/>
  <c r="J24" i="14"/>
  <c r="S24" i="14" s="1"/>
  <c r="G24" i="14"/>
  <c r="M24" i="14" s="1"/>
  <c r="I62" i="13"/>
  <c r="G62" i="13"/>
  <c r="G61" i="13"/>
  <c r="I60" i="13"/>
  <c r="I59" i="13"/>
  <c r="I58" i="13"/>
  <c r="E57" i="13"/>
  <c r="P56" i="13"/>
  <c r="J56" i="13"/>
  <c r="G56" i="13"/>
  <c r="E51" i="13"/>
  <c r="S49" i="13"/>
  <c r="P49" i="13"/>
  <c r="G49" i="13"/>
  <c r="L49" i="13" s="1"/>
  <c r="E48" i="13"/>
  <c r="E47" i="13"/>
  <c r="E42" i="13"/>
  <c r="E41" i="13"/>
  <c r="E40" i="13"/>
  <c r="E34" i="13"/>
  <c r="E33" i="13"/>
  <c r="E32" i="13"/>
  <c r="E31" i="13"/>
  <c r="E30" i="13"/>
  <c r="E29" i="13"/>
  <c r="P28" i="13"/>
  <c r="J28" i="13"/>
  <c r="G28" i="13"/>
  <c r="M28" i="13" s="1"/>
  <c r="P24" i="13"/>
  <c r="J24" i="13"/>
  <c r="G24" i="13"/>
  <c r="M24" i="13" s="1"/>
  <c r="I61" i="12"/>
  <c r="G61" i="12"/>
  <c r="I59" i="12"/>
  <c r="I58" i="12"/>
  <c r="I57" i="12"/>
  <c r="E56" i="12"/>
  <c r="P55" i="12"/>
  <c r="J55" i="12"/>
  <c r="G55" i="12"/>
  <c r="E50" i="12"/>
  <c r="E51" i="12" s="1"/>
  <c r="E54" i="12" s="1"/>
  <c r="P48" i="12"/>
  <c r="J48" i="12"/>
  <c r="S48" i="12" s="1"/>
  <c r="E47" i="12"/>
  <c r="E46" i="12"/>
  <c r="E41" i="12"/>
  <c r="E40" i="12"/>
  <c r="P38" i="12"/>
  <c r="G38" i="12"/>
  <c r="M38" i="12" s="1"/>
  <c r="J37" i="12"/>
  <c r="E34" i="12"/>
  <c r="E33" i="12"/>
  <c r="E32" i="12"/>
  <c r="E30" i="12"/>
  <c r="P30" i="12" s="1"/>
  <c r="E29" i="12"/>
  <c r="P28" i="12"/>
  <c r="J28" i="12"/>
  <c r="G28" i="12"/>
  <c r="M28" i="12" s="1"/>
  <c r="P24" i="12"/>
  <c r="J24" i="12"/>
  <c r="S24" i="12" s="1"/>
  <c r="G24" i="12"/>
  <c r="M24" i="12" s="1"/>
  <c r="I62" i="11"/>
  <c r="G62" i="11"/>
  <c r="G61" i="11"/>
  <c r="I60" i="11"/>
  <c r="I59" i="11"/>
  <c r="I58" i="11"/>
  <c r="E57" i="11"/>
  <c r="J57" i="11" s="1"/>
  <c r="P56" i="11"/>
  <c r="J56" i="11"/>
  <c r="G56" i="11"/>
  <c r="E51" i="11"/>
  <c r="S49" i="11"/>
  <c r="P49" i="11"/>
  <c r="G49" i="11"/>
  <c r="L49" i="11" s="1"/>
  <c r="E48" i="11"/>
  <c r="E47" i="11"/>
  <c r="E42" i="11"/>
  <c r="G39" i="11"/>
  <c r="M39" i="11" s="1"/>
  <c r="E34" i="11"/>
  <c r="E33" i="11"/>
  <c r="E32" i="11"/>
  <c r="E31" i="11"/>
  <c r="E30" i="11"/>
  <c r="P30" i="11" s="1"/>
  <c r="E29" i="11"/>
  <c r="P28" i="11"/>
  <c r="J28" i="11"/>
  <c r="G28" i="11"/>
  <c r="M28" i="11" s="1"/>
  <c r="P24" i="11"/>
  <c r="J24" i="11"/>
  <c r="S24" i="11" s="1"/>
  <c r="G24" i="11"/>
  <c r="M24" i="11" s="1"/>
  <c r="H48" i="14" l="1"/>
  <c r="H59" i="14" s="1"/>
  <c r="H55" i="14"/>
  <c r="H54" i="14"/>
  <c r="H54" i="13"/>
  <c r="H48" i="13"/>
  <c r="H58" i="13" s="1"/>
  <c r="H55" i="13"/>
  <c r="H47" i="12"/>
  <c r="H58" i="12" s="1"/>
  <c r="H50" i="12"/>
  <c r="H51" i="12" s="1"/>
  <c r="H53" i="12" s="1"/>
  <c r="P53" i="12" s="1"/>
  <c r="E58" i="14"/>
  <c r="E60" i="14"/>
  <c r="E59" i="14"/>
  <c r="G59" i="14" s="1"/>
  <c r="H60" i="14"/>
  <c r="E52" i="14"/>
  <c r="H52" i="14" s="1"/>
  <c r="H51" i="14"/>
  <c r="J60" i="14"/>
  <c r="J58" i="14"/>
  <c r="J60" i="13"/>
  <c r="E54" i="13"/>
  <c r="J54" i="13" s="1"/>
  <c r="E60" i="13"/>
  <c r="G60" i="13" s="1"/>
  <c r="E59" i="13"/>
  <c r="E58" i="13"/>
  <c r="G58" i="13" s="1"/>
  <c r="J59" i="13"/>
  <c r="H60" i="13"/>
  <c r="H59" i="13"/>
  <c r="E59" i="12"/>
  <c r="G59" i="12" s="1"/>
  <c r="E58" i="12"/>
  <c r="E57" i="12"/>
  <c r="G57" i="12" s="1"/>
  <c r="G54" i="12"/>
  <c r="J54" i="12"/>
  <c r="J58" i="12"/>
  <c r="J30" i="12"/>
  <c r="S30" i="12" s="1"/>
  <c r="H57" i="12"/>
  <c r="H59" i="12"/>
  <c r="J59" i="12"/>
  <c r="E54" i="11"/>
  <c r="E59" i="11"/>
  <c r="G59" i="11" s="1"/>
  <c r="E58" i="11"/>
  <c r="E60" i="11"/>
  <c r="G60" i="11" s="1"/>
  <c r="J30" i="11"/>
  <c r="S30" i="11" s="1"/>
  <c r="R56" i="11"/>
  <c r="J58" i="11"/>
  <c r="J60" i="11"/>
  <c r="H60" i="11"/>
  <c r="H59" i="11"/>
  <c r="H58" i="11"/>
  <c r="E52" i="11"/>
  <c r="H52" i="11" s="1"/>
  <c r="H51" i="11"/>
  <c r="J59" i="11"/>
  <c r="O59" i="14"/>
  <c r="O61" i="11"/>
  <c r="O60" i="11"/>
  <c r="R49" i="14"/>
  <c r="O61" i="14"/>
  <c r="G48" i="14"/>
  <c r="R28" i="13"/>
  <c r="R24" i="13"/>
  <c r="J62" i="13"/>
  <c r="L62" i="13" s="1"/>
  <c r="M62" i="13" s="1"/>
  <c r="R28" i="12"/>
  <c r="L48" i="12"/>
  <c r="R48" i="12"/>
  <c r="J61" i="12"/>
  <c r="R49" i="11"/>
  <c r="R28" i="11"/>
  <c r="P37" i="14"/>
  <c r="G57" i="14"/>
  <c r="G37" i="13"/>
  <c r="M37" i="13" s="1"/>
  <c r="J38" i="13"/>
  <c r="S38" i="13" s="1"/>
  <c r="P37" i="13"/>
  <c r="G59" i="13"/>
  <c r="L28" i="14"/>
  <c r="P38" i="14"/>
  <c r="G38" i="14"/>
  <c r="M38" i="14" s="1"/>
  <c r="J38" i="14"/>
  <c r="P48" i="14"/>
  <c r="J57" i="14"/>
  <c r="P57" i="14"/>
  <c r="G60" i="14"/>
  <c r="G58" i="14"/>
  <c r="L24" i="14"/>
  <c r="G30" i="14"/>
  <c r="M30" i="14" s="1"/>
  <c r="P30" i="14"/>
  <c r="E54" i="14"/>
  <c r="J54" i="14" s="1"/>
  <c r="R24" i="14"/>
  <c r="R28" i="14"/>
  <c r="J30" i="14"/>
  <c r="R56" i="14"/>
  <c r="S56" i="14" s="1"/>
  <c r="G62" i="14"/>
  <c r="J62" i="14"/>
  <c r="L56" i="14"/>
  <c r="M56" i="14" s="1"/>
  <c r="O58" i="14"/>
  <c r="O60" i="14"/>
  <c r="O62" i="14"/>
  <c r="P62" i="14" s="1"/>
  <c r="J61" i="14"/>
  <c r="P61" i="14"/>
  <c r="S24" i="13"/>
  <c r="L24" i="13"/>
  <c r="S28" i="13"/>
  <c r="L28" i="13"/>
  <c r="J30" i="13"/>
  <c r="P30" i="13"/>
  <c r="G30" i="13"/>
  <c r="M30" i="13" s="1"/>
  <c r="P38" i="13"/>
  <c r="G38" i="13"/>
  <c r="M38" i="13" s="1"/>
  <c r="G48" i="13"/>
  <c r="G43" i="13"/>
  <c r="M43" i="13" s="1"/>
  <c r="R49" i="13"/>
  <c r="J37" i="13"/>
  <c r="J48" i="13"/>
  <c r="P48" i="13"/>
  <c r="S56" i="13"/>
  <c r="O58" i="13"/>
  <c r="L60" i="13"/>
  <c r="M60" i="13" s="1"/>
  <c r="E52" i="13"/>
  <c r="R56" i="13"/>
  <c r="J57" i="13"/>
  <c r="P57" i="13"/>
  <c r="G57" i="13"/>
  <c r="O60" i="13"/>
  <c r="O62" i="13"/>
  <c r="P62" i="13" s="1"/>
  <c r="O59" i="13"/>
  <c r="P59" i="13" s="1"/>
  <c r="O61" i="13"/>
  <c r="P61" i="13" s="1"/>
  <c r="L56" i="13"/>
  <c r="M56" i="13" s="1"/>
  <c r="J61" i="13"/>
  <c r="G47" i="12"/>
  <c r="P47" i="12"/>
  <c r="L59" i="12"/>
  <c r="M59" i="12" s="1"/>
  <c r="G60" i="12"/>
  <c r="L28" i="12"/>
  <c r="S28" i="12"/>
  <c r="P37" i="12"/>
  <c r="G37" i="12"/>
  <c r="M37" i="12" s="1"/>
  <c r="R24" i="12"/>
  <c r="S37" i="12"/>
  <c r="P43" i="12"/>
  <c r="G43" i="12"/>
  <c r="M43" i="12" s="1"/>
  <c r="L24" i="12"/>
  <c r="G30" i="12"/>
  <c r="M30" i="12" s="1"/>
  <c r="J43" i="12"/>
  <c r="J38" i="12"/>
  <c r="E53" i="12"/>
  <c r="R55" i="12"/>
  <c r="S55" i="12" s="1"/>
  <c r="J56" i="12"/>
  <c r="P56" i="12"/>
  <c r="G56" i="12"/>
  <c r="O57" i="12"/>
  <c r="H54" i="12"/>
  <c r="G58" i="12"/>
  <c r="O59" i="12"/>
  <c r="P59" i="12" s="1"/>
  <c r="O61" i="12"/>
  <c r="P61" i="12" s="1"/>
  <c r="O58" i="12"/>
  <c r="O60" i="12"/>
  <c r="P60" i="12" s="1"/>
  <c r="L61" i="12"/>
  <c r="M61" i="12" s="1"/>
  <c r="L55" i="12"/>
  <c r="M55" i="12" s="1"/>
  <c r="J60" i="12"/>
  <c r="P39" i="11"/>
  <c r="P61" i="11"/>
  <c r="G48" i="11"/>
  <c r="P48" i="11"/>
  <c r="P57" i="11"/>
  <c r="J61" i="11"/>
  <c r="L61" i="11" s="1"/>
  <c r="M61" i="11" s="1"/>
  <c r="G54" i="11"/>
  <c r="G57" i="11"/>
  <c r="L57" i="11" s="1"/>
  <c r="M57" i="11" s="1"/>
  <c r="L28" i="11"/>
  <c r="S28" i="11"/>
  <c r="J38" i="11"/>
  <c r="R24" i="11"/>
  <c r="L24" i="11"/>
  <c r="G30" i="11"/>
  <c r="M30" i="11" s="1"/>
  <c r="J48" i="11"/>
  <c r="P38" i="11"/>
  <c r="G38" i="11"/>
  <c r="M38" i="11" s="1"/>
  <c r="L56" i="11"/>
  <c r="M56" i="11" s="1"/>
  <c r="S56" i="11"/>
  <c r="J39" i="11"/>
  <c r="G58" i="11"/>
  <c r="O58" i="11"/>
  <c r="P58" i="11" s="1"/>
  <c r="O59" i="11"/>
  <c r="O62" i="11"/>
  <c r="J62" i="11"/>
  <c r="P62" i="11"/>
  <c r="G49" i="10"/>
  <c r="P49" i="10"/>
  <c r="E51" i="10"/>
  <c r="E41" i="10"/>
  <c r="E42" i="10"/>
  <c r="E43" i="10"/>
  <c r="E47" i="10"/>
  <c r="E40" i="10"/>
  <c r="E30" i="10"/>
  <c r="E31" i="10"/>
  <c r="E32" i="10"/>
  <c r="E33" i="10"/>
  <c r="E34" i="10"/>
  <c r="E35" i="10"/>
  <c r="E29" i="10"/>
  <c r="E37" i="10" s="1"/>
  <c r="I62" i="10"/>
  <c r="G62" i="10"/>
  <c r="I60" i="10"/>
  <c r="I59" i="10"/>
  <c r="I58" i="10"/>
  <c r="E57" i="10"/>
  <c r="P56" i="10"/>
  <c r="J56" i="10"/>
  <c r="G56" i="10"/>
  <c r="E48" i="10"/>
  <c r="E54" i="10" s="1"/>
  <c r="P38" i="10"/>
  <c r="P28" i="10"/>
  <c r="J28" i="10"/>
  <c r="S28" i="10" s="1"/>
  <c r="G28" i="10"/>
  <c r="M28" i="10" s="1"/>
  <c r="P24" i="10"/>
  <c r="J24" i="10"/>
  <c r="S24" i="10" s="1"/>
  <c r="G24" i="10"/>
  <c r="M24" i="10" s="1"/>
  <c r="R30" i="12" l="1"/>
  <c r="J48" i="14"/>
  <c r="H58" i="14"/>
  <c r="P58" i="14" s="1"/>
  <c r="R58" i="14" s="1"/>
  <c r="S58" i="14" s="1"/>
  <c r="P60" i="14"/>
  <c r="R60" i="14" s="1"/>
  <c r="S60" i="14" s="1"/>
  <c r="P59" i="14"/>
  <c r="R59" i="14" s="1"/>
  <c r="S59" i="14" s="1"/>
  <c r="P60" i="13"/>
  <c r="P58" i="12"/>
  <c r="J47" i="12"/>
  <c r="P57" i="12"/>
  <c r="R57" i="12" s="1"/>
  <c r="S57" i="12" s="1"/>
  <c r="P59" i="11"/>
  <c r="R59" i="11" s="1"/>
  <c r="S59" i="11" s="1"/>
  <c r="H54" i="10"/>
  <c r="P54" i="10" s="1"/>
  <c r="R54" i="10" s="1"/>
  <c r="H48" i="10"/>
  <c r="P48" i="10" s="1"/>
  <c r="H55" i="10"/>
  <c r="R30" i="11"/>
  <c r="J59" i="14"/>
  <c r="E55" i="13"/>
  <c r="P58" i="13"/>
  <c r="G54" i="13"/>
  <c r="J58" i="13"/>
  <c r="L58" i="13" s="1"/>
  <c r="M58" i="13" s="1"/>
  <c r="G53" i="12"/>
  <c r="J53" i="12"/>
  <c r="J57" i="12"/>
  <c r="P60" i="11"/>
  <c r="E55" i="11"/>
  <c r="J54" i="11"/>
  <c r="J54" i="10"/>
  <c r="E55" i="10"/>
  <c r="J55" i="10" s="1"/>
  <c r="E60" i="10"/>
  <c r="G60" i="10" s="1"/>
  <c r="E59" i="10"/>
  <c r="G59" i="10" s="1"/>
  <c r="E58" i="10"/>
  <c r="G58" i="10" s="1"/>
  <c r="H59" i="10"/>
  <c r="J59" i="10"/>
  <c r="R47" i="12"/>
  <c r="S47" i="12" s="1"/>
  <c r="R48" i="11"/>
  <c r="O58" i="10"/>
  <c r="R37" i="13"/>
  <c r="L47" i="12"/>
  <c r="M47" i="12" s="1"/>
  <c r="R61" i="11"/>
  <c r="S61" i="11" s="1"/>
  <c r="L38" i="13"/>
  <c r="P55" i="14"/>
  <c r="L58" i="14"/>
  <c r="M58" i="14" s="1"/>
  <c r="L60" i="14"/>
  <c r="M60" i="14" s="1"/>
  <c r="R38" i="14"/>
  <c r="R61" i="14"/>
  <c r="S61" i="14" s="1"/>
  <c r="R62" i="14"/>
  <c r="M62" i="14"/>
  <c r="P54" i="14"/>
  <c r="E55" i="14"/>
  <c r="G54" i="14"/>
  <c r="R30" i="14"/>
  <c r="R57" i="14"/>
  <c r="S57" i="14" s="1"/>
  <c r="S38" i="14"/>
  <c r="L38" i="14"/>
  <c r="L61" i="14"/>
  <c r="M61" i="14" s="1"/>
  <c r="L59" i="14"/>
  <c r="M59" i="14" s="1"/>
  <c r="S62" i="14"/>
  <c r="L62" i="14"/>
  <c r="L48" i="14"/>
  <c r="M48" i="14" s="1"/>
  <c r="S30" i="14"/>
  <c r="L30" i="14"/>
  <c r="L57" i="14"/>
  <c r="M57" i="14" s="1"/>
  <c r="R48" i="14"/>
  <c r="S48" i="14" s="1"/>
  <c r="L48" i="13"/>
  <c r="M48" i="13" s="1"/>
  <c r="P55" i="13"/>
  <c r="P54" i="13"/>
  <c r="S30" i="13"/>
  <c r="L30" i="13"/>
  <c r="R61" i="13"/>
  <c r="S61" i="13" s="1"/>
  <c r="R60" i="13"/>
  <c r="S60" i="13" s="1"/>
  <c r="R59" i="13"/>
  <c r="S59" i="13" s="1"/>
  <c r="L37" i="13"/>
  <c r="S37" i="13"/>
  <c r="L61" i="13"/>
  <c r="M61" i="13" s="1"/>
  <c r="L59" i="13"/>
  <c r="M59" i="13" s="1"/>
  <c r="R62" i="13"/>
  <c r="S62" i="13" s="1"/>
  <c r="R57" i="13"/>
  <c r="R48" i="13"/>
  <c r="S48" i="13" s="1"/>
  <c r="R38" i="13"/>
  <c r="L57" i="13"/>
  <c r="M57" i="13" s="1"/>
  <c r="S57" i="13"/>
  <c r="R58" i="13"/>
  <c r="S58" i="13" s="1"/>
  <c r="R30" i="13"/>
  <c r="R58" i="12"/>
  <c r="S58" i="12" s="1"/>
  <c r="R60" i="12"/>
  <c r="S60" i="12" s="1"/>
  <c r="R61" i="12"/>
  <c r="S61" i="12" s="1"/>
  <c r="R56" i="12"/>
  <c r="L57" i="12"/>
  <c r="M57" i="12" s="1"/>
  <c r="L43" i="12"/>
  <c r="L37" i="12"/>
  <c r="R37" i="12"/>
  <c r="L60" i="12"/>
  <c r="M60" i="12" s="1"/>
  <c r="P54" i="12"/>
  <c r="L56" i="12"/>
  <c r="M56" i="12" s="1"/>
  <c r="S56" i="12"/>
  <c r="L53" i="12"/>
  <c r="M53" i="12" s="1"/>
  <c r="R43" i="12"/>
  <c r="S43" i="12" s="1"/>
  <c r="R59" i="12"/>
  <c r="S59" i="12" s="1"/>
  <c r="L58" i="12"/>
  <c r="M58" i="12" s="1"/>
  <c r="R53" i="12"/>
  <c r="S53" i="12" s="1"/>
  <c r="L38" i="12"/>
  <c r="S38" i="12"/>
  <c r="R38" i="12"/>
  <c r="L30" i="12"/>
  <c r="R57" i="11"/>
  <c r="S57" i="11" s="1"/>
  <c r="R58" i="11"/>
  <c r="S58" i="11" s="1"/>
  <c r="R62" i="11"/>
  <c r="S62" i="11" s="1"/>
  <c r="R60" i="11"/>
  <c r="S60" i="11" s="1"/>
  <c r="L58" i="11"/>
  <c r="L62" i="11"/>
  <c r="M62" i="11" s="1"/>
  <c r="L48" i="11"/>
  <c r="M48" i="11" s="1"/>
  <c r="S48" i="11"/>
  <c r="L30" i="11"/>
  <c r="L59" i="11"/>
  <c r="M59" i="11" s="1"/>
  <c r="S38" i="11"/>
  <c r="L38" i="11"/>
  <c r="L39" i="11"/>
  <c r="S39" i="11"/>
  <c r="L60" i="11"/>
  <c r="M60" i="11" s="1"/>
  <c r="M58" i="11"/>
  <c r="R38" i="11"/>
  <c r="R39" i="11"/>
  <c r="S49" i="10"/>
  <c r="R49" i="10"/>
  <c r="L49" i="10"/>
  <c r="G48" i="10"/>
  <c r="P30" i="10"/>
  <c r="G38" i="10"/>
  <c r="M38" i="10" s="1"/>
  <c r="G30" i="10"/>
  <c r="M30" i="10" s="1"/>
  <c r="E52" i="10"/>
  <c r="G55" i="10" s="1"/>
  <c r="L28" i="10"/>
  <c r="J48" i="10"/>
  <c r="G61" i="10"/>
  <c r="J62" i="10"/>
  <c r="L62" i="10" s="1"/>
  <c r="M62" i="10" s="1"/>
  <c r="L24" i="10"/>
  <c r="R28" i="10"/>
  <c r="J30" i="10"/>
  <c r="R24" i="10"/>
  <c r="J38" i="10"/>
  <c r="R38" i="10" s="1"/>
  <c r="S56" i="10"/>
  <c r="R56" i="10"/>
  <c r="J57" i="10"/>
  <c r="P57" i="10"/>
  <c r="G57" i="10"/>
  <c r="O60" i="10"/>
  <c r="O62" i="10"/>
  <c r="P62" i="10" s="1"/>
  <c r="O59" i="10"/>
  <c r="P59" i="10" s="1"/>
  <c r="O61" i="10"/>
  <c r="P61" i="10" s="1"/>
  <c r="L56" i="10"/>
  <c r="M56" i="10" s="1"/>
  <c r="J61" i="10"/>
  <c r="H60" i="10" l="1"/>
  <c r="P60" i="10" s="1"/>
  <c r="R60" i="10" s="1"/>
  <c r="S60" i="10" s="1"/>
  <c r="G55" i="14"/>
  <c r="J55" i="14"/>
  <c r="R55" i="14" s="1"/>
  <c r="S55" i="14" s="1"/>
  <c r="G55" i="13"/>
  <c r="J55" i="13"/>
  <c r="G55" i="11"/>
  <c r="J55" i="11"/>
  <c r="P58" i="10"/>
  <c r="R58" i="10" s="1"/>
  <c r="S58" i="10" s="1"/>
  <c r="J60" i="10"/>
  <c r="L60" i="10" s="1"/>
  <c r="M60" i="10" s="1"/>
  <c r="J58" i="10"/>
  <c r="L58" i="10" s="1"/>
  <c r="M58" i="10" s="1"/>
  <c r="R48" i="10"/>
  <c r="S48" i="10" s="1"/>
  <c r="R30" i="10"/>
  <c r="L54" i="14"/>
  <c r="M54" i="14" s="1"/>
  <c r="R54" i="14"/>
  <c r="S54" i="14" s="1"/>
  <c r="L55" i="14"/>
  <c r="M55" i="14" s="1"/>
  <c r="R55" i="13"/>
  <c r="S55" i="13" s="1"/>
  <c r="R54" i="13"/>
  <c r="S54" i="13" s="1"/>
  <c r="L55" i="13"/>
  <c r="M55" i="13" s="1"/>
  <c r="L54" i="13"/>
  <c r="M54" i="13" s="1"/>
  <c r="R54" i="12"/>
  <c r="S54" i="12" s="1"/>
  <c r="L54" i="12"/>
  <c r="M54" i="12" s="1"/>
  <c r="P55" i="11"/>
  <c r="P54" i="11"/>
  <c r="L48" i="10"/>
  <c r="M48" i="10" s="1"/>
  <c r="G54" i="10"/>
  <c r="R59" i="10"/>
  <c r="S59" i="10" s="1"/>
  <c r="S54" i="10"/>
  <c r="R57" i="10"/>
  <c r="S57" i="10" s="1"/>
  <c r="S38" i="10"/>
  <c r="L38" i="10"/>
  <c r="L59" i="10"/>
  <c r="M59" i="10" s="1"/>
  <c r="L57" i="10"/>
  <c r="M57" i="10" s="1"/>
  <c r="R61" i="10"/>
  <c r="S61" i="10" s="1"/>
  <c r="R62" i="10"/>
  <c r="S62" i="10" s="1"/>
  <c r="P55" i="10"/>
  <c r="L61" i="10"/>
  <c r="M61" i="10" s="1"/>
  <c r="S30" i="10"/>
  <c r="L30" i="10"/>
  <c r="I59" i="9"/>
  <c r="G59" i="9"/>
  <c r="I57" i="9"/>
  <c r="G57" i="9"/>
  <c r="I56" i="9"/>
  <c r="G56" i="9"/>
  <c r="I55" i="9"/>
  <c r="E54" i="9"/>
  <c r="P54" i="9" s="1"/>
  <c r="P53" i="9"/>
  <c r="J53" i="9"/>
  <c r="G53" i="9"/>
  <c r="E48" i="9"/>
  <c r="P46" i="9"/>
  <c r="J46" i="9"/>
  <c r="G46" i="9"/>
  <c r="E45" i="9"/>
  <c r="J45" i="9" s="1"/>
  <c r="E44" i="9"/>
  <c r="J43" i="9"/>
  <c r="S43" i="9" s="1"/>
  <c r="E42" i="9"/>
  <c r="E41" i="9"/>
  <c r="E40" i="9"/>
  <c r="E35" i="9"/>
  <c r="E38" i="9" s="1"/>
  <c r="E34" i="9"/>
  <c r="E33" i="9"/>
  <c r="E32" i="9"/>
  <c r="E31" i="9"/>
  <c r="E30" i="9"/>
  <c r="P30" i="9" s="1"/>
  <c r="E29" i="9"/>
  <c r="P28" i="9"/>
  <c r="J28" i="9"/>
  <c r="S28" i="9" s="1"/>
  <c r="G28" i="9"/>
  <c r="M28" i="9" s="1"/>
  <c r="P24" i="9"/>
  <c r="J24" i="9"/>
  <c r="S24" i="9" s="1"/>
  <c r="G24" i="9"/>
  <c r="M24" i="9" s="1"/>
  <c r="E48" i="1"/>
  <c r="E45" i="1"/>
  <c r="J45" i="1" s="1"/>
  <c r="H45" i="9" l="1"/>
  <c r="P45" i="9" s="1"/>
  <c r="H48" i="9"/>
  <c r="H49" i="9" s="1"/>
  <c r="H51" i="9" s="1"/>
  <c r="R53" i="9"/>
  <c r="S53" i="9" s="1"/>
  <c r="G45" i="1"/>
  <c r="L54" i="10"/>
  <c r="M54" i="10" s="1"/>
  <c r="J56" i="9"/>
  <c r="J57" i="9"/>
  <c r="J55" i="9"/>
  <c r="J59" i="9"/>
  <c r="L59" i="9" s="1"/>
  <c r="M59" i="9" s="1"/>
  <c r="L46" i="9"/>
  <c r="O56" i="9"/>
  <c r="P56" i="9" s="1"/>
  <c r="H49" i="1"/>
  <c r="L28" i="9"/>
  <c r="G45" i="9"/>
  <c r="R54" i="11"/>
  <c r="S54" i="11" s="1"/>
  <c r="L55" i="11"/>
  <c r="M55" i="11" s="1"/>
  <c r="L54" i="11"/>
  <c r="M54" i="11" s="1"/>
  <c r="R55" i="11"/>
  <c r="S55" i="11" s="1"/>
  <c r="L55" i="10"/>
  <c r="M55" i="10" s="1"/>
  <c r="R55" i="10"/>
  <c r="S55" i="10" s="1"/>
  <c r="G54" i="9"/>
  <c r="R28" i="9"/>
  <c r="J30" i="9"/>
  <c r="R30" i="9" s="1"/>
  <c r="R46" i="9"/>
  <c r="S46" i="9" s="1"/>
  <c r="E49" i="9"/>
  <c r="R24" i="9"/>
  <c r="L24" i="9"/>
  <c r="G30" i="9"/>
  <c r="M30" i="9" s="1"/>
  <c r="G55" i="9"/>
  <c r="G43" i="9"/>
  <c r="P43" i="9"/>
  <c r="L53" i="9"/>
  <c r="M53" i="9" s="1"/>
  <c r="J54" i="9"/>
  <c r="O55" i="9"/>
  <c r="P55" i="9" s="1"/>
  <c r="O57" i="9"/>
  <c r="P57" i="9" s="1"/>
  <c r="O59" i="9"/>
  <c r="P59" i="9" s="1"/>
  <c r="O58" i="9"/>
  <c r="P58" i="9" s="1"/>
  <c r="I56" i="1"/>
  <c r="I57" i="1"/>
  <c r="I59" i="1"/>
  <c r="I55" i="1"/>
  <c r="O55" i="1" l="1"/>
  <c r="H51" i="1"/>
  <c r="H52" i="1"/>
  <c r="O59" i="1"/>
  <c r="O57" i="1"/>
  <c r="O56" i="1"/>
  <c r="H52" i="9"/>
  <c r="O58" i="1"/>
  <c r="R57" i="9"/>
  <c r="S57" i="9" s="1"/>
  <c r="L45" i="9"/>
  <c r="M45" i="9" s="1"/>
  <c r="R43" i="9"/>
  <c r="L57" i="9"/>
  <c r="M57" i="9" s="1"/>
  <c r="P51" i="9"/>
  <c r="L58" i="9"/>
  <c r="M58" i="9" s="1"/>
  <c r="L56" i="9"/>
  <c r="M56" i="9" s="1"/>
  <c r="R55" i="9"/>
  <c r="S55" i="9" s="1"/>
  <c r="M43" i="9"/>
  <c r="L43" i="9"/>
  <c r="L55" i="9"/>
  <c r="M55" i="9" s="1"/>
  <c r="E52" i="9"/>
  <c r="E51" i="9"/>
  <c r="L30" i="9"/>
  <c r="S30" i="9"/>
  <c r="R59" i="9"/>
  <c r="S59" i="9" s="1"/>
  <c r="R58" i="9"/>
  <c r="S58" i="9" s="1"/>
  <c r="R56" i="9"/>
  <c r="S56" i="9" s="1"/>
  <c r="L54" i="9"/>
  <c r="M54" i="9" s="1"/>
  <c r="R45" i="9"/>
  <c r="S45" i="9" s="1"/>
  <c r="R54" i="9"/>
  <c r="S54" i="9" s="1"/>
  <c r="G51" i="9" l="1"/>
  <c r="J51" i="9"/>
  <c r="G52" i="9"/>
  <c r="J52" i="9"/>
  <c r="P52" i="9"/>
  <c r="R52" i="9" s="1"/>
  <c r="S52" i="9" s="1"/>
  <c r="P51" i="1"/>
  <c r="P52" i="1"/>
  <c r="R51" i="9"/>
  <c r="S51" i="9" s="1"/>
  <c r="L52" i="9"/>
  <c r="M52" i="9" s="1"/>
  <c r="L51" i="9"/>
  <c r="M51" i="9" s="1"/>
  <c r="P53" i="1" l="1"/>
  <c r="P46" i="1"/>
  <c r="O45" i="1"/>
  <c r="P45" i="1" s="1"/>
  <c r="P43" i="1"/>
  <c r="P38" i="1"/>
  <c r="P28" i="1"/>
  <c r="P27" i="1"/>
  <c r="P26" i="1"/>
  <c r="P25" i="1"/>
  <c r="P24" i="1"/>
  <c r="J53" i="1"/>
  <c r="J43" i="1"/>
  <c r="J46" i="1"/>
  <c r="J24" i="1"/>
  <c r="J25" i="1"/>
  <c r="J26" i="1"/>
  <c r="J28" i="1"/>
  <c r="J38" i="1"/>
  <c r="G59" i="1"/>
  <c r="E57" i="1"/>
  <c r="G57" i="1" s="1"/>
  <c r="E56" i="1"/>
  <c r="E55" i="1"/>
  <c r="G55" i="1" s="1"/>
  <c r="E54" i="1"/>
  <c r="G54" i="1" s="1"/>
  <c r="G53" i="1"/>
  <c r="E49" i="1"/>
  <c r="G46" i="1"/>
  <c r="E44" i="1"/>
  <c r="G44" i="1" s="1"/>
  <c r="G43" i="1"/>
  <c r="M43" i="1" s="1"/>
  <c r="E42" i="1"/>
  <c r="E41" i="1"/>
  <c r="E40" i="1"/>
  <c r="G40" i="1" s="1"/>
  <c r="G38" i="1"/>
  <c r="E32" i="1"/>
  <c r="G32" i="1" s="1"/>
  <c r="E31" i="1"/>
  <c r="G31" i="1" s="1"/>
  <c r="M31" i="1" s="1"/>
  <c r="E30" i="1"/>
  <c r="G30" i="1" s="1"/>
  <c r="M30" i="1" s="1"/>
  <c r="E29" i="1"/>
  <c r="G29" i="1" s="1"/>
  <c r="G28" i="1"/>
  <c r="M28" i="1" s="1"/>
  <c r="G27" i="1"/>
  <c r="G26" i="1"/>
  <c r="G25" i="1"/>
  <c r="G24" i="1"/>
  <c r="M24" i="1" s="1"/>
  <c r="G23" i="1"/>
  <c r="R53" i="1" l="1"/>
  <c r="S53" i="1" s="1"/>
  <c r="J55" i="1"/>
  <c r="P55" i="1"/>
  <c r="M27" i="1"/>
  <c r="P30" i="1"/>
  <c r="J31" i="1"/>
  <c r="S31" i="1" s="1"/>
  <c r="J56" i="1"/>
  <c r="P54" i="1"/>
  <c r="J54" i="1"/>
  <c r="P31" i="1"/>
  <c r="P40" i="1"/>
  <c r="P56" i="1"/>
  <c r="R56" i="1" s="1"/>
  <c r="S56" i="1" s="1"/>
  <c r="J30" i="1"/>
  <c r="L30" i="1" s="1"/>
  <c r="J32" i="1"/>
  <c r="J40" i="1"/>
  <c r="J57" i="1"/>
  <c r="R57" i="1" s="1"/>
  <c r="S57" i="1" s="1"/>
  <c r="P32" i="1"/>
  <c r="P57" i="1"/>
  <c r="R45" i="1"/>
  <c r="S45" i="1" s="1"/>
  <c r="R55" i="1"/>
  <c r="S55" i="1" s="1"/>
  <c r="R54" i="1"/>
  <c r="S54" i="1"/>
  <c r="R46" i="1"/>
  <c r="S46" i="1" s="1"/>
  <c r="L26" i="1"/>
  <c r="M26" i="1" s="1"/>
  <c r="R25" i="1"/>
  <c r="S25" i="1" s="1"/>
  <c r="R43" i="1"/>
  <c r="S43" i="1"/>
  <c r="S28" i="1"/>
  <c r="R28" i="1"/>
  <c r="S24" i="1"/>
  <c r="R24" i="1"/>
  <c r="R26" i="1"/>
  <c r="S26" i="1" s="1"/>
  <c r="S38" i="1"/>
  <c r="R38" i="1"/>
  <c r="L43" i="1"/>
  <c r="L38" i="1"/>
  <c r="M38" i="1" s="1"/>
  <c r="L25" i="1"/>
  <c r="M25" i="1" s="1"/>
  <c r="L54" i="1"/>
  <c r="M54" i="1" s="1"/>
  <c r="P58" i="1"/>
  <c r="P59" i="1"/>
  <c r="J59" i="1"/>
  <c r="L53" i="1"/>
  <c r="M53" i="1" s="1"/>
  <c r="L55" i="1"/>
  <c r="M55" i="1" s="1"/>
  <c r="L24" i="1"/>
  <c r="L28" i="1"/>
  <c r="L46" i="1"/>
  <c r="L57" i="1"/>
  <c r="M57" i="1" s="1"/>
  <c r="E52" i="1"/>
  <c r="J52" i="1" s="1"/>
  <c r="R52" i="1" s="1"/>
  <c r="S52" i="1" s="1"/>
  <c r="E51" i="1"/>
  <c r="J51" i="1" s="1"/>
  <c r="R51" i="1" s="1"/>
  <c r="S51" i="1" s="1"/>
  <c r="G56" i="1"/>
  <c r="G58" i="1"/>
  <c r="L32" i="1" l="1"/>
  <c r="M32" i="1" s="1"/>
  <c r="R30" i="1"/>
  <c r="L40" i="1"/>
  <c r="M40" i="1" s="1"/>
  <c r="L31" i="1"/>
  <c r="R31" i="1"/>
  <c r="S30" i="1"/>
  <c r="R32" i="1"/>
  <c r="S32" i="1" s="1"/>
  <c r="R40" i="1"/>
  <c r="S40" i="1" s="1"/>
  <c r="R59" i="1"/>
  <c r="S59" i="1" s="1"/>
  <c r="L59" i="1"/>
  <c r="M59" i="1" s="1"/>
  <c r="R58" i="1"/>
  <c r="S58" i="1" s="1"/>
  <c r="G52" i="1"/>
  <c r="G51" i="1"/>
  <c r="L51" i="1" s="1"/>
  <c r="L45" i="1"/>
  <c r="M45" i="1" s="1"/>
  <c r="L56" i="1"/>
  <c r="M56" i="1" s="1"/>
  <c r="L58" i="1"/>
  <c r="M58" i="1" s="1"/>
  <c r="L52" i="1" l="1"/>
  <c r="M52" i="1" s="1"/>
  <c r="M51" i="1"/>
  <c r="L67" i="13" l="1"/>
  <c r="M67" i="13" s="1"/>
  <c r="R67" i="13"/>
  <c r="S67" i="13" s="1"/>
  <c r="L66" i="12"/>
  <c r="M66" i="12" s="1"/>
  <c r="R66" i="12"/>
  <c r="S66" i="12" s="1"/>
  <c r="L73" i="10"/>
  <c r="M73" i="10" s="1"/>
  <c r="R73" i="10"/>
  <c r="S73" i="10" s="1"/>
  <c r="R73" i="14"/>
  <c r="S73" i="14" s="1"/>
  <c r="L73" i="14"/>
  <c r="M73" i="14" s="1"/>
  <c r="L67" i="11"/>
  <c r="M67" i="11" s="1"/>
  <c r="R67" i="11"/>
  <c r="S67" i="11" s="1"/>
  <c r="L73" i="11"/>
  <c r="M73" i="11" s="1"/>
  <c r="R73" i="11"/>
  <c r="S73" i="11" s="1"/>
  <c r="R67" i="14"/>
  <c r="S67" i="14" s="1"/>
  <c r="L67" i="14"/>
  <c r="M67" i="14" s="1"/>
  <c r="R70" i="9"/>
  <c r="S70" i="9" s="1"/>
  <c r="R64" i="9"/>
  <c r="S64" i="9" s="1"/>
  <c r="L72" i="12" l="1"/>
  <c r="M72" i="12" s="1"/>
  <c r="R72" i="12"/>
  <c r="S72" i="12" s="1"/>
  <c r="L67" i="10"/>
  <c r="M67" i="10" s="1"/>
  <c r="R67" i="10"/>
  <c r="S67" i="10" s="1"/>
  <c r="L73" i="13"/>
  <c r="M73" i="13" s="1"/>
  <c r="R73" i="13"/>
  <c r="S73" i="13" s="1"/>
  <c r="R64" i="1"/>
  <c r="S64" i="1" s="1"/>
  <c r="R70" i="1"/>
  <c r="S70" i="1" s="1"/>
  <c r="J43" i="13" l="1"/>
  <c r="L43" i="13" s="1"/>
  <c r="P43" i="13"/>
  <c r="R43" i="13" l="1"/>
  <c r="S43" i="13" s="1"/>
  <c r="A42" i="14" l="1"/>
  <c r="A36" i="13"/>
  <c r="A33" i="11"/>
  <c r="A33" i="13"/>
  <c r="A34" i="11"/>
  <c r="A42" i="11"/>
  <c r="A36" i="11"/>
  <c r="A35" i="11"/>
  <c r="A42" i="12"/>
  <c r="A33" i="12"/>
  <c r="A34" i="13"/>
  <c r="A33" i="14"/>
  <c r="A43" i="14"/>
  <c r="A41" i="13"/>
  <c r="A35" i="13"/>
  <c r="A41" i="14"/>
  <c r="A43" i="11"/>
  <c r="A41" i="12"/>
  <c r="A42" i="13"/>
  <c r="A34" i="14"/>
  <c r="A35" i="14"/>
  <c r="A35" i="12"/>
  <c r="A34" i="12"/>
  <c r="B34" i="11"/>
  <c r="A44" i="11" l="1"/>
  <c r="B34" i="12"/>
  <c r="B42" i="9"/>
  <c r="B37" i="9"/>
  <c r="A41" i="1"/>
  <c r="A36" i="1"/>
  <c r="A33" i="9"/>
  <c r="B35" i="9"/>
  <c r="B43" i="10"/>
  <c r="A35" i="1"/>
  <c r="A42" i="10"/>
  <c r="A33" i="10"/>
  <c r="A34" i="9"/>
  <c r="A41" i="9"/>
  <c r="A36" i="9"/>
  <c r="B41" i="1"/>
  <c r="B36" i="1"/>
  <c r="B34" i="9"/>
  <c r="B33" i="1"/>
  <c r="A34" i="10"/>
  <c r="A35" i="10"/>
  <c r="B34" i="1"/>
  <c r="A33" i="1"/>
  <c r="A37" i="1"/>
  <c r="A43" i="10"/>
  <c r="A41" i="10"/>
  <c r="A37" i="9"/>
  <c r="A35" i="9"/>
  <c r="A42" i="1"/>
  <c r="A36" i="12"/>
  <c r="B37" i="1"/>
  <c r="B42" i="1"/>
  <c r="F35" i="12"/>
  <c r="G35" i="12" s="1"/>
  <c r="M35" i="12" s="1"/>
  <c r="B34" i="10"/>
  <c r="A36" i="10"/>
  <c r="B35" i="1"/>
  <c r="F33" i="12" l="1"/>
  <c r="G33" i="12" s="1"/>
  <c r="F41" i="12"/>
  <c r="G41" i="12" s="1"/>
  <c r="M41" i="12" s="1"/>
  <c r="B33" i="9"/>
  <c r="F36" i="10"/>
  <c r="G36" i="10" s="1"/>
  <c r="M36" i="10" s="1"/>
  <c r="A34" i="1"/>
  <c r="F44" i="11"/>
  <c r="G44" i="11" s="1"/>
  <c r="M44" i="11" s="1"/>
  <c r="F41" i="13"/>
  <c r="G41" i="13" s="1"/>
  <c r="M41" i="13" s="1"/>
  <c r="F31" i="11"/>
  <c r="G31" i="11" s="1"/>
  <c r="M31" i="11" s="1"/>
  <c r="O31" i="9"/>
  <c r="P31" i="9" s="1"/>
  <c r="I37" i="10"/>
  <c r="J37" i="10" s="1"/>
  <c r="O32" i="11"/>
  <c r="P32" i="11" s="1"/>
  <c r="F46" i="12"/>
  <c r="G46" i="12" s="1"/>
  <c r="O44" i="10"/>
  <c r="P44" i="10" s="1"/>
  <c r="F47" i="10"/>
  <c r="G47" i="10" s="1"/>
  <c r="O26" i="12"/>
  <c r="P26" i="12" s="1"/>
  <c r="F25" i="9"/>
  <c r="G25" i="9" s="1"/>
  <c r="F31" i="9"/>
  <c r="G31" i="9" s="1"/>
  <c r="M31" i="9" s="1"/>
  <c r="F26" i="11"/>
  <c r="G26" i="11" s="1"/>
  <c r="I25" i="10"/>
  <c r="J25" i="10" s="1"/>
  <c r="O25" i="9"/>
  <c r="P25" i="9" s="1"/>
  <c r="O52" i="10"/>
  <c r="P52" i="10" s="1"/>
  <c r="I52" i="11"/>
  <c r="J52" i="11" s="1"/>
  <c r="I25" i="11"/>
  <c r="J25" i="11" s="1"/>
  <c r="I51" i="11"/>
  <c r="J51" i="11" s="1"/>
  <c r="G40" i="10"/>
  <c r="O27" i="10"/>
  <c r="P27" i="10" s="1"/>
  <c r="I25" i="12"/>
  <c r="J25" i="12" s="1"/>
  <c r="I40" i="12"/>
  <c r="J40" i="12" s="1"/>
  <c r="F29" i="13"/>
  <c r="G29" i="13" s="1"/>
  <c r="O52" i="14"/>
  <c r="P52" i="14" s="1"/>
  <c r="F29" i="14"/>
  <c r="G29" i="14" s="1"/>
  <c r="I25" i="14"/>
  <c r="J25" i="14" s="1"/>
  <c r="F25" i="14"/>
  <c r="G25" i="14" s="1"/>
  <c r="O25" i="13"/>
  <c r="P25" i="13" s="1"/>
  <c r="I52" i="13"/>
  <c r="J52" i="13" s="1"/>
  <c r="I40" i="13"/>
  <c r="J40" i="13" s="1"/>
  <c r="F31" i="13"/>
  <c r="G31" i="13" s="1"/>
  <c r="M31" i="13" s="1"/>
  <c r="F31" i="14"/>
  <c r="G31" i="14" s="1"/>
  <c r="M31" i="14" s="1"/>
  <c r="F23" i="13"/>
  <c r="G23" i="13" s="1"/>
  <c r="O26" i="13"/>
  <c r="P26" i="13" s="1"/>
  <c r="O40" i="13"/>
  <c r="P40" i="13" s="1"/>
  <c r="J32" i="13"/>
  <c r="O27" i="14"/>
  <c r="P27" i="14" s="1"/>
  <c r="O50" i="12"/>
  <c r="P50" i="12" s="1"/>
  <c r="J26" i="14"/>
  <c r="F23" i="14"/>
  <c r="G23" i="14" s="1"/>
  <c r="F44" i="14"/>
  <c r="G44" i="14" s="1"/>
  <c r="F35" i="13"/>
  <c r="G35" i="13" s="1"/>
  <c r="M35" i="13" s="1"/>
  <c r="F43" i="14"/>
  <c r="G43" i="14" s="1"/>
  <c r="M43" i="14" s="1"/>
  <c r="O27" i="12"/>
  <c r="P27" i="12" s="1"/>
  <c r="G37" i="10"/>
  <c r="O31" i="10"/>
  <c r="P31" i="10" s="1"/>
  <c r="I49" i="1"/>
  <c r="J49" i="1" s="1"/>
  <c r="O37" i="10"/>
  <c r="P37" i="10" s="1"/>
  <c r="I38" i="9"/>
  <c r="J38" i="9" s="1"/>
  <c r="F29" i="11"/>
  <c r="G29" i="11" s="1"/>
  <c r="O52" i="11"/>
  <c r="P52" i="11" s="1"/>
  <c r="F23" i="10"/>
  <c r="G23" i="10" s="1"/>
  <c r="I49" i="9"/>
  <c r="J49" i="9" s="1"/>
  <c r="F27" i="12"/>
  <c r="G27" i="12" s="1"/>
  <c r="M27" i="12" s="1"/>
  <c r="F31" i="10"/>
  <c r="G31" i="10" s="1"/>
  <c r="M31" i="10" s="1"/>
  <c r="I52" i="10"/>
  <c r="J52" i="10" s="1"/>
  <c r="O25" i="10"/>
  <c r="P25" i="10" s="1"/>
  <c r="I44" i="10"/>
  <c r="J44" i="10" s="1"/>
  <c r="O41" i="11"/>
  <c r="P41" i="11" s="1"/>
  <c r="O32" i="12"/>
  <c r="P32" i="12" s="1"/>
  <c r="F44" i="10"/>
  <c r="G44" i="10" s="1"/>
  <c r="F23" i="12"/>
  <c r="G23" i="12" s="1"/>
  <c r="O27" i="9"/>
  <c r="P27" i="9" s="1"/>
  <c r="F23" i="11"/>
  <c r="G23" i="11" s="1"/>
  <c r="J26" i="10"/>
  <c r="G41" i="11"/>
  <c r="J26" i="11"/>
  <c r="I25" i="9"/>
  <c r="J25" i="9" s="1"/>
  <c r="O51" i="10"/>
  <c r="P51" i="10" s="1"/>
  <c r="G40" i="12"/>
  <c r="J26" i="12"/>
  <c r="I40" i="9"/>
  <c r="J40" i="9" s="1"/>
  <c r="O32" i="9"/>
  <c r="P32" i="9" s="1"/>
  <c r="F26" i="12"/>
  <c r="G26" i="12" s="1"/>
  <c r="F52" i="10"/>
  <c r="G52" i="10" s="1"/>
  <c r="F51" i="12"/>
  <c r="G51" i="12" s="1"/>
  <c r="F27" i="14"/>
  <c r="G27" i="14" s="1"/>
  <c r="M27" i="14" s="1"/>
  <c r="I52" i="14"/>
  <c r="J52" i="14" s="1"/>
  <c r="F25" i="13"/>
  <c r="G25" i="13" s="1"/>
  <c r="F26" i="14"/>
  <c r="G26" i="14" s="1"/>
  <c r="F32" i="14"/>
  <c r="G32" i="14" s="1"/>
  <c r="O32" i="13"/>
  <c r="P32" i="13" s="1"/>
  <c r="O26" i="14"/>
  <c r="P26" i="14" s="1"/>
  <c r="F31" i="12"/>
  <c r="G31" i="12" s="1"/>
  <c r="M31" i="12" s="1"/>
  <c r="I51" i="14"/>
  <c r="J51" i="14" s="1"/>
  <c r="O51" i="14"/>
  <c r="P51" i="14" s="1"/>
  <c r="F32" i="13"/>
  <c r="G32" i="13" s="1"/>
  <c r="F47" i="14"/>
  <c r="G47" i="14" s="1"/>
  <c r="I44" i="14"/>
  <c r="J44" i="14" s="1"/>
  <c r="F47" i="13"/>
  <c r="G47" i="13" s="1"/>
  <c r="F35" i="11"/>
  <c r="G35" i="11" s="1"/>
  <c r="M35" i="11" s="1"/>
  <c r="F42" i="14"/>
  <c r="G42" i="14" s="1"/>
  <c r="F27" i="11"/>
  <c r="G27" i="11" s="1"/>
  <c r="M27" i="11" s="1"/>
  <c r="F27" i="9"/>
  <c r="G27" i="9" s="1"/>
  <c r="M27" i="9" s="1"/>
  <c r="O48" i="1"/>
  <c r="P48" i="1" s="1"/>
  <c r="F47" i="11"/>
  <c r="G47" i="11" s="1"/>
  <c r="O40" i="12"/>
  <c r="P40" i="12" s="1"/>
  <c r="F26" i="9"/>
  <c r="G26" i="9" s="1"/>
  <c r="F48" i="1"/>
  <c r="G48" i="1" s="1"/>
  <c r="F29" i="9"/>
  <c r="G29" i="9" s="1"/>
  <c r="I48" i="9"/>
  <c r="J48" i="9" s="1"/>
  <c r="O26" i="10"/>
  <c r="P26" i="10" s="1"/>
  <c r="F25" i="12"/>
  <c r="G25" i="12" s="1"/>
  <c r="O49" i="1"/>
  <c r="P49" i="1" s="1"/>
  <c r="G40" i="9"/>
  <c r="J32" i="11"/>
  <c r="O25" i="11"/>
  <c r="P25" i="11" s="1"/>
  <c r="F51" i="10"/>
  <c r="G51" i="10" s="1"/>
  <c r="F32" i="11"/>
  <c r="G32" i="11" s="1"/>
  <c r="F32" i="12"/>
  <c r="G32" i="12" s="1"/>
  <c r="I48" i="1"/>
  <c r="F48" i="9"/>
  <c r="G48" i="9" s="1"/>
  <c r="F49" i="9"/>
  <c r="G49" i="9" s="1"/>
  <c r="I51" i="10"/>
  <c r="J51" i="10" s="1"/>
  <c r="O51" i="11"/>
  <c r="P51" i="11" s="1"/>
  <c r="F52" i="13"/>
  <c r="G52" i="13" s="1"/>
  <c r="F51" i="14"/>
  <c r="G51" i="14" s="1"/>
  <c r="J32" i="14"/>
  <c r="I40" i="14"/>
  <c r="J40" i="14" s="1"/>
  <c r="O52" i="13"/>
  <c r="P52" i="13" s="1"/>
  <c r="F26" i="13"/>
  <c r="G26" i="13" s="1"/>
  <c r="O25" i="14"/>
  <c r="P25" i="14" s="1"/>
  <c r="O31" i="13"/>
  <c r="P31" i="13" s="1"/>
  <c r="F50" i="12"/>
  <c r="G50" i="12" s="1"/>
  <c r="I25" i="13"/>
  <c r="J25" i="13" s="1"/>
  <c r="F27" i="13"/>
  <c r="G27" i="13" s="1"/>
  <c r="M27" i="13" s="1"/>
  <c r="O32" i="14"/>
  <c r="P32" i="14" s="1"/>
  <c r="O32" i="10"/>
  <c r="P32" i="10" s="1"/>
  <c r="J32" i="10"/>
  <c r="F42" i="11"/>
  <c r="G42" i="11" s="1"/>
  <c r="M42" i="11" s="1"/>
  <c r="F36" i="13"/>
  <c r="G36" i="13" s="1"/>
  <c r="M36" i="13" s="1"/>
  <c r="F33" i="13"/>
  <c r="G33" i="13" s="1"/>
  <c r="M33" i="13" s="1"/>
  <c r="F25" i="10"/>
  <c r="G25" i="10" s="1"/>
  <c r="O26" i="11"/>
  <c r="P26" i="11" s="1"/>
  <c r="F51" i="11"/>
  <c r="G51" i="11" s="1"/>
  <c r="G38" i="9"/>
  <c r="O25" i="12"/>
  <c r="P25" i="12" s="1"/>
  <c r="O26" i="9"/>
  <c r="P26" i="9" s="1"/>
  <c r="F49" i="1"/>
  <c r="G49" i="1" s="1"/>
  <c r="F32" i="10"/>
  <c r="G32" i="10" s="1"/>
  <c r="F29" i="12"/>
  <c r="G29" i="12" s="1"/>
  <c r="O40" i="10"/>
  <c r="P40" i="10" s="1"/>
  <c r="O40" i="9"/>
  <c r="P40" i="9" s="1"/>
  <c r="J32" i="12"/>
  <c r="J26" i="9"/>
  <c r="I40" i="10"/>
  <c r="J40" i="10" s="1"/>
  <c r="F52" i="11"/>
  <c r="G52" i="11" s="1"/>
  <c r="O49" i="9"/>
  <c r="P49" i="9" s="1"/>
  <c r="F27" i="10"/>
  <c r="G27" i="10" s="1"/>
  <c r="M27" i="10" s="1"/>
  <c r="J32" i="9"/>
  <c r="I41" i="11"/>
  <c r="J41" i="11" s="1"/>
  <c r="O48" i="9"/>
  <c r="P48" i="9" s="1"/>
  <c r="F26" i="10"/>
  <c r="G26" i="10" s="1"/>
  <c r="F23" i="9"/>
  <c r="G23" i="9" s="1"/>
  <c r="F25" i="11"/>
  <c r="G25" i="11" s="1"/>
  <c r="O27" i="11"/>
  <c r="P27" i="11" s="1"/>
  <c r="O31" i="11"/>
  <c r="P31" i="11" s="1"/>
  <c r="F32" i="9"/>
  <c r="G32" i="9" s="1"/>
  <c r="F29" i="10"/>
  <c r="G29" i="10" s="1"/>
  <c r="F44" i="9"/>
  <c r="G44" i="9" s="1"/>
  <c r="O38" i="9"/>
  <c r="P38" i="9" s="1"/>
  <c r="G40" i="14"/>
  <c r="I50" i="12"/>
  <c r="G40" i="13"/>
  <c r="O51" i="13"/>
  <c r="P51" i="13" s="1"/>
  <c r="O31" i="12"/>
  <c r="P31" i="12" s="1"/>
  <c r="F52" i="14"/>
  <c r="G52" i="14" s="1"/>
  <c r="F36" i="14"/>
  <c r="G36" i="14" s="1"/>
  <c r="M36" i="14" s="1"/>
  <c r="O44" i="14"/>
  <c r="P44" i="14" s="1"/>
  <c r="J26" i="13"/>
  <c r="I51" i="12"/>
  <c r="O40" i="14"/>
  <c r="P40" i="14" s="1"/>
  <c r="O51" i="12"/>
  <c r="P51" i="12" s="1"/>
  <c r="F51" i="13"/>
  <c r="G51" i="13" s="1"/>
  <c r="O27" i="13"/>
  <c r="P27" i="13" s="1"/>
  <c r="I51" i="13"/>
  <c r="F41" i="10"/>
  <c r="G41" i="10" s="1"/>
  <c r="M41" i="10" s="1"/>
  <c r="F35" i="10"/>
  <c r="G35" i="10" s="1"/>
  <c r="M35" i="10" s="1"/>
  <c r="F41" i="9"/>
  <c r="G41" i="9" s="1"/>
  <c r="M41" i="9" s="1"/>
  <c r="F33" i="10"/>
  <c r="G33" i="10" s="1"/>
  <c r="F42" i="10"/>
  <c r="G42" i="10" s="1"/>
  <c r="B35" i="10"/>
  <c r="F42" i="12"/>
  <c r="G42" i="12" s="1"/>
  <c r="M42" i="12" s="1"/>
  <c r="F33" i="14"/>
  <c r="G33" i="14" s="1"/>
  <c r="M33" i="14" s="1"/>
  <c r="F41" i="14"/>
  <c r="G41" i="14" s="1"/>
  <c r="M41" i="14" s="1"/>
  <c r="B36" i="9"/>
  <c r="F42" i="1"/>
  <c r="G42" i="1" s="1"/>
  <c r="M42" i="1" s="1"/>
  <c r="F37" i="9"/>
  <c r="G37" i="9" s="1"/>
  <c r="M37" i="9" s="1"/>
  <c r="F33" i="1"/>
  <c r="G33" i="1" s="1"/>
  <c r="A42" i="9"/>
  <c r="F34" i="12"/>
  <c r="G34" i="12" s="1"/>
  <c r="M34" i="12" s="1"/>
  <c r="B41" i="9"/>
  <c r="F35" i="14"/>
  <c r="G35" i="14" s="1"/>
  <c r="M35" i="14" s="1"/>
  <c r="F34" i="11"/>
  <c r="G34" i="11" s="1"/>
  <c r="M34" i="11" s="1"/>
  <c r="F36" i="11"/>
  <c r="G36" i="11" s="1"/>
  <c r="M36" i="11" s="1"/>
  <c r="F34" i="13"/>
  <c r="G34" i="13" s="1"/>
  <c r="M34" i="13" s="1"/>
  <c r="F42" i="13"/>
  <c r="G42" i="13" s="1"/>
  <c r="M42" i="13" s="1"/>
  <c r="F36" i="9"/>
  <c r="G36" i="9" s="1"/>
  <c r="M36" i="9" s="1"/>
  <c r="F34" i="9"/>
  <c r="G34" i="9" s="1"/>
  <c r="M34" i="9" s="1"/>
  <c r="F35" i="1"/>
  <c r="G35" i="1" s="1"/>
  <c r="M35" i="1" s="1"/>
  <c r="B34" i="13"/>
  <c r="B34" i="14"/>
  <c r="B44" i="11"/>
  <c r="B43" i="14"/>
  <c r="F36" i="12"/>
  <c r="G36" i="12" s="1"/>
  <c r="M36" i="12" s="1"/>
  <c r="F35" i="9"/>
  <c r="G35" i="9" s="1"/>
  <c r="M35" i="9" s="1"/>
  <c r="F43" i="10"/>
  <c r="G43" i="10" s="1"/>
  <c r="M43" i="10" s="1"/>
  <c r="F37" i="1"/>
  <c r="G37" i="1" s="1"/>
  <c r="M37" i="1" s="1"/>
  <c r="F34" i="10"/>
  <c r="G34" i="10" s="1"/>
  <c r="M34" i="10" s="1"/>
  <c r="F34" i="14"/>
  <c r="G34" i="14" s="1"/>
  <c r="M34" i="14" s="1"/>
  <c r="F33" i="11"/>
  <c r="G33" i="11" s="1"/>
  <c r="M33" i="11" s="1"/>
  <c r="F33" i="9"/>
  <c r="G33" i="9" s="1"/>
  <c r="F43" i="11"/>
  <c r="G43" i="11" s="1"/>
  <c r="F36" i="1"/>
  <c r="G36" i="1" s="1"/>
  <c r="M36" i="1" s="1"/>
  <c r="B42" i="10"/>
  <c r="F41" i="1"/>
  <c r="G41" i="1" s="1"/>
  <c r="M41" i="1" s="1"/>
  <c r="R52" i="11" l="1"/>
  <c r="S52" i="11" s="1"/>
  <c r="L26" i="9"/>
  <c r="M26" i="9" s="1"/>
  <c r="L25" i="9"/>
  <c r="M25" i="9" s="1"/>
  <c r="R48" i="9"/>
  <c r="S48" i="9" s="1"/>
  <c r="R49" i="9"/>
  <c r="S49" i="9" s="1"/>
  <c r="R52" i="13"/>
  <c r="S52" i="13" s="1"/>
  <c r="J50" i="12"/>
  <c r="L50" i="12" s="1"/>
  <c r="M50" i="12" s="1"/>
  <c r="J51" i="12"/>
  <c r="L51" i="12" s="1"/>
  <c r="M51" i="12" s="1"/>
  <c r="J48" i="1"/>
  <c r="L48" i="1" s="1"/>
  <c r="M48" i="1" s="1"/>
  <c r="J51" i="13"/>
  <c r="L51" i="13" s="1"/>
  <c r="M51" i="13" s="1"/>
  <c r="L25" i="13"/>
  <c r="M25" i="13" s="1"/>
  <c r="R49" i="1"/>
  <c r="S49" i="1" s="1"/>
  <c r="R51" i="11"/>
  <c r="S51" i="11" s="1"/>
  <c r="L51" i="10"/>
  <c r="M51" i="10" s="1"/>
  <c r="R51" i="14"/>
  <c r="S51" i="14" s="1"/>
  <c r="R32" i="10"/>
  <c r="S32" i="10" s="1"/>
  <c r="F42" i="9"/>
  <c r="G42" i="9" s="1"/>
  <c r="M42" i="9" s="1"/>
  <c r="R40" i="14"/>
  <c r="L41" i="11"/>
  <c r="M41" i="11" s="1"/>
  <c r="S41" i="11"/>
  <c r="R26" i="9"/>
  <c r="S26" i="9" s="1"/>
  <c r="L32" i="10"/>
  <c r="M32" i="10" s="1"/>
  <c r="R25" i="14"/>
  <c r="S25" i="14" s="1"/>
  <c r="R26" i="10"/>
  <c r="S26" i="10" s="1"/>
  <c r="L51" i="14"/>
  <c r="M51" i="14" s="1"/>
  <c r="L26" i="12"/>
  <c r="M26" i="12" s="1"/>
  <c r="L26" i="11"/>
  <c r="M26" i="11" s="1"/>
  <c r="L49" i="9"/>
  <c r="M49" i="9" s="1"/>
  <c r="R37" i="10"/>
  <c r="G39" i="14"/>
  <c r="G50" i="14" s="1"/>
  <c r="G39" i="13"/>
  <c r="G50" i="13" s="1"/>
  <c r="R25" i="13"/>
  <c r="S25" i="13" s="1"/>
  <c r="L25" i="14"/>
  <c r="M25" i="14" s="1"/>
  <c r="S40" i="12"/>
  <c r="L40" i="12"/>
  <c r="M40" i="12" s="1"/>
  <c r="L25" i="11"/>
  <c r="M25" i="11" s="1"/>
  <c r="R32" i="11"/>
  <c r="S32" i="11" s="1"/>
  <c r="B43" i="11"/>
  <c r="B41" i="10"/>
  <c r="B35" i="11"/>
  <c r="R44" i="14"/>
  <c r="G39" i="9"/>
  <c r="L40" i="10"/>
  <c r="M40" i="10" s="1"/>
  <c r="S40" i="10"/>
  <c r="R40" i="9"/>
  <c r="R26" i="11"/>
  <c r="S26" i="11" s="1"/>
  <c r="L32" i="11"/>
  <c r="M32" i="11" s="1"/>
  <c r="L48" i="9"/>
  <c r="M48" i="9" s="1"/>
  <c r="R32" i="9"/>
  <c r="S32" i="9" s="1"/>
  <c r="R32" i="12"/>
  <c r="R25" i="10"/>
  <c r="S25" i="10" s="1"/>
  <c r="G39" i="10"/>
  <c r="G50" i="10" s="1"/>
  <c r="L49" i="1"/>
  <c r="M49" i="1" s="1"/>
  <c r="L26" i="14"/>
  <c r="M26" i="14" s="1"/>
  <c r="L32" i="13"/>
  <c r="M32" i="13" s="1"/>
  <c r="R25" i="9"/>
  <c r="S25" i="9" s="1"/>
  <c r="L37" i="10"/>
  <c r="M37" i="10" s="1"/>
  <c r="S37" i="10"/>
  <c r="F34" i="1"/>
  <c r="G34" i="1" s="1"/>
  <c r="M34" i="1" s="1"/>
  <c r="B33" i="10"/>
  <c r="R38" i="9"/>
  <c r="L32" i="9"/>
  <c r="M32" i="9" s="1"/>
  <c r="R40" i="10"/>
  <c r="R25" i="12"/>
  <c r="S25" i="12" s="1"/>
  <c r="L40" i="14"/>
  <c r="M40" i="14" s="1"/>
  <c r="S40" i="14"/>
  <c r="R40" i="12"/>
  <c r="R26" i="14"/>
  <c r="S26" i="14" s="1"/>
  <c r="R32" i="13"/>
  <c r="S32" i="13" s="1"/>
  <c r="S40" i="9"/>
  <c r="L40" i="9"/>
  <c r="M40" i="9" s="1"/>
  <c r="R51" i="10"/>
  <c r="S51" i="10" s="1"/>
  <c r="L26" i="10"/>
  <c r="M26" i="10" s="1"/>
  <c r="R41" i="11"/>
  <c r="L52" i="10"/>
  <c r="M52" i="10" s="1"/>
  <c r="L38" i="9"/>
  <c r="M38" i="9" s="1"/>
  <c r="S38" i="9"/>
  <c r="R40" i="13"/>
  <c r="L40" i="13"/>
  <c r="M40" i="13" s="1"/>
  <c r="S40" i="13"/>
  <c r="R52" i="14"/>
  <c r="S52" i="14" s="1"/>
  <c r="L25" i="12"/>
  <c r="M25" i="12" s="1"/>
  <c r="L52" i="11"/>
  <c r="M52" i="11" s="1"/>
  <c r="L25" i="10"/>
  <c r="M25" i="10" s="1"/>
  <c r="R44" i="10"/>
  <c r="B36" i="10"/>
  <c r="L26" i="13"/>
  <c r="M26" i="13" s="1"/>
  <c r="S32" i="12"/>
  <c r="L32" i="12"/>
  <c r="M32" i="12" s="1"/>
  <c r="R32" i="14"/>
  <c r="S32" i="14" s="1"/>
  <c r="L32" i="14"/>
  <c r="M32" i="14" s="1"/>
  <c r="R25" i="11"/>
  <c r="S25" i="11" s="1"/>
  <c r="S44" i="14"/>
  <c r="L44" i="14"/>
  <c r="M44" i="14" s="1"/>
  <c r="L52" i="14"/>
  <c r="M52" i="14" s="1"/>
  <c r="G40" i="11"/>
  <c r="G50" i="11" s="1"/>
  <c r="G39" i="12"/>
  <c r="G49" i="12" s="1"/>
  <c r="S44" i="10"/>
  <c r="L44" i="10"/>
  <c r="R26" i="13"/>
  <c r="S26" i="13" s="1"/>
  <c r="L52" i="13"/>
  <c r="M52" i="13" s="1"/>
  <c r="L51" i="11"/>
  <c r="M51" i="11" s="1"/>
  <c r="R52" i="10"/>
  <c r="S52" i="10" s="1"/>
  <c r="R26" i="12"/>
  <c r="S26" i="12" s="1"/>
  <c r="R51" i="12" l="1"/>
  <c r="S51" i="12" s="1"/>
  <c r="R48" i="1"/>
  <c r="S48" i="1" s="1"/>
  <c r="R51" i="13"/>
  <c r="S51" i="13" s="1"/>
  <c r="G47" i="9"/>
  <c r="G50" i="9" s="1"/>
  <c r="R50" i="12"/>
  <c r="S50" i="12" s="1"/>
  <c r="G39" i="1"/>
  <c r="G47" i="1" s="1"/>
  <c r="G50" i="1" s="1"/>
  <c r="G52" i="12"/>
  <c r="G53" i="10"/>
  <c r="B42" i="12"/>
  <c r="G53" i="14"/>
  <c r="B36" i="11"/>
  <c r="B42" i="11"/>
  <c r="G53" i="13"/>
  <c r="G53" i="11"/>
  <c r="B33" i="11"/>
  <c r="B35" i="12"/>
  <c r="B36" i="12" l="1"/>
  <c r="B36" i="13"/>
  <c r="G64" i="14"/>
  <c r="G70" i="14"/>
  <c r="G71" i="14" s="1"/>
  <c r="G72" i="14" s="1"/>
  <c r="G74" i="14" s="1"/>
  <c r="G69" i="12"/>
  <c r="G70" i="12" s="1"/>
  <c r="G71" i="12" s="1"/>
  <c r="G73" i="12" s="1"/>
  <c r="G63" i="12"/>
  <c r="G70" i="13"/>
  <c r="G71" i="13" s="1"/>
  <c r="G72" i="13" s="1"/>
  <c r="G74" i="13" s="1"/>
  <c r="G64" i="13"/>
  <c r="G61" i="9"/>
  <c r="G67" i="9"/>
  <c r="G68" i="9" s="1"/>
  <c r="G69" i="9" s="1"/>
  <c r="B35" i="13"/>
  <c r="B35" i="14"/>
  <c r="G64" i="11"/>
  <c r="G70" i="11"/>
  <c r="G71" i="11" s="1"/>
  <c r="G72" i="11" s="1"/>
  <c r="G74" i="11" s="1"/>
  <c r="B41" i="12"/>
  <c r="B42" i="13"/>
  <c r="B42" i="14"/>
  <c r="G64" i="10"/>
  <c r="G70" i="10"/>
  <c r="G71" i="10" s="1"/>
  <c r="G72" i="10" s="1"/>
  <c r="G74" i="10" s="1"/>
  <c r="B33" i="12"/>
  <c r="G67" i="1"/>
  <c r="G68" i="1" s="1"/>
  <c r="G69" i="1" s="1"/>
  <c r="G61" i="1"/>
  <c r="G62" i="1" s="1"/>
  <c r="G63" i="1" s="1"/>
  <c r="G70" i="9" l="1"/>
  <c r="L70" i="9" s="1"/>
  <c r="M70" i="9" s="1"/>
  <c r="G64" i="1"/>
  <c r="L64" i="1" s="1"/>
  <c r="M64" i="1" s="1"/>
  <c r="B33" i="13"/>
  <c r="B33" i="14"/>
  <c r="G65" i="10"/>
  <c r="G66" i="10" s="1"/>
  <c r="G68" i="10" s="1"/>
  <c r="G65" i="11"/>
  <c r="G66" i="11" s="1"/>
  <c r="G68" i="11" s="1"/>
  <c r="G62" i="9"/>
  <c r="G63" i="9" s="1"/>
  <c r="G65" i="13"/>
  <c r="G66" i="13" s="1"/>
  <c r="G68" i="13" s="1"/>
  <c r="G70" i="1"/>
  <c r="L70" i="1" s="1"/>
  <c r="M70" i="1" s="1"/>
  <c r="B41" i="13"/>
  <c r="B41" i="14"/>
  <c r="G64" i="12"/>
  <c r="G65" i="12" s="1"/>
  <c r="G67" i="12" s="1"/>
  <c r="G65" i="14"/>
  <c r="G66" i="14" s="1"/>
  <c r="G68" i="14" s="1"/>
  <c r="G71" i="1" l="1"/>
  <c r="G65" i="1"/>
  <c r="G71" i="9"/>
  <c r="G64" i="9"/>
  <c r="L64" i="9" s="1"/>
  <c r="M64" i="9" s="1"/>
  <c r="G65" i="9" l="1"/>
  <c r="I23" i="14" l="1"/>
  <c r="J23" i="14" s="1"/>
  <c r="I23" i="1" l="1"/>
  <c r="J23" i="1" s="1"/>
  <c r="L23" i="14"/>
  <c r="M23" i="14" s="1"/>
  <c r="L23" i="1" l="1"/>
  <c r="M23" i="1" s="1"/>
  <c r="I23" i="12"/>
  <c r="J23" i="12" s="1"/>
  <c r="I23" i="13"/>
  <c r="J23" i="13" s="1"/>
  <c r="L23" i="13" l="1"/>
  <c r="M23" i="13" s="1"/>
  <c r="I23" i="10"/>
  <c r="J23" i="10" s="1"/>
  <c r="L23" i="12"/>
  <c r="M23" i="12" s="1"/>
  <c r="I29" i="14"/>
  <c r="J29" i="14" s="1"/>
  <c r="I23" i="11"/>
  <c r="J23" i="11" s="1"/>
  <c r="I29" i="1" l="1"/>
  <c r="J29" i="1" s="1"/>
  <c r="L23" i="11"/>
  <c r="M23" i="11" s="1"/>
  <c r="L29" i="14"/>
  <c r="M29" i="14" s="1"/>
  <c r="L23" i="10"/>
  <c r="M23" i="10" s="1"/>
  <c r="L29" i="1" l="1"/>
  <c r="M29" i="1" s="1"/>
  <c r="I29" i="12"/>
  <c r="J29" i="12" s="1"/>
  <c r="I29" i="13"/>
  <c r="J29" i="13" s="1"/>
  <c r="I29" i="10" l="1"/>
  <c r="J29" i="10" s="1"/>
  <c r="I23" i="9"/>
  <c r="J23" i="9" s="1"/>
  <c r="L29" i="12"/>
  <c r="M29" i="12" s="1"/>
  <c r="L29" i="13"/>
  <c r="M29" i="13" s="1"/>
  <c r="I29" i="11"/>
  <c r="J29" i="11" s="1"/>
  <c r="L29" i="11" l="1"/>
  <c r="M29" i="11" s="1"/>
  <c r="L23" i="9"/>
  <c r="M23" i="9" s="1"/>
  <c r="L29" i="10"/>
  <c r="M29" i="10" s="1"/>
  <c r="I29" i="9" l="1"/>
  <c r="J29" i="9" s="1"/>
  <c r="L29" i="9" l="1"/>
  <c r="M29" i="9" s="1"/>
  <c r="O34" i="12" l="1"/>
  <c r="P34" i="12" s="1"/>
  <c r="O35" i="12"/>
  <c r="P35" i="12" s="1"/>
  <c r="O36" i="12"/>
  <c r="P36" i="12" s="1"/>
  <c r="O34" i="11"/>
  <c r="P34" i="11" s="1"/>
  <c r="O35" i="11"/>
  <c r="P35" i="11" s="1"/>
  <c r="I37" i="1" l="1"/>
  <c r="J37" i="1" s="1"/>
  <c r="L37" i="1" s="1"/>
  <c r="O34" i="1"/>
  <c r="P34" i="1" s="1"/>
  <c r="O36" i="9"/>
  <c r="P36" i="9" s="1"/>
  <c r="O36" i="13"/>
  <c r="P36" i="13" s="1"/>
  <c r="O35" i="1"/>
  <c r="P35" i="1" s="1"/>
  <c r="O36" i="1"/>
  <c r="P36" i="1" s="1"/>
  <c r="I37" i="9"/>
  <c r="J37" i="9" s="1"/>
  <c r="L37" i="9" s="1"/>
  <c r="O34" i="9"/>
  <c r="P34" i="9" s="1"/>
  <c r="I33" i="9"/>
  <c r="J33" i="9" s="1"/>
  <c r="O34" i="13"/>
  <c r="P34" i="13" s="1"/>
  <c r="O35" i="9"/>
  <c r="P35" i="9" s="1"/>
  <c r="O35" i="13"/>
  <c r="P35" i="13" s="1"/>
  <c r="L33" i="9" l="1"/>
  <c r="M33" i="9" s="1"/>
  <c r="I33" i="12"/>
  <c r="J33" i="12" s="1"/>
  <c r="L33" i="12" l="1"/>
  <c r="M33" i="12" s="1"/>
  <c r="O43" i="11" l="1"/>
  <c r="P43" i="11" s="1"/>
  <c r="I41" i="9"/>
  <c r="J41" i="9" s="1"/>
  <c r="L41" i="9" s="1"/>
  <c r="O42" i="1"/>
  <c r="P42" i="1" s="1"/>
  <c r="I41" i="13"/>
  <c r="J41" i="13" s="1"/>
  <c r="L41" i="13" s="1"/>
  <c r="O42" i="13"/>
  <c r="P42" i="13" s="1"/>
  <c r="I33" i="1"/>
  <c r="J33" i="1" s="1"/>
  <c r="O42" i="12"/>
  <c r="P42" i="12" s="1"/>
  <c r="O42" i="9"/>
  <c r="P42" i="9" s="1"/>
  <c r="I33" i="13"/>
  <c r="J33" i="13" s="1"/>
  <c r="I41" i="1" l="1"/>
  <c r="J41" i="1" s="1"/>
  <c r="L41" i="1" s="1"/>
  <c r="L33" i="13"/>
  <c r="I41" i="12"/>
  <c r="J41" i="12" s="1"/>
  <c r="L41" i="12" s="1"/>
  <c r="L33" i="1"/>
  <c r="M33" i="1" s="1"/>
  <c r="O42" i="10" l="1"/>
  <c r="P42" i="10" s="1"/>
  <c r="I47" i="10" l="1"/>
  <c r="J47" i="10" s="1"/>
  <c r="I46" i="12"/>
  <c r="J46" i="12" s="1"/>
  <c r="I47" i="14"/>
  <c r="J47" i="14" s="1"/>
  <c r="I47" i="11"/>
  <c r="J47" i="11" s="1"/>
  <c r="I44" i="9"/>
  <c r="J44" i="9" s="1"/>
  <c r="I47" i="13"/>
  <c r="J47" i="13" s="1"/>
  <c r="L44" i="9" l="1"/>
  <c r="M44" i="9" s="1"/>
  <c r="L46" i="12"/>
  <c r="M46" i="12" s="1"/>
  <c r="L47" i="13"/>
  <c r="M47" i="13" s="1"/>
  <c r="L47" i="11"/>
  <c r="M47" i="11" s="1"/>
  <c r="L47" i="14"/>
  <c r="M47" i="14" s="1"/>
  <c r="L47" i="10"/>
  <c r="M47" i="10" s="1"/>
  <c r="I44" i="1" l="1"/>
  <c r="J44" i="1" s="1"/>
  <c r="L44" i="1" l="1"/>
  <c r="M44" i="1" s="1"/>
  <c r="F44" i="15" l="1"/>
  <c r="F48" i="15" l="1"/>
  <c r="F47" i="15"/>
  <c r="F60" i="15" l="1"/>
  <c r="F56" i="15"/>
  <c r="F59" i="15" l="1"/>
  <c r="I27" i="14" l="1"/>
  <c r="J27" i="14" s="1"/>
  <c r="I31" i="13"/>
  <c r="J31" i="13" s="1"/>
  <c r="I27" i="13"/>
  <c r="J27" i="13" s="1"/>
  <c r="I31" i="12"/>
  <c r="J31" i="12" s="1"/>
  <c r="I27" i="12"/>
  <c r="J27" i="12" s="1"/>
  <c r="I31" i="11"/>
  <c r="J31" i="11" s="1"/>
  <c r="I27" i="11"/>
  <c r="J27" i="11" s="1"/>
  <c r="I34" i="12"/>
  <c r="J34" i="12" s="1"/>
  <c r="O41" i="12"/>
  <c r="P41" i="12" s="1"/>
  <c r="O36" i="11" l="1"/>
  <c r="P36" i="11" s="1"/>
  <c r="O31" i="14"/>
  <c r="P31" i="14" s="1"/>
  <c r="O36" i="14"/>
  <c r="P36" i="14" s="1"/>
  <c r="I27" i="21"/>
  <c r="J27" i="21" s="1"/>
  <c r="I27" i="19"/>
  <c r="J27" i="19" s="1"/>
  <c r="I27" i="17"/>
  <c r="J27" i="17" s="1"/>
  <c r="I27" i="23"/>
  <c r="J27" i="23" s="1"/>
  <c r="I27" i="22"/>
  <c r="J27" i="22" s="1"/>
  <c r="I27" i="20"/>
  <c r="J27" i="20" s="1"/>
  <c r="I27" i="35"/>
  <c r="J27" i="35" s="1"/>
  <c r="I27" i="1"/>
  <c r="J27" i="1" s="1"/>
  <c r="I31" i="34"/>
  <c r="J31" i="34" s="1"/>
  <c r="I31" i="33"/>
  <c r="J31" i="33" s="1"/>
  <c r="I31" i="31"/>
  <c r="J31" i="31" s="1"/>
  <c r="I31" i="32"/>
  <c r="J31" i="32" s="1"/>
  <c r="I31" i="10"/>
  <c r="J31" i="10" s="1"/>
  <c r="L31" i="12"/>
  <c r="R31" i="12"/>
  <c r="S31" i="12" s="1"/>
  <c r="I36" i="14"/>
  <c r="J36" i="14" s="1"/>
  <c r="I31" i="14"/>
  <c r="J31" i="14" s="1"/>
  <c r="I27" i="27"/>
  <c r="J27" i="27" s="1"/>
  <c r="I27" i="29"/>
  <c r="J27" i="29" s="1"/>
  <c r="I27" i="28"/>
  <c r="J27" i="28" s="1"/>
  <c r="I27" i="26"/>
  <c r="J27" i="26" s="1"/>
  <c r="I27" i="25"/>
  <c r="J27" i="25" s="1"/>
  <c r="I27" i="9"/>
  <c r="J27" i="9" s="1"/>
  <c r="R27" i="11"/>
  <c r="S27" i="11" s="1"/>
  <c r="L27" i="11"/>
  <c r="R27" i="13"/>
  <c r="S27" i="13" s="1"/>
  <c r="L27" i="13"/>
  <c r="I31" i="29"/>
  <c r="J31" i="29" s="1"/>
  <c r="I31" i="28"/>
  <c r="J31" i="28" s="1"/>
  <c r="I31" i="26"/>
  <c r="J31" i="26" s="1"/>
  <c r="I31" i="25"/>
  <c r="J31" i="25" s="1"/>
  <c r="I31" i="27"/>
  <c r="J31" i="27" s="1"/>
  <c r="I31" i="9"/>
  <c r="J31" i="9" s="1"/>
  <c r="R31" i="11"/>
  <c r="S31" i="11" s="1"/>
  <c r="L31" i="11"/>
  <c r="R31" i="13"/>
  <c r="S31" i="13" s="1"/>
  <c r="L31" i="13"/>
  <c r="I27" i="34"/>
  <c r="J27" i="34" s="1"/>
  <c r="I27" i="33"/>
  <c r="J27" i="33" s="1"/>
  <c r="I27" i="31"/>
  <c r="J27" i="31" s="1"/>
  <c r="I27" i="32"/>
  <c r="J27" i="32" s="1"/>
  <c r="I27" i="10"/>
  <c r="J27" i="10" s="1"/>
  <c r="R27" i="12"/>
  <c r="S27" i="12" s="1"/>
  <c r="L27" i="12"/>
  <c r="L27" i="14"/>
  <c r="R27" i="14"/>
  <c r="S27" i="14" s="1"/>
  <c r="O42" i="14"/>
  <c r="P42" i="14" s="1"/>
  <c r="O41" i="31"/>
  <c r="P41" i="31" s="1"/>
  <c r="O41" i="33"/>
  <c r="P41" i="33" s="1"/>
  <c r="O41" i="10"/>
  <c r="P41" i="10" s="1"/>
  <c r="O41" i="32"/>
  <c r="P41" i="32" s="1"/>
  <c r="O41" i="34"/>
  <c r="P41" i="34" s="1"/>
  <c r="I36" i="27"/>
  <c r="J36" i="27" s="1"/>
  <c r="I36" i="28"/>
  <c r="J36" i="28" s="1"/>
  <c r="I36" i="26"/>
  <c r="J36" i="26" s="1"/>
  <c r="I36" i="25"/>
  <c r="J36" i="25" s="1"/>
  <c r="I36" i="9"/>
  <c r="J36" i="9" s="1"/>
  <c r="I36" i="29"/>
  <c r="J36" i="29" s="1"/>
  <c r="R41" i="12"/>
  <c r="S41" i="12" s="1"/>
  <c r="O37" i="17"/>
  <c r="P37" i="17" s="1"/>
  <c r="R37" i="17" s="1"/>
  <c r="S37" i="17" s="1"/>
  <c r="O37" i="22"/>
  <c r="P37" i="22" s="1"/>
  <c r="R37" i="22" s="1"/>
  <c r="S37" i="22" s="1"/>
  <c r="O37" i="1"/>
  <c r="P37" i="1" s="1"/>
  <c r="R37" i="1" s="1"/>
  <c r="S37" i="1" s="1"/>
  <c r="O37" i="23"/>
  <c r="P37" i="23" s="1"/>
  <c r="R37" i="23" s="1"/>
  <c r="S37" i="23" s="1"/>
  <c r="O37" i="19"/>
  <c r="P37" i="19" s="1"/>
  <c r="R37" i="19" s="1"/>
  <c r="S37" i="19" s="1"/>
  <c r="O37" i="35"/>
  <c r="P37" i="35" s="1"/>
  <c r="R37" i="35" s="1"/>
  <c r="S37" i="35" s="1"/>
  <c r="O37" i="20"/>
  <c r="P37" i="20" s="1"/>
  <c r="R37" i="20" s="1"/>
  <c r="S37" i="20" s="1"/>
  <c r="O37" i="21"/>
  <c r="P37" i="21" s="1"/>
  <c r="R37" i="21" s="1"/>
  <c r="S37" i="21" s="1"/>
  <c r="O41" i="23"/>
  <c r="P41" i="23" s="1"/>
  <c r="O41" i="21"/>
  <c r="P41" i="21" s="1"/>
  <c r="O41" i="19"/>
  <c r="P41" i="19" s="1"/>
  <c r="O41" i="20"/>
  <c r="P41" i="20" s="1"/>
  <c r="O41" i="17"/>
  <c r="P41" i="17" s="1"/>
  <c r="O41" i="22"/>
  <c r="P41" i="22" s="1"/>
  <c r="O41" i="1"/>
  <c r="P41" i="1" s="1"/>
  <c r="O41" i="35"/>
  <c r="P41" i="35" s="1"/>
  <c r="I36" i="20"/>
  <c r="J36" i="20" s="1"/>
  <c r="I36" i="1"/>
  <c r="J36" i="1" s="1"/>
  <c r="I36" i="22"/>
  <c r="J36" i="22" s="1"/>
  <c r="I36" i="19"/>
  <c r="J36" i="19" s="1"/>
  <c r="I36" i="23"/>
  <c r="J36" i="23" s="1"/>
  <c r="I36" i="17"/>
  <c r="J36" i="17" s="1"/>
  <c r="I36" i="35"/>
  <c r="J36" i="35" s="1"/>
  <c r="I36" i="21"/>
  <c r="J36" i="21" s="1"/>
  <c r="I34" i="33"/>
  <c r="J34" i="33" s="1"/>
  <c r="I34" i="10"/>
  <c r="J34" i="10" s="1"/>
  <c r="I34" i="32"/>
  <c r="J34" i="32" s="1"/>
  <c r="I34" i="31"/>
  <c r="J34" i="31" s="1"/>
  <c r="I34" i="34"/>
  <c r="J34" i="34" s="1"/>
  <c r="I34" i="35"/>
  <c r="J34" i="35" s="1"/>
  <c r="I34" i="1"/>
  <c r="J34" i="1" s="1"/>
  <c r="I34" i="19"/>
  <c r="J34" i="19" s="1"/>
  <c r="I34" i="22"/>
  <c r="J34" i="22" s="1"/>
  <c r="I34" i="21"/>
  <c r="J34" i="21" s="1"/>
  <c r="I34" i="20"/>
  <c r="J34" i="20" s="1"/>
  <c r="I34" i="23"/>
  <c r="J34" i="23" s="1"/>
  <c r="I34" i="17"/>
  <c r="J34" i="17" s="1"/>
  <c r="L34" i="12"/>
  <c r="R34" i="12"/>
  <c r="S34" i="12" s="1"/>
  <c r="I37" i="14"/>
  <c r="J37" i="14" s="1"/>
  <c r="I42" i="12" l="1"/>
  <c r="J42" i="12" s="1"/>
  <c r="O33" i="13"/>
  <c r="P33" i="13" s="1"/>
  <c r="R33" i="13" s="1"/>
  <c r="S33" i="13" s="1"/>
  <c r="I34" i="11"/>
  <c r="J34" i="11" s="1"/>
  <c r="L34" i="11" s="1"/>
  <c r="O33" i="11"/>
  <c r="P33" i="11" s="1"/>
  <c r="L27" i="31"/>
  <c r="R27" i="31"/>
  <c r="S27" i="31" s="1"/>
  <c r="R31" i="27"/>
  <c r="S31" i="27" s="1"/>
  <c r="L31" i="27"/>
  <c r="R31" i="29"/>
  <c r="S31" i="29" s="1"/>
  <c r="L31" i="29"/>
  <c r="R27" i="28"/>
  <c r="S27" i="28" s="1"/>
  <c r="L27" i="28"/>
  <c r="L36" i="14"/>
  <c r="R36" i="14"/>
  <c r="S36" i="14" s="1"/>
  <c r="R31" i="32"/>
  <c r="S31" i="32" s="1"/>
  <c r="L31" i="32"/>
  <c r="R27" i="1"/>
  <c r="S27" i="1" s="1"/>
  <c r="L27" i="1"/>
  <c r="R27" i="23"/>
  <c r="S27" i="23" s="1"/>
  <c r="L27" i="23"/>
  <c r="R27" i="33"/>
  <c r="S27" i="33" s="1"/>
  <c r="L27" i="33"/>
  <c r="R31" i="25"/>
  <c r="S31" i="25" s="1"/>
  <c r="L31" i="25"/>
  <c r="L27" i="9"/>
  <c r="R27" i="9"/>
  <c r="S27" i="9" s="1"/>
  <c r="R27" i="29"/>
  <c r="S27" i="29" s="1"/>
  <c r="L27" i="29"/>
  <c r="R31" i="31"/>
  <c r="S31" i="31" s="1"/>
  <c r="L31" i="31"/>
  <c r="R27" i="35"/>
  <c r="S27" i="35" s="1"/>
  <c r="L27" i="35"/>
  <c r="R27" i="17"/>
  <c r="S27" i="17" s="1"/>
  <c r="L27" i="17"/>
  <c r="L27" i="10"/>
  <c r="R27" i="10"/>
  <c r="S27" i="10" s="1"/>
  <c r="R27" i="34"/>
  <c r="S27" i="34" s="1"/>
  <c r="L27" i="34"/>
  <c r="R31" i="26"/>
  <c r="S31" i="26" s="1"/>
  <c r="L31" i="26"/>
  <c r="L27" i="25"/>
  <c r="R27" i="25"/>
  <c r="S27" i="25" s="1"/>
  <c r="R27" i="27"/>
  <c r="S27" i="27" s="1"/>
  <c r="L27" i="27"/>
  <c r="L31" i="33"/>
  <c r="R31" i="33"/>
  <c r="S31" i="33" s="1"/>
  <c r="R27" i="20"/>
  <c r="S27" i="20" s="1"/>
  <c r="L27" i="20"/>
  <c r="R27" i="19"/>
  <c r="S27" i="19" s="1"/>
  <c r="L27" i="19"/>
  <c r="R27" i="32"/>
  <c r="S27" i="32" s="1"/>
  <c r="L27" i="32"/>
  <c r="R31" i="9"/>
  <c r="S31" i="9" s="1"/>
  <c r="L31" i="9"/>
  <c r="R31" i="28"/>
  <c r="S31" i="28" s="1"/>
  <c r="L31" i="28"/>
  <c r="L27" i="26"/>
  <c r="R27" i="26"/>
  <c r="S27" i="26" s="1"/>
  <c r="L31" i="14"/>
  <c r="R31" i="14"/>
  <c r="S31" i="14" s="1"/>
  <c r="L31" i="10"/>
  <c r="R31" i="10"/>
  <c r="S31" i="10" s="1"/>
  <c r="L31" i="34"/>
  <c r="R31" i="34"/>
  <c r="S31" i="34" s="1"/>
  <c r="R27" i="22"/>
  <c r="S27" i="22" s="1"/>
  <c r="L27" i="22"/>
  <c r="L27" i="21"/>
  <c r="R27" i="21"/>
  <c r="S27" i="21" s="1"/>
  <c r="O23" i="23"/>
  <c r="P23" i="23" s="1"/>
  <c r="O23" i="17"/>
  <c r="P23" i="17" s="1"/>
  <c r="O23" i="22"/>
  <c r="P23" i="22" s="1"/>
  <c r="O23" i="20"/>
  <c r="P23" i="20" s="1"/>
  <c r="O23" i="21"/>
  <c r="P23" i="21" s="1"/>
  <c r="O23" i="19"/>
  <c r="P23" i="19" s="1"/>
  <c r="O23" i="35"/>
  <c r="P23" i="35" s="1"/>
  <c r="O23" i="1"/>
  <c r="P23" i="1" s="1"/>
  <c r="I43" i="11"/>
  <c r="J43" i="11" s="1"/>
  <c r="R34" i="17"/>
  <c r="S34" i="17" s="1"/>
  <c r="L34" i="17"/>
  <c r="L34" i="22"/>
  <c r="R34" i="22"/>
  <c r="S34" i="22" s="1"/>
  <c r="I36" i="11"/>
  <c r="J36" i="11" s="1"/>
  <c r="L34" i="10"/>
  <c r="R36" i="23"/>
  <c r="S36" i="23" s="1"/>
  <c r="L36" i="23"/>
  <c r="R36" i="20"/>
  <c r="S36" i="20" s="1"/>
  <c r="L36" i="20"/>
  <c r="I42" i="26"/>
  <c r="J42" i="26" s="1"/>
  <c r="I42" i="9"/>
  <c r="J42" i="9" s="1"/>
  <c r="I42" i="28"/>
  <c r="J42" i="28" s="1"/>
  <c r="I42" i="27"/>
  <c r="J42" i="27" s="1"/>
  <c r="I42" i="29"/>
  <c r="J42" i="29" s="1"/>
  <c r="I42" i="25"/>
  <c r="J42" i="25" s="1"/>
  <c r="R41" i="1"/>
  <c r="S41" i="1" s="1"/>
  <c r="R41" i="19"/>
  <c r="S41" i="19" s="1"/>
  <c r="L36" i="26"/>
  <c r="R36" i="26"/>
  <c r="S36" i="26" s="1"/>
  <c r="L34" i="23"/>
  <c r="R34" i="23"/>
  <c r="S34" i="23" s="1"/>
  <c r="R34" i="19"/>
  <c r="S34" i="19" s="1"/>
  <c r="L34" i="19"/>
  <c r="L34" i="34"/>
  <c r="L34" i="33"/>
  <c r="R36" i="21"/>
  <c r="S36" i="21" s="1"/>
  <c r="L36" i="21"/>
  <c r="R36" i="19"/>
  <c r="S36" i="19" s="1"/>
  <c r="L36" i="19"/>
  <c r="R41" i="22"/>
  <c r="S41" i="22" s="1"/>
  <c r="R41" i="21"/>
  <c r="S41" i="21" s="1"/>
  <c r="I35" i="13"/>
  <c r="J35" i="13" s="1"/>
  <c r="R36" i="29"/>
  <c r="S36" i="29" s="1"/>
  <c r="L36" i="29"/>
  <c r="L36" i="28"/>
  <c r="R36" i="28"/>
  <c r="S36" i="28" s="1"/>
  <c r="O37" i="9"/>
  <c r="P37" i="9" s="1"/>
  <c r="R37" i="9" s="1"/>
  <c r="S37" i="9" s="1"/>
  <c r="O37" i="28"/>
  <c r="P37" i="28" s="1"/>
  <c r="R37" i="28" s="1"/>
  <c r="S37" i="28" s="1"/>
  <c r="O37" i="25"/>
  <c r="P37" i="25" s="1"/>
  <c r="R37" i="25" s="1"/>
  <c r="S37" i="25" s="1"/>
  <c r="O37" i="27"/>
  <c r="P37" i="27" s="1"/>
  <c r="R37" i="27" s="1"/>
  <c r="S37" i="27" s="1"/>
  <c r="O37" i="26"/>
  <c r="P37" i="26" s="1"/>
  <c r="R37" i="26" s="1"/>
  <c r="S37" i="26" s="1"/>
  <c r="O37" i="29"/>
  <c r="P37" i="29" s="1"/>
  <c r="R37" i="29" s="1"/>
  <c r="S37" i="29" s="1"/>
  <c r="R37" i="14"/>
  <c r="S37" i="14" s="1"/>
  <c r="L37" i="14"/>
  <c r="R34" i="20"/>
  <c r="S34" i="20" s="1"/>
  <c r="L34" i="20"/>
  <c r="L34" i="1"/>
  <c r="R34" i="1"/>
  <c r="S34" i="1" s="1"/>
  <c r="L34" i="31"/>
  <c r="R36" i="35"/>
  <c r="S36" i="35" s="1"/>
  <c r="L36" i="35"/>
  <c r="R36" i="22"/>
  <c r="S36" i="22" s="1"/>
  <c r="L36" i="22"/>
  <c r="R41" i="17"/>
  <c r="S41" i="17" s="1"/>
  <c r="R41" i="23"/>
  <c r="S41" i="23" s="1"/>
  <c r="R36" i="9"/>
  <c r="S36" i="9" s="1"/>
  <c r="L36" i="9"/>
  <c r="L36" i="27"/>
  <c r="R36" i="27"/>
  <c r="S36" i="27" s="1"/>
  <c r="I36" i="13"/>
  <c r="J36" i="13" s="1"/>
  <c r="I42" i="19"/>
  <c r="J42" i="19" s="1"/>
  <c r="I42" i="21"/>
  <c r="J42" i="21" s="1"/>
  <c r="I42" i="35"/>
  <c r="J42" i="35" s="1"/>
  <c r="I42" i="20"/>
  <c r="J42" i="20" s="1"/>
  <c r="I42" i="23"/>
  <c r="J42" i="23" s="1"/>
  <c r="I42" i="1"/>
  <c r="J42" i="1" s="1"/>
  <c r="I42" i="17"/>
  <c r="J42" i="17" s="1"/>
  <c r="I42" i="22"/>
  <c r="J42" i="22" s="1"/>
  <c r="L34" i="21"/>
  <c r="R34" i="21"/>
  <c r="S34" i="21" s="1"/>
  <c r="L34" i="35"/>
  <c r="R34" i="35"/>
  <c r="S34" i="35" s="1"/>
  <c r="L34" i="32"/>
  <c r="R36" i="17"/>
  <c r="S36" i="17" s="1"/>
  <c r="L36" i="17"/>
  <c r="R36" i="1"/>
  <c r="S36" i="1" s="1"/>
  <c r="L36" i="1"/>
  <c r="R41" i="35"/>
  <c r="S41" i="35" s="1"/>
  <c r="R41" i="20"/>
  <c r="S41" i="20" s="1"/>
  <c r="R36" i="25"/>
  <c r="S36" i="25" s="1"/>
  <c r="L36" i="25"/>
  <c r="I34" i="13" l="1"/>
  <c r="J34" i="13" s="1"/>
  <c r="O33" i="26"/>
  <c r="P33" i="26" s="1"/>
  <c r="R33" i="26" s="1"/>
  <c r="S33" i="26" s="1"/>
  <c r="O33" i="29"/>
  <c r="P33" i="29" s="1"/>
  <c r="R33" i="29" s="1"/>
  <c r="S33" i="29" s="1"/>
  <c r="O33" i="25"/>
  <c r="P33" i="25" s="1"/>
  <c r="R33" i="25" s="1"/>
  <c r="S33" i="25" s="1"/>
  <c r="O33" i="28"/>
  <c r="P33" i="28" s="1"/>
  <c r="R33" i="28" s="1"/>
  <c r="S33" i="28" s="1"/>
  <c r="O33" i="9"/>
  <c r="P33" i="9" s="1"/>
  <c r="R33" i="9" s="1"/>
  <c r="S33" i="9" s="1"/>
  <c r="O33" i="27"/>
  <c r="P33" i="27" s="1"/>
  <c r="R33" i="27" s="1"/>
  <c r="S33" i="27" s="1"/>
  <c r="L42" i="12"/>
  <c r="R42" i="12"/>
  <c r="S42" i="12" s="1"/>
  <c r="I44" i="11"/>
  <c r="J44" i="11" s="1"/>
  <c r="I36" i="31"/>
  <c r="J36" i="31" s="1"/>
  <c r="I36" i="10"/>
  <c r="J36" i="10" s="1"/>
  <c r="I36" i="32"/>
  <c r="J36" i="32" s="1"/>
  <c r="I36" i="33"/>
  <c r="J36" i="33" s="1"/>
  <c r="I36" i="34"/>
  <c r="J36" i="34" s="1"/>
  <c r="I35" i="10"/>
  <c r="J35" i="10" s="1"/>
  <c r="I35" i="34"/>
  <c r="J35" i="34" s="1"/>
  <c r="I35" i="32"/>
  <c r="J35" i="32" s="1"/>
  <c r="I35" i="31"/>
  <c r="J35" i="31" s="1"/>
  <c r="I35" i="33"/>
  <c r="J35" i="33" s="1"/>
  <c r="R34" i="11"/>
  <c r="S34" i="11" s="1"/>
  <c r="I35" i="11"/>
  <c r="J35" i="11" s="1"/>
  <c r="O34" i="14"/>
  <c r="P34" i="14" s="1"/>
  <c r="I35" i="28"/>
  <c r="J35" i="28" s="1"/>
  <c r="I35" i="27"/>
  <c r="J35" i="27" s="1"/>
  <c r="I35" i="29"/>
  <c r="J35" i="29" s="1"/>
  <c r="I35" i="9"/>
  <c r="J35" i="9" s="1"/>
  <c r="I35" i="26"/>
  <c r="J35" i="26" s="1"/>
  <c r="I35" i="25"/>
  <c r="J35" i="25" s="1"/>
  <c r="I34" i="25"/>
  <c r="J34" i="25" s="1"/>
  <c r="I34" i="27"/>
  <c r="J34" i="27" s="1"/>
  <c r="I34" i="28"/>
  <c r="J34" i="28" s="1"/>
  <c r="I34" i="29"/>
  <c r="J34" i="29" s="1"/>
  <c r="I34" i="26"/>
  <c r="J34" i="26" s="1"/>
  <c r="I34" i="9"/>
  <c r="J34" i="9" s="1"/>
  <c r="L42" i="1"/>
  <c r="R42" i="1"/>
  <c r="S42" i="1" s="1"/>
  <c r="L42" i="21"/>
  <c r="R42" i="21"/>
  <c r="S42" i="21" s="1"/>
  <c r="O33" i="14"/>
  <c r="P33" i="14" s="1"/>
  <c r="L42" i="28"/>
  <c r="R42" i="28"/>
  <c r="S42" i="28" s="1"/>
  <c r="R43" i="11"/>
  <c r="S43" i="11" s="1"/>
  <c r="L43" i="11"/>
  <c r="M43" i="11" s="1"/>
  <c r="R23" i="21"/>
  <c r="S23" i="21" s="1"/>
  <c r="R23" i="23"/>
  <c r="S23" i="23" s="1"/>
  <c r="L42" i="23"/>
  <c r="R42" i="23"/>
  <c r="S42" i="23" s="1"/>
  <c r="R42" i="19"/>
  <c r="S42" i="19" s="1"/>
  <c r="L42" i="19"/>
  <c r="L36" i="13"/>
  <c r="R36" i="13"/>
  <c r="S36" i="13" s="1"/>
  <c r="L35" i="13"/>
  <c r="R35" i="13"/>
  <c r="S35" i="13" s="1"/>
  <c r="J39" i="13"/>
  <c r="L39" i="13" s="1"/>
  <c r="M39" i="13" s="1"/>
  <c r="I42" i="33"/>
  <c r="J42" i="33" s="1"/>
  <c r="I42" i="31"/>
  <c r="J42" i="31" s="1"/>
  <c r="I42" i="10"/>
  <c r="J42" i="10" s="1"/>
  <c r="I42" i="32"/>
  <c r="J42" i="32" s="1"/>
  <c r="I42" i="34"/>
  <c r="J42" i="34" s="1"/>
  <c r="O33" i="33"/>
  <c r="P33" i="33" s="1"/>
  <c r="O33" i="31"/>
  <c r="P33" i="31" s="1"/>
  <c r="O33" i="10"/>
  <c r="P33" i="10" s="1"/>
  <c r="O33" i="34"/>
  <c r="P33" i="34" s="1"/>
  <c r="O33" i="32"/>
  <c r="P33" i="32" s="1"/>
  <c r="R42" i="25"/>
  <c r="S42" i="25" s="1"/>
  <c r="L42" i="25"/>
  <c r="R42" i="9"/>
  <c r="S42" i="9" s="1"/>
  <c r="L42" i="9"/>
  <c r="R23" i="1"/>
  <c r="S23" i="1" s="1"/>
  <c r="R23" i="20"/>
  <c r="S23" i="20" s="1"/>
  <c r="R42" i="22"/>
  <c r="S42" i="22" s="1"/>
  <c r="L42" i="22"/>
  <c r="R42" i="20"/>
  <c r="S42" i="20" s="1"/>
  <c r="L42" i="20"/>
  <c r="O41" i="27"/>
  <c r="P41" i="27" s="1"/>
  <c r="O41" i="28"/>
  <c r="P41" i="28" s="1"/>
  <c r="O41" i="25"/>
  <c r="P41" i="25" s="1"/>
  <c r="O41" i="9"/>
  <c r="P41" i="9" s="1"/>
  <c r="O41" i="26"/>
  <c r="P41" i="26" s="1"/>
  <c r="O41" i="29"/>
  <c r="P41" i="29" s="1"/>
  <c r="I42" i="13"/>
  <c r="J42" i="13" s="1"/>
  <c r="L42" i="29"/>
  <c r="R42" i="29"/>
  <c r="S42" i="29" s="1"/>
  <c r="R42" i="26"/>
  <c r="S42" i="26" s="1"/>
  <c r="L42" i="26"/>
  <c r="R23" i="35"/>
  <c r="S23" i="35" s="1"/>
  <c r="R23" i="22"/>
  <c r="S23" i="22" s="1"/>
  <c r="R42" i="17"/>
  <c r="S42" i="17" s="1"/>
  <c r="L42" i="17"/>
  <c r="L42" i="35"/>
  <c r="R42" i="35"/>
  <c r="S42" i="35" s="1"/>
  <c r="R42" i="27"/>
  <c r="S42" i="27" s="1"/>
  <c r="L42" i="27"/>
  <c r="R36" i="11"/>
  <c r="S36" i="11" s="1"/>
  <c r="L36" i="11"/>
  <c r="R23" i="19"/>
  <c r="S23" i="19" s="1"/>
  <c r="R23" i="17"/>
  <c r="S23" i="17" s="1"/>
  <c r="I43" i="31" l="1"/>
  <c r="J43" i="31" s="1"/>
  <c r="L43" i="31" s="1"/>
  <c r="I43" i="34"/>
  <c r="J43" i="34" s="1"/>
  <c r="L43" i="34" s="1"/>
  <c r="I43" i="33"/>
  <c r="J43" i="33" s="1"/>
  <c r="L43" i="33" s="1"/>
  <c r="I43" i="10"/>
  <c r="J43" i="10" s="1"/>
  <c r="L43" i="10" s="1"/>
  <c r="I43" i="32"/>
  <c r="J43" i="32" s="1"/>
  <c r="L43" i="32" s="1"/>
  <c r="O33" i="22"/>
  <c r="P33" i="22" s="1"/>
  <c r="R33" i="22" s="1"/>
  <c r="S33" i="22" s="1"/>
  <c r="O33" i="23"/>
  <c r="P33" i="23" s="1"/>
  <c r="R33" i="23" s="1"/>
  <c r="S33" i="23" s="1"/>
  <c r="O33" i="35"/>
  <c r="P33" i="35" s="1"/>
  <c r="R33" i="35" s="1"/>
  <c r="S33" i="35" s="1"/>
  <c r="O33" i="21"/>
  <c r="P33" i="21" s="1"/>
  <c r="R33" i="21" s="1"/>
  <c r="S33" i="21" s="1"/>
  <c r="O33" i="17"/>
  <c r="P33" i="17" s="1"/>
  <c r="R33" i="17" s="1"/>
  <c r="S33" i="17" s="1"/>
  <c r="O33" i="1"/>
  <c r="P33" i="1" s="1"/>
  <c r="R33" i="1" s="1"/>
  <c r="S33" i="1" s="1"/>
  <c r="O33" i="20"/>
  <c r="P33" i="20" s="1"/>
  <c r="R33" i="20" s="1"/>
  <c r="S33" i="20" s="1"/>
  <c r="O33" i="19"/>
  <c r="P33" i="19" s="1"/>
  <c r="R33" i="19" s="1"/>
  <c r="S33" i="19" s="1"/>
  <c r="O35" i="33"/>
  <c r="P35" i="33" s="1"/>
  <c r="O35" i="32"/>
  <c r="P35" i="32" s="1"/>
  <c r="R35" i="32" s="1"/>
  <c r="S35" i="32" s="1"/>
  <c r="O35" i="34"/>
  <c r="P35" i="34" s="1"/>
  <c r="O35" i="10"/>
  <c r="P35" i="10" s="1"/>
  <c r="O35" i="31"/>
  <c r="P35" i="31" s="1"/>
  <c r="O34" i="33"/>
  <c r="P34" i="33" s="1"/>
  <c r="R34" i="33" s="1"/>
  <c r="S34" i="33" s="1"/>
  <c r="O34" i="10"/>
  <c r="P34" i="10" s="1"/>
  <c r="R34" i="10" s="1"/>
  <c r="S34" i="10" s="1"/>
  <c r="O34" i="32"/>
  <c r="P34" i="32" s="1"/>
  <c r="R34" i="32" s="1"/>
  <c r="S34" i="32" s="1"/>
  <c r="O34" i="34"/>
  <c r="P34" i="34" s="1"/>
  <c r="R34" i="34" s="1"/>
  <c r="S34" i="34" s="1"/>
  <c r="O34" i="31"/>
  <c r="P34" i="31" s="1"/>
  <c r="R34" i="31" s="1"/>
  <c r="S34" i="31" s="1"/>
  <c r="I41" i="33"/>
  <c r="J41" i="33" s="1"/>
  <c r="I41" i="31"/>
  <c r="J41" i="31" s="1"/>
  <c r="I41" i="10"/>
  <c r="J41" i="10" s="1"/>
  <c r="I41" i="34"/>
  <c r="J41" i="34" s="1"/>
  <c r="I41" i="32"/>
  <c r="J41" i="32" s="1"/>
  <c r="I34" i="14"/>
  <c r="J34" i="14" s="1"/>
  <c r="L34" i="14" s="1"/>
  <c r="O41" i="13"/>
  <c r="P41" i="13" s="1"/>
  <c r="R41" i="13" s="1"/>
  <c r="S41" i="13" s="1"/>
  <c r="I35" i="12"/>
  <c r="J35" i="12" s="1"/>
  <c r="L44" i="11"/>
  <c r="S44" i="11"/>
  <c r="I35" i="35"/>
  <c r="J35" i="35" s="1"/>
  <c r="I35" i="20"/>
  <c r="J35" i="20" s="1"/>
  <c r="I35" i="22"/>
  <c r="J35" i="22" s="1"/>
  <c r="I35" i="21"/>
  <c r="J35" i="21" s="1"/>
  <c r="I35" i="17"/>
  <c r="J35" i="17" s="1"/>
  <c r="I35" i="19"/>
  <c r="J35" i="19" s="1"/>
  <c r="I35" i="23"/>
  <c r="J35" i="23" s="1"/>
  <c r="I35" i="1"/>
  <c r="J35" i="1" s="1"/>
  <c r="O33" i="12"/>
  <c r="P33" i="12" s="1"/>
  <c r="R33" i="12" s="1"/>
  <c r="S33" i="12" s="1"/>
  <c r="L34" i="13"/>
  <c r="R34" i="13"/>
  <c r="S34" i="13" s="1"/>
  <c r="O36" i="31"/>
  <c r="P36" i="31" s="1"/>
  <c r="R36" i="31" s="1"/>
  <c r="S36" i="31" s="1"/>
  <c r="O36" i="34"/>
  <c r="P36" i="34" s="1"/>
  <c r="R36" i="34" s="1"/>
  <c r="S36" i="34" s="1"/>
  <c r="O36" i="10"/>
  <c r="P36" i="10" s="1"/>
  <c r="O36" i="33"/>
  <c r="P36" i="33" s="1"/>
  <c r="O36" i="32"/>
  <c r="P36" i="32" s="1"/>
  <c r="R36" i="32" s="1"/>
  <c r="S36" i="32" s="1"/>
  <c r="I35" i="14"/>
  <c r="J35" i="14" s="1"/>
  <c r="L35" i="14" s="1"/>
  <c r="R36" i="33"/>
  <c r="S36" i="33" s="1"/>
  <c r="L36" i="33"/>
  <c r="L36" i="32"/>
  <c r="R36" i="10"/>
  <c r="S36" i="10" s="1"/>
  <c r="L36" i="10"/>
  <c r="L36" i="34"/>
  <c r="L36" i="31"/>
  <c r="I33" i="34"/>
  <c r="J33" i="34" s="1"/>
  <c r="L33" i="34" s="1"/>
  <c r="I33" i="10"/>
  <c r="J33" i="10" s="1"/>
  <c r="L33" i="10" s="1"/>
  <c r="M33" i="10" s="1"/>
  <c r="I33" i="31"/>
  <c r="J33" i="31" s="1"/>
  <c r="L33" i="31" s="1"/>
  <c r="I33" i="32"/>
  <c r="J33" i="32" s="1"/>
  <c r="L33" i="32" s="1"/>
  <c r="I33" i="33"/>
  <c r="J33" i="33" s="1"/>
  <c r="L33" i="33" s="1"/>
  <c r="I33" i="11"/>
  <c r="J33" i="11" s="1"/>
  <c r="I42" i="11"/>
  <c r="J42" i="11" s="1"/>
  <c r="L42" i="11" s="1"/>
  <c r="O42" i="11"/>
  <c r="P42" i="11" s="1"/>
  <c r="L35" i="33"/>
  <c r="R35" i="33"/>
  <c r="S35" i="33" s="1"/>
  <c r="L35" i="32"/>
  <c r="L35" i="10"/>
  <c r="R35" i="10"/>
  <c r="S35" i="10" s="1"/>
  <c r="R35" i="31"/>
  <c r="S35" i="31" s="1"/>
  <c r="L35" i="31"/>
  <c r="L35" i="34"/>
  <c r="R35" i="34"/>
  <c r="S35" i="34" s="1"/>
  <c r="O43" i="33"/>
  <c r="P43" i="33" s="1"/>
  <c r="R43" i="33" s="1"/>
  <c r="S43" i="33" s="1"/>
  <c r="O43" i="31"/>
  <c r="P43" i="31" s="1"/>
  <c r="R43" i="31" s="1"/>
  <c r="S43" i="31" s="1"/>
  <c r="O43" i="34"/>
  <c r="P43" i="34" s="1"/>
  <c r="R43" i="34" s="1"/>
  <c r="S43" i="34" s="1"/>
  <c r="O43" i="10"/>
  <c r="P43" i="10" s="1"/>
  <c r="R43" i="10" s="1"/>
  <c r="S43" i="10" s="1"/>
  <c r="O43" i="32"/>
  <c r="P43" i="32" s="1"/>
  <c r="R43" i="32" s="1"/>
  <c r="S43" i="32" s="1"/>
  <c r="L35" i="11"/>
  <c r="R35" i="11"/>
  <c r="S35" i="11" s="1"/>
  <c r="I42" i="14"/>
  <c r="J42" i="14" s="1"/>
  <c r="O41" i="14"/>
  <c r="P41" i="14" s="1"/>
  <c r="I41" i="14"/>
  <c r="J41" i="14" s="1"/>
  <c r="L41" i="14" s="1"/>
  <c r="I33" i="14"/>
  <c r="J33" i="14" s="1"/>
  <c r="R33" i="14" s="1"/>
  <c r="S33" i="14" s="1"/>
  <c r="I43" i="14"/>
  <c r="J43" i="14" s="1"/>
  <c r="O43" i="14"/>
  <c r="P43" i="14" s="1"/>
  <c r="O35" i="14"/>
  <c r="P35" i="14" s="1"/>
  <c r="R35" i="14" s="1"/>
  <c r="S35" i="14" s="1"/>
  <c r="R41" i="9"/>
  <c r="S41" i="9" s="1"/>
  <c r="R42" i="32"/>
  <c r="S42" i="32" s="1"/>
  <c r="L42" i="32"/>
  <c r="J39" i="28"/>
  <c r="L34" i="28"/>
  <c r="R34" i="28"/>
  <c r="S34" i="28" s="1"/>
  <c r="L35" i="29"/>
  <c r="R35" i="29"/>
  <c r="S35" i="29" s="1"/>
  <c r="R42" i="13"/>
  <c r="S42" i="13" s="1"/>
  <c r="J50" i="13"/>
  <c r="L42" i="13"/>
  <c r="R41" i="25"/>
  <c r="S41" i="25" s="1"/>
  <c r="R42" i="10"/>
  <c r="S42" i="10" s="1"/>
  <c r="L42" i="10"/>
  <c r="M42" i="10" s="1"/>
  <c r="L34" i="9"/>
  <c r="J39" i="9"/>
  <c r="R34" i="9"/>
  <c r="S34" i="9" s="1"/>
  <c r="R34" i="27"/>
  <c r="S34" i="27" s="1"/>
  <c r="L34" i="27"/>
  <c r="J39" i="27"/>
  <c r="R35" i="25"/>
  <c r="S35" i="25" s="1"/>
  <c r="L35" i="25"/>
  <c r="L35" i="27"/>
  <c r="R35" i="27"/>
  <c r="S35" i="27" s="1"/>
  <c r="R41" i="29"/>
  <c r="S41" i="29" s="1"/>
  <c r="R41" i="28"/>
  <c r="S41" i="28" s="1"/>
  <c r="L42" i="31"/>
  <c r="R42" i="31"/>
  <c r="S42" i="31" s="1"/>
  <c r="L34" i="26"/>
  <c r="R34" i="26"/>
  <c r="S34" i="26" s="1"/>
  <c r="J39" i="26"/>
  <c r="R34" i="25"/>
  <c r="S34" i="25" s="1"/>
  <c r="L34" i="25"/>
  <c r="J39" i="25"/>
  <c r="L35" i="26"/>
  <c r="R35" i="26"/>
  <c r="S35" i="26" s="1"/>
  <c r="L35" i="28"/>
  <c r="R35" i="28"/>
  <c r="S35" i="28" s="1"/>
  <c r="O44" i="11"/>
  <c r="P44" i="11" s="1"/>
  <c r="I36" i="12"/>
  <c r="J36" i="12" s="1"/>
  <c r="R41" i="26"/>
  <c r="S41" i="26" s="1"/>
  <c r="R41" i="27"/>
  <c r="S41" i="27" s="1"/>
  <c r="L42" i="34"/>
  <c r="R42" i="34"/>
  <c r="S42" i="34" s="1"/>
  <c r="R42" i="33"/>
  <c r="S42" i="33" s="1"/>
  <c r="L42" i="33"/>
  <c r="L34" i="29"/>
  <c r="J39" i="29"/>
  <c r="R34" i="29"/>
  <c r="S34" i="29" s="1"/>
  <c r="L35" i="9"/>
  <c r="R35" i="9"/>
  <c r="S35" i="9" s="1"/>
  <c r="J39" i="33" l="1"/>
  <c r="L39" i="33" s="1"/>
  <c r="M39" i="33" s="1"/>
  <c r="R35" i="17"/>
  <c r="S35" i="17" s="1"/>
  <c r="J39" i="17"/>
  <c r="L35" i="17"/>
  <c r="R35" i="20"/>
  <c r="S35" i="20" s="1"/>
  <c r="J39" i="20"/>
  <c r="L35" i="20"/>
  <c r="L41" i="34"/>
  <c r="R41" i="34"/>
  <c r="S41" i="34" s="1"/>
  <c r="R35" i="1"/>
  <c r="S35" i="1" s="1"/>
  <c r="J39" i="1"/>
  <c r="L35" i="1"/>
  <c r="L35" i="21"/>
  <c r="R35" i="21"/>
  <c r="S35" i="21" s="1"/>
  <c r="J39" i="21"/>
  <c r="L35" i="35"/>
  <c r="R35" i="35"/>
  <c r="S35" i="35" s="1"/>
  <c r="J39" i="35"/>
  <c r="L41" i="10"/>
  <c r="R41" i="10"/>
  <c r="S41" i="10" s="1"/>
  <c r="R42" i="11"/>
  <c r="S42" i="11" s="1"/>
  <c r="J39" i="23"/>
  <c r="L35" i="23"/>
  <c r="R35" i="23"/>
  <c r="S35" i="23" s="1"/>
  <c r="J39" i="22"/>
  <c r="R35" i="22"/>
  <c r="S35" i="22" s="1"/>
  <c r="L35" i="22"/>
  <c r="L35" i="12"/>
  <c r="R35" i="12"/>
  <c r="S35" i="12" s="1"/>
  <c r="L41" i="32"/>
  <c r="R41" i="32"/>
  <c r="S41" i="32" s="1"/>
  <c r="L41" i="31"/>
  <c r="R41" i="31"/>
  <c r="S41" i="31" s="1"/>
  <c r="R35" i="19"/>
  <c r="S35" i="19" s="1"/>
  <c r="J39" i="19"/>
  <c r="L35" i="19"/>
  <c r="L41" i="33"/>
  <c r="R41" i="33"/>
  <c r="S41" i="33" s="1"/>
  <c r="R34" i="14"/>
  <c r="S34" i="14" s="1"/>
  <c r="J39" i="32"/>
  <c r="L39" i="32" s="1"/>
  <c r="M39" i="32" s="1"/>
  <c r="J39" i="31"/>
  <c r="L39" i="31" s="1"/>
  <c r="M39" i="31" s="1"/>
  <c r="J39" i="34"/>
  <c r="L39" i="34" s="1"/>
  <c r="M39" i="34" s="1"/>
  <c r="J39" i="10"/>
  <c r="L39" i="10" s="1"/>
  <c r="M39" i="10" s="1"/>
  <c r="J50" i="32"/>
  <c r="L50" i="32" s="1"/>
  <c r="R33" i="34"/>
  <c r="S33" i="34" s="1"/>
  <c r="R33" i="10"/>
  <c r="S33" i="10" s="1"/>
  <c r="R33" i="33"/>
  <c r="S33" i="33" s="1"/>
  <c r="R33" i="31"/>
  <c r="S33" i="31" s="1"/>
  <c r="R33" i="32"/>
  <c r="S33" i="32" s="1"/>
  <c r="J50" i="33"/>
  <c r="J53" i="33" s="1"/>
  <c r="L33" i="11"/>
  <c r="R33" i="11"/>
  <c r="S33" i="11" s="1"/>
  <c r="J40" i="11"/>
  <c r="L42" i="14"/>
  <c r="M42" i="14" s="1"/>
  <c r="R42" i="14"/>
  <c r="S42" i="14" s="1"/>
  <c r="R41" i="14"/>
  <c r="S41" i="14" s="1"/>
  <c r="L33" i="14"/>
  <c r="J39" i="14"/>
  <c r="L39" i="14" s="1"/>
  <c r="M39" i="14" s="1"/>
  <c r="R43" i="14"/>
  <c r="S43" i="14" s="1"/>
  <c r="L43" i="14"/>
  <c r="L39" i="25"/>
  <c r="M39" i="25" s="1"/>
  <c r="J47" i="25"/>
  <c r="L39" i="27"/>
  <c r="M39" i="27" s="1"/>
  <c r="J47" i="27"/>
  <c r="L39" i="9"/>
  <c r="M39" i="9" s="1"/>
  <c r="J47" i="9"/>
  <c r="L39" i="28"/>
  <c r="M39" i="28" s="1"/>
  <c r="J47" i="28"/>
  <c r="O29" i="23"/>
  <c r="P29" i="23" s="1"/>
  <c r="O29" i="17"/>
  <c r="P29" i="17" s="1"/>
  <c r="O29" i="1"/>
  <c r="P29" i="1" s="1"/>
  <c r="O29" i="22"/>
  <c r="P29" i="22" s="1"/>
  <c r="O29" i="20"/>
  <c r="P29" i="20" s="1"/>
  <c r="O29" i="19"/>
  <c r="P29" i="19" s="1"/>
  <c r="O29" i="21"/>
  <c r="P29" i="21" s="1"/>
  <c r="O29" i="35"/>
  <c r="P29" i="35" s="1"/>
  <c r="R36" i="12"/>
  <c r="S36" i="12" s="1"/>
  <c r="L36" i="12"/>
  <c r="J39" i="12"/>
  <c r="L50" i="13"/>
  <c r="J53" i="13"/>
  <c r="L39" i="29"/>
  <c r="M39" i="29" s="1"/>
  <c r="J47" i="29"/>
  <c r="R44" i="11"/>
  <c r="L39" i="26"/>
  <c r="M39" i="26" s="1"/>
  <c r="J47" i="26"/>
  <c r="L39" i="23" l="1"/>
  <c r="M39" i="23" s="1"/>
  <c r="J47" i="23"/>
  <c r="L39" i="21"/>
  <c r="M39" i="21" s="1"/>
  <c r="J47" i="21"/>
  <c r="L39" i="1"/>
  <c r="M39" i="1" s="1"/>
  <c r="J47" i="1"/>
  <c r="L39" i="17"/>
  <c r="M39" i="17" s="1"/>
  <c r="J47" i="17"/>
  <c r="L39" i="19"/>
  <c r="M39" i="19" s="1"/>
  <c r="J47" i="19"/>
  <c r="L39" i="22"/>
  <c r="M39" i="22" s="1"/>
  <c r="J47" i="22"/>
  <c r="L39" i="35"/>
  <c r="M39" i="35" s="1"/>
  <c r="J47" i="35"/>
  <c r="L39" i="20"/>
  <c r="M39" i="20" s="1"/>
  <c r="J47" i="20"/>
  <c r="J53" i="32"/>
  <c r="L53" i="32" s="1"/>
  <c r="J50" i="31"/>
  <c r="L50" i="31" s="1"/>
  <c r="F6" i="30" s="1"/>
  <c r="J50" i="10"/>
  <c r="J53" i="10" s="1"/>
  <c r="L53" i="10" s="1"/>
  <c r="F43" i="15"/>
  <c r="J50" i="34"/>
  <c r="J53" i="34" s="1"/>
  <c r="L53" i="34" s="1"/>
  <c r="L50" i="33"/>
  <c r="F9" i="30" s="1"/>
  <c r="L40" i="11"/>
  <c r="M40" i="11" s="1"/>
  <c r="J50" i="11"/>
  <c r="O47" i="13"/>
  <c r="P47" i="13" s="1"/>
  <c r="R47" i="13" s="1"/>
  <c r="S47" i="13" s="1"/>
  <c r="F49" i="15"/>
  <c r="O47" i="11"/>
  <c r="P47" i="11" s="1"/>
  <c r="R47" i="11" s="1"/>
  <c r="S47" i="11" s="1"/>
  <c r="J50" i="14"/>
  <c r="L50" i="14" s="1"/>
  <c r="O47" i="34"/>
  <c r="P47" i="34" s="1"/>
  <c r="O47" i="32"/>
  <c r="P47" i="32" s="1"/>
  <c r="O47" i="31"/>
  <c r="P47" i="31" s="1"/>
  <c r="O47" i="10"/>
  <c r="P47" i="10" s="1"/>
  <c r="O47" i="33"/>
  <c r="P47" i="33" s="1"/>
  <c r="J50" i="26"/>
  <c r="L47" i="26"/>
  <c r="J50" i="29"/>
  <c r="L47" i="29"/>
  <c r="M50" i="13"/>
  <c r="I11" i="15" s="1"/>
  <c r="G48" i="15" s="1"/>
  <c r="G11" i="15"/>
  <c r="M50" i="31"/>
  <c r="G6" i="30" s="1"/>
  <c r="F43" i="30" s="1"/>
  <c r="L39" i="12"/>
  <c r="M39" i="12" s="1"/>
  <c r="J49" i="12"/>
  <c r="R29" i="21"/>
  <c r="S29" i="21" s="1"/>
  <c r="P39" i="21"/>
  <c r="R39" i="21" s="1"/>
  <c r="S39" i="21" s="1"/>
  <c r="R29" i="1"/>
  <c r="S29" i="1" s="1"/>
  <c r="P39" i="1"/>
  <c r="R39" i="1" s="1"/>
  <c r="S39" i="1" s="1"/>
  <c r="J50" i="9"/>
  <c r="L47" i="9"/>
  <c r="R29" i="19"/>
  <c r="S29" i="19" s="1"/>
  <c r="P39" i="19"/>
  <c r="R39" i="19" s="1"/>
  <c r="S39" i="19" s="1"/>
  <c r="R29" i="17"/>
  <c r="S29" i="17" s="1"/>
  <c r="P39" i="17"/>
  <c r="R39" i="17" s="1"/>
  <c r="S39" i="17" s="1"/>
  <c r="J50" i="28"/>
  <c r="L47" i="28"/>
  <c r="J70" i="32"/>
  <c r="R29" i="20"/>
  <c r="S29" i="20" s="1"/>
  <c r="P39" i="20"/>
  <c r="R39" i="20" s="1"/>
  <c r="S39" i="20" s="1"/>
  <c r="R29" i="23"/>
  <c r="S29" i="23" s="1"/>
  <c r="P39" i="23"/>
  <c r="R39" i="23" s="1"/>
  <c r="S39" i="23" s="1"/>
  <c r="L47" i="27"/>
  <c r="J50" i="27"/>
  <c r="J64" i="34"/>
  <c r="M50" i="32"/>
  <c r="G7" i="30" s="1"/>
  <c r="F44" i="30" s="1"/>
  <c r="F7" i="30"/>
  <c r="L53" i="13"/>
  <c r="J64" i="13"/>
  <c r="J70" i="13"/>
  <c r="R29" i="35"/>
  <c r="S29" i="35" s="1"/>
  <c r="P39" i="35"/>
  <c r="R39" i="35" s="1"/>
  <c r="S39" i="35" s="1"/>
  <c r="R29" i="22"/>
  <c r="S29" i="22" s="1"/>
  <c r="P39" i="22"/>
  <c r="R39" i="22" s="1"/>
  <c r="S39" i="22" s="1"/>
  <c r="J50" i="25"/>
  <c r="L47" i="25"/>
  <c r="J64" i="33"/>
  <c r="L53" i="33"/>
  <c r="J70" i="33"/>
  <c r="J70" i="34" l="1"/>
  <c r="J64" i="32"/>
  <c r="J50" i="20"/>
  <c r="L47" i="20"/>
  <c r="L47" i="22"/>
  <c r="J50" i="22"/>
  <c r="J50" i="17"/>
  <c r="L47" i="17"/>
  <c r="J50" i="21"/>
  <c r="L47" i="21"/>
  <c r="L47" i="35"/>
  <c r="J50" i="35"/>
  <c r="L47" i="19"/>
  <c r="J50" i="19"/>
  <c r="J50" i="1"/>
  <c r="L47" i="1"/>
  <c r="L47" i="23"/>
  <c r="J50" i="23"/>
  <c r="J53" i="31"/>
  <c r="J64" i="31" s="1"/>
  <c r="L64" i="31" s="1"/>
  <c r="M64" i="31" s="1"/>
  <c r="L50" i="10"/>
  <c r="G8" i="15" s="1"/>
  <c r="F8" i="30" s="1"/>
  <c r="J64" i="10"/>
  <c r="L50" i="34"/>
  <c r="M50" i="34" s="1"/>
  <c r="G10" i="30" s="1"/>
  <c r="F47" i="30" s="1"/>
  <c r="J70" i="10"/>
  <c r="L70" i="10" s="1"/>
  <c r="M70" i="10" s="1"/>
  <c r="M50" i="33"/>
  <c r="G9" i="30" s="1"/>
  <c r="F46" i="30" s="1"/>
  <c r="O47" i="14"/>
  <c r="P47" i="14" s="1"/>
  <c r="R47" i="14" s="1"/>
  <c r="S47" i="14" s="1"/>
  <c r="J53" i="11"/>
  <c r="L50" i="11"/>
  <c r="F45" i="15"/>
  <c r="O46" i="12"/>
  <c r="P46" i="12" s="1"/>
  <c r="R46" i="12" s="1"/>
  <c r="S46" i="12" s="1"/>
  <c r="O44" i="9"/>
  <c r="P44" i="9" s="1"/>
  <c r="R44" i="9" s="1"/>
  <c r="S44" i="9" s="1"/>
  <c r="O44" i="26"/>
  <c r="P44" i="26" s="1"/>
  <c r="R44" i="26" s="1"/>
  <c r="S44" i="26" s="1"/>
  <c r="O44" i="29"/>
  <c r="P44" i="29" s="1"/>
  <c r="R44" i="29" s="1"/>
  <c r="S44" i="29" s="1"/>
  <c r="O44" i="28"/>
  <c r="P44" i="28" s="1"/>
  <c r="R44" i="28" s="1"/>
  <c r="S44" i="28" s="1"/>
  <c r="O44" i="27"/>
  <c r="P44" i="27" s="1"/>
  <c r="R44" i="27" s="1"/>
  <c r="S44" i="27" s="1"/>
  <c r="O44" i="25"/>
  <c r="P44" i="25" s="1"/>
  <c r="R44" i="25" s="1"/>
  <c r="S44" i="25" s="1"/>
  <c r="J53" i="14"/>
  <c r="J64" i="14" s="1"/>
  <c r="M50" i="14"/>
  <c r="I12" i="15" s="1"/>
  <c r="G49" i="15" s="1"/>
  <c r="G12" i="15"/>
  <c r="J71" i="33"/>
  <c r="L71" i="33" s="1"/>
  <c r="M71" i="33" s="1"/>
  <c r="L70" i="33"/>
  <c r="M70" i="33" s="1"/>
  <c r="M53" i="34"/>
  <c r="G22" i="30" s="1"/>
  <c r="F22" i="30"/>
  <c r="J65" i="32"/>
  <c r="L65" i="32" s="1"/>
  <c r="M65" i="32" s="1"/>
  <c r="L64" i="32"/>
  <c r="M64" i="32" s="1"/>
  <c r="J61" i="28"/>
  <c r="J67" i="28"/>
  <c r="L50" i="28"/>
  <c r="L49" i="12"/>
  <c r="J52" i="12"/>
  <c r="R47" i="10"/>
  <c r="S47" i="10" s="1"/>
  <c r="M53" i="33"/>
  <c r="G21" i="30" s="1"/>
  <c r="F21" i="30"/>
  <c r="L70" i="13"/>
  <c r="M70" i="13" s="1"/>
  <c r="J71" i="13"/>
  <c r="L71" i="13" s="1"/>
  <c r="M71" i="13" s="1"/>
  <c r="J65" i="34"/>
  <c r="L65" i="34" s="1"/>
  <c r="M65" i="34" s="1"/>
  <c r="L64" i="34"/>
  <c r="M64" i="34" s="1"/>
  <c r="J61" i="27"/>
  <c r="L50" i="27"/>
  <c r="J67" i="27"/>
  <c r="M53" i="32"/>
  <c r="G19" i="30" s="1"/>
  <c r="F19" i="30"/>
  <c r="M47" i="26"/>
  <c r="G8" i="24" s="1"/>
  <c r="F45" i="24" s="1"/>
  <c r="F8" i="24"/>
  <c r="R47" i="31"/>
  <c r="S47" i="31" s="1"/>
  <c r="L64" i="33"/>
  <c r="M64" i="33" s="1"/>
  <c r="J65" i="33"/>
  <c r="M47" i="25"/>
  <c r="G6" i="24" s="1"/>
  <c r="F43" i="24" s="1"/>
  <c r="F6" i="24"/>
  <c r="M53" i="10"/>
  <c r="I20" i="15" s="1"/>
  <c r="G20" i="30" s="1"/>
  <c r="G20" i="15"/>
  <c r="F20" i="30" s="1"/>
  <c r="J65" i="13"/>
  <c r="L65" i="13" s="1"/>
  <c r="M65" i="13" s="1"/>
  <c r="L64" i="13"/>
  <c r="M64" i="13" s="1"/>
  <c r="J71" i="34"/>
  <c r="L71" i="34" s="1"/>
  <c r="M71" i="34" s="1"/>
  <c r="L70" i="34"/>
  <c r="M70" i="34" s="1"/>
  <c r="M47" i="27"/>
  <c r="G9" i="24" s="1"/>
  <c r="F46" i="24" s="1"/>
  <c r="F9" i="24"/>
  <c r="M47" i="9"/>
  <c r="I7" i="15" s="1"/>
  <c r="G7" i="15"/>
  <c r="F7" i="24" s="1"/>
  <c r="M47" i="29"/>
  <c r="G11" i="24" s="1"/>
  <c r="F48" i="24" s="1"/>
  <c r="F11" i="24"/>
  <c r="J67" i="26"/>
  <c r="J61" i="26"/>
  <c r="L50" i="26"/>
  <c r="R47" i="32"/>
  <c r="S47" i="32" s="1"/>
  <c r="J61" i="25"/>
  <c r="L50" i="25"/>
  <c r="J67" i="25"/>
  <c r="J65" i="31"/>
  <c r="L65" i="31" s="1"/>
  <c r="M65" i="31" s="1"/>
  <c r="L64" i="10"/>
  <c r="M64" i="10" s="1"/>
  <c r="J65" i="10"/>
  <c r="L65" i="10" s="1"/>
  <c r="M65" i="10" s="1"/>
  <c r="G23" i="15"/>
  <c r="M53" i="13"/>
  <c r="L70" i="32"/>
  <c r="M70" i="32" s="1"/>
  <c r="J71" i="32"/>
  <c r="L71" i="32" s="1"/>
  <c r="M71" i="32" s="1"/>
  <c r="M47" i="28"/>
  <c r="G10" i="24" s="1"/>
  <c r="F47" i="24" s="1"/>
  <c r="F10" i="24"/>
  <c r="J61" i="9"/>
  <c r="J67" i="9"/>
  <c r="L50" i="9"/>
  <c r="J67" i="29"/>
  <c r="J61" i="29"/>
  <c r="L50" i="29"/>
  <c r="M50" i="29" s="1"/>
  <c r="G23" i="24" s="1"/>
  <c r="R47" i="33"/>
  <c r="S47" i="33" s="1"/>
  <c r="R47" i="34"/>
  <c r="S47" i="34" s="1"/>
  <c r="M50" i="10" l="1"/>
  <c r="I8" i="15" s="1"/>
  <c r="G8" i="30" s="1"/>
  <c r="F45" i="30" s="1"/>
  <c r="J61" i="23"/>
  <c r="L50" i="23"/>
  <c r="J67" i="23"/>
  <c r="L50" i="19"/>
  <c r="J61" i="19"/>
  <c r="J67" i="19"/>
  <c r="M47" i="21"/>
  <c r="G11" i="18" s="1"/>
  <c r="F51" i="18" s="1"/>
  <c r="F11" i="18"/>
  <c r="J67" i="22"/>
  <c r="L50" i="22"/>
  <c r="J61" i="22"/>
  <c r="L53" i="31"/>
  <c r="M53" i="31" s="1"/>
  <c r="G18" i="30" s="1"/>
  <c r="M47" i="23"/>
  <c r="G13" i="18" s="1"/>
  <c r="F53" i="18" s="1"/>
  <c r="F13" i="18"/>
  <c r="M47" i="19"/>
  <c r="G7" i="18" s="1"/>
  <c r="F47" i="18" s="1"/>
  <c r="F7" i="18"/>
  <c r="J67" i="21"/>
  <c r="J61" i="21"/>
  <c r="L50" i="21"/>
  <c r="M47" i="22"/>
  <c r="G12" i="18" s="1"/>
  <c r="F52" i="18" s="1"/>
  <c r="F12" i="18"/>
  <c r="G6" i="15"/>
  <c r="F10" i="18" s="1"/>
  <c r="M47" i="1"/>
  <c r="I6" i="15" s="1"/>
  <c r="L50" i="35"/>
  <c r="J61" i="35"/>
  <c r="J67" i="35"/>
  <c r="M47" i="17"/>
  <c r="G6" i="18" s="1"/>
  <c r="F46" i="18" s="1"/>
  <c r="F6" i="18"/>
  <c r="M47" i="20"/>
  <c r="G9" i="18" s="1"/>
  <c r="F49" i="18" s="1"/>
  <c r="F9" i="18"/>
  <c r="L50" i="1"/>
  <c r="J67" i="1"/>
  <c r="J61" i="1"/>
  <c r="M47" i="35"/>
  <c r="G8" i="18" s="1"/>
  <c r="F48" i="18" s="1"/>
  <c r="F8" i="18"/>
  <c r="J61" i="17"/>
  <c r="L50" i="17"/>
  <c r="J67" i="17"/>
  <c r="J67" i="20"/>
  <c r="J61" i="20"/>
  <c r="L50" i="20"/>
  <c r="J70" i="31"/>
  <c r="J71" i="10"/>
  <c r="L71" i="10" s="1"/>
  <c r="M71" i="10" s="1"/>
  <c r="F50" i="30"/>
  <c r="F10" i="30"/>
  <c r="F18" i="30"/>
  <c r="G9" i="15"/>
  <c r="M50" i="11"/>
  <c r="I9" i="15" s="1"/>
  <c r="G46" i="15" s="1"/>
  <c r="J64" i="11"/>
  <c r="J70" i="11"/>
  <c r="L53" i="11"/>
  <c r="J70" i="14"/>
  <c r="L70" i="14" s="1"/>
  <c r="M70" i="14" s="1"/>
  <c r="L53" i="14"/>
  <c r="M53" i="14" s="1"/>
  <c r="J65" i="14"/>
  <c r="L65" i="14" s="1"/>
  <c r="M65" i="14" s="1"/>
  <c r="L64" i="14"/>
  <c r="M64" i="14" s="1"/>
  <c r="J72" i="13"/>
  <c r="J74" i="13" s="1"/>
  <c r="L74" i="13" s="1"/>
  <c r="M74" i="13" s="1"/>
  <c r="J66" i="32"/>
  <c r="L66" i="32" s="1"/>
  <c r="M66" i="32" s="1"/>
  <c r="J66" i="10"/>
  <c r="L66" i="10" s="1"/>
  <c r="M66" i="10" s="1"/>
  <c r="J72" i="34"/>
  <c r="J74" i="34" s="1"/>
  <c r="L74" i="34" s="1"/>
  <c r="M74" i="34" s="1"/>
  <c r="J72" i="33"/>
  <c r="J74" i="33" s="1"/>
  <c r="L74" i="33" s="1"/>
  <c r="M74" i="33" s="1"/>
  <c r="L61" i="29"/>
  <c r="M61" i="29" s="1"/>
  <c r="J62" i="29"/>
  <c r="L62" i="29" s="1"/>
  <c r="M62" i="29" s="1"/>
  <c r="J68" i="9"/>
  <c r="L68" i="9" s="1"/>
  <c r="M68" i="9" s="1"/>
  <c r="L67" i="9"/>
  <c r="M67" i="9" s="1"/>
  <c r="J66" i="31"/>
  <c r="J62" i="25"/>
  <c r="L62" i="25" s="1"/>
  <c r="M62" i="25" s="1"/>
  <c r="L61" i="25"/>
  <c r="M61" i="25" s="1"/>
  <c r="M50" i="26"/>
  <c r="G20" i="24" s="1"/>
  <c r="F20" i="24"/>
  <c r="J66" i="33"/>
  <c r="L65" i="33"/>
  <c r="M65" i="33" s="1"/>
  <c r="J66" i="34"/>
  <c r="G10" i="15"/>
  <c r="M49" i="12"/>
  <c r="I10" i="15" s="1"/>
  <c r="G47" i="15" s="1"/>
  <c r="J62" i="28"/>
  <c r="L62" i="28" s="1"/>
  <c r="M62" i="28" s="1"/>
  <c r="L61" i="28"/>
  <c r="M61" i="28" s="1"/>
  <c r="L67" i="29"/>
  <c r="M67" i="29" s="1"/>
  <c r="J68" i="29"/>
  <c r="L68" i="29" s="1"/>
  <c r="M68" i="29" s="1"/>
  <c r="L61" i="9"/>
  <c r="M61" i="9" s="1"/>
  <c r="J62" i="9"/>
  <c r="L62" i="9" s="1"/>
  <c r="M62" i="9" s="1"/>
  <c r="L61" i="26"/>
  <c r="M61" i="26" s="1"/>
  <c r="J62" i="26"/>
  <c r="L62" i="26" s="1"/>
  <c r="M62" i="26" s="1"/>
  <c r="J68" i="27"/>
  <c r="L68" i="27" s="1"/>
  <c r="M68" i="27" s="1"/>
  <c r="L67" i="27"/>
  <c r="M67" i="27" s="1"/>
  <c r="J72" i="32"/>
  <c r="J68" i="25"/>
  <c r="L68" i="25" s="1"/>
  <c r="M68" i="25" s="1"/>
  <c r="L67" i="25"/>
  <c r="M67" i="25" s="1"/>
  <c r="J68" i="26"/>
  <c r="L68" i="26" s="1"/>
  <c r="M68" i="26" s="1"/>
  <c r="L67" i="26"/>
  <c r="M67" i="26" s="1"/>
  <c r="G44" i="15"/>
  <c r="G7" i="24"/>
  <c r="F44" i="24" s="1"/>
  <c r="F50" i="24" s="1"/>
  <c r="J66" i="13"/>
  <c r="M50" i="27"/>
  <c r="G21" i="24" s="1"/>
  <c r="F21" i="24"/>
  <c r="J72" i="10"/>
  <c r="M50" i="28"/>
  <c r="G22" i="24" s="1"/>
  <c r="F22" i="24"/>
  <c r="G19" i="15"/>
  <c r="F19" i="24" s="1"/>
  <c r="M50" i="9"/>
  <c r="I19" i="15" s="1"/>
  <c r="G19" i="24" s="1"/>
  <c r="I23" i="15"/>
  <c r="I24" i="15"/>
  <c r="M50" i="25"/>
  <c r="G18" i="24" s="1"/>
  <c r="F18" i="24"/>
  <c r="J62" i="27"/>
  <c r="L62" i="27" s="1"/>
  <c r="M62" i="27" s="1"/>
  <c r="L61" i="27"/>
  <c r="M61" i="27" s="1"/>
  <c r="L52" i="12"/>
  <c r="J69" i="12"/>
  <c r="J63" i="12"/>
  <c r="L67" i="28"/>
  <c r="M67" i="28" s="1"/>
  <c r="J68" i="28"/>
  <c r="G45" i="15" l="1"/>
  <c r="L67" i="20"/>
  <c r="M67" i="20" s="1"/>
  <c r="J68" i="20"/>
  <c r="L68" i="20" s="1"/>
  <c r="M68" i="20" s="1"/>
  <c r="G18" i="15"/>
  <c r="F23" i="18" s="1"/>
  <c r="M50" i="1"/>
  <c r="I18" i="15" s="1"/>
  <c r="G23" i="18" s="1"/>
  <c r="G10" i="18"/>
  <c r="F50" i="18" s="1"/>
  <c r="F54" i="18" s="1"/>
  <c r="G43" i="15"/>
  <c r="F24" i="18"/>
  <c r="M50" i="21"/>
  <c r="G24" i="18" s="1"/>
  <c r="J62" i="22"/>
  <c r="L62" i="22" s="1"/>
  <c r="M62" i="22" s="1"/>
  <c r="L61" i="22"/>
  <c r="M61" i="22" s="1"/>
  <c r="J68" i="23"/>
  <c r="L68" i="23" s="1"/>
  <c r="M68" i="23" s="1"/>
  <c r="L67" i="23"/>
  <c r="M67" i="23" s="1"/>
  <c r="L67" i="17"/>
  <c r="M67" i="17" s="1"/>
  <c r="J68" i="17"/>
  <c r="L68" i="17" s="1"/>
  <c r="M68" i="17" s="1"/>
  <c r="J68" i="35"/>
  <c r="L68" i="35" s="1"/>
  <c r="M68" i="35" s="1"/>
  <c r="L67" i="35"/>
  <c r="M67" i="35" s="1"/>
  <c r="L61" i="21"/>
  <c r="M61" i="21" s="1"/>
  <c r="J62" i="21"/>
  <c r="L62" i="21" s="1"/>
  <c r="M62" i="21" s="1"/>
  <c r="M50" i="22"/>
  <c r="G25" i="18" s="1"/>
  <c r="F25" i="18"/>
  <c r="J68" i="19"/>
  <c r="L68" i="19" s="1"/>
  <c r="M68" i="19" s="1"/>
  <c r="L67" i="19"/>
  <c r="M67" i="19" s="1"/>
  <c r="F26" i="18"/>
  <c r="M50" i="23"/>
  <c r="G26" i="18" s="1"/>
  <c r="F22" i="18"/>
  <c r="M50" i="20"/>
  <c r="G22" i="18" s="1"/>
  <c r="M50" i="17"/>
  <c r="G19" i="18" s="1"/>
  <c r="F19" i="18"/>
  <c r="L61" i="1"/>
  <c r="M61" i="1" s="1"/>
  <c r="J62" i="1"/>
  <c r="L62" i="1" s="1"/>
  <c r="M62" i="1" s="1"/>
  <c r="J62" i="35"/>
  <c r="L62" i="35" s="1"/>
  <c r="M62" i="35" s="1"/>
  <c r="L61" i="35"/>
  <c r="M61" i="35" s="1"/>
  <c r="L67" i="21"/>
  <c r="M67" i="21" s="1"/>
  <c r="J68" i="21"/>
  <c r="L68" i="21" s="1"/>
  <c r="M68" i="21" s="1"/>
  <c r="L67" i="22"/>
  <c r="M67" i="22" s="1"/>
  <c r="J68" i="22"/>
  <c r="L68" i="22" s="1"/>
  <c r="M68" i="22" s="1"/>
  <c r="L61" i="19"/>
  <c r="M61" i="19" s="1"/>
  <c r="J62" i="19"/>
  <c r="L62" i="19" s="1"/>
  <c r="M62" i="19" s="1"/>
  <c r="J62" i="23"/>
  <c r="L62" i="23" s="1"/>
  <c r="M62" i="23" s="1"/>
  <c r="L61" i="23"/>
  <c r="M61" i="23" s="1"/>
  <c r="J63" i="23"/>
  <c r="L61" i="20"/>
  <c r="M61" i="20" s="1"/>
  <c r="J62" i="20"/>
  <c r="L62" i="20" s="1"/>
  <c r="M62" i="20" s="1"/>
  <c r="J62" i="17"/>
  <c r="L62" i="17" s="1"/>
  <c r="M62" i="17" s="1"/>
  <c r="L61" i="17"/>
  <c r="M61" i="17" s="1"/>
  <c r="J68" i="1"/>
  <c r="L68" i="1" s="1"/>
  <c r="M68" i="1" s="1"/>
  <c r="L67" i="1"/>
  <c r="M67" i="1" s="1"/>
  <c r="F21" i="18"/>
  <c r="M50" i="35"/>
  <c r="G21" i="18" s="1"/>
  <c r="M50" i="19"/>
  <c r="G20" i="18" s="1"/>
  <c r="F20" i="18"/>
  <c r="L70" i="31"/>
  <c r="M70" i="31" s="1"/>
  <c r="J71" i="31"/>
  <c r="J65" i="11"/>
  <c r="L64" i="11"/>
  <c r="M64" i="11" s="1"/>
  <c r="M53" i="11"/>
  <c r="I21" i="15" s="1"/>
  <c r="G21" i="15"/>
  <c r="F50" i="15"/>
  <c r="F46" i="15"/>
  <c r="L70" i="11"/>
  <c r="M70" i="11" s="1"/>
  <c r="J71" i="11"/>
  <c r="L72" i="13"/>
  <c r="M72" i="13" s="1"/>
  <c r="J71" i="14"/>
  <c r="L71" i="14" s="1"/>
  <c r="M71" i="14" s="1"/>
  <c r="G24" i="15"/>
  <c r="J66" i="14"/>
  <c r="L72" i="33"/>
  <c r="M72" i="33" s="1"/>
  <c r="J68" i="10"/>
  <c r="L68" i="10" s="1"/>
  <c r="L72" i="34"/>
  <c r="M72" i="34" s="1"/>
  <c r="J68" i="32"/>
  <c r="L68" i="32" s="1"/>
  <c r="M68" i="32" s="1"/>
  <c r="G32" i="30" s="1"/>
  <c r="F56" i="30" s="1"/>
  <c r="J69" i="27"/>
  <c r="L69" i="27" s="1"/>
  <c r="M69" i="27" s="1"/>
  <c r="J63" i="28"/>
  <c r="J65" i="28" s="1"/>
  <c r="L65" i="28" s="1"/>
  <c r="J63" i="25"/>
  <c r="J65" i="25" s="1"/>
  <c r="L65" i="25" s="1"/>
  <c r="J63" i="27"/>
  <c r="L63" i="27" s="1"/>
  <c r="M63" i="27" s="1"/>
  <c r="J63" i="9"/>
  <c r="J65" i="9" s="1"/>
  <c r="G50" i="15"/>
  <c r="J69" i="26"/>
  <c r="L69" i="26" s="1"/>
  <c r="M69" i="26" s="1"/>
  <c r="G22" i="15"/>
  <c r="M52" i="12"/>
  <c r="I22" i="15" s="1"/>
  <c r="L66" i="13"/>
  <c r="M66" i="13" s="1"/>
  <c r="J68" i="13"/>
  <c r="J69" i="25"/>
  <c r="J69" i="9"/>
  <c r="J69" i="28"/>
  <c r="L68" i="28"/>
  <c r="M68" i="28" s="1"/>
  <c r="J74" i="10"/>
  <c r="L74" i="10" s="1"/>
  <c r="M74" i="10" s="1"/>
  <c r="L72" i="10"/>
  <c r="M72" i="10" s="1"/>
  <c r="J74" i="32"/>
  <c r="L74" i="32" s="1"/>
  <c r="M74" i="32" s="1"/>
  <c r="L72" i="32"/>
  <c r="M72" i="32" s="1"/>
  <c r="J63" i="26"/>
  <c r="L66" i="31"/>
  <c r="M66" i="31" s="1"/>
  <c r="J68" i="31"/>
  <c r="L68" i="31" s="1"/>
  <c r="O44" i="19"/>
  <c r="P44" i="19" s="1"/>
  <c r="O44" i="35"/>
  <c r="P44" i="35" s="1"/>
  <c r="O44" i="22"/>
  <c r="P44" i="22" s="1"/>
  <c r="O44" i="21"/>
  <c r="P44" i="21" s="1"/>
  <c r="O44" i="17"/>
  <c r="P44" i="17" s="1"/>
  <c r="O44" i="20"/>
  <c r="P44" i="20" s="1"/>
  <c r="O44" i="23"/>
  <c r="P44" i="23" s="1"/>
  <c r="O44" i="1"/>
  <c r="P44" i="1" s="1"/>
  <c r="J64" i="12"/>
  <c r="L64" i="12" s="1"/>
  <c r="M64" i="12" s="1"/>
  <c r="L63" i="12"/>
  <c r="M63" i="12" s="1"/>
  <c r="L69" i="12"/>
  <c r="M69" i="12" s="1"/>
  <c r="J70" i="12"/>
  <c r="L70" i="12" s="1"/>
  <c r="M70" i="12" s="1"/>
  <c r="J69" i="29"/>
  <c r="J68" i="34"/>
  <c r="L68" i="34" s="1"/>
  <c r="L66" i="34"/>
  <c r="M66" i="34" s="1"/>
  <c r="L66" i="33"/>
  <c r="M66" i="33" s="1"/>
  <c r="J68" i="33"/>
  <c r="L68" i="33" s="1"/>
  <c r="J63" i="29"/>
  <c r="J63" i="21" l="1"/>
  <c r="J63" i="20"/>
  <c r="J69" i="21"/>
  <c r="J63" i="17"/>
  <c r="J65" i="17" s="1"/>
  <c r="L65" i="17" s="1"/>
  <c r="J63" i="1"/>
  <c r="J69" i="17"/>
  <c r="L69" i="17" s="1"/>
  <c r="M69" i="17" s="1"/>
  <c r="J69" i="1"/>
  <c r="J63" i="19"/>
  <c r="J65" i="19" s="1"/>
  <c r="L65" i="19" s="1"/>
  <c r="J63" i="35"/>
  <c r="J69" i="19"/>
  <c r="L69" i="19" s="1"/>
  <c r="M69" i="19" s="1"/>
  <c r="J69" i="35"/>
  <c r="L63" i="17"/>
  <c r="M63" i="17" s="1"/>
  <c r="J69" i="22"/>
  <c r="J69" i="23"/>
  <c r="J69" i="20"/>
  <c r="L69" i="1"/>
  <c r="M69" i="1" s="1"/>
  <c r="J71" i="1"/>
  <c r="L71" i="1" s="1"/>
  <c r="M71" i="1" s="1"/>
  <c r="J65" i="1"/>
  <c r="L65" i="1" s="1"/>
  <c r="L63" i="1"/>
  <c r="M63" i="1" s="1"/>
  <c r="J71" i="17"/>
  <c r="L71" i="17" s="1"/>
  <c r="M71" i="17" s="1"/>
  <c r="J65" i="23"/>
  <c r="L65" i="23" s="1"/>
  <c r="L63" i="23"/>
  <c r="M63" i="23" s="1"/>
  <c r="L63" i="35"/>
  <c r="M63" i="35" s="1"/>
  <c r="J65" i="35"/>
  <c r="L65" i="35" s="1"/>
  <c r="J71" i="19"/>
  <c r="L71" i="19" s="1"/>
  <c r="M71" i="19" s="1"/>
  <c r="J71" i="35"/>
  <c r="L71" i="35" s="1"/>
  <c r="M71" i="35" s="1"/>
  <c r="L69" i="35"/>
  <c r="M69" i="35" s="1"/>
  <c r="J65" i="20"/>
  <c r="L65" i="20" s="1"/>
  <c r="L63" i="20"/>
  <c r="M63" i="20" s="1"/>
  <c r="L69" i="21"/>
  <c r="M69" i="21" s="1"/>
  <c r="J71" i="21"/>
  <c r="L71" i="21" s="1"/>
  <c r="M71" i="21" s="1"/>
  <c r="L63" i="21"/>
  <c r="M63" i="21" s="1"/>
  <c r="J65" i="21"/>
  <c r="L65" i="21" s="1"/>
  <c r="J63" i="22"/>
  <c r="L71" i="31"/>
  <c r="M71" i="31" s="1"/>
  <c r="J72" i="31"/>
  <c r="F55" i="15"/>
  <c r="L71" i="11"/>
  <c r="M71" i="11" s="1"/>
  <c r="J72" i="11"/>
  <c r="L65" i="11"/>
  <c r="M65" i="11" s="1"/>
  <c r="J66" i="11"/>
  <c r="F57" i="15"/>
  <c r="F61" i="15"/>
  <c r="J72" i="14"/>
  <c r="J74" i="14" s="1"/>
  <c r="L74" i="14" s="1"/>
  <c r="M74" i="14" s="1"/>
  <c r="J68" i="14"/>
  <c r="L68" i="14" s="1"/>
  <c r="L66" i="14"/>
  <c r="M66" i="14" s="1"/>
  <c r="J71" i="27"/>
  <c r="L71" i="27" s="1"/>
  <c r="M71" i="27" s="1"/>
  <c r="F32" i="30"/>
  <c r="L63" i="28"/>
  <c r="M63" i="28" s="1"/>
  <c r="J71" i="26"/>
  <c r="L71" i="26" s="1"/>
  <c r="M71" i="26" s="1"/>
  <c r="L63" i="25"/>
  <c r="M63" i="25" s="1"/>
  <c r="J65" i="27"/>
  <c r="L65" i="27" s="1"/>
  <c r="F34" i="24" s="1"/>
  <c r="L63" i="9"/>
  <c r="M63" i="9" s="1"/>
  <c r="L63" i="29"/>
  <c r="M63" i="29" s="1"/>
  <c r="J65" i="29"/>
  <c r="L65" i="29" s="1"/>
  <c r="M68" i="34"/>
  <c r="G35" i="30" s="1"/>
  <c r="F59" i="30" s="1"/>
  <c r="F35" i="30"/>
  <c r="J71" i="12"/>
  <c r="G33" i="15"/>
  <c r="F33" i="30" s="1"/>
  <c r="M68" i="10"/>
  <c r="I33" i="15" s="1"/>
  <c r="M65" i="1"/>
  <c r="I31" i="15" s="1"/>
  <c r="G31" i="15"/>
  <c r="F37" i="18" s="1"/>
  <c r="R44" i="20"/>
  <c r="S44" i="20" s="1"/>
  <c r="P47" i="20"/>
  <c r="R44" i="35"/>
  <c r="S44" i="35" s="1"/>
  <c r="P47" i="35"/>
  <c r="L69" i="9"/>
  <c r="M69" i="9" s="1"/>
  <c r="J71" i="9"/>
  <c r="L71" i="9" s="1"/>
  <c r="M71" i="9" s="1"/>
  <c r="L65" i="9"/>
  <c r="M68" i="33"/>
  <c r="G34" i="30" s="1"/>
  <c r="F58" i="30" s="1"/>
  <c r="F34" i="30"/>
  <c r="L69" i="29"/>
  <c r="M69" i="29" s="1"/>
  <c r="J71" i="29"/>
  <c r="L71" i="29" s="1"/>
  <c r="M71" i="29" s="1"/>
  <c r="F35" i="24"/>
  <c r="M65" i="28"/>
  <c r="G35" i="24" s="1"/>
  <c r="F59" i="24" s="1"/>
  <c r="R44" i="17"/>
  <c r="S44" i="17" s="1"/>
  <c r="P47" i="17"/>
  <c r="R44" i="19"/>
  <c r="S44" i="19" s="1"/>
  <c r="P47" i="19"/>
  <c r="M65" i="27"/>
  <c r="G34" i="24" s="1"/>
  <c r="F58" i="24" s="1"/>
  <c r="J71" i="25"/>
  <c r="L71" i="25" s="1"/>
  <c r="M71" i="25" s="1"/>
  <c r="L69" i="25"/>
  <c r="M69" i="25" s="1"/>
  <c r="R44" i="1"/>
  <c r="S44" i="1" s="1"/>
  <c r="P47" i="1"/>
  <c r="R44" i="21"/>
  <c r="S44" i="21" s="1"/>
  <c r="P47" i="21"/>
  <c r="M68" i="31"/>
  <c r="G31" i="30" s="1"/>
  <c r="F55" i="30" s="1"/>
  <c r="F31" i="30"/>
  <c r="L68" i="13"/>
  <c r="M65" i="25"/>
  <c r="G31" i="24" s="1"/>
  <c r="F55" i="24" s="1"/>
  <c r="F31" i="24"/>
  <c r="J65" i="12"/>
  <c r="R44" i="23"/>
  <c r="S44" i="23" s="1"/>
  <c r="P47" i="23"/>
  <c r="R44" i="22"/>
  <c r="S44" i="22" s="1"/>
  <c r="P47" i="22"/>
  <c r="L63" i="26"/>
  <c r="M63" i="26" s="1"/>
  <c r="J65" i="26"/>
  <c r="L65" i="26" s="1"/>
  <c r="J71" i="28"/>
  <c r="L71" i="28" s="1"/>
  <c r="M71" i="28" s="1"/>
  <c r="L69" i="28"/>
  <c r="M69" i="28" s="1"/>
  <c r="L63" i="19" l="1"/>
  <c r="M63" i="19" s="1"/>
  <c r="L63" i="22"/>
  <c r="M63" i="22" s="1"/>
  <c r="J65" i="22"/>
  <c r="L65" i="22" s="1"/>
  <c r="M65" i="19"/>
  <c r="G34" i="18" s="1"/>
  <c r="F60" i="18" s="1"/>
  <c r="F34" i="18"/>
  <c r="L69" i="23"/>
  <c r="M69" i="23" s="1"/>
  <c r="J71" i="23"/>
  <c r="L71" i="23" s="1"/>
  <c r="M71" i="23" s="1"/>
  <c r="M65" i="21"/>
  <c r="G38" i="18" s="1"/>
  <c r="F64" i="18" s="1"/>
  <c r="F38" i="18"/>
  <c r="L69" i="22"/>
  <c r="M69" i="22" s="1"/>
  <c r="J71" i="22"/>
  <c r="L71" i="22" s="1"/>
  <c r="M71" i="22" s="1"/>
  <c r="M65" i="20"/>
  <c r="G36" i="18" s="1"/>
  <c r="F62" i="18" s="1"/>
  <c r="F36" i="18"/>
  <c r="F40" i="18"/>
  <c r="M65" i="23"/>
  <c r="G40" i="18" s="1"/>
  <c r="F66" i="18" s="1"/>
  <c r="F33" i="18"/>
  <c r="M65" i="17"/>
  <c r="G33" i="18" s="1"/>
  <c r="F59" i="18" s="1"/>
  <c r="M65" i="35"/>
  <c r="G35" i="18" s="1"/>
  <c r="F61" i="18" s="1"/>
  <c r="F35" i="18"/>
  <c r="L69" i="20"/>
  <c r="M69" i="20" s="1"/>
  <c r="J71" i="20"/>
  <c r="L71" i="20" s="1"/>
  <c r="M71" i="20" s="1"/>
  <c r="J74" i="31"/>
  <c r="L74" i="31" s="1"/>
  <c r="M74" i="31" s="1"/>
  <c r="L72" i="31"/>
  <c r="M72" i="31" s="1"/>
  <c r="L66" i="11"/>
  <c r="M66" i="11" s="1"/>
  <c r="J68" i="11"/>
  <c r="L68" i="11" s="1"/>
  <c r="L72" i="11"/>
  <c r="M72" i="11" s="1"/>
  <c r="J74" i="11"/>
  <c r="L74" i="11" s="1"/>
  <c r="M74" i="11" s="1"/>
  <c r="L72" i="14"/>
  <c r="M72" i="14" s="1"/>
  <c r="G37" i="15"/>
  <c r="M68" i="14"/>
  <c r="I37" i="15" s="1"/>
  <c r="G61" i="15" s="1"/>
  <c r="M68" i="13"/>
  <c r="I36" i="15" s="1"/>
  <c r="G60" i="15" s="1"/>
  <c r="G36" i="15"/>
  <c r="P50" i="17"/>
  <c r="R47" i="17"/>
  <c r="R47" i="20"/>
  <c r="P50" i="20"/>
  <c r="G57" i="15"/>
  <c r="G33" i="30"/>
  <c r="F57" i="30" s="1"/>
  <c r="F62" i="30" s="1"/>
  <c r="M65" i="26"/>
  <c r="G33" i="24" s="1"/>
  <c r="F57" i="24" s="1"/>
  <c r="F33" i="24"/>
  <c r="R47" i="23"/>
  <c r="P50" i="23"/>
  <c r="R47" i="1"/>
  <c r="P50" i="1"/>
  <c r="M65" i="9"/>
  <c r="I32" i="15" s="1"/>
  <c r="G32" i="15"/>
  <c r="F32" i="24" s="1"/>
  <c r="L71" i="12"/>
  <c r="M71" i="12" s="1"/>
  <c r="J73" i="12"/>
  <c r="L73" i="12" s="1"/>
  <c r="M73" i="12" s="1"/>
  <c r="P50" i="19"/>
  <c r="R47" i="19"/>
  <c r="P50" i="35"/>
  <c r="R47" i="35"/>
  <c r="M65" i="29"/>
  <c r="G36" i="24" s="1"/>
  <c r="F60" i="24" s="1"/>
  <c r="F36" i="24"/>
  <c r="P50" i="22"/>
  <c r="R47" i="22"/>
  <c r="J67" i="12"/>
  <c r="L65" i="12"/>
  <c r="M65" i="12" s="1"/>
  <c r="R47" i="21"/>
  <c r="P50" i="21"/>
  <c r="G55" i="15"/>
  <c r="G37" i="18"/>
  <c r="F63" i="18" s="1"/>
  <c r="F39" i="18" l="1"/>
  <c r="M65" i="22"/>
  <c r="G39" i="18" s="1"/>
  <c r="F65" i="18" s="1"/>
  <c r="F67" i="18" s="1"/>
  <c r="M68" i="11"/>
  <c r="I34" i="15" s="1"/>
  <c r="G58" i="15" s="1"/>
  <c r="G34" i="15"/>
  <c r="H43" i="15"/>
  <c r="R50" i="21"/>
  <c r="P61" i="21"/>
  <c r="P67" i="21"/>
  <c r="S47" i="35"/>
  <c r="J8" i="18" s="1"/>
  <c r="G48" i="18" s="1"/>
  <c r="I8" i="18"/>
  <c r="G56" i="15"/>
  <c r="G32" i="24"/>
  <c r="F56" i="24" s="1"/>
  <c r="F62" i="24" s="1"/>
  <c r="P67" i="1"/>
  <c r="P61" i="1"/>
  <c r="R50" i="1"/>
  <c r="S47" i="23"/>
  <c r="J13" i="18" s="1"/>
  <c r="G53" i="18" s="1"/>
  <c r="I13" i="18"/>
  <c r="S47" i="21"/>
  <c r="J11" i="18" s="1"/>
  <c r="G51" i="18" s="1"/>
  <c r="I11" i="18"/>
  <c r="L67" i="12"/>
  <c r="P61" i="35"/>
  <c r="R50" i="35"/>
  <c r="P67" i="35"/>
  <c r="K6" i="15"/>
  <c r="I10" i="18" s="1"/>
  <c r="S47" i="1"/>
  <c r="L6" i="15" s="1"/>
  <c r="P67" i="20"/>
  <c r="R50" i="20"/>
  <c r="P61" i="20"/>
  <c r="S47" i="22"/>
  <c r="J12" i="18" s="1"/>
  <c r="G52" i="18" s="1"/>
  <c r="I12" i="18"/>
  <c r="S47" i="19"/>
  <c r="J7" i="18" s="1"/>
  <c r="G47" i="18" s="1"/>
  <c r="I7" i="18"/>
  <c r="S47" i="20"/>
  <c r="J9" i="18" s="1"/>
  <c r="G49" i="18" s="1"/>
  <c r="I9" i="18"/>
  <c r="S47" i="17"/>
  <c r="J6" i="18" s="1"/>
  <c r="G46" i="18" s="1"/>
  <c r="I6" i="18"/>
  <c r="R50" i="22"/>
  <c r="P67" i="22"/>
  <c r="P61" i="22"/>
  <c r="R50" i="19"/>
  <c r="P61" i="19"/>
  <c r="P67" i="19"/>
  <c r="R50" i="23"/>
  <c r="P61" i="23"/>
  <c r="P67" i="23"/>
  <c r="R50" i="17"/>
  <c r="P61" i="17"/>
  <c r="P67" i="17"/>
  <c r="F62" i="15" l="1"/>
  <c r="F58" i="15"/>
  <c r="R61" i="17"/>
  <c r="S61" i="17" s="1"/>
  <c r="P62" i="17"/>
  <c r="R62" i="17" s="1"/>
  <c r="S62" i="17" s="1"/>
  <c r="P68" i="23"/>
  <c r="R68" i="23" s="1"/>
  <c r="S68" i="23" s="1"/>
  <c r="R67" i="23"/>
  <c r="S67" i="23" s="1"/>
  <c r="R61" i="19"/>
  <c r="S61" i="19" s="1"/>
  <c r="P62" i="19"/>
  <c r="R62" i="19" s="1"/>
  <c r="S62" i="19" s="1"/>
  <c r="P62" i="22"/>
  <c r="R62" i="22" s="1"/>
  <c r="S62" i="22" s="1"/>
  <c r="R61" i="22"/>
  <c r="S61" i="22" s="1"/>
  <c r="P62" i="20"/>
  <c r="R62" i="20" s="1"/>
  <c r="S62" i="20" s="1"/>
  <c r="R61" i="20"/>
  <c r="S61" i="20" s="1"/>
  <c r="S50" i="35"/>
  <c r="J21" i="18" s="1"/>
  <c r="I21" i="18"/>
  <c r="R67" i="1"/>
  <c r="S67" i="1" s="1"/>
  <c r="P68" i="1"/>
  <c r="R68" i="1" s="1"/>
  <c r="S68" i="1" s="1"/>
  <c r="P62" i="21"/>
  <c r="R62" i="21" s="1"/>
  <c r="S62" i="21" s="1"/>
  <c r="R61" i="21"/>
  <c r="S61" i="21" s="1"/>
  <c r="S50" i="17"/>
  <c r="J19" i="18" s="1"/>
  <c r="I19" i="18"/>
  <c r="P62" i="23"/>
  <c r="R62" i="23" s="1"/>
  <c r="S62" i="23" s="1"/>
  <c r="R61" i="23"/>
  <c r="S61" i="23" s="1"/>
  <c r="S50" i="19"/>
  <c r="J20" i="18" s="1"/>
  <c r="I20" i="18"/>
  <c r="P68" i="22"/>
  <c r="R68" i="22" s="1"/>
  <c r="S68" i="22" s="1"/>
  <c r="R67" i="22"/>
  <c r="S67" i="22" s="1"/>
  <c r="S50" i="20"/>
  <c r="J22" i="18" s="1"/>
  <c r="I22" i="18"/>
  <c r="R61" i="35"/>
  <c r="S61" i="35" s="1"/>
  <c r="P62" i="35"/>
  <c r="R62" i="35" s="1"/>
  <c r="S62" i="35" s="1"/>
  <c r="S50" i="21"/>
  <c r="J24" i="18" s="1"/>
  <c r="I24" i="18"/>
  <c r="S50" i="23"/>
  <c r="J26" i="18" s="1"/>
  <c r="I26" i="18"/>
  <c r="S50" i="22"/>
  <c r="J25" i="18" s="1"/>
  <c r="I25" i="18"/>
  <c r="P68" i="20"/>
  <c r="R68" i="20" s="1"/>
  <c r="S68" i="20" s="1"/>
  <c r="R67" i="20"/>
  <c r="S67" i="20" s="1"/>
  <c r="I43" i="15"/>
  <c r="J10" i="18"/>
  <c r="G50" i="18" s="1"/>
  <c r="G54" i="18" s="1"/>
  <c r="K18" i="15"/>
  <c r="I23" i="18" s="1"/>
  <c r="S50" i="1"/>
  <c r="L18" i="15" s="1"/>
  <c r="J23" i="18" s="1"/>
  <c r="R67" i="17"/>
  <c r="S67" i="17" s="1"/>
  <c r="P68" i="17"/>
  <c r="R68" i="17" s="1"/>
  <c r="S68" i="17" s="1"/>
  <c r="P68" i="19"/>
  <c r="R68" i="19" s="1"/>
  <c r="S68" i="19" s="1"/>
  <c r="R67" i="19"/>
  <c r="S67" i="19" s="1"/>
  <c r="P68" i="35"/>
  <c r="R68" i="35" s="1"/>
  <c r="S68" i="35" s="1"/>
  <c r="R67" i="35"/>
  <c r="S67" i="35" s="1"/>
  <c r="G35" i="15"/>
  <c r="M67" i="12"/>
  <c r="I35" i="15" s="1"/>
  <c r="G59" i="15" s="1"/>
  <c r="G62" i="15" s="1"/>
  <c r="P62" i="1"/>
  <c r="R62" i="1" s="1"/>
  <c r="S62" i="1" s="1"/>
  <c r="R61" i="1"/>
  <c r="S61" i="1" s="1"/>
  <c r="R67" i="21"/>
  <c r="S67" i="21" s="1"/>
  <c r="P68" i="21"/>
  <c r="R68" i="21" s="1"/>
  <c r="S68" i="21" s="1"/>
  <c r="P69" i="17" l="1"/>
  <c r="R69" i="17" s="1"/>
  <c r="S69" i="17" s="1"/>
  <c r="P69" i="35"/>
  <c r="P71" i="35" s="1"/>
  <c r="R71" i="35" s="1"/>
  <c r="S71" i="35" s="1"/>
  <c r="P69" i="21"/>
  <c r="P71" i="21" s="1"/>
  <c r="R71" i="21" s="1"/>
  <c r="S71" i="21" s="1"/>
  <c r="P63" i="1"/>
  <c r="P65" i="1" s="1"/>
  <c r="R65" i="1" s="1"/>
  <c r="P63" i="22"/>
  <c r="P65" i="22" s="1"/>
  <c r="R65" i="22" s="1"/>
  <c r="P69" i="23"/>
  <c r="R69" i="23" s="1"/>
  <c r="S69" i="23" s="1"/>
  <c r="P69" i="20"/>
  <c r="R69" i="20" s="1"/>
  <c r="S69" i="20" s="1"/>
  <c r="P69" i="19"/>
  <c r="P69" i="22"/>
  <c r="P63" i="23"/>
  <c r="P63" i="21"/>
  <c r="P69" i="1"/>
  <c r="P63" i="20"/>
  <c r="P63" i="19"/>
  <c r="P63" i="35"/>
  <c r="P63" i="17"/>
  <c r="H55" i="15" l="1"/>
  <c r="R69" i="35"/>
  <c r="S69" i="35" s="1"/>
  <c r="P71" i="20"/>
  <c r="R71" i="20" s="1"/>
  <c r="S71" i="20" s="1"/>
  <c r="R69" i="21"/>
  <c r="S69" i="21" s="1"/>
  <c r="R63" i="22"/>
  <c r="S63" i="22" s="1"/>
  <c r="R63" i="1"/>
  <c r="S63" i="1" s="1"/>
  <c r="P71" i="17"/>
  <c r="R71" i="17" s="1"/>
  <c r="S71" i="17" s="1"/>
  <c r="P71" i="23"/>
  <c r="R71" i="23" s="1"/>
  <c r="S71" i="23" s="1"/>
  <c r="R63" i="17"/>
  <c r="S63" i="17" s="1"/>
  <c r="P65" i="17"/>
  <c r="R65" i="17" s="1"/>
  <c r="K31" i="15"/>
  <c r="I37" i="18" s="1"/>
  <c r="S65" i="1"/>
  <c r="L31" i="15" s="1"/>
  <c r="P65" i="19"/>
  <c r="R65" i="19" s="1"/>
  <c r="R63" i="19"/>
  <c r="S63" i="19" s="1"/>
  <c r="P65" i="20"/>
  <c r="R65" i="20" s="1"/>
  <c r="R63" i="20"/>
  <c r="S63" i="20" s="1"/>
  <c r="R63" i="21"/>
  <c r="S63" i="21" s="1"/>
  <c r="P65" i="21"/>
  <c r="R65" i="21" s="1"/>
  <c r="R69" i="19"/>
  <c r="S69" i="19" s="1"/>
  <c r="P71" i="19"/>
  <c r="R71" i="19" s="1"/>
  <c r="S71" i="19" s="1"/>
  <c r="R63" i="35"/>
  <c r="S63" i="35" s="1"/>
  <c r="P65" i="35"/>
  <c r="R65" i="35" s="1"/>
  <c r="P71" i="1"/>
  <c r="R71" i="1" s="1"/>
  <c r="S71" i="1" s="1"/>
  <c r="R69" i="1"/>
  <c r="S69" i="1" s="1"/>
  <c r="R63" i="23"/>
  <c r="S63" i="23" s="1"/>
  <c r="P65" i="23"/>
  <c r="R65" i="23" s="1"/>
  <c r="S65" i="22"/>
  <c r="J39" i="18" s="1"/>
  <c r="G65" i="18" s="1"/>
  <c r="I39" i="18"/>
  <c r="P71" i="22"/>
  <c r="R71" i="22" s="1"/>
  <c r="S71" i="22" s="1"/>
  <c r="R69" i="22"/>
  <c r="S69" i="22" s="1"/>
  <c r="S65" i="19" l="1"/>
  <c r="J34" i="18" s="1"/>
  <c r="G60" i="18" s="1"/>
  <c r="I34" i="18"/>
  <c r="I55" i="15"/>
  <c r="J37" i="18"/>
  <c r="G63" i="18" s="1"/>
  <c r="S65" i="35"/>
  <c r="J35" i="18" s="1"/>
  <c r="G61" i="18" s="1"/>
  <c r="I35" i="18"/>
  <c r="S65" i="20"/>
  <c r="J36" i="18" s="1"/>
  <c r="G62" i="18" s="1"/>
  <c r="I36" i="18"/>
  <c r="S65" i="23"/>
  <c r="J40" i="18" s="1"/>
  <c r="G66" i="18" s="1"/>
  <c r="I40" i="18"/>
  <c r="S65" i="21"/>
  <c r="J38" i="18" s="1"/>
  <c r="G64" i="18" s="1"/>
  <c r="I38" i="18"/>
  <c r="S65" i="17"/>
  <c r="J33" i="18" s="1"/>
  <c r="G59" i="18" s="1"/>
  <c r="I33" i="18"/>
  <c r="G67" i="18" l="1"/>
  <c r="O23" i="13" l="1"/>
  <c r="P23" i="13" s="1"/>
  <c r="O23" i="26"/>
  <c r="P23" i="26" s="1"/>
  <c r="O23" i="28"/>
  <c r="P23" i="28" s="1"/>
  <c r="O23" i="25"/>
  <c r="P23" i="25" s="1"/>
  <c r="O23" i="27"/>
  <c r="P23" i="27" s="1"/>
  <c r="O23" i="29"/>
  <c r="P23" i="29" s="1"/>
  <c r="O23" i="9"/>
  <c r="P23" i="9" s="1"/>
  <c r="O23" i="14"/>
  <c r="P23" i="14" s="1"/>
  <c r="O23" i="33"/>
  <c r="P23" i="33" s="1"/>
  <c r="O23" i="31"/>
  <c r="P23" i="31" s="1"/>
  <c r="O23" i="34"/>
  <c r="P23" i="34" s="1"/>
  <c r="O23" i="10"/>
  <c r="P23" i="10" s="1"/>
  <c r="O23" i="32"/>
  <c r="P23" i="32" s="1"/>
  <c r="O23" i="12"/>
  <c r="P23" i="12" s="1"/>
  <c r="O23" i="11"/>
  <c r="P23" i="11" s="1"/>
  <c r="R23" i="10" l="1"/>
  <c r="S23" i="10" s="1"/>
  <c r="R23" i="14"/>
  <c r="S23" i="14" s="1"/>
  <c r="R23" i="13"/>
  <c r="S23" i="13" s="1"/>
  <c r="R23" i="31"/>
  <c r="S23" i="31" s="1"/>
  <c r="R23" i="28"/>
  <c r="S23" i="28" s="1"/>
  <c r="R23" i="32"/>
  <c r="S23" i="32" s="1"/>
  <c r="R23" i="34"/>
  <c r="S23" i="34" s="1"/>
  <c r="R23" i="33"/>
  <c r="S23" i="33" s="1"/>
  <c r="R23" i="9"/>
  <c r="S23" i="9" s="1"/>
  <c r="R23" i="27"/>
  <c r="S23" i="27" s="1"/>
  <c r="R23" i="26"/>
  <c r="S23" i="26" s="1"/>
  <c r="R23" i="11"/>
  <c r="S23" i="11" s="1"/>
  <c r="R23" i="12"/>
  <c r="S23" i="12" s="1"/>
  <c r="R23" i="29"/>
  <c r="S23" i="29" s="1"/>
  <c r="R23" i="25"/>
  <c r="S23" i="25" s="1"/>
  <c r="O29" i="25" l="1"/>
  <c r="P29" i="25" s="1"/>
  <c r="O29" i="28"/>
  <c r="P29" i="28" s="1"/>
  <c r="O29" i="26"/>
  <c r="P29" i="26" s="1"/>
  <c r="O29" i="29"/>
  <c r="P29" i="29" s="1"/>
  <c r="O29" i="9"/>
  <c r="P29" i="9" s="1"/>
  <c r="O29" i="27"/>
  <c r="P29" i="27" s="1"/>
  <c r="O29" i="33"/>
  <c r="P29" i="33" s="1"/>
  <c r="O29" i="34"/>
  <c r="P29" i="34" s="1"/>
  <c r="O29" i="10"/>
  <c r="P29" i="10" s="1"/>
  <c r="O29" i="32"/>
  <c r="P29" i="32" s="1"/>
  <c r="O29" i="31"/>
  <c r="P29" i="31" s="1"/>
  <c r="O29" i="13"/>
  <c r="P29" i="13" s="1"/>
  <c r="O29" i="14"/>
  <c r="P29" i="14" s="1"/>
  <c r="O29" i="12"/>
  <c r="P29" i="12" s="1"/>
  <c r="O29" i="11"/>
  <c r="P29" i="11" s="1"/>
  <c r="R29" i="32" l="1"/>
  <c r="S29" i="32" s="1"/>
  <c r="P39" i="32"/>
  <c r="R29" i="12"/>
  <c r="S29" i="12" s="1"/>
  <c r="P39" i="12"/>
  <c r="R29" i="13"/>
  <c r="S29" i="13" s="1"/>
  <c r="P39" i="13"/>
  <c r="R29" i="31"/>
  <c r="S29" i="31" s="1"/>
  <c r="P39" i="31"/>
  <c r="R29" i="10"/>
  <c r="S29" i="10" s="1"/>
  <c r="P39" i="10"/>
  <c r="R29" i="33"/>
  <c r="S29" i="33" s="1"/>
  <c r="P39" i="33"/>
  <c r="R29" i="27"/>
  <c r="S29" i="27" s="1"/>
  <c r="P39" i="27"/>
  <c r="R29" i="26"/>
  <c r="S29" i="26" s="1"/>
  <c r="P39" i="26"/>
  <c r="R29" i="11"/>
  <c r="S29" i="11" s="1"/>
  <c r="P40" i="11"/>
  <c r="R29" i="28"/>
  <c r="S29" i="28" s="1"/>
  <c r="P39" i="28"/>
  <c r="R29" i="14"/>
  <c r="S29" i="14" s="1"/>
  <c r="P39" i="14"/>
  <c r="R29" i="34"/>
  <c r="S29" i="34" s="1"/>
  <c r="P39" i="34"/>
  <c r="R29" i="9"/>
  <c r="S29" i="9" s="1"/>
  <c r="P39" i="9"/>
  <c r="R29" i="29"/>
  <c r="S29" i="29" s="1"/>
  <c r="P39" i="29"/>
  <c r="R29" i="25"/>
  <c r="S29" i="25" s="1"/>
  <c r="P39" i="25"/>
  <c r="R39" i="29" l="1"/>
  <c r="S39" i="29" s="1"/>
  <c r="P47" i="29"/>
  <c r="P50" i="34"/>
  <c r="R39" i="34"/>
  <c r="S39" i="34" s="1"/>
  <c r="P50" i="33"/>
  <c r="R39" i="33"/>
  <c r="S39" i="33" s="1"/>
  <c r="P50" i="31"/>
  <c r="R39" i="31"/>
  <c r="S39" i="31" s="1"/>
  <c r="R39" i="12"/>
  <c r="S39" i="12" s="1"/>
  <c r="P49" i="12"/>
  <c r="R40" i="11"/>
  <c r="S40" i="11" s="1"/>
  <c r="P50" i="11"/>
  <c r="R39" i="26"/>
  <c r="S39" i="26" s="1"/>
  <c r="P47" i="26"/>
  <c r="R39" i="32"/>
  <c r="S39" i="32" s="1"/>
  <c r="P50" i="32"/>
  <c r="R39" i="25"/>
  <c r="S39" i="25" s="1"/>
  <c r="P47" i="25"/>
  <c r="P47" i="9"/>
  <c r="R39" i="9"/>
  <c r="S39" i="9" s="1"/>
  <c r="R39" i="27"/>
  <c r="S39" i="27" s="1"/>
  <c r="P47" i="27"/>
  <c r="P50" i="10"/>
  <c r="R39" i="10"/>
  <c r="S39" i="10" s="1"/>
  <c r="R39" i="13"/>
  <c r="S39" i="13" s="1"/>
  <c r="P50" i="13"/>
  <c r="P50" i="14"/>
  <c r="R39" i="14"/>
  <c r="S39" i="14" s="1"/>
  <c r="R39" i="28"/>
  <c r="S39" i="28" s="1"/>
  <c r="P47" i="28"/>
  <c r="H48" i="15" l="1"/>
  <c r="H44" i="15"/>
  <c r="H47" i="15"/>
  <c r="H49" i="15"/>
  <c r="H45" i="15"/>
  <c r="P53" i="10"/>
  <c r="R50" i="10"/>
  <c r="P50" i="9"/>
  <c r="R47" i="9"/>
  <c r="P50" i="28"/>
  <c r="R47" i="28"/>
  <c r="P53" i="32"/>
  <c r="R50" i="32"/>
  <c r="P53" i="14"/>
  <c r="R50" i="14"/>
  <c r="P53" i="13"/>
  <c r="R50" i="13"/>
  <c r="P50" i="27"/>
  <c r="R47" i="27"/>
  <c r="R47" i="25"/>
  <c r="P50" i="25"/>
  <c r="R47" i="26"/>
  <c r="P50" i="26"/>
  <c r="R49" i="12"/>
  <c r="P52" i="12"/>
  <c r="R50" i="31"/>
  <c r="P53" i="31"/>
  <c r="P53" i="34"/>
  <c r="R50" i="34"/>
  <c r="P50" i="29"/>
  <c r="R47" i="29"/>
  <c r="P53" i="11"/>
  <c r="R50" i="11"/>
  <c r="P53" i="33"/>
  <c r="R50" i="33"/>
  <c r="H50" i="15" l="1"/>
  <c r="H46" i="15"/>
  <c r="P70" i="33"/>
  <c r="P64" i="33"/>
  <c r="R53" i="33"/>
  <c r="P67" i="29"/>
  <c r="P61" i="29"/>
  <c r="R50" i="29"/>
  <c r="S50" i="34"/>
  <c r="J10" i="30" s="1"/>
  <c r="G47" i="30" s="1"/>
  <c r="I10" i="30"/>
  <c r="P69" i="12"/>
  <c r="R52" i="12"/>
  <c r="P63" i="12"/>
  <c r="R50" i="25"/>
  <c r="P67" i="25"/>
  <c r="P61" i="25"/>
  <c r="K11" i="15"/>
  <c r="S50" i="13"/>
  <c r="L11" i="15" s="1"/>
  <c r="I48" i="15" s="1"/>
  <c r="S50" i="32"/>
  <c r="J7" i="30" s="1"/>
  <c r="G44" i="30" s="1"/>
  <c r="I7" i="30"/>
  <c r="K7" i="15"/>
  <c r="I7" i="24" s="1"/>
  <c r="S47" i="9"/>
  <c r="L7" i="15" s="1"/>
  <c r="K9" i="15"/>
  <c r="S50" i="11"/>
  <c r="L9" i="15" s="1"/>
  <c r="I46" i="15" s="1"/>
  <c r="P64" i="34"/>
  <c r="R53" i="34"/>
  <c r="P70" i="34"/>
  <c r="K10" i="15"/>
  <c r="S49" i="12"/>
  <c r="L10" i="15" s="1"/>
  <c r="I47" i="15" s="1"/>
  <c r="I6" i="24"/>
  <c r="S47" i="25"/>
  <c r="J6" i="24" s="1"/>
  <c r="G43" i="24" s="1"/>
  <c r="P70" i="13"/>
  <c r="R53" i="13"/>
  <c r="P64" i="13"/>
  <c r="P70" i="32"/>
  <c r="P64" i="32"/>
  <c r="R53" i="32"/>
  <c r="R50" i="9"/>
  <c r="P61" i="9"/>
  <c r="P67" i="9"/>
  <c r="R53" i="11"/>
  <c r="P70" i="11"/>
  <c r="P64" i="11"/>
  <c r="P70" i="31"/>
  <c r="R53" i="31"/>
  <c r="P64" i="31"/>
  <c r="R50" i="26"/>
  <c r="P67" i="26"/>
  <c r="P61" i="26"/>
  <c r="I9" i="24"/>
  <c r="S47" i="27"/>
  <c r="J9" i="24" s="1"/>
  <c r="G46" i="24" s="1"/>
  <c r="S50" i="14"/>
  <c r="L12" i="15" s="1"/>
  <c r="I49" i="15" s="1"/>
  <c r="K12" i="15"/>
  <c r="S47" i="28"/>
  <c r="J10" i="24" s="1"/>
  <c r="G47" i="24" s="1"/>
  <c r="I10" i="24"/>
  <c r="K8" i="15"/>
  <c r="I8" i="30" s="1"/>
  <c r="S50" i="10"/>
  <c r="L8" i="15" s="1"/>
  <c r="I9" i="30"/>
  <c r="S50" i="33"/>
  <c r="J9" i="30" s="1"/>
  <c r="G46" i="30" s="1"/>
  <c r="S47" i="29"/>
  <c r="J11" i="24" s="1"/>
  <c r="G48" i="24" s="1"/>
  <c r="I11" i="24"/>
  <c r="S50" i="31"/>
  <c r="J6" i="30" s="1"/>
  <c r="G43" i="30" s="1"/>
  <c r="I6" i="30"/>
  <c r="S47" i="26"/>
  <c r="J8" i="24" s="1"/>
  <c r="G45" i="24" s="1"/>
  <c r="I8" i="24"/>
  <c r="P67" i="27"/>
  <c r="P61" i="27"/>
  <c r="R50" i="27"/>
  <c r="P64" i="14"/>
  <c r="R53" i="14"/>
  <c r="P70" i="14"/>
  <c r="R50" i="28"/>
  <c r="P61" i="28"/>
  <c r="P67" i="28"/>
  <c r="P64" i="10"/>
  <c r="R53" i="10"/>
  <c r="P70" i="10"/>
  <c r="R61" i="28" l="1"/>
  <c r="S61" i="28" s="1"/>
  <c r="P62" i="28"/>
  <c r="R62" i="28" s="1"/>
  <c r="S62" i="28" s="1"/>
  <c r="R70" i="14"/>
  <c r="S70" i="14" s="1"/>
  <c r="P71" i="14"/>
  <c r="R71" i="14" s="1"/>
  <c r="S71" i="14" s="1"/>
  <c r="P68" i="28"/>
  <c r="R68" i="28" s="1"/>
  <c r="S68" i="28" s="1"/>
  <c r="R67" i="28"/>
  <c r="S67" i="28" s="1"/>
  <c r="S53" i="14"/>
  <c r="L24" i="15" s="1"/>
  <c r="K24" i="15"/>
  <c r="R67" i="27"/>
  <c r="S67" i="27" s="1"/>
  <c r="P68" i="27"/>
  <c r="R68" i="27" s="1"/>
  <c r="S68" i="27" s="1"/>
  <c r="P65" i="31"/>
  <c r="R65" i="31" s="1"/>
  <c r="S65" i="31" s="1"/>
  <c r="R64" i="31"/>
  <c r="S64" i="31" s="1"/>
  <c r="R70" i="11"/>
  <c r="S70" i="11" s="1"/>
  <c r="P71" i="11"/>
  <c r="R71" i="11" s="1"/>
  <c r="S71" i="11" s="1"/>
  <c r="K19" i="15"/>
  <c r="I19" i="24" s="1"/>
  <c r="S50" i="9"/>
  <c r="L19" i="15" s="1"/>
  <c r="J19" i="24" s="1"/>
  <c r="R64" i="13"/>
  <c r="S64" i="13" s="1"/>
  <c r="P65" i="13"/>
  <c r="R65" i="13" s="1"/>
  <c r="S65" i="13" s="1"/>
  <c r="S53" i="34"/>
  <c r="J22" i="30" s="1"/>
  <c r="I22" i="30"/>
  <c r="J7" i="24"/>
  <c r="G44" i="24" s="1"/>
  <c r="G50" i="24" s="1"/>
  <c r="I44" i="15"/>
  <c r="S50" i="25"/>
  <c r="J18" i="24" s="1"/>
  <c r="I18" i="24"/>
  <c r="P68" i="29"/>
  <c r="R68" i="29" s="1"/>
  <c r="S68" i="29" s="1"/>
  <c r="R67" i="29"/>
  <c r="S67" i="29" s="1"/>
  <c r="R70" i="10"/>
  <c r="S70" i="10" s="1"/>
  <c r="P71" i="10"/>
  <c r="R71" i="10" s="1"/>
  <c r="S71" i="10" s="1"/>
  <c r="R64" i="14"/>
  <c r="S64" i="14" s="1"/>
  <c r="P65" i="14"/>
  <c r="R65" i="14" s="1"/>
  <c r="S65" i="14" s="1"/>
  <c r="J8" i="30"/>
  <c r="G45" i="30" s="1"/>
  <c r="G50" i="30" s="1"/>
  <c r="I45" i="15"/>
  <c r="R61" i="26"/>
  <c r="S61" i="26" s="1"/>
  <c r="P62" i="26"/>
  <c r="R62" i="26" s="1"/>
  <c r="S62" i="26" s="1"/>
  <c r="S53" i="31"/>
  <c r="J18" i="30" s="1"/>
  <c r="I18" i="30"/>
  <c r="K21" i="15"/>
  <c r="S53" i="11"/>
  <c r="L21" i="15" s="1"/>
  <c r="S53" i="32"/>
  <c r="J19" i="30" s="1"/>
  <c r="I19" i="30"/>
  <c r="K23" i="15"/>
  <c r="S53" i="13"/>
  <c r="L23" i="15" s="1"/>
  <c r="R64" i="34"/>
  <c r="S64" i="34" s="1"/>
  <c r="P65" i="34"/>
  <c r="R65" i="34" s="1"/>
  <c r="S65" i="34" s="1"/>
  <c r="P64" i="12"/>
  <c r="R64" i="12" s="1"/>
  <c r="S64" i="12" s="1"/>
  <c r="R63" i="12"/>
  <c r="S63" i="12" s="1"/>
  <c r="S53" i="33"/>
  <c r="J21" i="30" s="1"/>
  <c r="I21" i="30"/>
  <c r="S50" i="28"/>
  <c r="J22" i="24" s="1"/>
  <c r="I22" i="24"/>
  <c r="S50" i="27"/>
  <c r="J21" i="24" s="1"/>
  <c r="I21" i="24"/>
  <c r="P68" i="26"/>
  <c r="R68" i="26" s="1"/>
  <c r="S68" i="26" s="1"/>
  <c r="R67" i="26"/>
  <c r="S67" i="26" s="1"/>
  <c r="R70" i="31"/>
  <c r="S70" i="31" s="1"/>
  <c r="P71" i="31"/>
  <c r="R71" i="31" s="1"/>
  <c r="S71" i="31" s="1"/>
  <c r="P68" i="9"/>
  <c r="R68" i="9" s="1"/>
  <c r="S68" i="9" s="1"/>
  <c r="R67" i="9"/>
  <c r="S67" i="9" s="1"/>
  <c r="P65" i="32"/>
  <c r="R65" i="32" s="1"/>
  <c r="S65" i="32" s="1"/>
  <c r="R64" i="32"/>
  <c r="S64" i="32" s="1"/>
  <c r="P71" i="13"/>
  <c r="R71" i="13" s="1"/>
  <c r="S71" i="13" s="1"/>
  <c r="R70" i="13"/>
  <c r="S70" i="13" s="1"/>
  <c r="R61" i="25"/>
  <c r="S61" i="25" s="1"/>
  <c r="P62" i="25"/>
  <c r="R62" i="25" s="1"/>
  <c r="S62" i="25" s="1"/>
  <c r="K22" i="15"/>
  <c r="S52" i="12"/>
  <c r="L22" i="15" s="1"/>
  <c r="S50" i="29"/>
  <c r="J23" i="24" s="1"/>
  <c r="I23" i="24"/>
  <c r="R64" i="33"/>
  <c r="S64" i="33" s="1"/>
  <c r="P65" i="33"/>
  <c r="R65" i="33" s="1"/>
  <c r="S65" i="33" s="1"/>
  <c r="K20" i="15"/>
  <c r="I20" i="30" s="1"/>
  <c r="S53" i="10"/>
  <c r="L20" i="15" s="1"/>
  <c r="J20" i="30" s="1"/>
  <c r="P65" i="10"/>
  <c r="R65" i="10" s="1"/>
  <c r="S65" i="10" s="1"/>
  <c r="R64" i="10"/>
  <c r="S64" i="10" s="1"/>
  <c r="R61" i="27"/>
  <c r="S61" i="27" s="1"/>
  <c r="P62" i="27"/>
  <c r="R62" i="27" s="1"/>
  <c r="S62" i="27" s="1"/>
  <c r="I20" i="24"/>
  <c r="S50" i="26"/>
  <c r="J20" i="24" s="1"/>
  <c r="R64" i="11"/>
  <c r="S64" i="11" s="1"/>
  <c r="P65" i="11"/>
  <c r="R65" i="11" s="1"/>
  <c r="S65" i="11" s="1"/>
  <c r="R61" i="9"/>
  <c r="S61" i="9" s="1"/>
  <c r="P62" i="9"/>
  <c r="R62" i="9" s="1"/>
  <c r="S62" i="9" s="1"/>
  <c r="R70" i="32"/>
  <c r="S70" i="32" s="1"/>
  <c r="P71" i="32"/>
  <c r="R71" i="32" s="1"/>
  <c r="S71" i="32" s="1"/>
  <c r="R70" i="34"/>
  <c r="S70" i="34" s="1"/>
  <c r="P71" i="34"/>
  <c r="R71" i="34" s="1"/>
  <c r="S71" i="34" s="1"/>
  <c r="R67" i="25"/>
  <c r="S67" i="25" s="1"/>
  <c r="P68" i="25"/>
  <c r="R68" i="25" s="1"/>
  <c r="S68" i="25" s="1"/>
  <c r="P70" i="12"/>
  <c r="R70" i="12" s="1"/>
  <c r="S70" i="12" s="1"/>
  <c r="R69" i="12"/>
  <c r="S69" i="12" s="1"/>
  <c r="R61" i="29"/>
  <c r="S61" i="29" s="1"/>
  <c r="P62" i="29"/>
  <c r="R62" i="29" s="1"/>
  <c r="S62" i="29" s="1"/>
  <c r="P71" i="33"/>
  <c r="R71" i="33" s="1"/>
  <c r="S71" i="33" s="1"/>
  <c r="R70" i="33"/>
  <c r="S70" i="33" s="1"/>
  <c r="H59" i="15" l="1"/>
  <c r="H57" i="15"/>
  <c r="H60" i="15"/>
  <c r="I50" i="15"/>
  <c r="P66" i="13"/>
  <c r="P68" i="13" s="1"/>
  <c r="R68" i="13" s="1"/>
  <c r="P69" i="9"/>
  <c r="R69" i="9" s="1"/>
  <c r="S69" i="9" s="1"/>
  <c r="P72" i="31"/>
  <c r="R72" i="31" s="1"/>
  <c r="S72" i="31" s="1"/>
  <c r="P66" i="14"/>
  <c r="R66" i="14" s="1"/>
  <c r="S66" i="14" s="1"/>
  <c r="P72" i="32"/>
  <c r="R72" i="32" s="1"/>
  <c r="S72" i="32" s="1"/>
  <c r="P69" i="28"/>
  <c r="P71" i="28" s="1"/>
  <c r="R71" i="28" s="1"/>
  <c r="S71" i="28" s="1"/>
  <c r="P65" i="12"/>
  <c r="P67" i="12" s="1"/>
  <c r="R67" i="12" s="1"/>
  <c r="P63" i="28"/>
  <c r="P65" i="28" s="1"/>
  <c r="R65" i="28" s="1"/>
  <c r="P71" i="12"/>
  <c r="R71" i="12" s="1"/>
  <c r="S71" i="12" s="1"/>
  <c r="P66" i="32"/>
  <c r="R66" i="32" s="1"/>
  <c r="S66" i="32" s="1"/>
  <c r="P63" i="29"/>
  <c r="P65" i="29" s="1"/>
  <c r="R65" i="29" s="1"/>
  <c r="P72" i="34"/>
  <c r="P74" i="34" s="1"/>
  <c r="R74" i="34" s="1"/>
  <c r="S74" i="34" s="1"/>
  <c r="P72" i="13"/>
  <c r="P74" i="13" s="1"/>
  <c r="R74" i="13" s="1"/>
  <c r="S74" i="13" s="1"/>
  <c r="P69" i="26"/>
  <c r="R69" i="26" s="1"/>
  <c r="S69" i="26" s="1"/>
  <c r="P66" i="34"/>
  <c r="P68" i="34" s="1"/>
  <c r="R68" i="34" s="1"/>
  <c r="P69" i="29"/>
  <c r="P71" i="29" s="1"/>
  <c r="R71" i="29" s="1"/>
  <c r="S71" i="29" s="1"/>
  <c r="P66" i="33"/>
  <c r="R66" i="33" s="1"/>
  <c r="S66" i="33" s="1"/>
  <c r="P69" i="27"/>
  <c r="R69" i="27" s="1"/>
  <c r="S69" i="27" s="1"/>
  <c r="P72" i="14"/>
  <c r="R72" i="14" s="1"/>
  <c r="S72" i="14" s="1"/>
  <c r="P69" i="25"/>
  <c r="P66" i="11"/>
  <c r="P66" i="10"/>
  <c r="P63" i="25"/>
  <c r="P72" i="11"/>
  <c r="P63" i="9"/>
  <c r="P63" i="27"/>
  <c r="P72" i="33"/>
  <c r="P63" i="26"/>
  <c r="P72" i="10"/>
  <c r="P66" i="31"/>
  <c r="P74" i="14" l="1"/>
  <c r="R74" i="14" s="1"/>
  <c r="S74" i="14" s="1"/>
  <c r="H58" i="15"/>
  <c r="H56" i="15"/>
  <c r="H61" i="15"/>
  <c r="R65" i="12"/>
  <c r="S65" i="12" s="1"/>
  <c r="R66" i="34"/>
  <c r="S66" i="34" s="1"/>
  <c r="P68" i="33"/>
  <c r="R68" i="33" s="1"/>
  <c r="S68" i="33" s="1"/>
  <c r="J34" i="30" s="1"/>
  <c r="G58" i="30" s="1"/>
  <c r="R63" i="29"/>
  <c r="S63" i="29" s="1"/>
  <c r="P74" i="31"/>
  <c r="R74" i="31" s="1"/>
  <c r="S74" i="31" s="1"/>
  <c r="P74" i="32"/>
  <c r="R74" i="32" s="1"/>
  <c r="S74" i="32" s="1"/>
  <c r="R66" i="13"/>
  <c r="S66" i="13" s="1"/>
  <c r="P73" i="12"/>
  <c r="R73" i="12" s="1"/>
  <c r="S73" i="12" s="1"/>
  <c r="R72" i="13"/>
  <c r="S72" i="13" s="1"/>
  <c r="R63" i="28"/>
  <c r="S63" i="28" s="1"/>
  <c r="P68" i="14"/>
  <c r="R68" i="14" s="1"/>
  <c r="K37" i="15" s="1"/>
  <c r="P68" i="32"/>
  <c r="R68" i="32" s="1"/>
  <c r="S68" i="32" s="1"/>
  <c r="J32" i="30" s="1"/>
  <c r="G56" i="30" s="1"/>
  <c r="P71" i="9"/>
  <c r="R71" i="9" s="1"/>
  <c r="S71" i="9" s="1"/>
  <c r="R69" i="28"/>
  <c r="S69" i="28" s="1"/>
  <c r="R72" i="34"/>
  <c r="S72" i="34" s="1"/>
  <c r="P71" i="27"/>
  <c r="R71" i="27" s="1"/>
  <c r="S71" i="27" s="1"/>
  <c r="R69" i="29"/>
  <c r="S69" i="29" s="1"/>
  <c r="P71" i="26"/>
  <c r="R71" i="26" s="1"/>
  <c r="S71" i="26" s="1"/>
  <c r="S68" i="13"/>
  <c r="L36" i="15" s="1"/>
  <c r="I60" i="15" s="1"/>
  <c r="K36" i="15"/>
  <c r="P74" i="10"/>
  <c r="R74" i="10" s="1"/>
  <c r="S74" i="10" s="1"/>
  <c r="R72" i="10"/>
  <c r="S72" i="10" s="1"/>
  <c r="P65" i="9"/>
  <c r="R65" i="9" s="1"/>
  <c r="R63" i="9"/>
  <c r="S63" i="9" s="1"/>
  <c r="P65" i="25"/>
  <c r="R65" i="25" s="1"/>
  <c r="R63" i="25"/>
  <c r="S63" i="25" s="1"/>
  <c r="P65" i="26"/>
  <c r="R65" i="26" s="1"/>
  <c r="R63" i="26"/>
  <c r="S63" i="26" s="1"/>
  <c r="P68" i="10"/>
  <c r="R68" i="10" s="1"/>
  <c r="R66" i="10"/>
  <c r="S66" i="10" s="1"/>
  <c r="P68" i="31"/>
  <c r="R68" i="31" s="1"/>
  <c r="R66" i="31"/>
  <c r="S66" i="31" s="1"/>
  <c r="P74" i="33"/>
  <c r="R74" i="33" s="1"/>
  <c r="S74" i="33" s="1"/>
  <c r="R72" i="33"/>
  <c r="S72" i="33" s="1"/>
  <c r="S65" i="29"/>
  <c r="J36" i="24" s="1"/>
  <c r="G60" i="24" s="1"/>
  <c r="I36" i="24"/>
  <c r="K35" i="15"/>
  <c r="S67" i="12"/>
  <c r="L35" i="15" s="1"/>
  <c r="I59" i="15" s="1"/>
  <c r="P68" i="11"/>
  <c r="R68" i="11" s="1"/>
  <c r="R66" i="11"/>
  <c r="S66" i="11" s="1"/>
  <c r="I35" i="24"/>
  <c r="S65" i="28"/>
  <c r="J35" i="24" s="1"/>
  <c r="G59" i="24" s="1"/>
  <c r="P65" i="27"/>
  <c r="R65" i="27" s="1"/>
  <c r="R63" i="27"/>
  <c r="S63" i="27" s="1"/>
  <c r="R72" i="11"/>
  <c r="S72" i="11" s="1"/>
  <c r="P74" i="11"/>
  <c r="R74" i="11" s="1"/>
  <c r="S74" i="11" s="1"/>
  <c r="S68" i="34"/>
  <c r="J35" i="30" s="1"/>
  <c r="G59" i="30" s="1"/>
  <c r="I35" i="30"/>
  <c r="R69" i="25"/>
  <c r="S69" i="25" s="1"/>
  <c r="P71" i="25"/>
  <c r="R71" i="25" s="1"/>
  <c r="S71" i="25" s="1"/>
  <c r="H62" i="15" l="1"/>
  <c r="I34" i="30"/>
  <c r="I32" i="30"/>
  <c r="S68" i="14"/>
  <c r="L37" i="15" s="1"/>
  <c r="I61" i="15" s="1"/>
  <c r="S68" i="31"/>
  <c r="J31" i="30" s="1"/>
  <c r="G55" i="30" s="1"/>
  <c r="I31" i="30"/>
  <c r="S65" i="25"/>
  <c r="J31" i="24" s="1"/>
  <c r="G55" i="24" s="1"/>
  <c r="I31" i="24"/>
  <c r="K34" i="15"/>
  <c r="S68" i="11"/>
  <c r="L34" i="15" s="1"/>
  <c r="I58" i="15" s="1"/>
  <c r="S68" i="10"/>
  <c r="L33" i="15" s="1"/>
  <c r="K33" i="15"/>
  <c r="I33" i="30" s="1"/>
  <c r="S65" i="26"/>
  <c r="J33" i="24" s="1"/>
  <c r="G57" i="24" s="1"/>
  <c r="I33" i="24"/>
  <c r="S65" i="27"/>
  <c r="J34" i="24" s="1"/>
  <c r="G58" i="24" s="1"/>
  <c r="I34" i="24"/>
  <c r="K32" i="15"/>
  <c r="I32" i="24" s="1"/>
  <c r="S65" i="9"/>
  <c r="L32" i="15" s="1"/>
  <c r="I56" i="15" l="1"/>
  <c r="J32" i="24"/>
  <c r="G56" i="24" s="1"/>
  <c r="G62" i="24" s="1"/>
  <c r="J33" i="30"/>
  <c r="G57" i="30" s="1"/>
  <c r="G62" i="30" s="1"/>
  <c r="I57" i="15"/>
  <c r="I62" i="15" l="1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4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<sst xmlns="http://schemas.openxmlformats.org/spreadsheetml/2006/main" count="2990" uniqueCount="164">
  <si>
    <t>Appendix 2-W</t>
  </si>
  <si>
    <t>Customer Class:</t>
  </si>
  <si>
    <t>TOU / non-TOU:</t>
  </si>
  <si>
    <t>TOU</t>
  </si>
  <si>
    <t>Consumption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</si>
  <si>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</si>
  <si>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</si>
  <si>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</si>
  <si>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</si>
  <si>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</si>
  <si>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</si>
  <si>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</si>
  <si>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</si>
  <si>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</si>
  <si>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</si>
  <si>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</si>
  <si>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</si>
  <si>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</si>
  <si>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</si>
  <si>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</si>
  <si>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</si>
  <si>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</si>
  <si>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</si>
  <si>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</si>
  <si>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</si>
  <si>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</si>
  <si>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</si>
  <si>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</si>
  <si>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</si>
  <si>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</si>
  <si>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</si>
  <si>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</si>
  <si>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</si>
  <si>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</si>
  <si>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</si>
  <si>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</si>
  <si>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</si>
  <si>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</si>
  <si>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</si>
  <si>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</si>
  <si>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</si>
  <si>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</si>
  <si>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</si>
  <si>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</si>
  <si>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</si>
  <si>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</si>
  <si>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</si>
  <si>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</si>
  <si>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</si>
  <si>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</si>
  <si>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</si>
  <si>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2015 Current 
Board-Approved</t>
  </si>
  <si>
    <t>May 1 - Oct 31</t>
  </si>
  <si>
    <t>Nov 1 - Apr 30</t>
  </si>
  <si>
    <t>Bill Impacts - Residential</t>
  </si>
  <si>
    <t>RESIDENTIAL</t>
  </si>
  <si>
    <t>Load</t>
  </si>
  <si>
    <t>Monthly</t>
  </si>
  <si>
    <t>per kWh</t>
  </si>
  <si>
    <t>per kW</t>
  </si>
  <si>
    <t>USL</t>
  </si>
  <si>
    <t>Sentinel</t>
  </si>
  <si>
    <t>S/L</t>
  </si>
  <si>
    <t>kWh</t>
  </si>
  <si>
    <t>kW</t>
  </si>
  <si>
    <t>$</t>
  </si>
  <si>
    <t>%</t>
  </si>
  <si>
    <t>Residential</t>
  </si>
  <si>
    <t>Large Use</t>
  </si>
  <si>
    <t>Unmetered Scattered Load</t>
  </si>
  <si>
    <t>Street Lighting</t>
  </si>
  <si>
    <t xml:space="preserve">Recovery of CGAAP/CWIP Differential </t>
  </si>
  <si>
    <t xml:space="preserve">ICM Rate Rider  (2014) </t>
  </si>
  <si>
    <t>GS&lt;50</t>
  </si>
  <si>
    <t>GS &gt; 50</t>
  </si>
  <si>
    <t>Bill Impacts - GS &gt; 50</t>
  </si>
  <si>
    <t>Bill Impacts - Large User</t>
  </si>
  <si>
    <t>Large User</t>
  </si>
  <si>
    <t>Bill Impacts - Unmetered Scattered Load</t>
  </si>
  <si>
    <t>Bill Impacts - Sentinel Lighting</t>
  </si>
  <si>
    <t>Bill Impacts - Street Lighting</t>
  </si>
  <si>
    <t>Fix_R</t>
  </si>
  <si>
    <t>PPE_R</t>
  </si>
  <si>
    <t>ICMF_R</t>
  </si>
  <si>
    <t>Var_R</t>
  </si>
  <si>
    <t>ICMV_R</t>
  </si>
  <si>
    <t>LRVA_R</t>
  </si>
  <si>
    <t>RAL14_R</t>
  </si>
  <si>
    <t>LV_R</t>
  </si>
  <si>
    <t>ID</t>
  </si>
  <si>
    <t>TN_R</t>
  </si>
  <si>
    <t>TC_R</t>
  </si>
  <si>
    <t xml:space="preserve">Summary of Bill Impacts </t>
  </si>
  <si>
    <t>A</t>
  </si>
  <si>
    <t xml:space="preserve">Distribution Charge </t>
  </si>
  <si>
    <t>TEST YEAR 1 - 2016</t>
  </si>
  <si>
    <t>TEST YEAR 2 - 2017</t>
  </si>
  <si>
    <t>Customer Class</t>
  </si>
  <si>
    <t>Billing Determinant</t>
  </si>
  <si>
    <t>Consumption per customer</t>
  </si>
  <si>
    <t>Load per customer</t>
  </si>
  <si>
    <t>Monthly Distribution Charge Impact</t>
  </si>
  <si>
    <t>kwh</t>
  </si>
  <si>
    <t>GS&lt;50 kW</t>
  </si>
  <si>
    <t>GS&gt;50 kW</t>
  </si>
  <si>
    <t>Sentinel Lights</t>
  </si>
  <si>
    <t>B</t>
  </si>
  <si>
    <t>Delivery Charge</t>
  </si>
  <si>
    <t>Monthly Delivery Charge Impact</t>
  </si>
  <si>
    <t>C</t>
  </si>
  <si>
    <t>Total Bill</t>
  </si>
  <si>
    <t>Total Monthly Bill Impact</t>
  </si>
  <si>
    <r>
      <t>2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</si>
  <si>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>Residential (kWh) - 100, 250, 500, 800, 1000, 1500, 2001</t>
  </si>
  <si>
    <t>GS&lt;50kW (kWh) - 1000, 2000, 5000, 10000, 15001</t>
  </si>
  <si>
    <t>GS&gt;50kW (kW) - 60, 100, 500, 1001</t>
  </si>
  <si>
    <t>Average</t>
  </si>
  <si>
    <t>Distribution Component</t>
  </si>
  <si>
    <t>Billing</t>
  </si>
  <si>
    <t>Determinant</t>
  </si>
  <si>
    <t>(kWh)</t>
  </si>
  <si>
    <t>Load
per Customer</t>
  </si>
  <si>
    <t>(kW)</t>
  </si>
  <si>
    <t>Bill Impacts - GS&lt;50</t>
  </si>
  <si>
    <t>Consumption
per Customer</t>
  </si>
  <si>
    <t>Summary of Bill Impacts - RESIDENTIAL (Various Consumption Levels)</t>
  </si>
  <si>
    <t>NOTES:</t>
  </si>
  <si>
    <t>TOU &amp; RPP price effective May 1, 2015</t>
  </si>
  <si>
    <t>OCEB included for 2015, but not for 2016</t>
  </si>
  <si>
    <t>DRC included for 2015, but removed for 2016 for Residental</t>
  </si>
  <si>
    <t>Summary of Bill Impacts - GS&lt;50 (Various Consumption Levels)</t>
  </si>
  <si>
    <t>no OCEB</t>
  </si>
  <si>
    <t>Summary of Bill Impacts - GS&gt;50 (Various Consumption Levels)</t>
  </si>
  <si>
    <t>GS&gt;50</t>
  </si>
  <si>
    <t>Deamnd</t>
  </si>
  <si>
    <t>Residential (10th Percentile)</t>
  </si>
  <si>
    <t>OESP Charge</t>
  </si>
  <si>
    <t>FR_R</t>
  </si>
  <si>
    <t>Forgone Revenue Rate Rider (2016)</t>
  </si>
  <si>
    <t>FR_GS</t>
  </si>
  <si>
    <t>Forgone Revenue Rate Rider -  Fixed Component (2016)</t>
  </si>
  <si>
    <t>FRV_GS</t>
  </si>
  <si>
    <t>Forgone Revenue Rate Rider -  Variable Component (2016)</t>
  </si>
  <si>
    <t>FR_GSL</t>
  </si>
  <si>
    <t>FRV_GSL</t>
  </si>
  <si>
    <t>Forgone Revenue Rate Rider - Variable Component (2016)</t>
  </si>
  <si>
    <t>FR_LU</t>
  </si>
  <si>
    <t>FRV_LU</t>
  </si>
  <si>
    <t>FR_USL</t>
  </si>
  <si>
    <t>FRV_USL</t>
  </si>
  <si>
    <t>FR_SE</t>
  </si>
  <si>
    <t>FRV_SE</t>
  </si>
  <si>
    <t>FR_SL</t>
  </si>
  <si>
    <t>FRV_SL</t>
  </si>
  <si>
    <t xml:space="preserve">2017 TEST YEAR </t>
  </si>
  <si>
    <t xml:space="preserve">Impact
2016  vs. 
2015 </t>
  </si>
  <si>
    <t>DRO Model</t>
  </si>
  <si>
    <t>Summary of Bill Impacts - Various Consumption Levels</t>
  </si>
  <si>
    <t>Net of FRR - 2017</t>
  </si>
  <si>
    <t>Net of FRRR - 2016</t>
  </si>
  <si>
    <t>As filed for DRO</t>
  </si>
  <si>
    <t xml:space="preserve">Impact
2017 TEST vs. 
2016 </t>
  </si>
  <si>
    <t>Smart Grid True-up (2016)</t>
  </si>
  <si>
    <t>SG16_SL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</si>
</sst>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0.0%"/>
    <numFmt numFmtId="169" formatCode="_(* #,##0_);_(* \(#,##0\);_(* &quot;-&quot;??_);_(@_)"/>
    <numFmt numFmtId="170" formatCode="0.0%;\(0.0%\)"/>
    <numFmt numFmtId="171" formatCode="_(* #,##0.0_);_(* \(#,##0.0\);_(* &quot;-&quot;??_);_(@_)"/>
    <numFmt numFmtId="172" formatCode="0.0"/>
    <numFmt numFmtId="173" formatCode="_-&quot;$&quot;* #,##0.000_-;\-&quot;$&quot;* #,##0.000_-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16"/>
      <name val="Arial Narrow"/>
      <family val="2"/>
    </font>
    <font>
      <sz val="11"/>
      <color rgb="FF7030A0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i/>
      <sz val="11"/>
      <color indexed="8"/>
      <name val="Arial Narrow"/>
      <family val="2"/>
    </font>
    <font>
      <u/>
      <sz val="11"/>
      <color indexed="12"/>
      <name val="Arial Narrow"/>
      <family val="2"/>
    </font>
    <font>
      <b/>
      <i/>
      <sz val="11"/>
      <name val="Arial Narrow"/>
      <family val="2"/>
    </font>
    <font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00FF"/>
      <name val="Arial Narrow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10">
    <xf numFmtId="0" fontId="0" fillId="0" borderId="0" xfId="0"/>
    <xf numFmtId="0" fontId="0" fillId="2" borderId="0" xfId="0" applyFill="1" applyBorder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0" xfId="0" applyFont="1" applyProtection="1"/>
    <xf numFmtId="0" fontId="4" fillId="0" borderId="0" xfId="0" applyFont="1" applyProtection="1"/>
    <xf numFmtId="166" fontId="4" fillId="3" borderId="2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quotePrefix="1" applyFont="1" applyBorder="1" applyAlignment="1" applyProtection="1">
      <alignment horizontal="center"/>
    </xf>
    <xf numFmtId="0" fontId="4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167" fontId="0" fillId="3" borderId="8" xfId="2" applyNumberFormat="1" applyFont="1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center"/>
    </xf>
    <xf numFmtId="16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3" borderId="8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167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164" fontId="0" fillId="5" borderId="5" xfId="2" applyFont="1" applyFill="1" applyBorder="1" applyAlignment="1" applyProtection="1">
      <alignment vertical="center"/>
    </xf>
    <xf numFmtId="0" fontId="0" fillId="0" borderId="0" xfId="0" applyFill="1" applyProtection="1"/>
    <xf numFmtId="0" fontId="8" fillId="3" borderId="0" xfId="0" applyFont="1" applyFill="1" applyAlignment="1" applyProtection="1">
      <alignment vertical="top" wrapText="1"/>
    </xf>
    <xf numFmtId="0" fontId="8" fillId="0" borderId="0" xfId="0" applyFont="1" applyAlignment="1" applyProtection="1">
      <alignment vertical="top"/>
    </xf>
    <xf numFmtId="167" fontId="0" fillId="6" borderId="8" xfId="2" applyNumberFormat="1" applyFont="1" applyFill="1" applyBorder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4" fillId="5" borderId="5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" fontId="0" fillId="7" borderId="8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0" fillId="0" borderId="0" xfId="0" applyAlignment="1" applyProtection="1">
      <alignment vertical="top" wrapText="1"/>
    </xf>
    <xf numFmtId="167" fontId="1" fillId="3" borderId="8" xfId="2" applyNumberFormat="1" applyFill="1" applyBorder="1" applyAlignment="1" applyProtection="1">
      <alignment vertical="top"/>
      <protection locked="0"/>
    </xf>
    <xf numFmtId="164" fontId="1" fillId="0" borderId="7" xfId="2" applyBorder="1" applyAlignment="1" applyProtection="1">
      <alignment vertical="center"/>
    </xf>
    <xf numFmtId="1" fontId="0" fillId="0" borderId="8" xfId="0" applyNumberFormat="1" applyFill="1" applyBorder="1" applyAlignment="1" applyProtection="1">
      <alignment vertical="center"/>
    </xf>
    <xf numFmtId="167" fontId="1" fillId="0" borderId="8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8" fillId="0" borderId="0" xfId="4" applyFont="1" applyAlignment="1" applyProtection="1">
      <alignment vertical="top"/>
    </xf>
    <xf numFmtId="0" fontId="8" fillId="0" borderId="0" xfId="4" applyAlignment="1" applyProtection="1">
      <alignment vertical="top"/>
    </xf>
    <xf numFmtId="1" fontId="8" fillId="6" borderId="8" xfId="4" applyNumberFormat="1" applyFill="1" applyBorder="1" applyAlignment="1" applyProtection="1">
      <alignment vertical="center"/>
    </xf>
    <xf numFmtId="0" fontId="8" fillId="0" borderId="0" xfId="4" applyProtection="1"/>
    <xf numFmtId="0" fontId="8" fillId="8" borderId="11" xfId="0" applyFont="1" applyFill="1" applyBorder="1" applyProtection="1"/>
    <xf numFmtId="0" fontId="0" fillId="8" borderId="12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0" fontId="4" fillId="0" borderId="8" xfId="0" applyFont="1" applyFill="1" applyBorder="1" applyAlignment="1" applyProtection="1">
      <alignment vertical="center"/>
    </xf>
    <xf numFmtId="44" fontId="4" fillId="0" borderId="8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8" fillId="0" borderId="8" xfId="0" applyFont="1" applyFill="1" applyBorder="1" applyAlignment="1" applyProtection="1">
      <alignment vertical="center"/>
    </xf>
    <xf numFmtId="44" fontId="8" fillId="0" borderId="8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8" xfId="0" applyFill="1" applyBorder="1" applyAlignment="1" applyProtection="1">
      <alignment vertical="top"/>
    </xf>
    <xf numFmtId="44" fontId="12" fillId="0" borderId="8" xfId="0" applyNumberFormat="1" applyFont="1" applyFill="1" applyBorder="1" applyAlignment="1" applyProtection="1">
      <alignment vertical="center"/>
    </xf>
    <xf numFmtId="0" fontId="0" fillId="9" borderId="9" xfId="0" applyFill="1" applyBorder="1" applyAlignment="1" applyProtection="1">
      <alignment vertical="top"/>
    </xf>
    <xf numFmtId="44" fontId="4" fillId="9" borderId="9" xfId="0" applyNumberFormat="1" applyFont="1" applyFill="1" applyBorder="1" applyAlignment="1" applyProtection="1">
      <alignment vertical="center"/>
    </xf>
    <xf numFmtId="0" fontId="8" fillId="8" borderId="11" xfId="4" applyFont="1" applyFill="1" applyBorder="1" applyProtection="1"/>
    <xf numFmtId="0" fontId="8" fillId="8" borderId="12" xfId="4" applyFill="1" applyBorder="1" applyAlignment="1" applyProtection="1">
      <alignment vertical="top"/>
    </xf>
    <xf numFmtId="0" fontId="8" fillId="8" borderId="12" xfId="4" applyFill="1" applyBorder="1" applyAlignment="1" applyProtection="1">
      <alignment vertical="top"/>
      <protection locked="0"/>
    </xf>
    <xf numFmtId="0" fontId="8" fillId="8" borderId="13" xfId="4" applyFill="1" applyBorder="1" applyAlignment="1" applyProtection="1">
      <alignment vertical="center"/>
      <protection locked="0"/>
    </xf>
    <xf numFmtId="0" fontId="4" fillId="0" borderId="0" xfId="4" applyFont="1" applyFill="1" applyAlignment="1" applyProtection="1">
      <alignment vertical="top"/>
    </xf>
    <xf numFmtId="9" fontId="8" fillId="0" borderId="8" xfId="4" applyNumberFormat="1" applyFill="1" applyBorder="1" applyAlignment="1" applyProtection="1">
      <alignment vertical="top"/>
    </xf>
    <xf numFmtId="0" fontId="4" fillId="0" borderId="8" xfId="4" applyFont="1" applyFill="1" applyBorder="1" applyAlignment="1" applyProtection="1">
      <alignment vertical="center"/>
    </xf>
    <xf numFmtId="44" fontId="4" fillId="0" borderId="8" xfId="4" applyNumberFormat="1" applyFont="1" applyFill="1" applyBorder="1" applyAlignment="1" applyProtection="1">
      <alignment vertical="center"/>
    </xf>
    <xf numFmtId="0" fontId="8" fillId="0" borderId="0" xfId="4" applyFont="1" applyFill="1" applyAlignment="1" applyProtection="1">
      <alignment horizontal="left" vertical="top" indent="1"/>
    </xf>
    <xf numFmtId="9" fontId="8" fillId="0" borderId="8" xfId="4" applyNumberFormat="1" applyFill="1" applyBorder="1" applyAlignment="1" applyProtection="1">
      <alignment vertical="top"/>
      <protection locked="0"/>
    </xf>
    <xf numFmtId="0" fontId="8" fillId="0" borderId="8" xfId="4" applyFont="1" applyFill="1" applyBorder="1" applyAlignment="1" applyProtection="1">
      <alignment vertical="center"/>
    </xf>
    <xf numFmtId="44" fontId="8" fillId="0" borderId="8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8" fillId="0" borderId="8" xfId="4" applyFill="1" applyBorder="1" applyAlignment="1" applyProtection="1">
      <alignment vertical="top"/>
    </xf>
    <xf numFmtId="44" fontId="12" fillId="0" borderId="8" xfId="4" applyNumberFormat="1" applyFont="1" applyFill="1" applyBorder="1" applyAlignment="1" applyProtection="1">
      <alignment vertical="center"/>
    </xf>
    <xf numFmtId="0" fontId="8" fillId="9" borderId="8" xfId="4" applyFill="1" applyBorder="1" applyAlignment="1" applyProtection="1">
      <alignment vertical="top"/>
    </xf>
    <xf numFmtId="44" fontId="4" fillId="9" borderId="8" xfId="4" applyNumberFormat="1" applyFont="1" applyFill="1" applyBorder="1" applyAlignment="1" applyProtection="1">
      <alignment vertical="center"/>
    </xf>
    <xf numFmtId="167" fontId="1" fillId="8" borderId="14" xfId="2" applyNumberFormat="1" applyFill="1" applyBorder="1" applyAlignment="1" applyProtection="1">
      <alignment vertical="top"/>
      <protection locked="0"/>
    </xf>
    <xf numFmtId="164" fontId="1" fillId="8" borderId="13" xfId="2" applyFill="1" applyBorder="1" applyAlignment="1" applyProtection="1">
      <alignment vertical="center"/>
    </xf>
    <xf numFmtId="10" fontId="1" fillId="3" borderId="2" xfId="3" applyNumberFormat="1" applyFill="1" applyBorder="1" applyProtection="1">
      <protection locked="0"/>
    </xf>
    <xf numFmtId="0" fontId="13" fillId="0" borderId="0" xfId="0" applyFont="1" applyProtection="1"/>
    <xf numFmtId="0" fontId="0" fillId="7" borderId="0" xfId="0" applyFill="1" applyProtection="1"/>
    <xf numFmtId="165" fontId="0" fillId="7" borderId="8" xfId="0" applyNumberFormat="1" applyFill="1" applyBorder="1" applyAlignment="1" applyProtection="1">
      <alignment vertical="center"/>
    </xf>
    <xf numFmtId="164" fontId="1" fillId="8" borderId="14" xfId="2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0" fillId="0" borderId="0" xfId="0" applyFill="1" applyBorder="1" applyProtection="1"/>
    <xf numFmtId="0" fontId="6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Border="1" applyAlignment="1" applyProtection="1">
      <alignment horizontal="left" indent="1"/>
    </xf>
    <xf numFmtId="0" fontId="7" fillId="0" borderId="0" xfId="0" applyFont="1" applyFill="1" applyBorder="1" applyAlignment="1" applyProtection="1"/>
    <xf numFmtId="0" fontId="8" fillId="0" borderId="0" xfId="4" applyFill="1" applyProtection="1"/>
    <xf numFmtId="0" fontId="0" fillId="4" borderId="8" xfId="0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top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8" fillId="4" borderId="8" xfId="4" applyFill="1" applyBorder="1" applyAlignment="1" applyProtection="1">
      <alignment vertical="top"/>
      <protection locked="0"/>
    </xf>
    <xf numFmtId="0" fontId="0" fillId="8" borderId="14" xfId="0" applyFill="1" applyBorder="1" applyAlignment="1" applyProtection="1">
      <alignment vertical="top"/>
      <protection locked="0"/>
    </xf>
    <xf numFmtId="9" fontId="0" fillId="0" borderId="15" xfId="0" applyNumberFormat="1" applyFill="1" applyBorder="1" applyAlignment="1" applyProtection="1">
      <alignment vertical="center"/>
    </xf>
    <xf numFmtId="0" fontId="0" fillId="9" borderId="10" xfId="0" applyFill="1" applyBorder="1" applyAlignment="1" applyProtection="1">
      <alignment vertical="center"/>
    </xf>
    <xf numFmtId="9" fontId="8" fillId="0" borderId="7" xfId="4" applyNumberFormat="1" applyFill="1" applyBorder="1" applyAlignment="1" applyProtection="1">
      <alignment vertical="center"/>
    </xf>
    <xf numFmtId="0" fontId="8" fillId="0" borderId="7" xfId="4" applyFill="1" applyBorder="1" applyAlignment="1" applyProtection="1">
      <alignment vertical="center"/>
    </xf>
    <xf numFmtId="0" fontId="8" fillId="9" borderId="7" xfId="4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8" xfId="4" applyFill="1" applyBorder="1" applyAlignment="1" applyProtection="1">
      <alignment vertical="center"/>
    </xf>
    <xf numFmtId="164" fontId="0" fillId="0" borderId="0" xfId="0" applyNumberFormat="1" applyFill="1" applyProtection="1"/>
    <xf numFmtId="0" fontId="2" fillId="0" borderId="0" xfId="0" applyFont="1" applyProtection="1"/>
    <xf numFmtId="0" fontId="2" fillId="0" borderId="0" xfId="0" applyFont="1" applyFill="1" applyBorder="1" applyProtection="1"/>
    <xf numFmtId="44" fontId="0" fillId="3" borderId="8" xfId="2" applyNumberFormat="1" applyFont="1" applyFill="1" applyBorder="1" applyAlignment="1" applyProtection="1">
      <alignment vertical="top"/>
      <protection locked="0"/>
    </xf>
    <xf numFmtId="168" fontId="5" fillId="0" borderId="0" xfId="3" applyNumberFormat="1" applyFont="1" applyFill="1" applyAlignment="1">
      <alignment horizontal="right" vertical="top"/>
    </xf>
    <xf numFmtId="168" fontId="5" fillId="0" borderId="1" xfId="3" applyNumberFormat="1" applyFont="1" applyFill="1" applyBorder="1" applyAlignment="1">
      <alignment horizontal="right" vertical="top"/>
    </xf>
    <xf numFmtId="168" fontId="0" fillId="0" borderId="0" xfId="3" applyNumberFormat="1" applyFont="1" applyFill="1"/>
    <xf numFmtId="168" fontId="0" fillId="0" borderId="0" xfId="3" applyNumberFormat="1" applyFont="1"/>
    <xf numFmtId="168" fontId="7" fillId="0" borderId="0" xfId="3" applyNumberFormat="1" applyFont="1" applyAlignment="1" applyProtection="1">
      <alignment horizontal="center"/>
    </xf>
    <xf numFmtId="168" fontId="0" fillId="0" borderId="0" xfId="3" applyNumberFormat="1" applyFont="1" applyProtection="1"/>
    <xf numFmtId="168" fontId="4" fillId="0" borderId="7" xfId="3" applyNumberFormat="1" applyFont="1" applyBorder="1" applyAlignment="1" applyProtection="1">
      <alignment horizontal="center"/>
    </xf>
    <xf numFmtId="168" fontId="4" fillId="0" borderId="10" xfId="3" quotePrefix="1" applyNumberFormat="1" applyFont="1" applyBorder="1" applyAlignment="1" applyProtection="1">
      <alignment horizontal="center"/>
    </xf>
    <xf numFmtId="168" fontId="0" fillId="0" borderId="7" xfId="3" applyNumberFormat="1" applyFont="1" applyBorder="1" applyAlignment="1" applyProtection="1">
      <alignment vertical="center"/>
    </xf>
    <xf numFmtId="168" fontId="0" fillId="5" borderId="5" xfId="3" applyNumberFormat="1" applyFont="1" applyFill="1" applyBorder="1" applyAlignment="1" applyProtection="1">
      <alignment vertical="center"/>
    </xf>
    <xf numFmtId="168" fontId="4" fillId="5" borderId="5" xfId="3" applyNumberFormat="1" applyFont="1" applyFill="1" applyBorder="1" applyAlignment="1" applyProtection="1">
      <alignment vertical="center"/>
    </xf>
    <xf numFmtId="168" fontId="1" fillId="0" borderId="7" xfId="3" applyNumberFormat="1" applyBorder="1" applyAlignment="1" applyProtection="1">
      <alignment vertical="center"/>
    </xf>
    <xf numFmtId="168" fontId="1" fillId="8" borderId="13" xfId="3" applyNumberFormat="1" applyFill="1" applyBorder="1" applyAlignment="1" applyProtection="1">
      <alignment vertical="center"/>
    </xf>
    <xf numFmtId="168" fontId="4" fillId="0" borderId="8" xfId="3" applyNumberFormat="1" applyFont="1" applyFill="1" applyBorder="1" applyAlignment="1" applyProtection="1">
      <alignment vertical="center"/>
    </xf>
    <xf numFmtId="168" fontId="8" fillId="0" borderId="8" xfId="3" applyNumberFormat="1" applyFont="1" applyFill="1" applyBorder="1" applyAlignment="1" applyProtection="1">
      <alignment vertical="center"/>
    </xf>
    <xf numFmtId="168" fontId="12" fillId="0" borderId="8" xfId="3" applyNumberFormat="1" applyFont="1" applyFill="1" applyBorder="1" applyAlignment="1" applyProtection="1">
      <alignment vertical="center"/>
    </xf>
    <xf numFmtId="168" fontId="4" fillId="9" borderId="9" xfId="3" applyNumberFormat="1" applyFont="1" applyFill="1" applyBorder="1" applyAlignment="1" applyProtection="1">
      <alignment vertical="center"/>
    </xf>
    <xf numFmtId="168" fontId="4" fillId="9" borderId="8" xfId="3" applyNumberFormat="1" applyFont="1" applyFill="1" applyBorder="1" applyAlignment="1" applyProtection="1">
      <alignment vertical="center"/>
    </xf>
    <xf numFmtId="168" fontId="1" fillId="8" borderId="14" xfId="3" applyNumberFormat="1" applyFill="1" applyBorder="1" applyAlignment="1" applyProtection="1">
      <alignment vertical="center"/>
    </xf>
    <xf numFmtId="44" fontId="1" fillId="3" borderId="8" xfId="2" applyNumberFormat="1" applyFill="1" applyBorder="1" applyAlignment="1" applyProtection="1">
      <alignment vertical="top"/>
      <protection locked="0"/>
    </xf>
    <xf numFmtId="166" fontId="0" fillId="0" borderId="8" xfId="0" applyNumberFormat="1" applyFill="1" applyBorder="1" applyAlignment="1" applyProtection="1">
      <alignment vertical="center"/>
    </xf>
    <xf numFmtId="169" fontId="0" fillId="7" borderId="8" xfId="1" applyNumberFormat="1" applyFont="1" applyFill="1" applyBorder="1" applyAlignment="1" applyProtection="1">
      <alignment vertical="center"/>
    </xf>
    <xf numFmtId="169" fontId="0" fillId="0" borderId="8" xfId="1" applyNumberFormat="1" applyFont="1" applyFill="1" applyBorder="1" applyAlignment="1" applyProtection="1">
      <alignment vertical="center"/>
    </xf>
    <xf numFmtId="169" fontId="8" fillId="6" borderId="8" xfId="1" applyNumberFormat="1" applyFont="1" applyFill="1" applyBorder="1" applyAlignment="1" applyProtection="1">
      <alignment vertical="center"/>
    </xf>
    <xf numFmtId="0" fontId="20" fillId="0" borderId="0" xfId="0" applyFont="1" applyProtection="1"/>
    <xf numFmtId="0" fontId="20" fillId="0" borderId="0" xfId="0" applyFont="1" applyFill="1" applyProtection="1"/>
    <xf numFmtId="0" fontId="3" fillId="0" borderId="0" xfId="0" applyFont="1" applyFill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1" fontId="0" fillId="0" borderId="8" xfId="0" applyNumberFormat="1" applyFill="1" applyBorder="1" applyAlignment="1" applyProtection="1">
      <alignment horizontal="center" vertical="center"/>
    </xf>
    <xf numFmtId="1" fontId="8" fillId="6" borderId="8" xfId="0" applyNumberFormat="1" applyFont="1" applyFill="1" applyBorder="1" applyAlignment="1" applyProtection="1">
      <alignment horizontal="center" vertical="center"/>
    </xf>
    <xf numFmtId="1" fontId="8" fillId="6" borderId="8" xfId="4" applyNumberFormat="1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  <protection locked="0"/>
    </xf>
    <xf numFmtId="9" fontId="0" fillId="0" borderId="15" xfId="0" applyNumberForma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8" fillId="8" borderId="13" xfId="4" applyFill="1" applyBorder="1" applyAlignment="1" applyProtection="1">
      <alignment horizontal="center" vertical="center"/>
      <protection locked="0"/>
    </xf>
    <xf numFmtId="9" fontId="8" fillId="0" borderId="7" xfId="4" applyNumberFormat="1" applyFill="1" applyBorder="1" applyAlignment="1" applyProtection="1">
      <alignment horizontal="center" vertical="center"/>
    </xf>
    <xf numFmtId="0" fontId="8" fillId="0" borderId="7" xfId="4" applyFill="1" applyBorder="1" applyAlignment="1" applyProtection="1">
      <alignment horizontal="center" vertical="center"/>
    </xf>
    <xf numFmtId="0" fontId="8" fillId="9" borderId="7" xfId="4" applyFill="1" applyBorder="1" applyAlignment="1" applyProtection="1">
      <alignment horizontal="center" vertical="center"/>
    </xf>
    <xf numFmtId="164" fontId="4" fillId="0" borderId="0" xfId="0" applyNumberFormat="1" applyFont="1" applyFill="1"/>
    <xf numFmtId="164" fontId="0" fillId="0" borderId="0" xfId="0" applyNumberFormat="1"/>
    <xf numFmtId="164" fontId="7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4" fillId="0" borderId="6" xfId="0" applyNumberFormat="1" applyFont="1" applyBorder="1" applyAlignment="1" applyProtection="1">
      <alignment horizontal="center"/>
    </xf>
    <xf numFmtId="164" fontId="4" fillId="0" borderId="9" xfId="0" quotePrefix="1" applyNumberFormat="1" applyFont="1" applyBorder="1" applyAlignment="1" applyProtection="1">
      <alignment horizontal="center"/>
    </xf>
    <xf numFmtId="164" fontId="0" fillId="3" borderId="8" xfId="2" applyNumberFormat="1" applyFont="1" applyFill="1" applyBorder="1" applyAlignment="1" applyProtection="1">
      <alignment vertical="top"/>
      <protection locked="0"/>
    </xf>
    <xf numFmtId="164" fontId="0" fillId="5" borderId="2" xfId="2" applyNumberFormat="1" applyFont="1" applyFill="1" applyBorder="1" applyAlignment="1" applyProtection="1">
      <alignment vertical="top"/>
      <protection locked="0"/>
    </xf>
    <xf numFmtId="164" fontId="0" fillId="6" borderId="8" xfId="2" applyNumberFormat="1" applyFont="1" applyFill="1" applyBorder="1" applyAlignment="1" applyProtection="1">
      <alignment vertical="top"/>
      <protection locked="0"/>
    </xf>
    <xf numFmtId="164" fontId="0" fillId="5" borderId="2" xfId="0" applyNumberFormat="1" applyFill="1" applyBorder="1" applyProtection="1"/>
    <xf numFmtId="164" fontId="0" fillId="3" borderId="8" xfId="2" applyNumberFormat="1" applyFont="1" applyFill="1" applyBorder="1" applyAlignment="1" applyProtection="1">
      <alignment vertical="center"/>
      <protection locked="0"/>
    </xf>
    <xf numFmtId="164" fontId="0" fillId="5" borderId="2" xfId="0" applyNumberFormat="1" applyFill="1" applyBorder="1" applyAlignment="1" applyProtection="1">
      <alignment vertical="top"/>
    </xf>
    <xf numFmtId="164" fontId="1" fillId="3" borderId="8" xfId="2" applyNumberFormat="1" applyFill="1" applyBorder="1" applyAlignment="1" applyProtection="1">
      <alignment vertical="top"/>
      <protection locked="0"/>
    </xf>
    <xf numFmtId="164" fontId="1" fillId="0" borderId="8" xfId="2" applyNumberFormat="1" applyFill="1" applyBorder="1" applyAlignment="1" applyProtection="1">
      <alignment vertical="top"/>
      <protection locked="0"/>
    </xf>
    <xf numFmtId="164" fontId="1" fillId="8" borderId="14" xfId="2" applyNumberFormat="1" applyFill="1" applyBorder="1" applyAlignment="1" applyProtection="1">
      <alignment vertical="top"/>
      <protection locked="0"/>
    </xf>
    <xf numFmtId="164" fontId="8" fillId="0" borderId="8" xfId="0" applyNumberFormat="1" applyFont="1" applyFill="1" applyBorder="1" applyAlignment="1" applyProtection="1">
      <alignment vertical="center"/>
    </xf>
    <xf numFmtId="164" fontId="12" fillId="0" borderId="8" xfId="0" applyNumberFormat="1" applyFont="1" applyFill="1" applyBorder="1" applyAlignment="1" applyProtection="1">
      <alignment vertical="center"/>
    </xf>
    <xf numFmtId="164" fontId="8" fillId="9" borderId="9" xfId="0" applyNumberFormat="1" applyFont="1" applyFill="1" applyBorder="1" applyAlignment="1" applyProtection="1">
      <alignment vertical="center"/>
    </xf>
    <xf numFmtId="164" fontId="1" fillId="8" borderId="13" xfId="2" applyNumberFormat="1" applyFont="1" applyFill="1" applyBorder="1" applyAlignment="1" applyProtection="1">
      <alignment vertical="center"/>
    </xf>
    <xf numFmtId="164" fontId="8" fillId="0" borderId="8" xfId="4" applyNumberFormat="1" applyFont="1" applyFill="1" applyBorder="1" applyAlignment="1" applyProtection="1">
      <alignment vertical="center"/>
    </xf>
    <xf numFmtId="164" fontId="12" fillId="0" borderId="8" xfId="4" applyNumberFormat="1" applyFont="1" applyFill="1" applyBorder="1" applyAlignment="1" applyProtection="1">
      <alignment vertical="center"/>
    </xf>
    <xf numFmtId="164" fontId="8" fillId="9" borderId="8" xfId="4" applyNumberFormat="1" applyFont="1" applyFill="1" applyBorder="1" applyAlignment="1" applyProtection="1">
      <alignment vertical="center"/>
    </xf>
    <xf numFmtId="169" fontId="3" fillId="0" borderId="0" xfId="1" applyNumberFormat="1" applyFont="1" applyFill="1" applyAlignment="1" applyProtection="1">
      <alignment vertical="top" wrapText="1"/>
    </xf>
    <xf numFmtId="169" fontId="6" fillId="0" borderId="0" xfId="1" applyNumberFormat="1" applyFont="1" applyFill="1" applyBorder="1" applyAlignment="1" applyProtection="1"/>
    <xf numFmtId="169" fontId="7" fillId="0" borderId="0" xfId="1" applyNumberFormat="1" applyFont="1" applyFill="1" applyBorder="1" applyAlignment="1" applyProtection="1"/>
    <xf numFmtId="169" fontId="0" fillId="0" borderId="0" xfId="1" applyNumberFormat="1" applyFont="1" applyFill="1" applyBorder="1" applyAlignment="1" applyProtection="1"/>
    <xf numFmtId="169" fontId="0" fillId="0" borderId="0" xfId="1" applyNumberFormat="1" applyFont="1" applyAlignment="1" applyProtection="1"/>
    <xf numFmtId="169" fontId="7" fillId="0" borderId="0" xfId="1" applyNumberFormat="1" applyFont="1" applyAlignment="1" applyProtection="1"/>
    <xf numFmtId="169" fontId="4" fillId="0" borderId="0" xfId="1" applyNumberFormat="1" applyFont="1" applyAlignment="1" applyProtection="1"/>
    <xf numFmtId="169" fontId="4" fillId="0" borderId="6" xfId="1" applyNumberFormat="1" applyFont="1" applyBorder="1" applyAlignment="1" applyProtection="1"/>
    <xf numFmtId="169" fontId="4" fillId="0" borderId="9" xfId="1" quotePrefix="1" applyNumberFormat="1" applyFont="1" applyBorder="1" applyAlignment="1" applyProtection="1"/>
    <xf numFmtId="169" fontId="0" fillId="5" borderId="2" xfId="1" applyNumberFormat="1" applyFont="1" applyFill="1" applyBorder="1" applyAlignment="1" applyProtection="1">
      <alignment vertical="center"/>
      <protection locked="0"/>
    </xf>
    <xf numFmtId="169" fontId="0" fillId="8" borderId="14" xfId="1" applyNumberFormat="1" applyFont="1" applyFill="1" applyBorder="1" applyAlignment="1" applyProtection="1">
      <alignment vertical="center"/>
      <protection locked="0"/>
    </xf>
    <xf numFmtId="169" fontId="0" fillId="0" borderId="15" xfId="1" applyNumberFormat="1" applyFont="1" applyFill="1" applyBorder="1" applyAlignment="1" applyProtection="1">
      <alignment vertical="center"/>
    </xf>
    <xf numFmtId="169" fontId="0" fillId="0" borderId="7" xfId="1" applyNumberFormat="1" applyFont="1" applyFill="1" applyBorder="1" applyAlignment="1" applyProtection="1">
      <alignment vertical="center"/>
    </xf>
    <xf numFmtId="169" fontId="0" fillId="9" borderId="10" xfId="1" applyNumberFormat="1" applyFont="1" applyFill="1" applyBorder="1" applyAlignment="1" applyProtection="1">
      <alignment vertical="center"/>
    </xf>
    <xf numFmtId="169" fontId="8" fillId="8" borderId="13" xfId="1" applyNumberFormat="1" applyFont="1" applyFill="1" applyBorder="1" applyAlignment="1" applyProtection="1">
      <alignment vertical="center"/>
      <protection locked="0"/>
    </xf>
    <xf numFmtId="169" fontId="8" fillId="0" borderId="7" xfId="1" applyNumberFormat="1" applyFont="1" applyFill="1" applyBorder="1" applyAlignment="1" applyProtection="1">
      <alignment vertical="center"/>
    </xf>
    <xf numFmtId="169" fontId="8" fillId="9" borderId="7" xfId="1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Protection="1">
      <protection locked="0"/>
    </xf>
    <xf numFmtId="0" fontId="21" fillId="0" borderId="0" xfId="0" applyFont="1"/>
    <xf numFmtId="0" fontId="22" fillId="0" borderId="0" xfId="0" applyFont="1"/>
    <xf numFmtId="0" fontId="23" fillId="2" borderId="29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169" fontId="24" fillId="2" borderId="16" xfId="1" applyNumberFormat="1" applyFont="1" applyFill="1" applyBorder="1" applyAlignment="1">
      <alignment horizontal="center" vertical="center" wrapText="1"/>
    </xf>
    <xf numFmtId="164" fontId="22" fillId="2" borderId="16" xfId="2" applyFont="1" applyFill="1" applyBorder="1"/>
    <xf numFmtId="170" fontId="22" fillId="2" borderId="17" xfId="3" applyNumberFormat="1" applyFont="1" applyFill="1" applyBorder="1"/>
    <xf numFmtId="164" fontId="22" fillId="2" borderId="29" xfId="2" applyFont="1" applyFill="1" applyBorder="1"/>
    <xf numFmtId="0" fontId="23" fillId="2" borderId="3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center" vertical="center" wrapText="1"/>
    </xf>
    <xf numFmtId="169" fontId="24" fillId="2" borderId="0" xfId="1" applyNumberFormat="1" applyFont="1" applyFill="1" applyBorder="1" applyAlignment="1">
      <alignment horizontal="center" vertical="center" wrapText="1"/>
    </xf>
    <xf numFmtId="164" fontId="22" fillId="2" borderId="0" xfId="2" applyFont="1" applyFill="1" applyBorder="1"/>
    <xf numFmtId="170" fontId="22" fillId="2" borderId="18" xfId="3" applyNumberFormat="1" applyFont="1" applyFill="1" applyBorder="1"/>
    <xf numFmtId="164" fontId="22" fillId="2" borderId="30" xfId="2" applyFont="1" applyFill="1" applyBorder="1"/>
    <xf numFmtId="169" fontId="25" fillId="2" borderId="0" xfId="1" applyNumberFormat="1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center" vertical="center" wrapText="1"/>
    </xf>
    <xf numFmtId="169" fontId="24" fillId="2" borderId="19" xfId="1" applyNumberFormat="1" applyFont="1" applyFill="1" applyBorder="1" applyAlignment="1">
      <alignment horizontal="center" vertical="center" wrapText="1"/>
    </xf>
    <xf numFmtId="164" fontId="22" fillId="2" borderId="19" xfId="2" applyFont="1" applyFill="1" applyBorder="1"/>
    <xf numFmtId="170" fontId="22" fillId="2" borderId="20" xfId="3" applyNumberFormat="1" applyFont="1" applyFill="1" applyBorder="1"/>
    <xf numFmtId="164" fontId="22" fillId="2" borderId="31" xfId="2" applyFont="1" applyFill="1" applyBorder="1"/>
    <xf numFmtId="0" fontId="22" fillId="0" borderId="0" xfId="0" applyFont="1" applyAlignment="1">
      <alignment horizontal="right"/>
    </xf>
    <xf numFmtId="0" fontId="26" fillId="0" borderId="0" xfId="5" applyFont="1" applyAlignment="1" applyProtection="1">
      <alignment horizontal="right"/>
    </xf>
    <xf numFmtId="0" fontId="21" fillId="0" borderId="0" xfId="0" applyFont="1" applyAlignment="1">
      <alignment horizontal="right"/>
    </xf>
    <xf numFmtId="0" fontId="21" fillId="11" borderId="24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169" fontId="23" fillId="2" borderId="16" xfId="1" applyNumberFormat="1" applyFont="1" applyFill="1" applyBorder="1" applyAlignment="1">
      <alignment horizontal="center" vertical="center" wrapText="1"/>
    </xf>
    <xf numFmtId="164" fontId="23" fillId="2" borderId="16" xfId="2" applyFont="1" applyFill="1" applyBorder="1"/>
    <xf numFmtId="170" fontId="23" fillId="2" borderId="17" xfId="3" applyNumberFormat="1" applyFont="1" applyFill="1" applyBorder="1"/>
    <xf numFmtId="164" fontId="23" fillId="2" borderId="29" xfId="2" applyFont="1" applyFill="1" applyBorder="1"/>
    <xf numFmtId="169" fontId="23" fillId="2" borderId="0" xfId="1" applyNumberFormat="1" applyFont="1" applyFill="1" applyBorder="1" applyAlignment="1">
      <alignment horizontal="center" vertical="center" wrapText="1"/>
    </xf>
    <xf numFmtId="164" fontId="23" fillId="2" borderId="0" xfId="2" applyFont="1" applyFill="1" applyBorder="1"/>
    <xf numFmtId="170" fontId="23" fillId="2" borderId="18" xfId="3" applyNumberFormat="1" applyFont="1" applyFill="1" applyBorder="1"/>
    <xf numFmtId="164" fontId="23" fillId="2" borderId="30" xfId="2" applyFont="1" applyFill="1" applyBorder="1"/>
    <xf numFmtId="0" fontId="28" fillId="2" borderId="3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169" fontId="28" fillId="2" borderId="0" xfId="1" applyNumberFormat="1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vertical="center" wrapText="1"/>
    </xf>
    <xf numFmtId="169" fontId="23" fillId="2" borderId="19" xfId="1" applyNumberFormat="1" applyFont="1" applyFill="1" applyBorder="1" applyAlignment="1">
      <alignment horizontal="center" vertical="center" wrapText="1"/>
    </xf>
    <xf numFmtId="164" fontId="23" fillId="2" borderId="19" xfId="2" applyFont="1" applyFill="1" applyBorder="1"/>
    <xf numFmtId="170" fontId="23" fillId="2" borderId="20" xfId="3" applyNumberFormat="1" applyFont="1" applyFill="1" applyBorder="1"/>
    <xf numFmtId="164" fontId="23" fillId="2" borderId="31" xfId="2" applyFont="1" applyFill="1" applyBorder="1"/>
    <xf numFmtId="0" fontId="0" fillId="0" borderId="0" xfId="0" applyFill="1" applyBorder="1" applyAlignment="1" applyProtection="1">
      <alignment vertical="center"/>
    </xf>
    <xf numFmtId="169" fontId="0" fillId="7" borderId="8" xfId="0" applyNumberFormat="1" applyFill="1" applyBorder="1" applyAlignment="1" applyProtection="1">
      <alignment vertical="center"/>
    </xf>
    <xf numFmtId="164" fontId="0" fillId="5" borderId="2" xfId="1" applyNumberFormat="1" applyFont="1" applyFill="1" applyBorder="1" applyProtection="1"/>
    <xf numFmtId="164" fontId="0" fillId="3" borderId="8" xfId="1" applyNumberFormat="1" applyFont="1" applyFill="1" applyBorder="1" applyAlignment="1" applyProtection="1">
      <alignment vertical="center"/>
      <protection locked="0"/>
    </xf>
    <xf numFmtId="164" fontId="0" fillId="5" borderId="2" xfId="1" applyNumberFormat="1" applyFont="1" applyFill="1" applyBorder="1" applyAlignment="1" applyProtection="1">
      <alignment vertical="top"/>
    </xf>
    <xf numFmtId="164" fontId="4" fillId="0" borderId="8" xfId="0" applyNumberFormat="1" applyFont="1" applyFill="1" applyBorder="1" applyAlignment="1" applyProtection="1">
      <alignment vertical="center"/>
    </xf>
    <xf numFmtId="164" fontId="4" fillId="9" borderId="9" xfId="0" applyNumberFormat="1" applyFont="1" applyFill="1" applyBorder="1" applyAlignment="1" applyProtection="1">
      <alignment vertical="center"/>
    </xf>
    <xf numFmtId="164" fontId="1" fillId="8" borderId="13" xfId="2" applyNumberFormat="1" applyFill="1" applyBorder="1" applyAlignment="1" applyProtection="1">
      <alignment vertical="center"/>
    </xf>
    <xf numFmtId="164" fontId="4" fillId="0" borderId="8" xfId="4" applyNumberFormat="1" applyFont="1" applyFill="1" applyBorder="1" applyAlignment="1" applyProtection="1">
      <alignment vertical="center"/>
    </xf>
    <xf numFmtId="164" fontId="4" fillId="9" borderId="8" xfId="4" applyNumberFormat="1" applyFont="1" applyFill="1" applyBorder="1" applyAlignment="1" applyProtection="1">
      <alignment vertical="center"/>
    </xf>
    <xf numFmtId="0" fontId="21" fillId="13" borderId="19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 wrapText="1"/>
    </xf>
    <xf numFmtId="170" fontId="23" fillId="2" borderId="16" xfId="3" applyNumberFormat="1" applyFont="1" applyFill="1" applyBorder="1" applyAlignment="1">
      <alignment horizontal="center"/>
    </xf>
    <xf numFmtId="170" fontId="23" fillId="2" borderId="17" xfId="3" applyNumberFormat="1" applyFont="1" applyFill="1" applyBorder="1" applyAlignment="1">
      <alignment horizontal="center"/>
    </xf>
    <xf numFmtId="170" fontId="23" fillId="2" borderId="0" xfId="3" applyNumberFormat="1" applyFont="1" applyFill="1" applyBorder="1" applyAlignment="1">
      <alignment horizontal="center"/>
    </xf>
    <xf numFmtId="170" fontId="23" fillId="2" borderId="18" xfId="3" applyNumberFormat="1" applyFont="1" applyFill="1" applyBorder="1" applyAlignment="1">
      <alignment horizontal="center"/>
    </xf>
    <xf numFmtId="170" fontId="21" fillId="13" borderId="12" xfId="3" applyNumberFormat="1" applyFont="1" applyFill="1" applyBorder="1" applyAlignment="1">
      <alignment horizontal="center"/>
    </xf>
    <xf numFmtId="170" fontId="21" fillId="13" borderId="21" xfId="3" applyNumberFormat="1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37" xfId="0" applyFont="1" applyFill="1" applyBorder="1" applyAlignment="1">
      <alignment horizontal="center" vertical="center" wrapText="1"/>
    </xf>
    <xf numFmtId="3" fontId="23" fillId="2" borderId="24" xfId="0" applyNumberFormat="1" applyFont="1" applyFill="1" applyBorder="1" applyAlignment="1">
      <alignment vertical="center" wrapText="1"/>
    </xf>
    <xf numFmtId="3" fontId="23" fillId="2" borderId="8" xfId="0" applyNumberFormat="1" applyFont="1" applyFill="1" applyBorder="1" applyAlignment="1">
      <alignment vertical="center" wrapText="1"/>
    </xf>
    <xf numFmtId="170" fontId="23" fillId="2" borderId="38" xfId="3" applyNumberFormat="1" applyFont="1" applyFill="1" applyBorder="1" applyAlignment="1">
      <alignment horizontal="center"/>
    </xf>
    <xf numFmtId="170" fontId="23" fillId="2" borderId="39" xfId="3" applyNumberFormat="1" applyFont="1" applyFill="1" applyBorder="1" applyAlignment="1">
      <alignment horizontal="center"/>
    </xf>
    <xf numFmtId="0" fontId="22" fillId="0" borderId="0" xfId="0" applyFont="1" applyBorder="1"/>
    <xf numFmtId="0" fontId="30" fillId="0" borderId="0" xfId="0" applyFont="1"/>
    <xf numFmtId="0" fontId="21" fillId="11" borderId="26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center" vertical="center" wrapText="1"/>
    </xf>
    <xf numFmtId="44" fontId="0" fillId="6" borderId="8" xfId="2" applyNumberFormat="1" applyFont="1" applyFill="1" applyBorder="1" applyAlignment="1" applyProtection="1">
      <alignment vertical="top"/>
      <protection locked="0"/>
    </xf>
    <xf numFmtId="0" fontId="31" fillId="0" borderId="0" xfId="0" applyFont="1" applyProtection="1"/>
    <xf numFmtId="169" fontId="24" fillId="2" borderId="24" xfId="1" applyNumberFormat="1" applyFont="1" applyFill="1" applyBorder="1" applyAlignment="1">
      <alignment horizontal="center" vertical="center" wrapText="1"/>
    </xf>
    <xf numFmtId="169" fontId="25" fillId="2" borderId="8" xfId="1" applyNumberFormat="1" applyFont="1" applyFill="1" applyBorder="1" applyAlignment="1">
      <alignment horizontal="center" vertical="center" wrapText="1"/>
    </xf>
    <xf numFmtId="170" fontId="21" fillId="13" borderId="41" xfId="3" applyNumberFormat="1" applyFont="1" applyFill="1" applyBorder="1" applyAlignment="1">
      <alignment horizontal="center"/>
    </xf>
    <xf numFmtId="4" fontId="0" fillId="0" borderId="0" xfId="0" applyNumberForma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0" fillId="0" borderId="8" xfId="0" applyNumberFormat="1" applyFill="1" applyBorder="1" applyAlignment="1" applyProtection="1">
      <alignment vertical="center"/>
    </xf>
    <xf numFmtId="171" fontId="0" fillId="7" borderId="8" xfId="1" applyNumberFormat="1" applyFont="1" applyFill="1" applyBorder="1" applyAlignment="1" applyProtection="1">
      <alignment vertical="center"/>
    </xf>
    <xf numFmtId="172" fontId="0" fillId="7" borderId="8" xfId="0" applyNumberFormat="1" applyFill="1" applyBorder="1" applyAlignment="1" applyProtection="1">
      <alignment vertical="center"/>
    </xf>
    <xf numFmtId="165" fontId="0" fillId="0" borderId="8" xfId="1" applyNumberFormat="1" applyFont="1" applyFill="1" applyBorder="1" applyAlignment="1" applyProtection="1">
      <alignment vertical="center"/>
    </xf>
    <xf numFmtId="169" fontId="0" fillId="0" borderId="2" xfId="1" applyNumberFormat="1" applyFont="1" applyFill="1" applyBorder="1" applyAlignment="1" applyProtection="1">
      <alignment vertical="center"/>
    </xf>
    <xf numFmtId="4" fontId="0" fillId="0" borderId="8" xfId="0" applyNumberFormat="1" applyFill="1" applyBorder="1" applyAlignment="1" applyProtection="1">
      <alignment vertical="center"/>
    </xf>
    <xf numFmtId="3" fontId="0" fillId="0" borderId="8" xfId="1" applyNumberFormat="1" applyFont="1" applyFill="1" applyBorder="1" applyAlignment="1" applyProtection="1">
      <alignment vertical="center"/>
    </xf>
    <xf numFmtId="0" fontId="33" fillId="0" borderId="0" xfId="0" applyFont="1" applyProtection="1"/>
    <xf numFmtId="0" fontId="33" fillId="3" borderId="0" xfId="0" applyFont="1" applyFill="1" applyAlignment="1" applyProtection="1">
      <alignment vertical="top"/>
    </xf>
    <xf numFmtId="0" fontId="33" fillId="0" borderId="0" xfId="0" applyFont="1" applyAlignment="1" applyProtection="1">
      <alignment vertical="top"/>
    </xf>
    <xf numFmtId="0" fontId="33" fillId="4" borderId="8" xfId="0" applyFont="1" applyFill="1" applyBorder="1" applyAlignment="1" applyProtection="1">
      <alignment vertical="top"/>
      <protection locked="0"/>
    </xf>
    <xf numFmtId="0" fontId="33" fillId="0" borderId="8" xfId="0" applyFont="1" applyFill="1" applyBorder="1" applyAlignment="1" applyProtection="1">
      <alignment horizontal="center" vertical="center"/>
    </xf>
    <xf numFmtId="44" fontId="33" fillId="3" borderId="8" xfId="2" applyNumberFormat="1" applyFont="1" applyFill="1" applyBorder="1" applyAlignment="1" applyProtection="1">
      <alignment vertical="top"/>
      <protection locked="0"/>
    </xf>
    <xf numFmtId="164" fontId="33" fillId="0" borderId="7" xfId="2" applyFont="1" applyBorder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164" fontId="33" fillId="3" borderId="8" xfId="2" applyNumberFormat="1" applyFont="1" applyFill="1" applyBorder="1" applyAlignment="1" applyProtection="1">
      <alignment vertical="top"/>
      <protection locked="0"/>
    </xf>
    <xf numFmtId="168" fontId="33" fillId="0" borderId="7" xfId="3" applyNumberFormat="1" applyFont="1" applyBorder="1" applyAlignment="1" applyProtection="1">
      <alignment vertical="center"/>
    </xf>
    <xf numFmtId="0" fontId="33" fillId="3" borderId="0" xfId="0" applyFont="1" applyFill="1" applyAlignment="1" applyProtection="1">
      <alignment vertical="top"/>
      <protection locked="0"/>
    </xf>
    <xf numFmtId="167" fontId="33" fillId="3" borderId="8" xfId="2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Alignment="1" applyProtection="1">
      <alignment vertical="top" wrapText="1"/>
    </xf>
    <xf numFmtId="0" fontId="34" fillId="0" borderId="0" xfId="0" applyFont="1" applyProtection="1"/>
    <xf numFmtId="0" fontId="31" fillId="3" borderId="0" xfId="0" applyFont="1" applyFill="1" applyAlignment="1" applyProtection="1">
      <alignment vertical="top"/>
      <protection locked="0"/>
    </xf>
    <xf numFmtId="0" fontId="31" fillId="0" borderId="0" xfId="0" applyFont="1" applyAlignment="1" applyProtection="1">
      <alignment vertical="top"/>
    </xf>
    <xf numFmtId="0" fontId="31" fillId="4" borderId="8" xfId="0" applyFont="1" applyFill="1" applyBorder="1" applyAlignment="1" applyProtection="1">
      <alignment vertical="top"/>
      <protection locked="0"/>
    </xf>
    <xf numFmtId="169" fontId="31" fillId="0" borderId="8" xfId="1" applyNumberFormat="1" applyFont="1" applyFill="1" applyBorder="1" applyAlignment="1" applyProtection="1">
      <alignment vertical="center"/>
    </xf>
    <xf numFmtId="167" fontId="31" fillId="3" borderId="8" xfId="2" applyNumberFormat="1" applyFont="1" applyFill="1" applyBorder="1" applyAlignment="1" applyProtection="1">
      <alignment vertical="top"/>
      <protection locked="0"/>
    </xf>
    <xf numFmtId="164" fontId="31" fillId="0" borderId="7" xfId="2" applyFont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164" fontId="31" fillId="3" borderId="8" xfId="2" applyNumberFormat="1" applyFont="1" applyFill="1" applyBorder="1" applyAlignment="1" applyProtection="1">
      <alignment vertical="top"/>
      <protection locked="0"/>
    </xf>
    <xf numFmtId="168" fontId="31" fillId="0" borderId="7" xfId="3" applyNumberFormat="1" applyFont="1" applyBorder="1" applyAlignment="1" applyProtection="1">
      <alignment vertical="center"/>
    </xf>
    <xf numFmtId="0" fontId="31" fillId="3" borderId="0" xfId="0" applyFont="1" applyFill="1" applyAlignment="1" applyProtection="1">
      <alignment vertical="top"/>
    </xf>
    <xf numFmtId="44" fontId="31" fillId="3" borderId="8" xfId="2" applyNumberFormat="1" applyFont="1" applyFill="1" applyBorder="1" applyAlignment="1" applyProtection="1">
      <alignment vertical="top"/>
      <protection locked="0"/>
    </xf>
    <xf numFmtId="0" fontId="31" fillId="0" borderId="8" xfId="0" applyFont="1" applyFill="1" applyBorder="1" applyAlignment="1" applyProtection="1">
      <alignment vertical="center"/>
    </xf>
    <xf numFmtId="166" fontId="31" fillId="0" borderId="8" xfId="0" applyNumberFormat="1" applyFont="1" applyFill="1" applyBorder="1" applyAlignment="1" applyProtection="1">
      <alignment vertical="center"/>
    </xf>
    <xf numFmtId="0" fontId="31" fillId="0" borderId="7" xfId="0" applyFont="1" applyFill="1" applyBorder="1" applyAlignment="1" applyProtection="1">
      <alignment vertical="center"/>
    </xf>
    <xf numFmtId="173" fontId="1" fillId="3" borderId="8" xfId="2" applyNumberFormat="1" applyFill="1" applyBorder="1" applyAlignment="1" applyProtection="1">
      <alignment vertical="top"/>
      <protection locked="0"/>
    </xf>
    <xf numFmtId="0" fontId="0" fillId="4" borderId="8" xfId="0" applyFont="1" applyFill="1" applyBorder="1" applyAlignment="1" applyProtection="1">
      <alignment vertical="top"/>
      <protection locked="0"/>
    </xf>
    <xf numFmtId="0" fontId="21" fillId="13" borderId="40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vertical="center" wrapText="1"/>
    </xf>
    <xf numFmtId="0" fontId="35" fillId="2" borderId="8" xfId="0" applyFont="1" applyFill="1" applyBorder="1" applyAlignment="1">
      <alignment horizontal="center" vertical="center" wrapText="1"/>
    </xf>
    <xf numFmtId="3" fontId="35" fillId="2" borderId="8" xfId="0" applyNumberFormat="1" applyFont="1" applyFill="1" applyBorder="1" applyAlignment="1">
      <alignment vertical="center" wrapText="1"/>
    </xf>
    <xf numFmtId="170" fontId="35" fillId="2" borderId="0" xfId="3" applyNumberFormat="1" applyFont="1" applyFill="1" applyBorder="1" applyAlignment="1">
      <alignment horizontal="center"/>
    </xf>
    <xf numFmtId="170" fontId="35" fillId="2" borderId="18" xfId="3" applyNumberFormat="1" applyFont="1" applyFill="1" applyBorder="1" applyAlignment="1">
      <alignment horizontal="center"/>
    </xf>
    <xf numFmtId="0" fontId="29" fillId="2" borderId="30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 wrapText="1"/>
    </xf>
    <xf numFmtId="169" fontId="32" fillId="2" borderId="8" xfId="1" applyNumberFormat="1" applyFont="1" applyFill="1" applyBorder="1" applyAlignment="1">
      <alignment horizontal="center" vertical="center" wrapText="1"/>
    </xf>
    <xf numFmtId="3" fontId="29" fillId="2" borderId="8" xfId="0" applyNumberFormat="1" applyFont="1" applyFill="1" applyBorder="1" applyAlignment="1">
      <alignment vertical="center" wrapText="1"/>
    </xf>
    <xf numFmtId="170" fontId="29" fillId="2" borderId="39" xfId="3" applyNumberFormat="1" applyFont="1" applyFill="1" applyBorder="1" applyAlignment="1">
      <alignment horizontal="center"/>
    </xf>
    <xf numFmtId="170" fontId="29" fillId="2" borderId="18" xfId="3" applyNumberFormat="1" applyFont="1" applyFill="1" applyBorder="1" applyAlignment="1">
      <alignment horizontal="center"/>
    </xf>
    <xf numFmtId="0" fontId="36" fillId="4" borderId="8" xfId="0" applyFont="1" applyFill="1" applyBorder="1" applyAlignment="1" applyProtection="1">
      <alignment vertical="top"/>
      <protection locked="0"/>
    </xf>
    <xf numFmtId="0" fontId="36" fillId="0" borderId="8" xfId="0" applyFont="1" applyFill="1" applyBorder="1" applyAlignment="1" applyProtection="1">
      <alignment horizontal="center" vertical="center"/>
    </xf>
    <xf numFmtId="169" fontId="1" fillId="0" borderId="8" xfId="1" applyNumberFormat="1" applyFont="1" applyFill="1" applyBorder="1" applyAlignment="1" applyProtection="1">
      <alignment vertical="center"/>
    </xf>
    <xf numFmtId="166" fontId="0" fillId="0" borderId="8" xfId="0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165" fontId="0" fillId="0" borderId="8" xfId="0" applyNumberFormat="1" applyFill="1" applyBorder="1" applyAlignment="1" applyProtection="1">
      <alignment horizontal="center" vertical="center"/>
    </xf>
    <xf numFmtId="165" fontId="0" fillId="0" borderId="8" xfId="0" applyNumberFormat="1" applyFill="1" applyBorder="1" applyAlignment="1" applyProtection="1">
      <alignment vertical="center"/>
    </xf>
    <xf numFmtId="169" fontId="0" fillId="0" borderId="8" xfId="0" applyNumberFormat="1" applyFill="1" applyBorder="1" applyAlignment="1" applyProtection="1">
      <alignment vertical="center"/>
    </xf>
    <xf numFmtId="1" fontId="8" fillId="0" borderId="8" xfId="4" applyNumberFormat="1" applyFill="1" applyBorder="1" applyAlignment="1" applyProtection="1">
      <alignment vertical="center"/>
    </xf>
    <xf numFmtId="171" fontId="0" fillId="0" borderId="8" xfId="1" applyNumberFormat="1" applyFont="1" applyFill="1" applyBorder="1" applyAlignment="1" applyProtection="1">
      <alignment vertical="center"/>
    </xf>
    <xf numFmtId="169" fontId="8" fillId="0" borderId="8" xfId="1" applyNumberFormat="1" applyFont="1" applyFill="1" applyBorder="1" applyAlignment="1" applyProtection="1">
      <alignment vertical="center"/>
    </xf>
    <xf numFmtId="0" fontId="21" fillId="11" borderId="26" xfId="0" applyFont="1" applyFill="1" applyBorder="1" applyAlignment="1">
      <alignment horizontal="center" vertical="center" wrapText="1"/>
    </xf>
    <xf numFmtId="0" fontId="21" fillId="11" borderId="38" xfId="0" applyFont="1" applyFill="1" applyBorder="1" applyAlignment="1">
      <alignment horizontal="center" vertical="center" wrapText="1"/>
    </xf>
    <xf numFmtId="0" fontId="21" fillId="11" borderId="42" xfId="0" applyFont="1" applyFill="1" applyBorder="1" applyAlignment="1">
      <alignment horizontal="center" vertical="center" wrapText="1"/>
    </xf>
    <xf numFmtId="0" fontId="21" fillId="13" borderId="42" xfId="0" applyFont="1" applyFill="1" applyBorder="1" applyAlignment="1">
      <alignment horizontal="center" vertical="center" wrapText="1"/>
    </xf>
    <xf numFmtId="0" fontId="21" fillId="13" borderId="44" xfId="0" applyFont="1" applyFill="1" applyBorder="1" applyAlignment="1">
      <alignment horizontal="center" vertical="center" wrapText="1"/>
    </xf>
    <xf numFmtId="0" fontId="21" fillId="13" borderId="4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23" fillId="2" borderId="29" xfId="2" applyFont="1" applyFill="1" applyBorder="1" applyAlignment="1">
      <alignment horizontal="center"/>
    </xf>
    <xf numFmtId="164" fontId="23" fillId="2" borderId="30" xfId="2" applyFont="1" applyFill="1" applyBorder="1" applyAlignment="1">
      <alignment horizontal="center"/>
    </xf>
    <xf numFmtId="164" fontId="23" fillId="2" borderId="31" xfId="2" applyFont="1" applyFill="1" applyBorder="1" applyAlignment="1">
      <alignment horizontal="center"/>
    </xf>
    <xf numFmtId="164" fontId="22" fillId="2" borderId="29" xfId="2" applyFont="1" applyFill="1" applyBorder="1" applyAlignment="1">
      <alignment horizontal="center"/>
    </xf>
    <xf numFmtId="164" fontId="22" fillId="2" borderId="30" xfId="2" applyFont="1" applyFill="1" applyBorder="1" applyAlignment="1">
      <alignment horizontal="center"/>
    </xf>
    <xf numFmtId="164" fontId="22" fillId="2" borderId="31" xfId="2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168" fontId="22" fillId="0" borderId="0" xfId="3" applyNumberFormat="1" applyFont="1" applyBorder="1" applyAlignment="1">
      <alignment horizontal="center"/>
    </xf>
    <xf numFmtId="168" fontId="22" fillId="0" borderId="0" xfId="0" applyNumberFormat="1" applyFont="1" applyAlignment="1">
      <alignment horizontal="center"/>
    </xf>
    <xf numFmtId="0" fontId="29" fillId="14" borderId="0" xfId="0" applyFont="1" applyFill="1" applyBorder="1" applyAlignment="1">
      <alignment horizontal="center"/>
    </xf>
    <xf numFmtId="170" fontId="23" fillId="14" borderId="16" xfId="3" applyNumberFormat="1" applyFont="1" applyFill="1" applyBorder="1" applyAlignment="1">
      <alignment horizontal="center"/>
    </xf>
    <xf numFmtId="170" fontId="23" fillId="14" borderId="0" xfId="3" applyNumberFormat="1" applyFont="1" applyFill="1" applyBorder="1" applyAlignment="1">
      <alignment horizontal="center"/>
    </xf>
    <xf numFmtId="170" fontId="21" fillId="14" borderId="12" xfId="3" applyNumberFormat="1" applyFont="1" applyFill="1" applyBorder="1" applyAlignment="1">
      <alignment horizontal="center"/>
    </xf>
    <xf numFmtId="0" fontId="0" fillId="0" borderId="39" xfId="0" applyFill="1" applyBorder="1" applyAlignment="1" applyProtection="1">
      <alignment vertical="center"/>
    </xf>
    <xf numFmtId="0" fontId="8" fillId="0" borderId="39" xfId="4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0" xfId="4" applyFill="1" applyBorder="1" applyProtection="1"/>
    <xf numFmtId="0" fontId="31" fillId="0" borderId="0" xfId="0" applyFont="1" applyBorder="1" applyProtection="1"/>
    <xf numFmtId="0" fontId="0" fillId="0" borderId="0" xfId="0" applyBorder="1" applyProtection="1"/>
    <xf numFmtId="0" fontId="4" fillId="0" borderId="39" xfId="4" applyFont="1" applyFill="1" applyBorder="1" applyAlignment="1" applyProtection="1">
      <alignment vertical="center"/>
    </xf>
    <xf numFmtId="0" fontId="8" fillId="0" borderId="39" xfId="4" applyFont="1" applyFill="1" applyBorder="1" applyAlignment="1" applyProtection="1">
      <alignment vertical="center"/>
    </xf>
    <xf numFmtId="0" fontId="21" fillId="11" borderId="35" xfId="0" applyFont="1" applyFill="1" applyBorder="1" applyAlignment="1">
      <alignment horizontal="center" vertical="center" wrapText="1"/>
    </xf>
    <xf numFmtId="0" fontId="21" fillId="11" borderId="34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1" fillId="13" borderId="29" xfId="0" applyFont="1" applyFill="1" applyBorder="1" applyAlignment="1">
      <alignment horizontal="center"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0" fontId="21" fillId="11" borderId="36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27" fillId="11" borderId="37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21" fillId="11" borderId="43" xfId="0" applyFont="1" applyFill="1" applyBorder="1" applyAlignment="1">
      <alignment horizontal="center" vertical="center" wrapText="1"/>
    </xf>
    <xf numFmtId="0" fontId="29" fillId="13" borderId="38" xfId="0" applyFont="1" applyFill="1" applyBorder="1" applyAlignment="1">
      <alignment horizontal="center"/>
    </xf>
    <xf numFmtId="0" fontId="29" fillId="13" borderId="16" xfId="0" applyFont="1" applyFill="1" applyBorder="1" applyAlignment="1">
      <alignment horizontal="center"/>
    </xf>
    <xf numFmtId="0" fontId="29" fillId="13" borderId="17" xfId="0" applyFont="1" applyFill="1" applyBorder="1" applyAlignment="1">
      <alignment horizontal="center"/>
    </xf>
    <xf numFmtId="168" fontId="22" fillId="14" borderId="4" xfId="3" applyNumberFormat="1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2" borderId="12" xfId="0" applyFont="1" applyFill="1" applyBorder="1" applyAlignment="1">
      <alignment horizontal="center"/>
    </xf>
    <xf numFmtId="0" fontId="23" fillId="12" borderId="21" xfId="0" applyFont="1" applyFill="1" applyBorder="1" applyAlignment="1">
      <alignment horizontal="center"/>
    </xf>
    <xf numFmtId="0" fontId="21" fillId="11" borderId="22" xfId="0" applyFont="1" applyFill="1" applyBorder="1" applyAlignment="1">
      <alignment horizontal="center" vertical="center" wrapText="1"/>
    </xf>
    <xf numFmtId="0" fontId="21" fillId="11" borderId="26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27" fillId="11" borderId="27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indent="7"/>
    </xf>
    <xf numFmtId="0" fontId="19" fillId="0" borderId="0" xfId="0" applyFont="1" applyAlignment="1" applyProtection="1">
      <alignment horizontal="center"/>
    </xf>
    <xf numFmtId="0" fontId="7" fillId="3" borderId="0" xfId="0" applyFont="1" applyFill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/>
    </xf>
    <xf numFmtId="0" fontId="4" fillId="10" borderId="3" xfId="0" applyFont="1" applyFill="1" applyBorder="1" applyAlignment="1" applyProtection="1">
      <alignment horizontal="center" wrapText="1"/>
    </xf>
    <xf numFmtId="0" fontId="4" fillId="10" borderId="5" xfId="0" applyFont="1" applyFill="1" applyBorder="1" applyAlignment="1" applyProtection="1">
      <alignment horizontal="center"/>
    </xf>
    <xf numFmtId="0" fontId="4" fillId="9" borderId="0" xfId="4" applyFont="1" applyFill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10" fillId="0" borderId="0" xfId="0" applyFont="1" applyAlignment="1" applyProtection="1">
      <alignment horizontal="left" vertical="top" wrapText="1" indent="1"/>
    </xf>
    <xf numFmtId="0" fontId="4" fillId="9" borderId="0" xfId="0" applyFont="1" applyFill="1" applyAlignment="1" applyProtection="1">
      <alignment horizontal="left" vertical="top" wrapText="1"/>
    </xf>
    <xf numFmtId="0" fontId="10" fillId="0" borderId="0" xfId="4" applyFont="1" applyAlignment="1" applyProtection="1">
      <alignment horizontal="left" vertical="top" wrapText="1" indent="1"/>
    </xf>
    <xf numFmtId="0" fontId="22" fillId="0" borderId="19" xfId="0" applyFont="1" applyBorder="1" applyAlignment="1">
      <alignment horizontal="center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/>
    <cellStyle name="Percent" xfId="3" builtinId="5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1</xdr:row>
      <xdr:rowOff>13607</xdr:rowOff>
    </xdr:from>
    <xdr:to>
      <xdr:col>1</xdr:col>
      <xdr:colOff>1489594</xdr:colOff>
      <xdr:row>3</xdr:row>
      <xdr:rowOff>50440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3" y="217714"/>
          <a:ext cx="1176630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546553</xdr:colOff>
      <xdr:row>1</xdr:row>
      <xdr:rowOff>11340</xdr:rowOff>
    </xdr:from>
    <xdr:to>
      <xdr:col>1</xdr:col>
      <xdr:colOff>1723183</xdr:colOff>
      <xdr:row>3</xdr:row>
      <xdr:rowOff>48173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428" y="217715"/>
          <a:ext cx="1176630" cy="449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340179</xdr:colOff>
      <xdr:row>5</xdr:row>
      <xdr:rowOff>13607</xdr:rowOff>
    </xdr:from>
    <xdr:to>
      <xdr:col>1</xdr:col>
      <xdr:colOff>1516809</xdr:colOff>
      <xdr:row>7</xdr:row>
      <xdr:rowOff>50440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8" y="1034143"/>
          <a:ext cx="1176630" cy="445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530679</xdr:colOff>
      <xdr:row>6</xdr:row>
      <xdr:rowOff>95250</xdr:rowOff>
    </xdr:from>
    <xdr:to>
      <xdr:col>1</xdr:col>
      <xdr:colOff>1707309</xdr:colOff>
      <xdr:row>8</xdr:row>
      <xdr:rowOff>132083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8" y="1319893"/>
          <a:ext cx="1176630" cy="445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530678</xdr:colOff>
      <xdr:row>6</xdr:row>
      <xdr:rowOff>108857</xdr:rowOff>
    </xdr:from>
    <xdr:to>
      <xdr:col>1</xdr:col>
      <xdr:colOff>1713405</xdr:colOff>
      <xdr:row>8</xdr:row>
      <xdr:rowOff>151786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7" y="1333500"/>
          <a:ext cx="1182727" cy="451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408215</xdr:colOff>
      <xdr:row>6</xdr:row>
      <xdr:rowOff>95250</xdr:rowOff>
    </xdr:from>
    <xdr:to>
      <xdr:col>1</xdr:col>
      <xdr:colOff>1590942</xdr:colOff>
      <xdr:row>8</xdr:row>
      <xdr:rowOff>138179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4" y="1319893"/>
          <a:ext cx="1182727" cy="451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492332</xdr:colOff>
      <xdr:row>6</xdr:row>
      <xdr:rowOff>124938</xdr:rowOff>
    </xdr:from>
    <xdr:to>
      <xdr:col>1</xdr:col>
      <xdr:colOff>1675059</xdr:colOff>
      <xdr:row>8</xdr:row>
      <xdr:rowOff>160445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332" y="1349581"/>
          <a:ext cx="1182727" cy="443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2016%20Custom%20IR/Models/DECISION%20Models_Board%20Approved/DRO_Models/DRO_Revised%20August%2023%202015/Filing_Requirements_Chapter2_Appendices_for_2016%20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SRA/Custom%20IR/Models/2016%20%20EDR%20model_Apr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2016%20Custom%20IR/Models/DECISION%20Models_Board%20Approved/DRO_Models/DRO_Revised%20August%2023%202015/Appendix%202-W_Bill%20Impacts_2016_2017_net%20of%20FRR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2016%20Custom%20IR/Models/DECISION%20Models_Board%20Approved/D_2016%20%20EDR%20model_Nov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Rates"/>
      <sheetName val="TB PS and Cons"/>
      <sheetName val="Summary PS "/>
      <sheetName val="Summary Cons"/>
      <sheetName val="Transformer Credit"/>
      <sheetName val="Distrib. Revenue summary"/>
      <sheetName val="Shared Services Summary"/>
      <sheetName val="Affiliate Transactions"/>
      <sheetName val="Total Distrib Expenses "/>
      <sheetName val="Detailed OM&amp;A table"/>
      <sheetName val="Detailed OM&amp;A analysis "/>
      <sheetName val="FA variance analysis"/>
      <sheetName val="CAPEX "/>
      <sheetName val="OM&amp;A_Exp_Summary"/>
      <sheetName val="OM&amp;A_Variance_Analysis"/>
      <sheetName val="App.2-JA_OM&amp;A_Recoverable_Summ"/>
      <sheetName val="App.2-JB OM&amp;A_Cost Driver"/>
      <sheetName val="App.2-JC_OM&amp;A_Programs"/>
      <sheetName val="App.2-L_OM&amp;A_Cust_FTEE "/>
      <sheetName val="Capital Structure"/>
      <sheetName val="App.2-OA Capitalization"/>
      <sheetName val="App.2-OB_Debt Instruments"/>
      <sheetName val="Cost of capital"/>
      <sheetName val="Rate Base"/>
      <sheetName val="Net Income_existing rates"/>
      <sheetName val="Target Net Income "/>
      <sheetName val="Revenue Requirement"/>
      <sheetName val="Revenue deficiency surplus"/>
      <sheetName val="Ex F Tables"/>
      <sheetName val="Revenue Allocation "/>
      <sheetName val="LV Allocation "/>
      <sheetName val=" Rates - BRR"/>
      <sheetName val="Transformer Allowance"/>
      <sheetName val="Rates - LV"/>
      <sheetName val="Distribution Rates "/>
      <sheetName val="Cost Allocation App 2-P "/>
      <sheetName val="Cost Allocation"/>
      <sheetName val="Fixed Charges"/>
      <sheetName val="Rate Design"/>
      <sheetName val="Ex H_Proposed Rates"/>
      <sheetName val="Ex H_Summary of Bill Impacts"/>
      <sheetName val="Ex H_Rate Riders"/>
      <sheetName val="Ex H_misc tables"/>
      <sheetName val="Validation"/>
      <sheetName val="Rate Schedule 2016"/>
      <sheetName val="Rate Schedule 2017"/>
      <sheetName val="Rate Schedule 2018"/>
      <sheetName val="Rate Schedule 2019"/>
      <sheetName val="Rate Schedule 2020"/>
      <sheetName val="PS Bill Impacts"/>
      <sheetName val="PS  Bill Impact Summary "/>
      <sheetName val="Utility  Bill Impact Summary"/>
      <sheetName val="Groups"/>
      <sheetName val="Assets Input to CA"/>
      <sheetName val="TB Utility"/>
      <sheetName val="Summary  Utility"/>
      <sheetName val="Rates_new"/>
      <sheetName val="Other Oper Revenue old"/>
      <sheetName val="Detailed OM&amp;A table (2F)"/>
      <sheetName val="App.2-E_OM&amp;A_Exp_Summary"/>
      <sheetName val="App.2-J_OM&amp;A_Variance_Analysis"/>
      <sheetName val="Cost Allocation App 2-O "/>
      <sheetName val="App.2-U_Rev_Reconciliation"/>
    </sheetNames>
    <sheetDataSet>
      <sheetData sheetId="0"/>
      <sheetData sheetId="1">
        <row r="5">
          <cell r="C5" t="str">
            <v>PowerStream Inc.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8">
          <cell r="AD58">
            <v>60</v>
          </cell>
          <cell r="AE58">
            <v>100</v>
          </cell>
          <cell r="AF58">
            <v>250</v>
          </cell>
          <cell r="AG58">
            <v>500</v>
          </cell>
          <cell r="AH58">
            <v>500</v>
          </cell>
          <cell r="AI58">
            <v>1000</v>
          </cell>
          <cell r="AJ58">
            <v>3000</v>
          </cell>
          <cell r="AQ58">
            <v>7350</v>
          </cell>
          <cell r="AR58">
            <v>10000</v>
          </cell>
          <cell r="AS58">
            <v>15000</v>
          </cell>
          <cell r="AU58">
            <v>17500</v>
          </cell>
          <cell r="AV58">
            <v>20000</v>
          </cell>
          <cell r="AW58">
            <v>22000</v>
          </cell>
          <cell r="BQ58">
            <v>0.3</v>
          </cell>
          <cell r="BR58">
            <v>0.5</v>
          </cell>
          <cell r="BS58">
            <v>0.75</v>
          </cell>
          <cell r="BU58">
            <v>1</v>
          </cell>
          <cell r="CD58">
            <v>0.2</v>
          </cell>
          <cell r="CE58">
            <v>0.3</v>
          </cell>
          <cell r="CF58">
            <v>0.4</v>
          </cell>
          <cell r="CG58">
            <v>500</v>
          </cell>
          <cell r="CH58">
            <v>0.5</v>
          </cell>
          <cell r="CI58">
            <v>1</v>
          </cell>
        </row>
        <row r="60">
          <cell r="AB60">
            <v>15000</v>
          </cell>
          <cell r="AO60">
            <v>2800000</v>
          </cell>
          <cell r="BO60">
            <v>60</v>
          </cell>
          <cell r="CB60">
            <v>73</v>
          </cell>
        </row>
        <row r="61">
          <cell r="AB61">
            <v>40000</v>
          </cell>
          <cell r="AO61">
            <v>5000000</v>
          </cell>
          <cell r="BO61">
            <v>180</v>
          </cell>
          <cell r="CB61">
            <v>110</v>
          </cell>
        </row>
        <row r="62">
          <cell r="AB62">
            <v>80000</v>
          </cell>
          <cell r="AO62">
            <v>8000000</v>
          </cell>
          <cell r="BO62">
            <v>270</v>
          </cell>
          <cell r="CB62">
            <v>146</v>
          </cell>
        </row>
        <row r="63">
          <cell r="AB63">
            <v>100000</v>
          </cell>
          <cell r="AO63">
            <v>10000000</v>
          </cell>
          <cell r="BO63">
            <v>350</v>
          </cell>
          <cell r="CB63">
            <v>183</v>
          </cell>
        </row>
        <row r="64">
          <cell r="AB64">
            <v>400000</v>
          </cell>
          <cell r="AO64">
            <v>12000000</v>
          </cell>
          <cell r="CB64">
            <v>280</v>
          </cell>
        </row>
        <row r="65">
          <cell r="AB65">
            <v>1000000</v>
          </cell>
          <cell r="AO65">
            <v>15000000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s"/>
      <sheetName val="Residential"/>
      <sheetName val="GS&lt;50"/>
      <sheetName val="GS&gt;50"/>
      <sheetName val="LU"/>
      <sheetName val="USL"/>
      <sheetName val="Sentinel"/>
      <sheetName val="SL"/>
    </sheetNames>
    <sheetDataSet>
      <sheetData sheetId="0">
        <row r="43">
          <cell r="F43">
            <v>-4.2845901342845147E-2</v>
          </cell>
          <cell r="G43">
            <v>0.274538094225806</v>
          </cell>
        </row>
        <row r="44">
          <cell r="F44">
            <v>-4.2894965571310881E-2</v>
          </cell>
          <cell r="G44">
            <v>0.27405657760322261</v>
          </cell>
        </row>
        <row r="45">
          <cell r="F45">
            <v>0.3204820004224545</v>
          </cell>
          <cell r="G45">
            <v>0.16469252976439855</v>
          </cell>
        </row>
        <row r="46">
          <cell r="F46">
            <v>0.12148094122521642</v>
          </cell>
          <cell r="G46">
            <v>0.23773257944292253</v>
          </cell>
        </row>
        <row r="47">
          <cell r="F47">
            <v>8.8495575221239822E-3</v>
          </cell>
          <cell r="G47">
            <v>0.23632610939112456</v>
          </cell>
        </row>
        <row r="48">
          <cell r="F48">
            <v>-9.1971340278550626E-2</v>
          </cell>
          <cell r="G48">
            <v>0.38652839971718117</v>
          </cell>
        </row>
        <row r="49">
          <cell r="F49">
            <v>0.19766410592717501</v>
          </cell>
          <cell r="G49">
            <v>-0.18851886231604426</v>
          </cell>
        </row>
        <row r="50">
          <cell r="F50">
            <v>6.7252056843466176E-2</v>
          </cell>
          <cell r="G50">
            <v>0.19790791826123016</v>
          </cell>
        </row>
        <row r="55">
          <cell r="F55">
            <v>-9.3922450111390641E-3</v>
          </cell>
          <cell r="G55">
            <v>6.152489009564456E-2</v>
          </cell>
        </row>
        <row r="56">
          <cell r="F56">
            <v>-8.1730330119540416E-3</v>
          </cell>
          <cell r="G56">
            <v>5.310230236470985E-2</v>
          </cell>
        </row>
        <row r="57">
          <cell r="F57">
            <v>2.5847762310006961E-2</v>
          </cell>
          <cell r="G57">
            <v>2.0784144612001711E-2</v>
          </cell>
        </row>
        <row r="58">
          <cell r="F58">
            <v>5.1855419855464076E-3</v>
          </cell>
          <cell r="G58">
            <v>1.6532703225620025E-2</v>
          </cell>
        </row>
        <row r="59">
          <cell r="F59">
            <v>2.7570562028665538E-3</v>
          </cell>
          <cell r="G59">
            <v>7.4550753858537475E-2</v>
          </cell>
        </row>
        <row r="60">
          <cell r="F60">
            <v>-2.8091051422484019E-2</v>
          </cell>
          <cell r="G60">
            <v>0.11404704975690244</v>
          </cell>
        </row>
        <row r="61">
          <cell r="F61">
            <v>3.3307367450758921E-2</v>
          </cell>
          <cell r="G61">
            <v>-1.2314796818907087E-2</v>
          </cell>
        </row>
        <row r="62">
          <cell r="F62">
            <v>3.0630569290859594E-3</v>
          </cell>
          <cell r="G62">
            <v>4.6889578156358427E-2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Rates"/>
      <sheetName val="DVAs_Mitigation_DRO"/>
      <sheetName val="DVAs_Summary  DRO"/>
      <sheetName val="TB PS and Cons"/>
      <sheetName val="Summary PS "/>
      <sheetName val="Summary Cons"/>
      <sheetName val="Depreciation Details"/>
      <sheetName val="Transformer Credit"/>
      <sheetName val="Distrib. Revenue summary"/>
      <sheetName val="Shared Services Summary"/>
      <sheetName val="Total Distrib Expenses "/>
      <sheetName val="Detailed OM&amp;A table"/>
      <sheetName val="Detailed OM&amp;A analysis "/>
      <sheetName val="FA variance analysis"/>
      <sheetName val="CAPEX "/>
      <sheetName val="OM&amp;A_Exp_Summary"/>
      <sheetName val="OM&amp;A_Variance_Analysis"/>
      <sheetName val="App.2-JA_OM&amp;A_Recoverable_Summ"/>
      <sheetName val="App.2-JB OM&amp;A_Cost Driver"/>
      <sheetName val="App.2-JC_OM&amp;A_Programs"/>
      <sheetName val="App.2-L_OM&amp;A_Cust_FTEE "/>
      <sheetName val="Capital Structure"/>
      <sheetName val="App.2-OA Capitalization"/>
      <sheetName val="App.2-OB_Debt Instruments"/>
      <sheetName val="Cost of capital"/>
      <sheetName val="WC Allowance"/>
      <sheetName val="Rate Base"/>
      <sheetName val="Net Income_existing rates"/>
      <sheetName val="Target Net Income "/>
      <sheetName val="Revenue Requirement"/>
      <sheetName val="Revenue deficiency surplus"/>
      <sheetName val="Ex F Tables"/>
      <sheetName val="Revenue Allocation "/>
      <sheetName val=" Rates - BRR"/>
      <sheetName val="Distribution Rates "/>
      <sheetName val="Fixed Charges"/>
      <sheetName val="Rate Design"/>
      <sheetName val="App. 2-PA"/>
      <sheetName val="Cost Allocation"/>
      <sheetName val="Cost Allocation App 2-P "/>
      <sheetName val="Validation"/>
      <sheetName val="Transformer Allowance"/>
      <sheetName val="LV Allocation "/>
      <sheetName val="Rates - LV"/>
      <sheetName val="IRM Lag"/>
      <sheetName val="Extraordinary Items"/>
      <sheetName val="Proposed Rates"/>
      <sheetName val="Misc tables Rates"/>
      <sheetName val="Tariff 2016_new"/>
      <sheetName val="Rate Schedule 2016_DRO"/>
      <sheetName val="Tariff 2017_new"/>
      <sheetName val="Rate Schedule 2017_DRO"/>
      <sheetName val="Assets Input to CA"/>
      <sheetName val="Groups"/>
      <sheetName val="Rate Schedule 2018"/>
      <sheetName val="Rate Schedule 2019"/>
      <sheetName val="Rate Schedule 2020"/>
      <sheetName val="TB Utility"/>
      <sheetName val="Summary  Utility"/>
      <sheetName val="PS Bill Impacts"/>
      <sheetName val="DVAs_Summary"/>
      <sheetName val="DVAs_Mitigation"/>
      <sheetName val="Rate Schedule 2016"/>
      <sheetName val="Rate Schedule 2017"/>
      <sheetName val="Rate Mitigation"/>
      <sheetName val="Revenue Decoupling"/>
      <sheetName val="Rate Design_Transition"/>
      <sheetName val="Compatibility Report (1)"/>
    </sheetNames>
    <sheetDataSet>
      <sheetData sheetId="0"/>
      <sheetData sheetId="1"/>
      <sheetData sheetId="2">
        <row r="1">
          <cell r="A1" t="str">
            <v>Back to Index</v>
          </cell>
          <cell r="N1" t="str">
            <v>NOTE: Line Loss Change - Row 217</v>
          </cell>
        </row>
        <row r="2">
          <cell r="B2" t="str">
            <v>2016 EDR Model</v>
          </cell>
        </row>
        <row r="4">
          <cell r="B4" t="str">
            <v>PowerStream Inc.</v>
          </cell>
        </row>
        <row r="5">
          <cell r="B5" t="str">
            <v>Rates</v>
          </cell>
        </row>
        <row r="8">
          <cell r="A8" t="str">
            <v>A</v>
          </cell>
          <cell r="B8" t="str">
            <v>MONTHLY RATES AND CHARGES  - DELIVERY COMPONENT</v>
          </cell>
        </row>
        <row r="9">
          <cell r="F9">
            <v>41030</v>
          </cell>
        </row>
        <row r="10">
          <cell r="A10">
            <v>1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  <cell r="M10">
            <v>13</v>
          </cell>
          <cell r="N10">
            <v>14</v>
          </cell>
          <cell r="O10">
            <v>15</v>
          </cell>
          <cell r="P10">
            <v>16</v>
          </cell>
          <cell r="Q10">
            <v>17</v>
          </cell>
          <cell r="R10">
            <v>18</v>
          </cell>
        </row>
        <row r="11">
          <cell r="B11" t="str">
            <v>Description</v>
          </cell>
          <cell r="F11">
            <v>2012</v>
          </cell>
          <cell r="H11">
            <v>2013</v>
          </cell>
          <cell r="J11">
            <v>2014</v>
          </cell>
          <cell r="L11">
            <v>2015</v>
          </cell>
          <cell r="N11">
            <v>2016</v>
          </cell>
          <cell r="O11">
            <v>2017</v>
          </cell>
          <cell r="P11">
            <v>2018</v>
          </cell>
          <cell r="Q11">
            <v>2019</v>
          </cell>
          <cell r="R11">
            <v>2020</v>
          </cell>
        </row>
        <row r="12">
          <cell r="F12" t="str">
            <v>Actual</v>
          </cell>
          <cell r="H12" t="str">
            <v>Actual</v>
          </cell>
          <cell r="J12" t="str">
            <v>Actual</v>
          </cell>
          <cell r="L12" t="str">
            <v>Actual</v>
          </cell>
          <cell r="N12" t="str">
            <v>Calculated</v>
          </cell>
          <cell r="O12" t="str">
            <v>Calculated</v>
          </cell>
          <cell r="P12" t="str">
            <v>Calculated</v>
          </cell>
          <cell r="Q12" t="str">
            <v>Calculated</v>
          </cell>
          <cell r="R12" t="str">
            <v>Calculated</v>
          </cell>
        </row>
        <row r="13">
          <cell r="C13" t="str">
            <v>Type</v>
          </cell>
          <cell r="D13" t="str">
            <v>Customers</v>
          </cell>
          <cell r="E13" t="str">
            <v>Billing
Determinant</v>
          </cell>
          <cell r="F13" t="str">
            <v>PS South</v>
          </cell>
          <cell r="G13" t="str">
            <v>PS North</v>
          </cell>
          <cell r="H13" t="str">
            <v>PS South</v>
          </cell>
          <cell r="I13" t="str">
            <v>PS North</v>
          </cell>
          <cell r="J13" t="str">
            <v>PS South</v>
          </cell>
          <cell r="K13" t="str">
            <v>PS North</v>
          </cell>
          <cell r="L13" t="str">
            <v>PS South</v>
          </cell>
          <cell r="M13" t="str">
            <v>PS North</v>
          </cell>
          <cell r="N13" t="str">
            <v>PS</v>
          </cell>
          <cell r="O13" t="str">
            <v>PS</v>
          </cell>
          <cell r="P13" t="str">
            <v>PS</v>
          </cell>
          <cell r="Q13" t="str">
            <v>PS</v>
          </cell>
          <cell r="R13" t="str">
            <v>PS</v>
          </cell>
        </row>
        <row r="14">
          <cell r="B14" t="str">
            <v>RESIDENTIAL</v>
          </cell>
          <cell r="F14" t="str">
            <v>P12S</v>
          </cell>
          <cell r="G14" t="str">
            <v>P12N</v>
          </cell>
          <cell r="H14" t="str">
            <v>P13S</v>
          </cell>
          <cell r="I14" t="str">
            <v>P13N</v>
          </cell>
          <cell r="J14" t="str">
            <v>P14S</v>
          </cell>
          <cell r="K14" t="str">
            <v>P14N</v>
          </cell>
          <cell r="L14" t="str">
            <v>P15S</v>
          </cell>
          <cell r="M14" t="str">
            <v>P15N</v>
          </cell>
          <cell r="N14" t="str">
            <v>P16</v>
          </cell>
          <cell r="O14" t="str">
            <v>P17</v>
          </cell>
          <cell r="P14" t="str">
            <v>P18</v>
          </cell>
          <cell r="Q14" t="str">
            <v>P19</v>
          </cell>
          <cell r="R14" t="str">
            <v>P20</v>
          </cell>
        </row>
        <row r="15">
          <cell r="A15" t="str">
            <v>Fix_R</v>
          </cell>
          <cell r="B15" t="str">
            <v>Service Charge</v>
          </cell>
          <cell r="C15" t="str">
            <v>Rate</v>
          </cell>
          <cell r="E15" t="str">
            <v>$</v>
          </cell>
          <cell r="F15">
            <v>11.99</v>
          </cell>
          <cell r="G15">
            <v>15.34</v>
          </cell>
          <cell r="H15">
            <v>12.34</v>
          </cell>
          <cell r="I15">
            <v>12.34</v>
          </cell>
          <cell r="J15">
            <v>12.51</v>
          </cell>
          <cell r="K15">
            <v>12.51</v>
          </cell>
          <cell r="L15">
            <v>12.67</v>
          </cell>
          <cell r="M15">
            <v>12.67</v>
          </cell>
          <cell r="N15">
            <v>13.92</v>
          </cell>
          <cell r="O15">
            <v>18.89</v>
          </cell>
          <cell r="P15">
            <v>21.87</v>
          </cell>
          <cell r="Q15">
            <v>24.85</v>
          </cell>
          <cell r="R15">
            <v>27.83</v>
          </cell>
        </row>
        <row r="16">
          <cell r="A16" t="str">
            <v>FR_R</v>
          </cell>
          <cell r="B16" t="str">
            <v>Foregone Revenue/Fix</v>
          </cell>
          <cell r="C16" t="str">
            <v>Rate Rider</v>
          </cell>
          <cell r="E16" t="str">
            <v>$</v>
          </cell>
          <cell r="H16">
            <v>-0.14000000000000001</v>
          </cell>
          <cell r="I16">
            <v>-0.14000000000000001</v>
          </cell>
          <cell r="J16">
            <v>0.09</v>
          </cell>
          <cell r="K16">
            <v>0.09</v>
          </cell>
          <cell r="L16">
            <v>0</v>
          </cell>
          <cell r="M16">
            <v>0</v>
          </cell>
          <cell r="N16">
            <v>6.32</v>
          </cell>
        </row>
        <row r="17">
          <cell r="A17" t="str">
            <v>PPE_R</v>
          </cell>
          <cell r="B17" t="str">
            <v xml:space="preserve">Recovery of CGAAP/CWIP Differential </v>
          </cell>
          <cell r="C17" t="str">
            <v>Rate Rider</v>
          </cell>
          <cell r="E17" t="str">
            <v>$</v>
          </cell>
          <cell r="H17">
            <v>0.2</v>
          </cell>
          <cell r="I17">
            <v>0.2</v>
          </cell>
          <cell r="J17">
            <v>0.2</v>
          </cell>
          <cell r="K17">
            <v>0.2</v>
          </cell>
          <cell r="L17">
            <v>0.2</v>
          </cell>
          <cell r="M17">
            <v>0.2</v>
          </cell>
          <cell r="N17">
            <v>0.2</v>
          </cell>
        </row>
        <row r="18">
          <cell r="A18" t="str">
            <v>ICMF_R</v>
          </cell>
          <cell r="B18" t="str">
            <v>ICM Rate Rider  (2014) - in effect until the effective date of the next cost of service rates</v>
          </cell>
          <cell r="C18" t="str">
            <v>Rate Rider</v>
          </cell>
          <cell r="E18" t="str">
            <v>$</v>
          </cell>
          <cell r="H18">
            <v>0</v>
          </cell>
          <cell r="I18">
            <v>0</v>
          </cell>
          <cell r="J18">
            <v>7.0000000000000007E-2</v>
          </cell>
          <cell r="K18">
            <v>7.0000000000000007E-2</v>
          </cell>
          <cell r="L18">
            <v>7.0000000000000007E-2</v>
          </cell>
          <cell r="M18">
            <v>7.0000000000000007E-2</v>
          </cell>
          <cell r="N18">
            <v>0</v>
          </cell>
        </row>
        <row r="19">
          <cell r="A19" t="str">
            <v>SGD_R</v>
          </cell>
          <cell r="B19" t="str">
            <v xml:space="preserve">Smart Grid Funding Adder(2014) </v>
          </cell>
          <cell r="C19" t="str">
            <v>Rate Adder</v>
          </cell>
          <cell r="E19" t="str">
            <v>$</v>
          </cell>
          <cell r="H19">
            <v>0</v>
          </cell>
          <cell r="I19">
            <v>0</v>
          </cell>
          <cell r="J19">
            <v>0.15</v>
          </cell>
          <cell r="K19">
            <v>0.15</v>
          </cell>
          <cell r="L19">
            <v>0</v>
          </cell>
          <cell r="M19">
            <v>0</v>
          </cell>
        </row>
        <row r="20">
          <cell r="A20" t="str">
            <v>Var_R</v>
          </cell>
          <cell r="B20" t="str">
            <v>Distribution Volumetric Rate</v>
          </cell>
          <cell r="C20" t="str">
            <v>Rate</v>
          </cell>
          <cell r="E20" t="str">
            <v>$/kWh</v>
          </cell>
          <cell r="F20">
            <v>1.35E-2</v>
          </cell>
          <cell r="G20">
            <v>1.37E-2</v>
          </cell>
          <cell r="H20">
            <v>1.3599999999999999E-2</v>
          </cell>
          <cell r="I20">
            <v>1.3599999999999999E-2</v>
          </cell>
          <cell r="J20">
            <v>1.38E-2</v>
          </cell>
          <cell r="K20">
            <v>1.38E-2</v>
          </cell>
          <cell r="L20">
            <v>1.4E-2</v>
          </cell>
          <cell r="M20">
            <v>1.4E-2</v>
          </cell>
          <cell r="N20">
            <v>1.54E-2</v>
          </cell>
          <cell r="O20">
            <v>1.32E-2</v>
          </cell>
          <cell r="P20">
            <v>1.1900000000000001E-2</v>
          </cell>
          <cell r="Q20">
            <v>8.9999999999999993E-3</v>
          </cell>
          <cell r="R20">
            <v>5.4999999999999997E-3</v>
          </cell>
        </row>
        <row r="21">
          <cell r="A21" t="str">
            <v>LV_R</v>
          </cell>
          <cell r="B21" t="str">
            <v>Low Voltage Service Rate</v>
          </cell>
          <cell r="C21" t="str">
            <v>Rate</v>
          </cell>
          <cell r="E21" t="str">
            <v>$/kWh</v>
          </cell>
          <cell r="F21">
            <v>1E-4</v>
          </cell>
          <cell r="G21">
            <v>8.0000000000000004E-4</v>
          </cell>
          <cell r="H21">
            <v>2.9999999999999997E-4</v>
          </cell>
          <cell r="I21">
            <v>2.9999999999999997E-4</v>
          </cell>
          <cell r="J21">
            <v>2.9999999999999997E-4</v>
          </cell>
          <cell r="K21">
            <v>2.9999999999999997E-4</v>
          </cell>
          <cell r="L21">
            <v>2.9999999999999997E-4</v>
          </cell>
          <cell r="M21">
            <v>2.9999999999999997E-4</v>
          </cell>
          <cell r="N21">
            <v>2.9999999999999997E-4</v>
          </cell>
          <cell r="O21">
            <v>5.0000000000000001E-4</v>
          </cell>
          <cell r="P21">
            <v>5.0000000000000001E-4</v>
          </cell>
          <cell r="Q21">
            <v>5.0000000000000001E-4</v>
          </cell>
          <cell r="R21">
            <v>5.0000000000000001E-4</v>
          </cell>
        </row>
        <row r="22">
          <cell r="A22" t="str">
            <v>SMARR_R</v>
          </cell>
          <cell r="B22" t="str">
            <v xml:space="preserve">Recovery of Stranded Meter Assets </v>
          </cell>
          <cell r="C22" t="str">
            <v>Rate Rider</v>
          </cell>
          <cell r="E22" t="str">
            <v>$/kWh</v>
          </cell>
          <cell r="H22">
            <v>1.4E-3</v>
          </cell>
          <cell r="I22">
            <v>1.6999999999999999E-3</v>
          </cell>
          <cell r="J22">
            <v>1.4E-3</v>
          </cell>
          <cell r="K22">
            <v>1.6999999999999999E-3</v>
          </cell>
          <cell r="L22">
            <v>0</v>
          </cell>
          <cell r="M22">
            <v>0</v>
          </cell>
        </row>
        <row r="23">
          <cell r="A23" t="str">
            <v>RAL13_R</v>
          </cell>
          <cell r="B23" t="str">
            <v xml:space="preserve">Disposition of Deferral/Variance Accounts (2013) </v>
          </cell>
          <cell r="C23" t="str">
            <v>Rate Rider</v>
          </cell>
          <cell r="E23" t="str">
            <v>$/kWh</v>
          </cell>
          <cell r="H23">
            <v>-1.9E-3</v>
          </cell>
          <cell r="I23">
            <v>-1.5E-3</v>
          </cell>
          <cell r="J23">
            <v>-1.9E-3</v>
          </cell>
          <cell r="K23">
            <v>-1.5E-3</v>
          </cell>
          <cell r="L23">
            <v>0</v>
          </cell>
          <cell r="M23">
            <v>0</v>
          </cell>
        </row>
        <row r="24">
          <cell r="A24" t="str">
            <v>GA13_R</v>
          </cell>
          <cell r="B24" t="str">
            <v xml:space="preserve">Disposition of Global Adjustment Sub-Account (2013) </v>
          </cell>
          <cell r="C24" t="str">
            <v>Rate Rider</v>
          </cell>
          <cell r="D24" t="str">
            <v>non_RPP</v>
          </cell>
          <cell r="E24" t="str">
            <v>$/kWh</v>
          </cell>
          <cell r="H24">
            <v>1.8E-3</v>
          </cell>
          <cell r="I24">
            <v>3.0999999999999999E-3</v>
          </cell>
          <cell r="J24">
            <v>1.8E-3</v>
          </cell>
          <cell r="K24">
            <v>3.0999999999999999E-3</v>
          </cell>
          <cell r="L24">
            <v>0</v>
          </cell>
          <cell r="M24">
            <v>0</v>
          </cell>
        </row>
        <row r="25">
          <cell r="A25" t="str">
            <v>RAL14_R</v>
          </cell>
          <cell r="B25" t="str">
            <v xml:space="preserve">Disposition of Deferral/Variance Account (2014) </v>
          </cell>
          <cell r="C25" t="str">
            <v>Rate Rider</v>
          </cell>
          <cell r="E25" t="str">
            <v>$/kWh</v>
          </cell>
          <cell r="G25">
            <v>-5.9999999999999995E-4</v>
          </cell>
          <cell r="H25">
            <v>0</v>
          </cell>
          <cell r="I25">
            <v>0</v>
          </cell>
          <cell r="J25">
            <v>-5.9999999999999995E-4</v>
          </cell>
          <cell r="K25">
            <v>-5.9999999999999995E-4</v>
          </cell>
          <cell r="L25">
            <v>-5.9999999999999995E-4</v>
          </cell>
          <cell r="M25">
            <v>-5.9999999999999995E-4</v>
          </cell>
        </row>
        <row r="26">
          <cell r="A26" t="str">
            <v>GA14_R</v>
          </cell>
          <cell r="B26" t="str">
            <v xml:space="preserve">Disposition of Global Adjustment Sub-Account (2014) </v>
          </cell>
          <cell r="C26" t="str">
            <v>Rate Rider</v>
          </cell>
          <cell r="D26" t="str">
            <v>non_RPP</v>
          </cell>
          <cell r="E26" t="str">
            <v>$/kWh</v>
          </cell>
          <cell r="H26">
            <v>0</v>
          </cell>
          <cell r="I26">
            <v>0</v>
          </cell>
          <cell r="J26">
            <v>-2.0000000000000001E-4</v>
          </cell>
          <cell r="K26">
            <v>-2.0000000000000001E-4</v>
          </cell>
          <cell r="L26">
            <v>-2.0000000000000001E-4</v>
          </cell>
          <cell r="M26">
            <v>-2.0000000000000001E-4</v>
          </cell>
        </row>
        <row r="27">
          <cell r="A27" t="str">
            <v>ICMV_R</v>
          </cell>
          <cell r="B27" t="str">
            <v>ICM Rate Rider  (2014) - in effect until the effective date of the next cost of service rates</v>
          </cell>
          <cell r="C27" t="str">
            <v>Rate Rider</v>
          </cell>
          <cell r="E27" t="str">
            <v>$/kWh</v>
          </cell>
          <cell r="H27">
            <v>0</v>
          </cell>
          <cell r="I27">
            <v>0</v>
          </cell>
          <cell r="J27">
            <v>1E-4</v>
          </cell>
          <cell r="K27">
            <v>1E-4</v>
          </cell>
          <cell r="L27">
            <v>1E-4</v>
          </cell>
          <cell r="M27">
            <v>1E-4</v>
          </cell>
          <cell r="N27">
            <v>0</v>
          </cell>
        </row>
        <row r="28">
          <cell r="A28" t="str">
            <v>LRAM_R</v>
          </cell>
          <cell r="B28" t="str">
            <v xml:space="preserve">Lost Revenue Adjustment Mechanism (LRAM) </v>
          </cell>
          <cell r="C28" t="str">
            <v>Rate Rider</v>
          </cell>
          <cell r="E28" t="str">
            <v>$/kWh</v>
          </cell>
          <cell r="G28">
            <v>4.0000000000000002E-4</v>
          </cell>
          <cell r="H28">
            <v>0</v>
          </cell>
          <cell r="I28">
            <v>0</v>
          </cell>
          <cell r="J28">
            <v>0</v>
          </cell>
          <cell r="K28">
            <v>2.0000000000000001E-4</v>
          </cell>
          <cell r="L28">
            <v>0</v>
          </cell>
          <cell r="M28">
            <v>2.0000000000000001E-4</v>
          </cell>
        </row>
        <row r="29">
          <cell r="A29" t="str">
            <v>TAXC_R</v>
          </cell>
          <cell r="B29" t="str">
            <v>Tax Change</v>
          </cell>
          <cell r="C29" t="str">
            <v>Rate Rider</v>
          </cell>
          <cell r="E29" t="str">
            <v>$/kWh</v>
          </cell>
          <cell r="F29">
            <v>-4.0000000000000002E-4</v>
          </cell>
          <cell r="G29">
            <v>-5.9999999999999995E-4</v>
          </cell>
        </row>
        <row r="30">
          <cell r="A30" t="str">
            <v>SM11_R</v>
          </cell>
          <cell r="B30" t="str">
            <v>SMIRR 2011</v>
          </cell>
          <cell r="C30" t="str">
            <v>Rate Rider</v>
          </cell>
          <cell r="E30" t="str">
            <v>$</v>
          </cell>
          <cell r="F30">
            <v>0.14000000000000001</v>
          </cell>
          <cell r="G30">
            <v>1.78</v>
          </cell>
        </row>
        <row r="31">
          <cell r="A31" t="str">
            <v>SM12_R</v>
          </cell>
          <cell r="B31" t="str">
            <v>SMIRR 2012</v>
          </cell>
          <cell r="C31" t="str">
            <v>Rate Rider</v>
          </cell>
          <cell r="E31" t="str">
            <v>$</v>
          </cell>
          <cell r="F31">
            <v>1.28</v>
          </cell>
        </row>
        <row r="32">
          <cell r="A32" t="str">
            <v>LRVA_R</v>
          </cell>
          <cell r="B32" t="str">
            <v>Lost Revenue Adjustment Mechanism Variance Account (LRAMVA)</v>
          </cell>
          <cell r="C32" t="str">
            <v>Rate Rider</v>
          </cell>
          <cell r="E32" t="str">
            <v>$/kWh</v>
          </cell>
          <cell r="L32">
            <v>1E-4</v>
          </cell>
          <cell r="M32">
            <v>1E-4</v>
          </cell>
        </row>
        <row r="33">
          <cell r="A33" t="str">
            <v>RAL16_R</v>
          </cell>
          <cell r="B33" t="str">
            <v xml:space="preserve">Disposition of Deferral/Variance Accounts (2016) </v>
          </cell>
          <cell r="C33" t="str">
            <v>Rate Rider</v>
          </cell>
          <cell r="E33" t="str">
            <v>$/kWh</v>
          </cell>
          <cell r="N33">
            <v>0</v>
          </cell>
          <cell r="O33">
            <v>2.9999999999999997E-4</v>
          </cell>
          <cell r="P33">
            <v>2.9999999999999997E-4</v>
          </cell>
        </row>
        <row r="34">
          <cell r="A34" t="str">
            <v>RALP16_R</v>
          </cell>
          <cell r="B34" t="str">
            <v xml:space="preserve">Disposition of Deferral/Variance Accounts - Power (2016) </v>
          </cell>
          <cell r="C34" t="str">
            <v>Rate Rider</v>
          </cell>
          <cell r="E34" t="str">
            <v>$/kWh</v>
          </cell>
          <cell r="N34">
            <v>-2.5999999999999999E-3</v>
          </cell>
          <cell r="O34">
            <v>0</v>
          </cell>
          <cell r="P34">
            <v>0</v>
          </cell>
        </row>
        <row r="35">
          <cell r="A35" t="str">
            <v>GA16_R</v>
          </cell>
          <cell r="B35" t="str">
            <v xml:space="preserve">Disposition of Deferral/Variance Accounts - Power - Global Adjustment (2016) </v>
          </cell>
          <cell r="C35" t="str">
            <v>Rate Rider</v>
          </cell>
          <cell r="D35" t="str">
            <v>non_RPP</v>
          </cell>
          <cell r="E35" t="str">
            <v>$/kWh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2RAL16_R</v>
          </cell>
          <cell r="B36" t="str">
            <v xml:space="preserve">Disposition of Deferral/Variance Accounts - Group 2 Accounts (2016) </v>
          </cell>
          <cell r="C36" t="str">
            <v>Rate Rider</v>
          </cell>
          <cell r="E36" t="str">
            <v>$</v>
          </cell>
          <cell r="N36">
            <v>0</v>
          </cell>
          <cell r="O36">
            <v>0.12</v>
          </cell>
          <cell r="P36">
            <v>0.12</v>
          </cell>
        </row>
        <row r="37">
          <cell r="A37" t="str">
            <v>LRVA16_R</v>
          </cell>
          <cell r="B37" t="str">
            <v>Lost Revenue Adjustment Mechanism Variance Account (LRAMVA) (2016)</v>
          </cell>
          <cell r="C37" t="str">
            <v>Rate Rider</v>
          </cell>
          <cell r="E37" t="str">
            <v>$</v>
          </cell>
          <cell r="N37">
            <v>-0.39</v>
          </cell>
          <cell r="O37">
            <v>0</v>
          </cell>
          <cell r="P37">
            <v>0</v>
          </cell>
        </row>
        <row r="38">
          <cell r="A38" t="str">
            <v>PPE16_R</v>
          </cell>
          <cell r="B38" t="str">
            <v>Account 1575 (2016)</v>
          </cell>
          <cell r="C38" t="str">
            <v>Rate Rider</v>
          </cell>
          <cell r="E38" t="str">
            <v>$</v>
          </cell>
          <cell r="N38">
            <v>-0.82</v>
          </cell>
          <cell r="O38">
            <v>0</v>
          </cell>
          <cell r="P38">
            <v>0</v>
          </cell>
        </row>
        <row r="39">
          <cell r="A39" t="str">
            <v>SG16_R</v>
          </cell>
          <cell r="B39" t="str">
            <v>Smart Grid True-up (2016)</v>
          </cell>
          <cell r="C39" t="str">
            <v>Rate Rider</v>
          </cell>
          <cell r="E39" t="str">
            <v>$</v>
          </cell>
          <cell r="N39">
            <v>-0.17</v>
          </cell>
          <cell r="O39">
            <v>0</v>
          </cell>
          <cell r="P39">
            <v>0</v>
          </cell>
        </row>
        <row r="40">
          <cell r="A40" t="str">
            <v>SMA16_R</v>
          </cell>
          <cell r="B40" t="str">
            <v>Recovery of Stranded Meter Assets (2016)</v>
          </cell>
          <cell r="C40" t="str">
            <v>Rate Rider</v>
          </cell>
          <cell r="E40" t="str">
            <v>$</v>
          </cell>
          <cell r="N40">
            <v>0</v>
          </cell>
          <cell r="O40">
            <v>0.06</v>
          </cell>
          <cell r="P40">
            <v>0.06</v>
          </cell>
        </row>
        <row r="43">
          <cell r="A43" t="str">
            <v>TN_R</v>
          </cell>
          <cell r="B43" t="str">
            <v>Retail Transmission Rate - Network Service Rate</v>
          </cell>
          <cell r="C43" t="str">
            <v>Rate</v>
          </cell>
          <cell r="E43" t="str">
            <v>$/kWh</v>
          </cell>
          <cell r="F43">
            <v>7.3000000000000001E-3</v>
          </cell>
          <cell r="G43">
            <v>6.8999999999999999E-3</v>
          </cell>
          <cell r="H43">
            <v>7.4000000000000003E-3</v>
          </cell>
          <cell r="I43">
            <v>7.4000000000000003E-3</v>
          </cell>
          <cell r="J43">
            <v>7.7000000000000002E-3</v>
          </cell>
          <cell r="K43">
            <v>7.7000000000000002E-3</v>
          </cell>
          <cell r="L43">
            <v>8.0000000000000002E-3</v>
          </cell>
          <cell r="M43">
            <v>8.0000000000000002E-3</v>
          </cell>
          <cell r="N43">
            <v>8.0000000000000002E-3</v>
          </cell>
          <cell r="O43">
            <v>8.2000000000000007E-3</v>
          </cell>
          <cell r="P43">
            <v>8.3000000000000001E-3</v>
          </cell>
          <cell r="Q43">
            <v>8.5000000000000006E-3</v>
          </cell>
          <cell r="R43">
            <v>8.6E-3</v>
          </cell>
        </row>
        <row r="44">
          <cell r="A44" t="str">
            <v>TC_R</v>
          </cell>
          <cell r="B44" t="str">
            <v>Retail Transmission Rate - Line and Transformation Connection Service Rate</v>
          </cell>
          <cell r="C44" t="str">
            <v>Rate</v>
          </cell>
          <cell r="E44" t="str">
            <v>$/kWh</v>
          </cell>
          <cell r="F44">
            <v>2.7000000000000001E-3</v>
          </cell>
          <cell r="G44">
            <v>5.4000000000000003E-3</v>
          </cell>
          <cell r="H44">
            <v>3.2000000000000002E-3</v>
          </cell>
          <cell r="I44">
            <v>3.2000000000000002E-3</v>
          </cell>
          <cell r="J44">
            <v>3.3999999999999998E-3</v>
          </cell>
          <cell r="K44">
            <v>3.3999999999999998E-3</v>
          </cell>
          <cell r="L44">
            <v>3.5000000000000001E-3</v>
          </cell>
          <cell r="M44">
            <v>3.5000000000000001E-3</v>
          </cell>
          <cell r="N44">
            <v>3.5000000000000001E-3</v>
          </cell>
          <cell r="O44">
            <v>3.8E-3</v>
          </cell>
          <cell r="P44">
            <v>3.8999999999999998E-3</v>
          </cell>
          <cell r="Q44">
            <v>4.0000000000000001E-3</v>
          </cell>
          <cell r="R44">
            <v>4.1000000000000003E-3</v>
          </cell>
        </row>
        <row r="47">
          <cell r="B47" t="str">
            <v>GENERAL SERVICE LESS THAN 50 KW</v>
          </cell>
        </row>
        <row r="48">
          <cell r="A48" t="str">
            <v>Fix_GS</v>
          </cell>
          <cell r="B48" t="str">
            <v>Service Charge</v>
          </cell>
          <cell r="C48" t="str">
            <v>Rate</v>
          </cell>
          <cell r="E48" t="str">
            <v>$</v>
          </cell>
          <cell r="F48">
            <v>28.64</v>
          </cell>
          <cell r="G48">
            <v>16.11</v>
          </cell>
          <cell r="H48">
            <v>25.39</v>
          </cell>
          <cell r="I48">
            <v>25.39</v>
          </cell>
          <cell r="J48">
            <v>25.75</v>
          </cell>
          <cell r="K48">
            <v>25.75</v>
          </cell>
          <cell r="L48">
            <v>26.08</v>
          </cell>
          <cell r="M48">
            <v>26.08</v>
          </cell>
          <cell r="N48">
            <v>28.75</v>
          </cell>
          <cell r="O48">
            <v>29.03815402266514</v>
          </cell>
          <cell r="P48">
            <v>30.219512638388995</v>
          </cell>
          <cell r="Q48">
            <v>30.372505121389338</v>
          </cell>
          <cell r="R48">
            <v>30.594076144401939</v>
          </cell>
        </row>
        <row r="49">
          <cell r="A49" t="str">
            <v>FR_GS</v>
          </cell>
          <cell r="B49" t="str">
            <v>Foregone Revenue/Fix</v>
          </cell>
          <cell r="C49" t="str">
            <v>Rate Rider</v>
          </cell>
          <cell r="E49" t="str">
            <v>$</v>
          </cell>
          <cell r="H49">
            <v>-0.14000000000000001</v>
          </cell>
          <cell r="I49">
            <v>-0.14000000000000001</v>
          </cell>
          <cell r="J49">
            <v>0.27</v>
          </cell>
          <cell r="K49">
            <v>0.27</v>
          </cell>
          <cell r="L49">
            <v>0</v>
          </cell>
          <cell r="M49">
            <v>0</v>
          </cell>
          <cell r="N49">
            <v>7.55</v>
          </cell>
        </row>
        <row r="50">
          <cell r="A50" t="str">
            <v>PPE_GS</v>
          </cell>
          <cell r="B50" t="str">
            <v xml:space="preserve">Recovery of CGAAP/CWIP Differential </v>
          </cell>
          <cell r="C50" t="str">
            <v>Rate Rider</v>
          </cell>
          <cell r="E50" t="str">
            <v>$</v>
          </cell>
          <cell r="H50">
            <v>0.55000000000000004</v>
          </cell>
          <cell r="I50">
            <v>0.55000000000000004</v>
          </cell>
          <cell r="J50">
            <v>0.55000000000000004</v>
          </cell>
          <cell r="K50">
            <v>0.55000000000000004</v>
          </cell>
          <cell r="L50">
            <v>0.55000000000000004</v>
          </cell>
          <cell r="M50">
            <v>0.55000000000000004</v>
          </cell>
          <cell r="N50">
            <v>0.55000000000000004</v>
          </cell>
        </row>
        <row r="51">
          <cell r="A51" t="str">
            <v>ICMF_GS</v>
          </cell>
          <cell r="B51" t="str">
            <v>ICM Rate Rider  (2014) - in effect until the effective date of the next cost of service rates</v>
          </cell>
          <cell r="C51" t="str">
            <v>Rate Rider</v>
          </cell>
          <cell r="E51" t="str">
            <v>$</v>
          </cell>
          <cell r="H51">
            <v>0</v>
          </cell>
          <cell r="I51">
            <v>0</v>
          </cell>
          <cell r="J51">
            <v>0.14000000000000001</v>
          </cell>
          <cell r="K51">
            <v>0.14000000000000001</v>
          </cell>
          <cell r="L51">
            <v>0.14000000000000001</v>
          </cell>
          <cell r="M51">
            <v>0.14000000000000001</v>
          </cell>
          <cell r="N51">
            <v>0</v>
          </cell>
        </row>
        <row r="52">
          <cell r="A52" t="str">
            <v>SGD_GS</v>
          </cell>
          <cell r="B52" t="str">
            <v xml:space="preserve">Smart Grid Funding Adder(2014) </v>
          </cell>
          <cell r="C52" t="str">
            <v>Rate Adder</v>
          </cell>
          <cell r="E52" t="str">
            <v>$</v>
          </cell>
          <cell r="H52">
            <v>0</v>
          </cell>
          <cell r="I52">
            <v>0</v>
          </cell>
          <cell r="J52">
            <v>0.41</v>
          </cell>
          <cell r="K52">
            <v>0.41</v>
          </cell>
          <cell r="L52">
            <v>0</v>
          </cell>
          <cell r="M52">
            <v>0</v>
          </cell>
        </row>
        <row r="53">
          <cell r="A53" t="str">
            <v>Var_GS</v>
          </cell>
          <cell r="B53" t="str">
            <v>Distribution Volumetric Rate</v>
          </cell>
          <cell r="C53" t="str">
            <v>Rate</v>
          </cell>
          <cell r="E53" t="str">
            <v>$/kWh</v>
          </cell>
          <cell r="F53">
            <v>1.1599999999999999E-2</v>
          </cell>
          <cell r="G53">
            <v>1.6400000000000001E-2</v>
          </cell>
          <cell r="H53">
            <v>1.35E-2</v>
          </cell>
          <cell r="I53">
            <v>1.35E-2</v>
          </cell>
          <cell r="J53">
            <v>1.37E-2</v>
          </cell>
          <cell r="K53">
            <v>1.37E-2</v>
          </cell>
          <cell r="L53">
            <v>1.3899999999999999E-2</v>
          </cell>
          <cell r="M53">
            <v>1.3899999999999999E-2</v>
          </cell>
          <cell r="N53">
            <v>1.5299999999999999E-2</v>
          </cell>
          <cell r="O53">
            <v>1.89E-2</v>
          </cell>
          <cell r="P53">
            <v>2.07E-2</v>
          </cell>
          <cell r="Q53">
            <v>2.2100000000000002E-2</v>
          </cell>
          <cell r="R53">
            <v>2.3099999999999999E-2</v>
          </cell>
        </row>
        <row r="54">
          <cell r="A54" t="str">
            <v>LV_GS</v>
          </cell>
          <cell r="B54" t="str">
            <v>Low Voltage Service Rate</v>
          </cell>
          <cell r="C54" t="str">
            <v>Rate</v>
          </cell>
          <cell r="E54" t="str">
            <v>$/kWh</v>
          </cell>
          <cell r="F54">
            <v>1E-4</v>
          </cell>
          <cell r="G54">
            <v>6.9999999999999999E-4</v>
          </cell>
          <cell r="H54">
            <v>2.9999999999999997E-4</v>
          </cell>
          <cell r="I54">
            <v>2.9999999999999997E-4</v>
          </cell>
          <cell r="J54">
            <v>2.9999999999999997E-4</v>
          </cell>
          <cell r="K54">
            <v>2.9999999999999997E-4</v>
          </cell>
          <cell r="L54">
            <v>2.9999999999999997E-4</v>
          </cell>
          <cell r="M54">
            <v>2.9999999999999997E-4</v>
          </cell>
          <cell r="N54">
            <v>2.9999999999999997E-4</v>
          </cell>
          <cell r="O54">
            <v>4.0000000000000002E-4</v>
          </cell>
          <cell r="P54">
            <v>4.0000000000000002E-4</v>
          </cell>
          <cell r="Q54">
            <v>4.0000000000000002E-4</v>
          </cell>
          <cell r="R54">
            <v>4.0000000000000002E-4</v>
          </cell>
        </row>
        <row r="55">
          <cell r="A55" t="str">
            <v>SMARR_GS</v>
          </cell>
          <cell r="B55" t="str">
            <v xml:space="preserve">Recovery of Stranded Meter Assets </v>
          </cell>
          <cell r="C55" t="str">
            <v>Rate Rider</v>
          </cell>
          <cell r="E55" t="str">
            <v>$/kWh</v>
          </cell>
          <cell r="H55">
            <v>1.6999999999999999E-3</v>
          </cell>
          <cell r="I55">
            <v>2.2000000000000001E-3</v>
          </cell>
          <cell r="J55">
            <v>1.6999999999999999E-3</v>
          </cell>
          <cell r="K55">
            <v>2.2000000000000001E-3</v>
          </cell>
          <cell r="L55">
            <v>0</v>
          </cell>
          <cell r="M55">
            <v>0</v>
          </cell>
        </row>
        <row r="56">
          <cell r="A56" t="str">
            <v>RAL13_GS</v>
          </cell>
          <cell r="B56" t="str">
            <v xml:space="preserve">Disposition of Deferral/Variance Accounts (2013) </v>
          </cell>
          <cell r="C56" t="str">
            <v>Rate Rider</v>
          </cell>
          <cell r="E56" t="str">
            <v>$/kWh</v>
          </cell>
          <cell r="H56">
            <v>-1.8E-3</v>
          </cell>
          <cell r="I56">
            <v>-1.6000000000000001E-3</v>
          </cell>
          <cell r="J56">
            <v>-1.8E-3</v>
          </cell>
          <cell r="K56">
            <v>-1.6000000000000001E-3</v>
          </cell>
          <cell r="L56">
            <v>0</v>
          </cell>
          <cell r="M56">
            <v>0</v>
          </cell>
        </row>
        <row r="57">
          <cell r="A57" t="str">
            <v>GA13_GS</v>
          </cell>
          <cell r="B57" t="str">
            <v xml:space="preserve">Disposition of Global Adjustment Sub-Account (2013) </v>
          </cell>
          <cell r="C57" t="str">
            <v>Rate Rider</v>
          </cell>
          <cell r="D57" t="str">
            <v>non_RPP</v>
          </cell>
          <cell r="E57" t="str">
            <v>$/kWh</v>
          </cell>
          <cell r="H57">
            <v>1.8E-3</v>
          </cell>
          <cell r="I57">
            <v>3.0999999999999999E-3</v>
          </cell>
          <cell r="J57">
            <v>1.8E-3</v>
          </cell>
          <cell r="K57">
            <v>3.0999999999999999E-3</v>
          </cell>
          <cell r="L57">
            <v>0</v>
          </cell>
          <cell r="M57">
            <v>0</v>
          </cell>
        </row>
        <row r="58">
          <cell r="A58" t="str">
            <v>RAL14_GS</v>
          </cell>
          <cell r="B58" t="str">
            <v xml:space="preserve">Disposition of Deferral/Variance Account (2014) </v>
          </cell>
          <cell r="C58" t="str">
            <v>Rate Rider</v>
          </cell>
          <cell r="E58" t="str">
            <v>$/kWh</v>
          </cell>
          <cell r="G58">
            <v>-4.0000000000000002E-4</v>
          </cell>
          <cell r="H58">
            <v>0</v>
          </cell>
          <cell r="I58">
            <v>0</v>
          </cell>
          <cell r="J58">
            <v>-5.9999999999999995E-4</v>
          </cell>
          <cell r="K58">
            <v>-5.9999999999999995E-4</v>
          </cell>
          <cell r="L58">
            <v>-5.9999999999999995E-4</v>
          </cell>
          <cell r="M58">
            <v>-5.9999999999999995E-4</v>
          </cell>
        </row>
        <row r="59">
          <cell r="A59" t="str">
            <v>GA14_GS</v>
          </cell>
          <cell r="B59" t="str">
            <v xml:space="preserve">Disposition of Global Adjustment Sub-Account (2014) </v>
          </cell>
          <cell r="C59" t="str">
            <v>Rate Rider</v>
          </cell>
          <cell r="D59" t="str">
            <v>non_RPP</v>
          </cell>
          <cell r="E59" t="str">
            <v>$/kWh</v>
          </cell>
          <cell r="H59">
            <v>0</v>
          </cell>
          <cell r="I59">
            <v>0</v>
          </cell>
          <cell r="J59">
            <v>-2.0000000000000001E-4</v>
          </cell>
          <cell r="K59">
            <v>-2.0000000000000001E-4</v>
          </cell>
          <cell r="L59">
            <v>-2.0000000000000001E-4</v>
          </cell>
          <cell r="M59">
            <v>-2.0000000000000001E-4</v>
          </cell>
        </row>
        <row r="60">
          <cell r="A60" t="str">
            <v>ICMV_GS</v>
          </cell>
          <cell r="B60" t="str">
            <v>ICM Rate Rider  (2014) - in effect until the effective date of the next cost of service rates</v>
          </cell>
          <cell r="C60" t="str">
            <v>Rate Rider</v>
          </cell>
          <cell r="E60" t="str">
            <v>$/kWh</v>
          </cell>
          <cell r="H60">
            <v>0</v>
          </cell>
          <cell r="I60">
            <v>0</v>
          </cell>
          <cell r="J60">
            <v>1E-4</v>
          </cell>
          <cell r="K60">
            <v>1E-4</v>
          </cell>
          <cell r="L60">
            <v>1E-4</v>
          </cell>
          <cell r="M60">
            <v>1E-4</v>
          </cell>
          <cell r="N60">
            <v>0</v>
          </cell>
        </row>
        <row r="61">
          <cell r="A61" t="str">
            <v>LRAM_GS</v>
          </cell>
          <cell r="B61" t="str">
            <v xml:space="preserve">Lost Revenue Adjustment Mechanism (LRAM) </v>
          </cell>
          <cell r="C61" t="str">
            <v>Rate Rider</v>
          </cell>
          <cell r="E61" t="str">
            <v>$/kWh</v>
          </cell>
          <cell r="H61">
            <v>0</v>
          </cell>
          <cell r="I61">
            <v>0</v>
          </cell>
          <cell r="J61">
            <v>0</v>
          </cell>
          <cell r="K61">
            <v>4.0000000000000002E-4</v>
          </cell>
          <cell r="L61">
            <v>0</v>
          </cell>
          <cell r="M61">
            <v>4.0000000000000002E-4</v>
          </cell>
        </row>
        <row r="62">
          <cell r="A62" t="str">
            <v>TAXC_GS</v>
          </cell>
          <cell r="B62" t="str">
            <v>Tax Change</v>
          </cell>
          <cell r="C62" t="str">
            <v>Rate Rider</v>
          </cell>
          <cell r="E62" t="str">
            <v>$/kWh</v>
          </cell>
          <cell r="F62">
            <v>-2.9999999999999997E-4</v>
          </cell>
          <cell r="G62">
            <v>-4.0000000000000002E-4</v>
          </cell>
        </row>
        <row r="63">
          <cell r="A63" t="str">
            <v>SM11_GS</v>
          </cell>
          <cell r="B63" t="str">
            <v>SMIRR 2011</v>
          </cell>
          <cell r="C63" t="str">
            <v>Rate Rider</v>
          </cell>
          <cell r="E63" t="str">
            <v>$</v>
          </cell>
          <cell r="F63">
            <v>3.37</v>
          </cell>
          <cell r="G63">
            <v>4.7300000000000004</v>
          </cell>
        </row>
        <row r="64">
          <cell r="A64" t="str">
            <v>SM12_GS</v>
          </cell>
          <cell r="B64" t="str">
            <v>SMIRR 2012</v>
          </cell>
          <cell r="C64" t="str">
            <v>Rate Rider</v>
          </cell>
          <cell r="E64" t="str">
            <v>$</v>
          </cell>
          <cell r="F64">
            <v>1.01</v>
          </cell>
        </row>
        <row r="65">
          <cell r="A65" t="str">
            <v>LRVA_GS</v>
          </cell>
          <cell r="B65" t="str">
            <v>Lost Revenue Adjustment Mechanism Variance Account (LRAMVA)</v>
          </cell>
          <cell r="C65" t="str">
            <v>Rate Rider</v>
          </cell>
          <cell r="E65" t="str">
            <v>$/kWh</v>
          </cell>
          <cell r="L65">
            <v>4.0000000000000002E-4</v>
          </cell>
          <cell r="M65">
            <v>4.0000000000000002E-4</v>
          </cell>
        </row>
        <row r="66">
          <cell r="A66" t="str">
            <v>RAL16_GS</v>
          </cell>
          <cell r="B66" t="str">
            <v xml:space="preserve">Disposition of Deferral/Variance Accounts (2016) </v>
          </cell>
          <cell r="C66" t="str">
            <v>Rate Rider</v>
          </cell>
          <cell r="E66" t="str">
            <v>$/kWh</v>
          </cell>
          <cell r="N66">
            <v>0</v>
          </cell>
          <cell r="O66">
            <v>2.9999999999999997E-4</v>
          </cell>
          <cell r="P66">
            <v>2.9999999999999997E-4</v>
          </cell>
        </row>
        <row r="67">
          <cell r="A67" t="str">
            <v>RALP16_GS</v>
          </cell>
          <cell r="B67" t="str">
            <v xml:space="preserve">Disposition of Deferral/Variance Accounts - Power (2016) </v>
          </cell>
          <cell r="C67" t="str">
            <v>Rate Rider</v>
          </cell>
          <cell r="E67" t="str">
            <v>$/kWh</v>
          </cell>
          <cell r="N67">
            <v>-2.5999999999999999E-3</v>
          </cell>
          <cell r="O67">
            <v>0</v>
          </cell>
          <cell r="P67">
            <v>0</v>
          </cell>
        </row>
        <row r="68">
          <cell r="A68" t="str">
            <v>GA16_GS</v>
          </cell>
          <cell r="B68" t="str">
            <v xml:space="preserve">Disposition of Deferral/Variance Accounts - Power - Global Adjustment (2016) </v>
          </cell>
          <cell r="C68" t="str">
            <v>Rate Rider</v>
          </cell>
          <cell r="D68" t="str">
            <v>non_RPP</v>
          </cell>
          <cell r="E68" t="str">
            <v>$/kWh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2RAL16_GS</v>
          </cell>
          <cell r="B69" t="str">
            <v xml:space="preserve">Disposition of Deferral/Variance Accounts - Group 2 Accounts (2016) </v>
          </cell>
          <cell r="C69" t="str">
            <v>Rate Rider</v>
          </cell>
          <cell r="E69" t="str">
            <v>$/kWh</v>
          </cell>
          <cell r="N69">
            <v>0</v>
          </cell>
          <cell r="O69">
            <v>2.0000000000000001E-4</v>
          </cell>
          <cell r="P69">
            <v>2.0000000000000001E-4</v>
          </cell>
        </row>
        <row r="70">
          <cell r="A70" t="str">
            <v>LRVA16_GS</v>
          </cell>
          <cell r="B70" t="str">
            <v>Lost Revenue Adjustment Mechanism Variance Account (LRAMVA) (2016)</v>
          </cell>
          <cell r="C70" t="str">
            <v>Rate Rider</v>
          </cell>
          <cell r="E70" t="str">
            <v>$/kWh</v>
          </cell>
          <cell r="N70">
            <v>2.0000000000000001E-4</v>
          </cell>
          <cell r="O70">
            <v>0</v>
          </cell>
          <cell r="P70">
            <v>0</v>
          </cell>
        </row>
        <row r="71">
          <cell r="A71" t="str">
            <v>PPE16_GS</v>
          </cell>
          <cell r="B71" t="str">
            <v>Account 1575 (2016)</v>
          </cell>
          <cell r="C71" t="str">
            <v>Rate Rider</v>
          </cell>
          <cell r="E71" t="str">
            <v>$/kWh</v>
          </cell>
          <cell r="N71">
            <v>-1.1999999999999999E-3</v>
          </cell>
          <cell r="O71">
            <v>0</v>
          </cell>
          <cell r="P71">
            <v>0</v>
          </cell>
        </row>
        <row r="72">
          <cell r="A72" t="str">
            <v>SG16_GS</v>
          </cell>
          <cell r="B72" t="str">
            <v>Smart Grid True-up (2016)</v>
          </cell>
          <cell r="C72" t="str">
            <v>Rate Rider</v>
          </cell>
          <cell r="E72" t="str">
            <v>$</v>
          </cell>
          <cell r="N72">
            <v>-0.67</v>
          </cell>
          <cell r="O72">
            <v>0</v>
          </cell>
          <cell r="P72">
            <v>0</v>
          </cell>
        </row>
        <row r="73">
          <cell r="A73" t="str">
            <v>SMA16_GS</v>
          </cell>
          <cell r="B73" t="str">
            <v>Recovery of Stranded Meter Assets (2016)</v>
          </cell>
          <cell r="C73" t="str">
            <v>Rate Rider</v>
          </cell>
          <cell r="E73" t="str">
            <v>$</v>
          </cell>
          <cell r="N73">
            <v>0</v>
          </cell>
          <cell r="O73">
            <v>0.21</v>
          </cell>
          <cell r="P73">
            <v>0.21</v>
          </cell>
        </row>
        <row r="74">
          <cell r="A74" t="str">
            <v>FRV_GS</v>
          </cell>
          <cell r="B74" t="str">
            <v>Foregone Revenue/Var</v>
          </cell>
          <cell r="C74" t="str">
            <v>Rate Rider</v>
          </cell>
          <cell r="E74" t="str">
            <v>$/kWh</v>
          </cell>
          <cell r="N74">
            <v>4.0000000000000001E-3</v>
          </cell>
        </row>
        <row r="76">
          <cell r="A76" t="str">
            <v>TN_GS</v>
          </cell>
          <cell r="B76" t="str">
            <v>Retail Transmission Rate - Network Service Rate</v>
          </cell>
          <cell r="C76" t="str">
            <v>Rate</v>
          </cell>
          <cell r="E76" t="str">
            <v>$/kWh</v>
          </cell>
          <cell r="F76">
            <v>6.6E-3</v>
          </cell>
          <cell r="G76">
            <v>6.3E-3</v>
          </cell>
          <cell r="H76">
            <v>6.7000000000000002E-3</v>
          </cell>
          <cell r="I76">
            <v>6.7000000000000002E-3</v>
          </cell>
          <cell r="J76">
            <v>7.0000000000000001E-3</v>
          </cell>
          <cell r="K76">
            <v>7.0000000000000001E-3</v>
          </cell>
          <cell r="L76">
            <v>7.1999999999999998E-3</v>
          </cell>
          <cell r="M76">
            <v>7.1999999999999998E-3</v>
          </cell>
          <cell r="N76">
            <v>7.1999999999999998E-3</v>
          </cell>
          <cell r="O76">
            <v>7.3000000000000001E-3</v>
          </cell>
          <cell r="P76">
            <v>7.4000000000000003E-3</v>
          </cell>
          <cell r="Q76">
            <v>7.6E-3</v>
          </cell>
          <cell r="R76">
            <v>7.7000000000000002E-3</v>
          </cell>
        </row>
        <row r="77">
          <cell r="A77" t="str">
            <v>TC_GS</v>
          </cell>
          <cell r="B77" t="str">
            <v>Retail Transmission Rate - Line and Transformation Connection Service Rate</v>
          </cell>
          <cell r="C77" t="str">
            <v>Rate</v>
          </cell>
          <cell r="E77" t="str">
            <v>$/kWh</v>
          </cell>
          <cell r="F77">
            <v>2.3999999999999998E-3</v>
          </cell>
          <cell r="G77">
            <v>4.7999999999999996E-3</v>
          </cell>
          <cell r="H77">
            <v>2.8E-3</v>
          </cell>
          <cell r="I77">
            <v>2.8E-3</v>
          </cell>
          <cell r="J77">
            <v>2.8999999999999998E-3</v>
          </cell>
          <cell r="K77">
            <v>2.8999999999999998E-3</v>
          </cell>
          <cell r="L77">
            <v>3.0000000000000001E-3</v>
          </cell>
          <cell r="M77">
            <v>3.0000000000000001E-3</v>
          </cell>
          <cell r="N77">
            <v>3.0000000000000001E-3</v>
          </cell>
          <cell r="O77">
            <v>3.3E-3</v>
          </cell>
          <cell r="P77">
            <v>3.3E-3</v>
          </cell>
          <cell r="Q77">
            <v>3.3999999999999998E-3</v>
          </cell>
          <cell r="R77">
            <v>3.5000000000000001E-3</v>
          </cell>
        </row>
        <row r="80">
          <cell r="B80" t="str">
            <v>GENERAL SERVICE GREATER THAN 50 KW</v>
          </cell>
        </row>
        <row r="81">
          <cell r="A81" t="str">
            <v>Fix_GSL</v>
          </cell>
          <cell r="B81" t="str">
            <v>Service Charge</v>
          </cell>
          <cell r="C81" t="str">
            <v>Rate</v>
          </cell>
          <cell r="E81" t="str">
            <v>$</v>
          </cell>
          <cell r="F81">
            <v>84.45</v>
          </cell>
          <cell r="G81">
            <v>395.68</v>
          </cell>
          <cell r="H81">
            <v>134.81</v>
          </cell>
          <cell r="I81">
            <v>134.81</v>
          </cell>
          <cell r="J81">
            <v>136.69999999999999</v>
          </cell>
          <cell r="K81">
            <v>136.69999999999999</v>
          </cell>
          <cell r="L81">
            <v>138.47999999999999</v>
          </cell>
          <cell r="M81">
            <v>138.47999999999999</v>
          </cell>
          <cell r="N81">
            <v>138.47999999999999</v>
          </cell>
          <cell r="O81">
            <v>138.47999999999999</v>
          </cell>
          <cell r="P81">
            <v>138.47999999999999</v>
          </cell>
          <cell r="Q81">
            <v>138.47999999999999</v>
          </cell>
          <cell r="R81">
            <v>138.47999999999999</v>
          </cell>
        </row>
        <row r="82">
          <cell r="A82" t="str">
            <v>FR_GSL</v>
          </cell>
          <cell r="B82" t="str">
            <v>Foregone Revenue/Fix</v>
          </cell>
          <cell r="C82" t="str">
            <v>Rate Rider</v>
          </cell>
          <cell r="E82" t="str">
            <v>$</v>
          </cell>
          <cell r="H82">
            <v>0.72</v>
          </cell>
          <cell r="I82">
            <v>0.72</v>
          </cell>
          <cell r="J82">
            <v>3.24</v>
          </cell>
          <cell r="K82">
            <v>3.24</v>
          </cell>
          <cell r="L82">
            <v>0</v>
          </cell>
          <cell r="M82">
            <v>0</v>
          </cell>
          <cell r="N82">
            <v>-2.13</v>
          </cell>
        </row>
        <row r="83">
          <cell r="A83" t="str">
            <v>PPE_GSL</v>
          </cell>
          <cell r="B83" t="str">
            <v xml:space="preserve">Recovery of CGAAP/CWIP Differential </v>
          </cell>
          <cell r="C83" t="str">
            <v>Rate Rider</v>
          </cell>
          <cell r="E83" t="str">
            <v>$</v>
          </cell>
          <cell r="H83">
            <v>6.99</v>
          </cell>
          <cell r="I83">
            <v>6.99</v>
          </cell>
          <cell r="J83">
            <v>6.99</v>
          </cell>
          <cell r="K83">
            <v>6.99</v>
          </cell>
          <cell r="L83">
            <v>6.99</v>
          </cell>
          <cell r="M83">
            <v>6.99</v>
          </cell>
          <cell r="N83">
            <v>6.99</v>
          </cell>
        </row>
        <row r="84">
          <cell r="A84" t="str">
            <v>ICMF_GSL</v>
          </cell>
          <cell r="B84" t="str">
            <v>ICM Rate Rider  (2014) - in effect until the effective date of the next cost of service rates</v>
          </cell>
          <cell r="C84" t="str">
            <v>Rate Rider</v>
          </cell>
          <cell r="E84" t="str">
            <v>$</v>
          </cell>
          <cell r="H84">
            <v>0</v>
          </cell>
          <cell r="I84">
            <v>0</v>
          </cell>
          <cell r="J84">
            <v>0.72</v>
          </cell>
          <cell r="K84">
            <v>0.72</v>
          </cell>
          <cell r="L84">
            <v>0.72</v>
          </cell>
          <cell r="M84">
            <v>0.72</v>
          </cell>
          <cell r="N84">
            <v>0</v>
          </cell>
        </row>
        <row r="85">
          <cell r="A85" t="str">
            <v>SGD_GSL</v>
          </cell>
          <cell r="B85" t="str">
            <v xml:space="preserve">Smart Grid Funding Adder(2014) </v>
          </cell>
          <cell r="C85" t="str">
            <v>Rate Adder</v>
          </cell>
          <cell r="E85" t="str">
            <v>$</v>
          </cell>
          <cell r="H85">
            <v>0</v>
          </cell>
          <cell r="I85">
            <v>0</v>
          </cell>
          <cell r="J85">
            <v>5.21</v>
          </cell>
          <cell r="K85">
            <v>5.21</v>
          </cell>
          <cell r="L85">
            <v>0</v>
          </cell>
          <cell r="M85">
            <v>0</v>
          </cell>
        </row>
        <row r="86">
          <cell r="A86" t="str">
            <v>Var_GSL</v>
          </cell>
          <cell r="B86" t="str">
            <v>Distribution Volumetric Rate</v>
          </cell>
          <cell r="C86" t="str">
            <v>Rate</v>
          </cell>
          <cell r="E86" t="str">
            <v>$/kW</v>
          </cell>
          <cell r="F86">
            <v>3.5036</v>
          </cell>
          <cell r="G86">
            <v>1.8392999999999999</v>
          </cell>
          <cell r="H86">
            <v>3.2397</v>
          </cell>
          <cell r="I86">
            <v>3.2397</v>
          </cell>
          <cell r="J86">
            <v>3.2850999999999999</v>
          </cell>
          <cell r="K86">
            <v>3.2850999999999999</v>
          </cell>
          <cell r="L86">
            <v>3.3277999999999999</v>
          </cell>
          <cell r="M86">
            <v>3.3277999999999999</v>
          </cell>
          <cell r="N86">
            <v>3.7199</v>
          </cell>
          <cell r="O86">
            <v>4.3277999999999999</v>
          </cell>
          <cell r="P86">
            <v>4.7072000000000003</v>
          </cell>
          <cell r="Q86">
            <v>4.9496000000000002</v>
          </cell>
          <cell r="R86">
            <v>5.1703999999999999</v>
          </cell>
        </row>
        <row r="87">
          <cell r="A87" t="str">
            <v>LV_GSL</v>
          </cell>
          <cell r="B87" t="str">
            <v>Low Voltage Service Rate</v>
          </cell>
          <cell r="C87" t="str">
            <v>Rate</v>
          </cell>
          <cell r="E87" t="str">
            <v>$/kW</v>
          </cell>
          <cell r="F87">
            <v>4.7199999999999999E-2</v>
          </cell>
          <cell r="G87">
            <v>0.2913</v>
          </cell>
          <cell r="H87">
            <v>0.11890000000000001</v>
          </cell>
          <cell r="I87">
            <v>0.11890000000000001</v>
          </cell>
          <cell r="J87">
            <v>0.11890000000000001</v>
          </cell>
          <cell r="K87">
            <v>0.11890000000000001</v>
          </cell>
          <cell r="L87">
            <v>0.11890000000000001</v>
          </cell>
          <cell r="M87">
            <v>0.11890000000000001</v>
          </cell>
          <cell r="N87">
            <v>0.11890000000000001</v>
          </cell>
          <cell r="O87">
            <v>0.15890000000000001</v>
          </cell>
          <cell r="P87">
            <v>0.159</v>
          </cell>
          <cell r="Q87">
            <v>0.159</v>
          </cell>
          <cell r="R87">
            <v>0.159</v>
          </cell>
        </row>
        <row r="88">
          <cell r="A88" t="str">
            <v>RAL13_GSL</v>
          </cell>
          <cell r="B88" t="str">
            <v xml:space="preserve">Disposition of Deferral/Variance Accounts (2013) </v>
          </cell>
          <cell r="C88" t="str">
            <v>Rate Rider</v>
          </cell>
          <cell r="E88" t="str">
            <v>$/kW</v>
          </cell>
          <cell r="H88">
            <v>-0.57799999999999996</v>
          </cell>
          <cell r="I88">
            <v>-0.59330000000000005</v>
          </cell>
          <cell r="J88">
            <v>-0.57799999999999996</v>
          </cell>
          <cell r="K88">
            <v>-0.59330000000000005</v>
          </cell>
          <cell r="L88">
            <v>0</v>
          </cell>
          <cell r="M88">
            <v>0</v>
          </cell>
        </row>
        <row r="89">
          <cell r="A89" t="str">
            <v>GA13_GSL</v>
          </cell>
          <cell r="B89" t="str">
            <v xml:space="preserve">Disposition of Global Adjustment Sub-Account (2013) </v>
          </cell>
          <cell r="C89" t="str">
            <v>Rate Rider</v>
          </cell>
          <cell r="D89" t="str">
            <v>non_RPP</v>
          </cell>
          <cell r="E89" t="str">
            <v>$/kWh</v>
          </cell>
          <cell r="H89">
            <v>1.8E-3</v>
          </cell>
          <cell r="I89">
            <v>3.0999999999999999E-3</v>
          </cell>
          <cell r="J89">
            <v>1.8E-3</v>
          </cell>
          <cell r="K89">
            <v>3.0999999999999999E-3</v>
          </cell>
          <cell r="L89">
            <v>0</v>
          </cell>
          <cell r="M89">
            <v>0</v>
          </cell>
        </row>
        <row r="90">
          <cell r="A90" t="str">
            <v>RAL14_GSL</v>
          </cell>
          <cell r="B90" t="str">
            <v xml:space="preserve">Disposition of Deferral/Variance Account (2014) </v>
          </cell>
          <cell r="C90" t="str">
            <v>Rate Rider</v>
          </cell>
          <cell r="E90" t="str">
            <v>$/kW</v>
          </cell>
          <cell r="G90">
            <v>-7.0499999999999993E-2</v>
          </cell>
          <cell r="H90">
            <v>0</v>
          </cell>
          <cell r="I90">
            <v>0</v>
          </cell>
          <cell r="J90">
            <v>-0.22070000000000001</v>
          </cell>
          <cell r="K90">
            <v>-0.22070000000000001</v>
          </cell>
          <cell r="L90">
            <v>-0.22070000000000001</v>
          </cell>
          <cell r="M90">
            <v>-0.22070000000000001</v>
          </cell>
        </row>
        <row r="91">
          <cell r="A91" t="str">
            <v>GA14_GSL</v>
          </cell>
          <cell r="B91" t="str">
            <v xml:space="preserve">Disposition of Global Adjustment Sub-Account (2014) </v>
          </cell>
          <cell r="C91" t="str">
            <v>Rate Rider</v>
          </cell>
          <cell r="D91" t="str">
            <v>non_RPP</v>
          </cell>
          <cell r="E91" t="str">
            <v>$/kW</v>
          </cell>
          <cell r="H91">
            <v>0</v>
          </cell>
          <cell r="I91">
            <v>0</v>
          </cell>
          <cell r="J91">
            <v>-7.1999999999999995E-2</v>
          </cell>
          <cell r="K91">
            <v>-7.1999999999999995E-2</v>
          </cell>
          <cell r="L91">
            <v>-7.1999999999999995E-2</v>
          </cell>
          <cell r="M91">
            <v>-7.1999999999999995E-2</v>
          </cell>
        </row>
        <row r="92">
          <cell r="A92" t="str">
            <v>ICMV_GSL</v>
          </cell>
          <cell r="B92" t="str">
            <v>ICM Rate Rider  (2014) - in effect until the effective date of the next cost of service rates</v>
          </cell>
          <cell r="C92" t="str">
            <v>Rate Rider</v>
          </cell>
          <cell r="E92" t="str">
            <v>$/kW</v>
          </cell>
          <cell r="H92">
            <v>0</v>
          </cell>
          <cell r="I92">
            <v>0</v>
          </cell>
          <cell r="J92">
            <v>1.7299999999999999E-2</v>
          </cell>
          <cell r="K92">
            <v>1.7299999999999999E-2</v>
          </cell>
          <cell r="L92">
            <v>1.7299999999999999E-2</v>
          </cell>
          <cell r="M92">
            <v>1.7299999999999999E-2</v>
          </cell>
          <cell r="N92">
            <v>0</v>
          </cell>
        </row>
        <row r="93">
          <cell r="A93" t="str">
            <v>LRAM_GSL</v>
          </cell>
          <cell r="B93" t="str">
            <v xml:space="preserve">Lost Revenue Adjustment Mechanism (LRAM) </v>
          </cell>
          <cell r="C93" t="str">
            <v>Rate Rider</v>
          </cell>
          <cell r="E93" t="str">
            <v>$/kW</v>
          </cell>
          <cell r="G93">
            <v>1.1999999999999999E-3</v>
          </cell>
          <cell r="H93">
            <v>0</v>
          </cell>
          <cell r="I93">
            <v>0</v>
          </cell>
          <cell r="J93">
            <v>0</v>
          </cell>
          <cell r="K93">
            <v>9.9000000000000008E-3</v>
          </cell>
          <cell r="L93">
            <v>0</v>
          </cell>
          <cell r="M93">
            <v>9.9000000000000008E-3</v>
          </cell>
        </row>
        <row r="94">
          <cell r="A94" t="str">
            <v>TAXC_GSL</v>
          </cell>
          <cell r="B94" t="str">
            <v>Tax Change</v>
          </cell>
          <cell r="C94" t="str">
            <v>Rate Rider</v>
          </cell>
          <cell r="E94" t="str">
            <v>$/kW</v>
          </cell>
          <cell r="F94">
            <v>-5.0099999999999999E-2</v>
          </cell>
          <cell r="G94">
            <v>-6.5000000000000002E-2</v>
          </cell>
        </row>
        <row r="95">
          <cell r="A95" t="str">
            <v>SM11_GSL</v>
          </cell>
          <cell r="B95" t="str">
            <v>SMIRR 2011</v>
          </cell>
          <cell r="C95" t="str">
            <v>Rate Rider</v>
          </cell>
          <cell r="E95" t="str">
            <v>$</v>
          </cell>
        </row>
        <row r="96">
          <cell r="A96" t="str">
            <v>SM12_GSL</v>
          </cell>
          <cell r="B96" t="str">
            <v>SMIRR 2012</v>
          </cell>
          <cell r="C96" t="str">
            <v>Rate Rider</v>
          </cell>
          <cell r="E96" t="str">
            <v>$</v>
          </cell>
        </row>
        <row r="97">
          <cell r="A97" t="str">
            <v>TFD_GSL</v>
          </cell>
          <cell r="B97" t="str">
            <v>Transformer Discount</v>
          </cell>
          <cell r="C97" t="str">
            <v>Rate</v>
          </cell>
          <cell r="E97" t="str">
            <v>$/kW</v>
          </cell>
          <cell r="F97">
            <v>-0.6</v>
          </cell>
          <cell r="G97">
            <v>-0.6</v>
          </cell>
          <cell r="H97">
            <v>-0.6</v>
          </cell>
          <cell r="I97">
            <v>-0.6</v>
          </cell>
          <cell r="J97">
            <v>-0.6</v>
          </cell>
          <cell r="K97">
            <v>-0.6</v>
          </cell>
          <cell r="L97">
            <v>-0.6</v>
          </cell>
          <cell r="M97">
            <v>-0.6</v>
          </cell>
          <cell r="N97">
            <v>-0.6</v>
          </cell>
          <cell r="O97">
            <v>-0.6</v>
          </cell>
          <cell r="P97">
            <v>-0.6</v>
          </cell>
          <cell r="Q97">
            <v>-0.6</v>
          </cell>
          <cell r="R97">
            <v>-0.6</v>
          </cell>
        </row>
        <row r="98">
          <cell r="A98" t="str">
            <v>LRVA_GSL</v>
          </cell>
          <cell r="B98" t="str">
            <v>Lost Revenue Adjustment Mechanism Variance Account (LRAMVA)</v>
          </cell>
          <cell r="C98" t="str">
            <v>Rate Rider</v>
          </cell>
          <cell r="E98" t="str">
            <v>$/kW</v>
          </cell>
          <cell r="L98">
            <v>1.34E-2</v>
          </cell>
          <cell r="M98">
            <v>1.34E-2</v>
          </cell>
        </row>
        <row r="99">
          <cell r="A99" t="str">
            <v>RAL16_GSL</v>
          </cell>
          <cell r="B99" t="str">
            <v xml:space="preserve">Disposition of Deferral/Variance Accounts (2016) </v>
          </cell>
          <cell r="C99" t="str">
            <v>Rate Rider</v>
          </cell>
          <cell r="E99" t="str">
            <v>$/kW</v>
          </cell>
          <cell r="N99">
            <v>0.23380000000000001</v>
          </cell>
          <cell r="O99">
            <v>0.23380000000000001</v>
          </cell>
          <cell r="P99">
            <v>0</v>
          </cell>
        </row>
        <row r="100">
          <cell r="A100" t="str">
            <v>RALP16_GSL</v>
          </cell>
          <cell r="B100" t="str">
            <v xml:space="preserve">Disposition of Deferral/Variance Accounts - Power (2016) </v>
          </cell>
          <cell r="C100" t="str">
            <v>Rate Rider</v>
          </cell>
          <cell r="E100" t="str">
            <v>$/kW</v>
          </cell>
          <cell r="N100">
            <v>-0.24490000000000001</v>
          </cell>
          <cell r="O100">
            <v>-0.24490000000000001</v>
          </cell>
          <cell r="P100">
            <v>-0.24490000000000001</v>
          </cell>
        </row>
        <row r="101">
          <cell r="A101" t="str">
            <v>GA16_GSL</v>
          </cell>
          <cell r="B101" t="str">
            <v xml:space="preserve">Disposition of Deferral/Variance Accounts - Power - Global Adjustment (2016) </v>
          </cell>
          <cell r="C101" t="str">
            <v>Rate Rider</v>
          </cell>
          <cell r="D101" t="str">
            <v>non_RPP</v>
          </cell>
          <cell r="E101" t="str">
            <v>$/kW</v>
          </cell>
          <cell r="N101">
            <v>0.86370000000000002</v>
          </cell>
          <cell r="O101">
            <v>0.86370000000000002</v>
          </cell>
          <cell r="P101">
            <v>0</v>
          </cell>
        </row>
        <row r="102">
          <cell r="A102" t="str">
            <v>2RAL16_GSL</v>
          </cell>
          <cell r="B102" t="str">
            <v xml:space="preserve">Disposition of Deferral/Variance Accounts - Group 2 Accounts (2016) </v>
          </cell>
          <cell r="C102" t="str">
            <v>Rate Rider</v>
          </cell>
          <cell r="E102" t="str">
            <v>$/kW</v>
          </cell>
          <cell r="N102">
            <v>0.1273</v>
          </cell>
          <cell r="O102">
            <v>0.1273</v>
          </cell>
          <cell r="P102">
            <v>0</v>
          </cell>
        </row>
        <row r="103">
          <cell r="A103" t="str">
            <v>LRVA16_GSL</v>
          </cell>
          <cell r="B103" t="str">
            <v>Lost Revenue Adjustment Mechanism Variance Account (LRAMVA) (2016)</v>
          </cell>
          <cell r="C103" t="str">
            <v>Rate Rider</v>
          </cell>
          <cell r="E103" t="str">
            <v>$/kW</v>
          </cell>
          <cell r="N103">
            <v>-1.9599999999999999E-2</v>
          </cell>
          <cell r="O103">
            <v>-1.9599999999999999E-2</v>
          </cell>
          <cell r="P103">
            <v>0</v>
          </cell>
        </row>
        <row r="104">
          <cell r="A104" t="str">
            <v>PPE16_GSL</v>
          </cell>
          <cell r="B104" t="str">
            <v>Account 1575 (2016)</v>
          </cell>
          <cell r="C104" t="str">
            <v>Rate Rider</v>
          </cell>
          <cell r="E104" t="str">
            <v>$/kW</v>
          </cell>
          <cell r="N104">
            <v>-0.1105</v>
          </cell>
          <cell r="O104">
            <v>-0.1105</v>
          </cell>
          <cell r="P104">
            <v>0</v>
          </cell>
        </row>
        <row r="105">
          <cell r="A105" t="str">
            <v>SG16_GSL</v>
          </cell>
          <cell r="B105" t="str">
            <v>Smart Grid True-up (2016)</v>
          </cell>
          <cell r="C105" t="str">
            <v>Rate Rider</v>
          </cell>
          <cell r="E105" t="str">
            <v>$</v>
          </cell>
          <cell r="N105">
            <v>-4.8099999999999996</v>
          </cell>
          <cell r="O105">
            <v>-4.8099999999999996</v>
          </cell>
          <cell r="P105">
            <v>0</v>
          </cell>
        </row>
        <row r="106">
          <cell r="A106" t="str">
            <v>FRV_GSL</v>
          </cell>
          <cell r="B106" t="str">
            <v>Foregone Revenue/Var</v>
          </cell>
          <cell r="C106" t="str">
            <v>Rate Rider</v>
          </cell>
          <cell r="E106" t="str">
            <v>$/kW</v>
          </cell>
          <cell r="N106">
            <v>1.1617</v>
          </cell>
        </row>
        <row r="108">
          <cell r="A108" t="str">
            <v>TN_GSL</v>
          </cell>
          <cell r="B108" t="str">
            <v>Retail Transmission Rate - Network Service Rate</v>
          </cell>
          <cell r="C108" t="str">
            <v>Rate</v>
          </cell>
          <cell r="E108" t="str">
            <v>$/kW</v>
          </cell>
          <cell r="F108">
            <v>2.6667000000000001</v>
          </cell>
          <cell r="G108">
            <v>2.4796</v>
          </cell>
          <cell r="H108">
            <v>2.7151000000000001</v>
          </cell>
          <cell r="I108">
            <v>2.7151000000000001</v>
          </cell>
          <cell r="J108">
            <v>2.8191999999999999</v>
          </cell>
          <cell r="K108">
            <v>2.8191999999999999</v>
          </cell>
          <cell r="L108">
            <v>2.9192</v>
          </cell>
          <cell r="M108">
            <v>2.9192</v>
          </cell>
          <cell r="N108">
            <v>2.9192</v>
          </cell>
          <cell r="O108">
            <v>2.9268000000000001</v>
          </cell>
          <cell r="P108">
            <v>2.9691000000000001</v>
          </cell>
          <cell r="Q108">
            <v>3.0173999999999999</v>
          </cell>
          <cell r="R108">
            <v>3.0712000000000002</v>
          </cell>
        </row>
        <row r="109">
          <cell r="A109" t="str">
            <v>TC_GSL</v>
          </cell>
          <cell r="B109" t="str">
            <v>Retail Transmission Rate - Line and Transformation Connection Service Rate</v>
          </cell>
          <cell r="C109" t="str">
            <v>Rate</v>
          </cell>
          <cell r="E109" t="str">
            <v>$/kW</v>
          </cell>
          <cell r="F109">
            <v>0.97550000000000003</v>
          </cell>
          <cell r="G109">
            <v>1.8993</v>
          </cell>
          <cell r="H109">
            <v>1.0903</v>
          </cell>
          <cell r="I109">
            <v>1.0903</v>
          </cell>
          <cell r="J109">
            <v>1.1438999999999999</v>
          </cell>
          <cell r="K109">
            <v>1.1438999999999999</v>
          </cell>
          <cell r="L109">
            <v>1.1726000000000001</v>
          </cell>
          <cell r="M109">
            <v>1.1726000000000001</v>
          </cell>
          <cell r="N109">
            <v>1.1726000000000001</v>
          </cell>
          <cell r="O109">
            <v>1.2618</v>
          </cell>
          <cell r="P109">
            <v>1.2842</v>
          </cell>
          <cell r="Q109">
            <v>1.3092999999999999</v>
          </cell>
          <cell r="R109">
            <v>1.3371</v>
          </cell>
        </row>
        <row r="110">
          <cell r="A110" t="str">
            <v>TN_GSLI</v>
          </cell>
          <cell r="B110" t="str">
            <v>Retail Transmission Rate - Network Service Rate</v>
          </cell>
          <cell r="C110" t="str">
            <v>Rate</v>
          </cell>
          <cell r="E110" t="str">
            <v>$/kW</v>
          </cell>
          <cell r="F110">
            <v>2.6667000000000001</v>
          </cell>
          <cell r="G110">
            <v>3.2917999999999998</v>
          </cell>
          <cell r="H110">
            <v>2.8462000000000001</v>
          </cell>
          <cell r="I110">
            <v>2.8462000000000001</v>
          </cell>
          <cell r="J110">
            <v>2.9552999999999998</v>
          </cell>
          <cell r="K110">
            <v>2.9552999999999998</v>
          </cell>
          <cell r="L110">
            <v>3.0600999999999998</v>
          </cell>
          <cell r="M110">
            <v>3.0600999999999998</v>
          </cell>
          <cell r="N110">
            <v>3.0600999999999998</v>
          </cell>
          <cell r="O110">
            <v>3.0680999999999998</v>
          </cell>
          <cell r="P110">
            <v>3.1124999999999998</v>
          </cell>
          <cell r="Q110">
            <v>3.1629999999999998</v>
          </cell>
          <cell r="R110">
            <v>3.2195</v>
          </cell>
        </row>
        <row r="111">
          <cell r="A111" t="str">
            <v>TC_GSLI</v>
          </cell>
          <cell r="B111" t="str">
            <v>Retail Transmission Rate - Line and Transformation Connection Service Rate</v>
          </cell>
          <cell r="C111" t="str">
            <v>Rate</v>
          </cell>
          <cell r="E111" t="str">
            <v>$/kW</v>
          </cell>
          <cell r="F111">
            <v>0.97550000000000003</v>
          </cell>
          <cell r="G111">
            <v>2.5211999999999999</v>
          </cell>
          <cell r="H111">
            <v>1.1797</v>
          </cell>
          <cell r="I111">
            <v>1.1797</v>
          </cell>
          <cell r="J111">
            <v>1.2376</v>
          </cell>
          <cell r="K111">
            <v>1.2376</v>
          </cell>
          <cell r="L111">
            <v>1.2686999999999999</v>
          </cell>
          <cell r="M111">
            <v>1.2686999999999999</v>
          </cell>
          <cell r="N111">
            <v>1.2686999999999999</v>
          </cell>
          <cell r="O111">
            <v>1.3652</v>
          </cell>
          <cell r="P111">
            <v>1.3894</v>
          </cell>
          <cell r="Q111">
            <v>1.4166000000000001</v>
          </cell>
          <cell r="R111">
            <v>1.4467000000000001</v>
          </cell>
        </row>
        <row r="112">
          <cell r="B112" t="str">
            <v>LARGE USE</v>
          </cell>
        </row>
        <row r="113">
          <cell r="A113" t="str">
            <v>Fix_LU</v>
          </cell>
          <cell r="B113" t="str">
            <v>Service Charge</v>
          </cell>
          <cell r="C113" t="str">
            <v>Rate</v>
          </cell>
          <cell r="E113" t="str">
            <v>$</v>
          </cell>
          <cell r="F113">
            <v>9690.24</v>
          </cell>
          <cell r="G113">
            <v>9690.24</v>
          </cell>
          <cell r="H113">
            <v>5808.4</v>
          </cell>
          <cell r="I113">
            <v>5808.4</v>
          </cell>
          <cell r="J113">
            <v>5889.72</v>
          </cell>
          <cell r="K113">
            <v>5889.72</v>
          </cell>
          <cell r="L113">
            <v>5966.29</v>
          </cell>
          <cell r="M113">
            <v>5966.29</v>
          </cell>
          <cell r="N113">
            <v>5758.58</v>
          </cell>
          <cell r="O113">
            <v>5369.68</v>
          </cell>
          <cell r="P113">
            <v>5877.76</v>
          </cell>
          <cell r="Q113">
            <v>5966.29</v>
          </cell>
          <cell r="R113">
            <v>5966.29</v>
          </cell>
        </row>
        <row r="114">
          <cell r="A114" t="str">
            <v>FR_LU</v>
          </cell>
          <cell r="B114" t="str">
            <v>Foregone Revenue/Fix</v>
          </cell>
          <cell r="C114" t="str">
            <v>Rate Rider</v>
          </cell>
          <cell r="E114" t="str">
            <v>$</v>
          </cell>
          <cell r="H114">
            <v>587.71</v>
          </cell>
          <cell r="I114">
            <v>587.71</v>
          </cell>
          <cell r="J114">
            <v>64.040000000000006</v>
          </cell>
          <cell r="K114">
            <v>64.040000000000006</v>
          </cell>
          <cell r="L114">
            <v>0</v>
          </cell>
          <cell r="M114">
            <v>0</v>
          </cell>
          <cell r="N114">
            <v>-715.92</v>
          </cell>
        </row>
        <row r="115">
          <cell r="A115" t="str">
            <v>PPE_LU</v>
          </cell>
          <cell r="B115" t="str">
            <v xml:space="preserve">Recovery of CGAAP/CWIP Differential </v>
          </cell>
          <cell r="C115" t="str">
            <v>Rate Rider</v>
          </cell>
          <cell r="E115" t="str">
            <v>$</v>
          </cell>
          <cell r="H115">
            <v>104.59</v>
          </cell>
          <cell r="I115">
            <v>104.59</v>
          </cell>
          <cell r="J115">
            <v>104.59</v>
          </cell>
          <cell r="K115">
            <v>104.59</v>
          </cell>
          <cell r="L115">
            <v>104.59</v>
          </cell>
          <cell r="M115">
            <v>104.59</v>
          </cell>
          <cell r="N115">
            <v>104.59</v>
          </cell>
        </row>
        <row r="116">
          <cell r="A116" t="str">
            <v>ICMF_LU</v>
          </cell>
          <cell r="B116" t="str">
            <v>ICM Rate Rider  (2014) - in effect until the effective date of the next cost of service rates</v>
          </cell>
          <cell r="C116" t="str">
            <v>Rate Rider</v>
          </cell>
          <cell r="E116" t="str">
            <v>$</v>
          </cell>
          <cell r="H116">
            <v>0</v>
          </cell>
          <cell r="I116">
            <v>0</v>
          </cell>
          <cell r="J116">
            <v>30.93</v>
          </cell>
          <cell r="K116">
            <v>30.93</v>
          </cell>
          <cell r="L116">
            <v>30.93</v>
          </cell>
          <cell r="M116">
            <v>30.93</v>
          </cell>
          <cell r="N116">
            <v>0</v>
          </cell>
        </row>
        <row r="117">
          <cell r="A117" t="str">
            <v>SGD_LU</v>
          </cell>
          <cell r="B117" t="str">
            <v xml:space="preserve">Smart Grid Funding Adder(2014) </v>
          </cell>
          <cell r="C117" t="str">
            <v>Rate Adder</v>
          </cell>
          <cell r="E117" t="str">
            <v>$</v>
          </cell>
          <cell r="H117">
            <v>0</v>
          </cell>
          <cell r="I117">
            <v>0</v>
          </cell>
          <cell r="J117">
            <v>77.98</v>
          </cell>
          <cell r="K117">
            <v>77.98</v>
          </cell>
          <cell r="L117">
            <v>0</v>
          </cell>
          <cell r="M117">
            <v>0</v>
          </cell>
        </row>
        <row r="118">
          <cell r="A118" t="str">
            <v>Var_LU</v>
          </cell>
          <cell r="B118" t="str">
            <v>Distribution Volumetric Rate</v>
          </cell>
          <cell r="C118" t="str">
            <v>Rate</v>
          </cell>
          <cell r="E118" t="str">
            <v>$/kW</v>
          </cell>
          <cell r="F118">
            <v>1.0484</v>
          </cell>
          <cell r="G118">
            <v>0.59179999999999999</v>
          </cell>
          <cell r="H118">
            <v>1.3784000000000001</v>
          </cell>
          <cell r="I118">
            <v>1.3784000000000001</v>
          </cell>
          <cell r="J118">
            <v>1.3976999999999999</v>
          </cell>
          <cell r="K118">
            <v>1.3976999999999999</v>
          </cell>
          <cell r="L118">
            <v>1.4158999999999999</v>
          </cell>
          <cell r="M118">
            <v>1.4158999999999999</v>
          </cell>
          <cell r="N118">
            <v>1.9666000000000001</v>
          </cell>
          <cell r="O118">
            <v>2.4338000000000002</v>
          </cell>
          <cell r="P118">
            <v>2.6179999999999999</v>
          </cell>
          <cell r="Q118">
            <v>2.7925</v>
          </cell>
          <cell r="R118">
            <v>2.9649000000000001</v>
          </cell>
        </row>
        <row r="119">
          <cell r="A119" t="str">
            <v>LV_LU</v>
          </cell>
          <cell r="B119" t="str">
            <v>Low Voltage Service Rate</v>
          </cell>
          <cell r="C119" t="str">
            <v>Rate</v>
          </cell>
          <cell r="E119" t="str">
            <v>$/kW</v>
          </cell>
          <cell r="F119">
            <v>5.5800000000000002E-2</v>
          </cell>
          <cell r="G119">
            <v>0.3886</v>
          </cell>
          <cell r="H119">
            <v>0.14369999999999999</v>
          </cell>
          <cell r="I119">
            <v>0.14369999999999999</v>
          </cell>
          <cell r="J119">
            <v>0.14369999999999999</v>
          </cell>
          <cell r="K119">
            <v>0.14369999999999999</v>
          </cell>
          <cell r="L119">
            <v>0.14369999999999999</v>
          </cell>
          <cell r="M119">
            <v>0.14369999999999999</v>
          </cell>
          <cell r="N119">
            <v>0.14369999999999999</v>
          </cell>
          <cell r="O119">
            <v>0.16300000000000001</v>
          </cell>
          <cell r="P119">
            <v>0.16309999999999999</v>
          </cell>
          <cell r="Q119">
            <v>0.16309999999999999</v>
          </cell>
          <cell r="R119">
            <v>0.16309999999999999</v>
          </cell>
        </row>
        <row r="120">
          <cell r="A120" t="str">
            <v>RAL13_LU</v>
          </cell>
          <cell r="B120" t="str">
            <v xml:space="preserve">Disposition of Deferral/Variance Accounts (2013) </v>
          </cell>
          <cell r="C120" t="str">
            <v>Rate Rider</v>
          </cell>
          <cell r="E120" t="str">
            <v>$/kW</v>
          </cell>
          <cell r="H120">
            <v>-0.20419999999999999</v>
          </cell>
          <cell r="I120">
            <v>0</v>
          </cell>
          <cell r="J120">
            <v>-0.20419999999999999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GA13_LU</v>
          </cell>
          <cell r="B121" t="str">
            <v xml:space="preserve">Disposition of Global Adjustment Sub-Account (2013) </v>
          </cell>
          <cell r="C121" t="str">
            <v>Rate Rider</v>
          </cell>
          <cell r="D121" t="str">
            <v>non_RPP</v>
          </cell>
          <cell r="E121" t="str">
            <v>$/kWh</v>
          </cell>
          <cell r="H121">
            <v>1.8E-3</v>
          </cell>
          <cell r="I121">
            <v>0</v>
          </cell>
          <cell r="J121">
            <v>1.8E-3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RAL14_LU</v>
          </cell>
          <cell r="B122" t="str">
            <v xml:space="preserve">Disposition of Deferral/Variance Account (2014) </v>
          </cell>
          <cell r="C122" t="str">
            <v>Rate Rider</v>
          </cell>
          <cell r="E122" t="str">
            <v>$/kW</v>
          </cell>
          <cell r="H122">
            <v>0</v>
          </cell>
          <cell r="I122">
            <v>0</v>
          </cell>
          <cell r="J122">
            <v>-0.1973</v>
          </cell>
          <cell r="K122">
            <v>-0.1973</v>
          </cell>
          <cell r="L122">
            <v>-0.1973</v>
          </cell>
          <cell r="M122">
            <v>-0.1973</v>
          </cell>
        </row>
        <row r="123">
          <cell r="A123" t="str">
            <v>ICMV_LU</v>
          </cell>
          <cell r="B123" t="str">
            <v>ICM Rate Rider  (2014) - in effect until the effective date of the next cost of service rates</v>
          </cell>
          <cell r="C123" t="str">
            <v>Rate Rider</v>
          </cell>
          <cell r="E123" t="str">
            <v>$/kW</v>
          </cell>
          <cell r="H123">
            <v>0</v>
          </cell>
          <cell r="I123">
            <v>0</v>
          </cell>
          <cell r="J123">
            <v>7.3000000000000001E-3</v>
          </cell>
          <cell r="K123">
            <v>7.3000000000000001E-3</v>
          </cell>
          <cell r="L123">
            <v>7.3000000000000001E-3</v>
          </cell>
          <cell r="M123">
            <v>7.3000000000000001E-3</v>
          </cell>
          <cell r="N123">
            <v>0</v>
          </cell>
        </row>
        <row r="124">
          <cell r="A124" t="str">
            <v>TAXC_LU</v>
          </cell>
          <cell r="B124" t="str">
            <v>Tax Change</v>
          </cell>
          <cell r="C124" t="str">
            <v>Rate Rider</v>
          </cell>
          <cell r="E124" t="str">
            <v>$/kW</v>
          </cell>
          <cell r="F124">
            <v>-1.7500000000000002E-2</v>
          </cell>
          <cell r="G124">
            <v>-7.6399999999999996E-2</v>
          </cell>
        </row>
        <row r="125">
          <cell r="A125" t="str">
            <v>TFD_LU</v>
          </cell>
          <cell r="B125" t="str">
            <v>Transformer Discount</v>
          </cell>
          <cell r="C125" t="str">
            <v>Rate</v>
          </cell>
          <cell r="E125" t="str">
            <v>$/kW</v>
          </cell>
          <cell r="F125">
            <v>-0.6</v>
          </cell>
          <cell r="G125">
            <v>-0.6</v>
          </cell>
          <cell r="H125">
            <v>-0.6</v>
          </cell>
          <cell r="I125">
            <v>-0.6</v>
          </cell>
          <cell r="J125">
            <v>-0.6</v>
          </cell>
          <cell r="K125">
            <v>-0.6</v>
          </cell>
          <cell r="L125">
            <v>-0.6</v>
          </cell>
          <cell r="M125">
            <v>-0.6</v>
          </cell>
          <cell r="N125">
            <v>-0.6</v>
          </cell>
          <cell r="O125">
            <v>-0.6</v>
          </cell>
          <cell r="P125">
            <v>-0.6</v>
          </cell>
          <cell r="Q125">
            <v>-0.6</v>
          </cell>
          <cell r="R125">
            <v>-0.6</v>
          </cell>
        </row>
        <row r="126">
          <cell r="A126" t="str">
            <v>RAL16_LU</v>
          </cell>
          <cell r="B126" t="str">
            <v xml:space="preserve">Disposition of Deferral/Variance Accounts (2016) </v>
          </cell>
          <cell r="C126" t="str">
            <v>Rate Rider</v>
          </cell>
          <cell r="E126" t="str">
            <v>$/kW</v>
          </cell>
          <cell r="N126">
            <v>1.2673000000000001</v>
          </cell>
          <cell r="O126">
            <v>0</v>
          </cell>
          <cell r="P126">
            <v>0</v>
          </cell>
        </row>
        <row r="127">
          <cell r="A127" t="str">
            <v>RALP16_LU</v>
          </cell>
          <cell r="B127" t="str">
            <v xml:space="preserve">Disposition of Deferral/Variance Accounts - Power (2016) </v>
          </cell>
          <cell r="C127" t="str">
            <v>Rate Rider</v>
          </cell>
          <cell r="E127" t="str">
            <v>$/kW</v>
          </cell>
          <cell r="N127">
            <v>-1.3272999999999999</v>
          </cell>
          <cell r="O127">
            <v>0</v>
          </cell>
          <cell r="P127">
            <v>0</v>
          </cell>
        </row>
        <row r="128">
          <cell r="A128" t="str">
            <v>GA16_LU</v>
          </cell>
          <cell r="B128" t="str">
            <v xml:space="preserve">Disposition of Deferral/Variance Accounts - Power - Global Adjustment (2016) </v>
          </cell>
          <cell r="C128" t="str">
            <v>Rate Rider</v>
          </cell>
          <cell r="D128" t="str">
            <v>non_RPP</v>
          </cell>
          <cell r="E128" t="str">
            <v>$/kW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2RAL16_LU</v>
          </cell>
          <cell r="B129" t="str">
            <v xml:space="preserve">Disposition of Deferral/Variance Accounts - Group 2 Accounts (2016) </v>
          </cell>
          <cell r="C129" t="str">
            <v>Rate Rider</v>
          </cell>
          <cell r="E129" t="str">
            <v>$/kW</v>
          </cell>
          <cell r="N129">
            <v>0.69</v>
          </cell>
          <cell r="O129">
            <v>0</v>
          </cell>
          <cell r="P129">
            <v>0</v>
          </cell>
        </row>
        <row r="130">
          <cell r="A130" t="str">
            <v>LRVA16_LU</v>
          </cell>
          <cell r="B130" t="str">
            <v>Lost Revenue Adjustment Mechanism Variance Account (LRAMVA) (2016)</v>
          </cell>
          <cell r="C130" t="str">
            <v>Rate Rider</v>
          </cell>
          <cell r="E130" t="str">
            <v>$/kW</v>
          </cell>
          <cell r="N130">
            <v>-0.1424</v>
          </cell>
          <cell r="O130">
            <v>0</v>
          </cell>
          <cell r="P130">
            <v>0</v>
          </cell>
        </row>
        <row r="131">
          <cell r="A131" t="str">
            <v>PPE16_LU</v>
          </cell>
          <cell r="B131" t="str">
            <v>Account 1575 (2016)</v>
          </cell>
          <cell r="C131" t="str">
            <v>Rate Rider</v>
          </cell>
          <cell r="E131" t="str">
            <v>$/kW</v>
          </cell>
          <cell r="N131">
            <v>-0.59870000000000001</v>
          </cell>
          <cell r="O131">
            <v>0</v>
          </cell>
          <cell r="P131">
            <v>0</v>
          </cell>
        </row>
        <row r="132">
          <cell r="A132" t="str">
            <v>SG16_LU</v>
          </cell>
          <cell r="B132" t="str">
            <v>Smart Grid True-up (2016)</v>
          </cell>
          <cell r="C132" t="str">
            <v>Rate Rider</v>
          </cell>
          <cell r="E132" t="str">
            <v>$</v>
          </cell>
          <cell r="N132">
            <v>-798.45</v>
          </cell>
          <cell r="O132">
            <v>0</v>
          </cell>
          <cell r="P132">
            <v>0</v>
          </cell>
        </row>
        <row r="133">
          <cell r="A133" t="str">
            <v>FRV_LU</v>
          </cell>
          <cell r="B133" t="str">
            <v>Foregone Revenue/Var</v>
          </cell>
          <cell r="C133" t="str">
            <v>Rate Rider</v>
          </cell>
          <cell r="E133" t="str">
            <v>$/kW</v>
          </cell>
          <cell r="N133">
            <v>1.6171</v>
          </cell>
        </row>
        <row r="136">
          <cell r="A136" t="str">
            <v>TN_LU</v>
          </cell>
          <cell r="B136" t="str">
            <v>Retail Transmission Rate - Network Service Rate</v>
          </cell>
          <cell r="C136" t="str">
            <v>Rate</v>
          </cell>
          <cell r="E136" t="str">
            <v>$/kW</v>
          </cell>
          <cell r="F136">
            <v>3.1284999999999998</v>
          </cell>
          <cell r="G136">
            <v>3.1192000000000002</v>
          </cell>
          <cell r="H136">
            <v>3.2216</v>
          </cell>
          <cell r="I136">
            <v>3.2216</v>
          </cell>
          <cell r="J136">
            <v>3.3451</v>
          </cell>
          <cell r="K136">
            <v>3.3451</v>
          </cell>
          <cell r="L136">
            <v>3.4638</v>
          </cell>
          <cell r="M136">
            <v>3.4638</v>
          </cell>
          <cell r="N136">
            <v>3.4638</v>
          </cell>
          <cell r="O136">
            <v>3.5360999999999998</v>
          </cell>
          <cell r="P136">
            <v>3.6097999999999999</v>
          </cell>
          <cell r="Q136">
            <v>3.6867999999999999</v>
          </cell>
          <cell r="R136">
            <v>3.7780999999999998</v>
          </cell>
        </row>
        <row r="137">
          <cell r="A137" t="str">
            <v>TC_LU</v>
          </cell>
          <cell r="B137" t="str">
            <v>Retail Transmission Rate - Line and Transformation Connection Service Rate</v>
          </cell>
          <cell r="C137" t="str">
            <v>Rate</v>
          </cell>
          <cell r="E137" t="str">
            <v>$/kW</v>
          </cell>
          <cell r="F137">
            <v>1.1529</v>
          </cell>
          <cell r="G137">
            <v>2.5775000000000001</v>
          </cell>
          <cell r="H137">
            <v>1.1183000000000001</v>
          </cell>
          <cell r="I137">
            <v>1.1183000000000001</v>
          </cell>
          <cell r="J137">
            <v>1.1732</v>
          </cell>
          <cell r="K137">
            <v>1.1732</v>
          </cell>
          <cell r="L137">
            <v>1.2027000000000001</v>
          </cell>
          <cell r="M137">
            <v>1.2027000000000001</v>
          </cell>
          <cell r="N137">
            <v>1.2027000000000001</v>
          </cell>
          <cell r="O137">
            <v>1.3178000000000001</v>
          </cell>
          <cell r="P137">
            <v>1.3495999999999999</v>
          </cell>
          <cell r="Q137">
            <v>1.3829</v>
          </cell>
          <cell r="R137">
            <v>1.4218</v>
          </cell>
        </row>
        <row r="140">
          <cell r="B140" t="str">
            <v>UNMETERED SCATTERED LOAD</v>
          </cell>
        </row>
        <row r="141">
          <cell r="A141" t="str">
            <v>Fix_USL</v>
          </cell>
          <cell r="B141" t="str">
            <v>Service Charge</v>
          </cell>
          <cell r="C141" t="str">
            <v>Rate</v>
          </cell>
          <cell r="E141" t="str">
            <v>$</v>
          </cell>
          <cell r="F141">
            <v>14.32</v>
          </cell>
          <cell r="G141">
            <v>7.95</v>
          </cell>
          <cell r="H141">
            <v>6.82</v>
          </cell>
          <cell r="I141">
            <v>6.82</v>
          </cell>
          <cell r="J141">
            <v>6.92</v>
          </cell>
          <cell r="K141">
            <v>6.85</v>
          </cell>
          <cell r="L141">
            <v>7.01</v>
          </cell>
          <cell r="M141">
            <v>7.01</v>
          </cell>
          <cell r="N141">
            <v>7.73</v>
          </cell>
          <cell r="O141">
            <v>8.83</v>
          </cell>
          <cell r="P141">
            <v>9.4499999999999993</v>
          </cell>
          <cell r="Q141">
            <v>9.82</v>
          </cell>
          <cell r="R141">
            <v>10.15</v>
          </cell>
        </row>
        <row r="142">
          <cell r="A142" t="str">
            <v>FR_USL</v>
          </cell>
          <cell r="B142" t="str">
            <v>Foregone Revenue/Fix</v>
          </cell>
          <cell r="C142" t="str">
            <v>Rate Rider</v>
          </cell>
          <cell r="E142" t="str">
            <v>$</v>
          </cell>
          <cell r="H142">
            <v>-0.34</v>
          </cell>
          <cell r="I142">
            <v>-0.34</v>
          </cell>
          <cell r="J142">
            <v>0.05</v>
          </cell>
          <cell r="K142">
            <v>0.05</v>
          </cell>
          <cell r="L142">
            <v>0</v>
          </cell>
          <cell r="M142">
            <v>0</v>
          </cell>
          <cell r="N142">
            <v>2.02</v>
          </cell>
        </row>
        <row r="143">
          <cell r="A143" t="str">
            <v>PPE_USL</v>
          </cell>
          <cell r="B143" t="str">
            <v xml:space="preserve">Recovery of CGAAP/CWIP Differential </v>
          </cell>
          <cell r="C143" t="str">
            <v>Rate Rider</v>
          </cell>
          <cell r="E143" t="str">
            <v>$</v>
          </cell>
          <cell r="H143">
            <v>0.11</v>
          </cell>
          <cell r="I143">
            <v>0.11</v>
          </cell>
          <cell r="J143">
            <v>0.11</v>
          </cell>
          <cell r="K143">
            <v>0.11</v>
          </cell>
          <cell r="L143">
            <v>0.11</v>
          </cell>
          <cell r="M143">
            <v>0.11</v>
          </cell>
          <cell r="N143">
            <v>0.11</v>
          </cell>
        </row>
        <row r="144">
          <cell r="A144" t="str">
            <v>ICMF_USL</v>
          </cell>
          <cell r="B144" t="str">
            <v>ICM Rate Rider  (2014) - in effect until the effective date of the next cost of service rates</v>
          </cell>
          <cell r="C144" t="str">
            <v>Rate Rider</v>
          </cell>
          <cell r="E144" t="str">
            <v>$</v>
          </cell>
          <cell r="H144">
            <v>0</v>
          </cell>
          <cell r="I144">
            <v>0</v>
          </cell>
          <cell r="J144">
            <v>0.04</v>
          </cell>
          <cell r="K144">
            <v>0.04</v>
          </cell>
          <cell r="L144">
            <v>0.04</v>
          </cell>
          <cell r="M144">
            <v>0.04</v>
          </cell>
          <cell r="N144">
            <v>0</v>
          </cell>
        </row>
        <row r="145">
          <cell r="A145" t="str">
            <v>SGD_USL</v>
          </cell>
          <cell r="B145" t="str">
            <v xml:space="preserve">Smart Grid Funding Adder(2014) </v>
          </cell>
          <cell r="C145" t="str">
            <v>Rate Adder</v>
          </cell>
          <cell r="E145" t="str">
            <v>$</v>
          </cell>
          <cell r="H145">
            <v>0</v>
          </cell>
          <cell r="I145">
            <v>0</v>
          </cell>
          <cell r="J145">
            <v>0.08</v>
          </cell>
          <cell r="K145">
            <v>0.08</v>
          </cell>
          <cell r="L145">
            <v>0</v>
          </cell>
          <cell r="M145">
            <v>0</v>
          </cell>
        </row>
        <row r="146">
          <cell r="A146" t="str">
            <v>Var_USL</v>
          </cell>
          <cell r="B146" t="str">
            <v>Distribution Volumetric Rate</v>
          </cell>
          <cell r="C146" t="str">
            <v>Rate</v>
          </cell>
          <cell r="E146" t="str">
            <v>$/kWh</v>
          </cell>
          <cell r="F146">
            <v>8.6999999999999994E-3</v>
          </cell>
          <cell r="G146">
            <v>1.61E-2</v>
          </cell>
          <cell r="H146">
            <v>1.55E-2</v>
          </cell>
          <cell r="I146">
            <v>1.55E-2</v>
          </cell>
          <cell r="J146">
            <v>1.5699999999999999E-2</v>
          </cell>
          <cell r="K146">
            <v>1.5599999999999999E-2</v>
          </cell>
          <cell r="L146">
            <v>1.5900000000000001E-2</v>
          </cell>
          <cell r="M146">
            <v>1.5900000000000001E-2</v>
          </cell>
          <cell r="N146">
            <v>1.7500000000000002E-2</v>
          </cell>
          <cell r="O146">
            <v>0.02</v>
          </cell>
          <cell r="P146">
            <v>2.1499999999999998E-2</v>
          </cell>
          <cell r="Q146">
            <v>2.2499999999999999E-2</v>
          </cell>
          <cell r="R146">
            <v>2.3199999999999998E-2</v>
          </cell>
        </row>
        <row r="147">
          <cell r="A147" t="str">
            <v>LV_USL</v>
          </cell>
          <cell r="B147" t="str">
            <v>Low Voltage Service Rate</v>
          </cell>
          <cell r="C147" t="str">
            <v>Rate</v>
          </cell>
          <cell r="E147" t="str">
            <v>$/kWh</v>
          </cell>
          <cell r="F147">
            <v>1E-4</v>
          </cell>
          <cell r="G147">
            <v>6.9999999999999999E-4</v>
          </cell>
          <cell r="H147">
            <v>2.9999999999999997E-4</v>
          </cell>
          <cell r="I147">
            <v>2.9999999999999997E-4</v>
          </cell>
          <cell r="J147">
            <v>2.9999999999999997E-4</v>
          </cell>
          <cell r="K147">
            <v>2.9999999999999997E-4</v>
          </cell>
          <cell r="L147">
            <v>2.9999999999999997E-4</v>
          </cell>
          <cell r="M147">
            <v>2.9999999999999997E-4</v>
          </cell>
          <cell r="N147">
            <v>2.9999999999999997E-4</v>
          </cell>
          <cell r="O147">
            <v>5.0000000000000001E-4</v>
          </cell>
          <cell r="P147">
            <v>5.0000000000000001E-4</v>
          </cell>
          <cell r="Q147">
            <v>5.0000000000000001E-4</v>
          </cell>
          <cell r="R147">
            <v>5.0000000000000001E-4</v>
          </cell>
        </row>
        <row r="148">
          <cell r="A148" t="str">
            <v>RAL13_USL</v>
          </cell>
          <cell r="B148" t="str">
            <v xml:space="preserve">Disposition of Deferral/Variance Accounts (2013) </v>
          </cell>
          <cell r="C148" t="str">
            <v>Rate Rider</v>
          </cell>
          <cell r="E148" t="str">
            <v>$/kWh</v>
          </cell>
          <cell r="H148">
            <v>-2.3E-3</v>
          </cell>
          <cell r="I148">
            <v>-1.5E-3</v>
          </cell>
          <cell r="J148">
            <v>-2.3E-3</v>
          </cell>
          <cell r="K148">
            <v>-1.5E-3</v>
          </cell>
          <cell r="L148">
            <v>0</v>
          </cell>
          <cell r="M148">
            <v>0</v>
          </cell>
        </row>
        <row r="149">
          <cell r="A149" t="str">
            <v>GA13_USL</v>
          </cell>
          <cell r="B149" t="str">
            <v xml:space="preserve">Disposition of Global Adjustment Sub-Account (2013) </v>
          </cell>
          <cell r="C149" t="str">
            <v>Rate Rider</v>
          </cell>
          <cell r="D149" t="str">
            <v>non_RPP</v>
          </cell>
          <cell r="E149" t="str">
            <v>$/kWh</v>
          </cell>
          <cell r="H149">
            <v>1.8E-3</v>
          </cell>
          <cell r="I149">
            <v>3.0999999999999999E-3</v>
          </cell>
          <cell r="J149">
            <v>1.8E-3</v>
          </cell>
          <cell r="K149">
            <v>3.0999999999999999E-3</v>
          </cell>
          <cell r="L149">
            <v>0</v>
          </cell>
          <cell r="M149">
            <v>0</v>
          </cell>
        </row>
        <row r="150">
          <cell r="A150" t="str">
            <v>RAL14_USL</v>
          </cell>
          <cell r="B150" t="str">
            <v xml:space="preserve">Disposition of Deferral/Variance Account (2014) </v>
          </cell>
          <cell r="C150" t="str">
            <v>Rate Rider</v>
          </cell>
          <cell r="E150" t="str">
            <v>$/kWh</v>
          </cell>
          <cell r="G150">
            <v>-8.9999999999999998E-4</v>
          </cell>
          <cell r="H150">
            <v>0</v>
          </cell>
          <cell r="I150">
            <v>0</v>
          </cell>
          <cell r="J150">
            <v>-5.9999999999999995E-4</v>
          </cell>
          <cell r="K150">
            <v>-5.9999999999999995E-4</v>
          </cell>
          <cell r="L150">
            <v>-5.9999999999999995E-4</v>
          </cell>
          <cell r="M150">
            <v>-5.9999999999999995E-4</v>
          </cell>
        </row>
        <row r="151">
          <cell r="A151" t="str">
            <v>GA14_USL</v>
          </cell>
          <cell r="B151" t="str">
            <v xml:space="preserve">Disposition of Global Adjustment Sub-Account (2014) </v>
          </cell>
          <cell r="C151" t="str">
            <v>Rate Rider</v>
          </cell>
          <cell r="D151" t="str">
            <v>non_RPP</v>
          </cell>
          <cell r="E151" t="str">
            <v>$/kWh</v>
          </cell>
          <cell r="H151">
            <v>0</v>
          </cell>
          <cell r="I151">
            <v>0</v>
          </cell>
          <cell r="J151">
            <v>-2.0000000000000001E-4</v>
          </cell>
          <cell r="K151">
            <v>-2.0000000000000001E-4</v>
          </cell>
          <cell r="L151">
            <v>-2.0000000000000001E-4</v>
          </cell>
          <cell r="M151">
            <v>-2.0000000000000001E-4</v>
          </cell>
        </row>
        <row r="152">
          <cell r="A152" t="str">
            <v>ICMV_USL</v>
          </cell>
          <cell r="B152" t="str">
            <v>ICM Rate Rider  (2014) - in effect until the effective date of the next cost of service rates</v>
          </cell>
          <cell r="C152" t="str">
            <v>Rate Rider</v>
          </cell>
          <cell r="E152" t="str">
            <v>$/kWh</v>
          </cell>
          <cell r="H152">
            <v>0</v>
          </cell>
          <cell r="I152">
            <v>0</v>
          </cell>
          <cell r="J152">
            <v>1E-4</v>
          </cell>
          <cell r="K152">
            <v>1E-4</v>
          </cell>
          <cell r="L152">
            <v>1E-4</v>
          </cell>
          <cell r="M152">
            <v>1E-4</v>
          </cell>
          <cell r="N152">
            <v>0</v>
          </cell>
        </row>
        <row r="153">
          <cell r="A153" t="str">
            <v>TAXC_USL</v>
          </cell>
          <cell r="B153" t="str">
            <v>Tax Change</v>
          </cell>
          <cell r="C153" t="str">
            <v>Rate Rider</v>
          </cell>
          <cell r="E153" t="str">
            <v>$/kWh</v>
          </cell>
          <cell r="F153">
            <v>-6.9999999999999999E-4</v>
          </cell>
          <cell r="G153">
            <v>-5.0000000000000001E-4</v>
          </cell>
        </row>
        <row r="154">
          <cell r="A154" t="str">
            <v>RAL16_USL</v>
          </cell>
          <cell r="B154" t="str">
            <v xml:space="preserve">Disposition of Deferral/Variance Accounts (2016) </v>
          </cell>
          <cell r="C154" t="str">
            <v>Rate Rider</v>
          </cell>
          <cell r="E154" t="str">
            <v>$/kWh</v>
          </cell>
          <cell r="N154">
            <v>0</v>
          </cell>
          <cell r="O154">
            <v>2.9999999999999997E-4</v>
          </cell>
          <cell r="P154">
            <v>2.9999999999999997E-4</v>
          </cell>
        </row>
        <row r="155">
          <cell r="A155" t="str">
            <v>RALP16_USL</v>
          </cell>
          <cell r="B155" t="str">
            <v xml:space="preserve">Disposition of Deferral/Variance Accounts - Power (2016) </v>
          </cell>
          <cell r="C155" t="str">
            <v>Rate Rider</v>
          </cell>
          <cell r="E155" t="str">
            <v>$/kWh</v>
          </cell>
          <cell r="N155">
            <v>-2.5999999999999999E-3</v>
          </cell>
          <cell r="O155">
            <v>0</v>
          </cell>
          <cell r="P155">
            <v>0</v>
          </cell>
        </row>
        <row r="156">
          <cell r="A156" t="str">
            <v>GA16_USL</v>
          </cell>
          <cell r="B156" t="str">
            <v xml:space="preserve">Disposition of Deferral/Variance Accounts - Power - Global Adjustment (2016) </v>
          </cell>
          <cell r="C156" t="str">
            <v>Rate Rider</v>
          </cell>
          <cell r="D156" t="str">
            <v>non_RPP</v>
          </cell>
          <cell r="E156" t="str">
            <v>$/kWh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2RAL16_USL</v>
          </cell>
          <cell r="B157" t="str">
            <v xml:space="preserve">Disposition of Deferral/Variance Accounts - Group 2 Accounts (2016) </v>
          </cell>
          <cell r="C157" t="str">
            <v>Rate Rider</v>
          </cell>
          <cell r="E157" t="str">
            <v>$/kWh</v>
          </cell>
          <cell r="N157">
            <v>0</v>
          </cell>
          <cell r="O157">
            <v>2.0000000000000001E-4</v>
          </cell>
          <cell r="P157">
            <v>2.0000000000000001E-4</v>
          </cell>
        </row>
        <row r="158">
          <cell r="A158" t="str">
            <v>LRVA16_USL</v>
          </cell>
          <cell r="B158" t="str">
            <v>Lost Revenue Adjustment Mechanism Variance Account (LRAMVA) (2016)</v>
          </cell>
          <cell r="C158" t="str">
            <v>Rate Rider</v>
          </cell>
          <cell r="E158" t="str">
            <v>$/kWh</v>
          </cell>
          <cell r="N158">
            <v>-1E-3</v>
          </cell>
          <cell r="O158">
            <v>0</v>
          </cell>
          <cell r="P158">
            <v>0</v>
          </cell>
        </row>
        <row r="159">
          <cell r="A159" t="str">
            <v>PPE16_USL</v>
          </cell>
          <cell r="B159" t="str">
            <v>Account 1575 (2016)</v>
          </cell>
          <cell r="C159" t="str">
            <v>Rate Rider</v>
          </cell>
          <cell r="E159" t="str">
            <v>$/kWh</v>
          </cell>
          <cell r="N159">
            <v>-1.1999999999999999E-3</v>
          </cell>
          <cell r="O159">
            <v>0</v>
          </cell>
          <cell r="P159">
            <v>0</v>
          </cell>
        </row>
        <row r="160">
          <cell r="A160" t="str">
            <v>SG16_USL</v>
          </cell>
          <cell r="B160" t="str">
            <v>Smart Grid True-up (2016)</v>
          </cell>
          <cell r="C160" t="str">
            <v>Rate Rider</v>
          </cell>
          <cell r="E160" t="str">
            <v>$</v>
          </cell>
          <cell r="N160">
            <v>-0.1</v>
          </cell>
          <cell r="O160">
            <v>0</v>
          </cell>
          <cell r="P160">
            <v>0</v>
          </cell>
        </row>
        <row r="161">
          <cell r="A161" t="str">
            <v>FRV_USL</v>
          </cell>
          <cell r="B161" t="str">
            <v>Foregone Revenue/Var</v>
          </cell>
          <cell r="C161" t="str">
            <v>Rate Rider</v>
          </cell>
          <cell r="E161" t="str">
            <v>$/kWh</v>
          </cell>
          <cell r="N161">
            <v>4.4000000000000003E-3</v>
          </cell>
        </row>
        <row r="164">
          <cell r="A164" t="str">
            <v>TN_USL</v>
          </cell>
          <cell r="B164" t="str">
            <v>Retail Transmission Rate - Network Service Rate</v>
          </cell>
          <cell r="C164" t="str">
            <v>Rate</v>
          </cell>
          <cell r="E164" t="str">
            <v>$/kWh</v>
          </cell>
          <cell r="F164">
            <v>6.6E-3</v>
          </cell>
          <cell r="G164">
            <v>6.3E-3</v>
          </cell>
          <cell r="H164">
            <v>6.7000000000000002E-3</v>
          </cell>
          <cell r="I164">
            <v>6.7000000000000002E-3</v>
          </cell>
          <cell r="J164">
            <v>7.0000000000000001E-3</v>
          </cell>
          <cell r="K164">
            <v>7.0000000000000001E-3</v>
          </cell>
          <cell r="L164">
            <v>7.1999999999999998E-3</v>
          </cell>
          <cell r="M164">
            <v>7.1999999999999998E-3</v>
          </cell>
          <cell r="N164">
            <v>7.1999999999999998E-3</v>
          </cell>
          <cell r="O164">
            <v>6.8999999999999999E-3</v>
          </cell>
          <cell r="P164">
            <v>6.7999999999999996E-3</v>
          </cell>
          <cell r="Q164">
            <v>6.7000000000000002E-3</v>
          </cell>
          <cell r="R164">
            <v>6.6E-3</v>
          </cell>
        </row>
        <row r="165">
          <cell r="A165" t="str">
            <v>TC_USL</v>
          </cell>
          <cell r="B165" t="str">
            <v>Retail Transmission Rate - Line and Transformation Connection Service Rate</v>
          </cell>
          <cell r="C165" t="str">
            <v>Rate</v>
          </cell>
          <cell r="E165" t="str">
            <v>$/kWh</v>
          </cell>
          <cell r="F165">
            <v>2.7000000000000001E-3</v>
          </cell>
          <cell r="G165">
            <v>4.7999999999999996E-3</v>
          </cell>
          <cell r="H165">
            <v>3.0999999999999999E-3</v>
          </cell>
          <cell r="I165">
            <v>3.0999999999999999E-3</v>
          </cell>
          <cell r="J165">
            <v>3.3E-3</v>
          </cell>
          <cell r="K165">
            <v>3.3E-3</v>
          </cell>
          <cell r="L165">
            <v>3.3999999999999998E-3</v>
          </cell>
          <cell r="M165">
            <v>3.3999999999999998E-3</v>
          </cell>
          <cell r="N165">
            <v>3.3999999999999998E-3</v>
          </cell>
          <cell r="O165">
            <v>3.5000000000000001E-3</v>
          </cell>
          <cell r="P165">
            <v>3.5000000000000001E-3</v>
          </cell>
          <cell r="Q165">
            <v>3.3999999999999998E-3</v>
          </cell>
          <cell r="R165">
            <v>3.3999999999999998E-3</v>
          </cell>
        </row>
        <row r="168">
          <cell r="B168" t="str">
            <v>SENTINEL</v>
          </cell>
        </row>
        <row r="169">
          <cell r="A169" t="str">
            <v>Fix_SE</v>
          </cell>
          <cell r="B169" t="str">
            <v>Service Charge</v>
          </cell>
          <cell r="C169" t="str">
            <v>Rate</v>
          </cell>
          <cell r="E169" t="str">
            <v>$</v>
          </cell>
          <cell r="F169">
            <v>2</v>
          </cell>
          <cell r="H169">
            <v>3.32</v>
          </cell>
          <cell r="I169">
            <v>3.32</v>
          </cell>
          <cell r="J169">
            <v>3.37</v>
          </cell>
          <cell r="K169">
            <v>3.37</v>
          </cell>
          <cell r="L169">
            <v>3.41</v>
          </cell>
          <cell r="M169">
            <v>3.41</v>
          </cell>
          <cell r="N169">
            <v>3.76</v>
          </cell>
          <cell r="O169">
            <v>4.3</v>
          </cell>
          <cell r="P169">
            <v>4.6100000000000003</v>
          </cell>
          <cell r="Q169">
            <v>4.8099999999999996</v>
          </cell>
          <cell r="R169">
            <v>5</v>
          </cell>
        </row>
        <row r="170">
          <cell r="A170" t="str">
            <v>FR_SE</v>
          </cell>
          <cell r="B170" t="str">
            <v>Foregone Revenue/Fix</v>
          </cell>
          <cell r="C170" t="str">
            <v>Rate Rider</v>
          </cell>
          <cell r="E170" t="str">
            <v>$</v>
          </cell>
          <cell r="H170">
            <v>0</v>
          </cell>
          <cell r="I170">
            <v>0</v>
          </cell>
          <cell r="J170">
            <v>0.04</v>
          </cell>
          <cell r="K170">
            <v>0.04</v>
          </cell>
          <cell r="L170">
            <v>0</v>
          </cell>
          <cell r="M170">
            <v>0</v>
          </cell>
          <cell r="N170">
            <v>1</v>
          </cell>
        </row>
        <row r="171">
          <cell r="A171" t="str">
            <v>PPE_SE</v>
          </cell>
          <cell r="B171" t="str">
            <v xml:space="preserve">Recovery of CGAAP/CWIP Differential </v>
          </cell>
          <cell r="C171" t="str">
            <v>Rate Rider</v>
          </cell>
          <cell r="E171" t="str">
            <v>$</v>
          </cell>
          <cell r="H171">
            <v>0.09</v>
          </cell>
          <cell r="I171">
            <v>0.09</v>
          </cell>
          <cell r="J171">
            <v>0.09</v>
          </cell>
          <cell r="K171">
            <v>0.09</v>
          </cell>
          <cell r="L171">
            <v>0.09</v>
          </cell>
          <cell r="M171">
            <v>0.09</v>
          </cell>
          <cell r="N171">
            <v>0.09</v>
          </cell>
        </row>
        <row r="172">
          <cell r="A172" t="str">
            <v>ICMF_SE</v>
          </cell>
          <cell r="B172" t="str">
            <v>ICM Rate Rider  (2014) - in effect until the effective date of the next cost of service rates</v>
          </cell>
          <cell r="C172" t="str">
            <v>Rate Rider</v>
          </cell>
          <cell r="E172" t="str">
            <v>$</v>
          </cell>
          <cell r="H172">
            <v>0</v>
          </cell>
          <cell r="I172">
            <v>0</v>
          </cell>
          <cell r="J172">
            <v>0.02</v>
          </cell>
          <cell r="K172">
            <v>0.02</v>
          </cell>
          <cell r="L172">
            <v>0.02</v>
          </cell>
          <cell r="M172">
            <v>0.02</v>
          </cell>
          <cell r="N172">
            <v>0</v>
          </cell>
        </row>
        <row r="173">
          <cell r="A173" t="str">
            <v>SGD_SE</v>
          </cell>
          <cell r="B173" t="str">
            <v xml:space="preserve">Smart Grid Funding Adder(2014) </v>
          </cell>
          <cell r="C173" t="str">
            <v>Rate Adder</v>
          </cell>
          <cell r="E173" t="str">
            <v>$</v>
          </cell>
          <cell r="H173">
            <v>0</v>
          </cell>
          <cell r="I173">
            <v>0</v>
          </cell>
          <cell r="J173">
            <v>7.0000000000000007E-2</v>
          </cell>
          <cell r="K173">
            <v>7.0000000000000007E-2</v>
          </cell>
          <cell r="L173">
            <v>0</v>
          </cell>
          <cell r="M173">
            <v>0</v>
          </cell>
        </row>
        <row r="174">
          <cell r="A174" t="str">
            <v>Var_SE</v>
          </cell>
          <cell r="B174" t="str">
            <v>Distribution Volumetric Rate</v>
          </cell>
          <cell r="C174" t="str">
            <v>Rate</v>
          </cell>
          <cell r="E174" t="str">
            <v>$/kW</v>
          </cell>
          <cell r="F174">
            <v>9.3917000000000002</v>
          </cell>
          <cell r="H174">
            <v>7.8049999999999997</v>
          </cell>
          <cell r="I174">
            <v>7.8049999999999997</v>
          </cell>
          <cell r="J174">
            <v>7.9142999999999999</v>
          </cell>
          <cell r="K174">
            <v>7.9142999999999999</v>
          </cell>
          <cell r="L174">
            <v>8.0172000000000008</v>
          </cell>
          <cell r="M174">
            <v>8.0172000000000008</v>
          </cell>
          <cell r="N174">
            <v>8.8369</v>
          </cell>
          <cell r="O174">
            <v>10.1037</v>
          </cell>
          <cell r="P174">
            <v>10.9284</v>
          </cell>
          <cell r="Q174">
            <v>11.434900000000001</v>
          </cell>
          <cell r="R174">
            <v>11.8673</v>
          </cell>
        </row>
        <row r="175">
          <cell r="A175" t="str">
            <v>LV_SE</v>
          </cell>
          <cell r="B175" t="str">
            <v>Low Voltage Service Rate</v>
          </cell>
          <cell r="C175" t="str">
            <v>Rate</v>
          </cell>
          <cell r="E175" t="str">
            <v>$/kW</v>
          </cell>
          <cell r="F175">
            <v>4.0099999999999997E-2</v>
          </cell>
          <cell r="H175">
            <v>0.1031</v>
          </cell>
          <cell r="I175">
            <v>0.1031</v>
          </cell>
          <cell r="J175">
            <v>0.1031</v>
          </cell>
          <cell r="K175">
            <v>0.1031</v>
          </cell>
          <cell r="L175">
            <v>0.1031</v>
          </cell>
          <cell r="M175">
            <v>0.1031</v>
          </cell>
          <cell r="N175">
            <v>0.1031</v>
          </cell>
          <cell r="O175">
            <v>0.11700000000000001</v>
          </cell>
          <cell r="P175">
            <v>0.11700000000000001</v>
          </cell>
          <cell r="Q175">
            <v>0.11700000000000001</v>
          </cell>
          <cell r="R175">
            <v>0.11700000000000001</v>
          </cell>
        </row>
        <row r="176">
          <cell r="A176" t="str">
            <v>RAL13_SE</v>
          </cell>
          <cell r="B176" t="str">
            <v xml:space="preserve">Disposition of Deferral/Variance Accounts (2013) </v>
          </cell>
          <cell r="C176" t="str">
            <v>Rate Rider</v>
          </cell>
          <cell r="E176" t="str">
            <v>$/kW</v>
          </cell>
          <cell r="H176">
            <v>-0.80879999999999996</v>
          </cell>
          <cell r="I176">
            <v>0</v>
          </cell>
          <cell r="J176">
            <v>-0.80879999999999996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GA13_SE</v>
          </cell>
          <cell r="B177" t="str">
            <v xml:space="preserve">Disposition of Global Adjustment Sub-Account (2013) </v>
          </cell>
          <cell r="C177" t="str">
            <v>Rate Rider</v>
          </cell>
          <cell r="D177" t="str">
            <v>non_RPP</v>
          </cell>
          <cell r="E177" t="str">
            <v>$/kWh</v>
          </cell>
          <cell r="H177">
            <v>1.8E-3</v>
          </cell>
          <cell r="I177">
            <v>0</v>
          </cell>
          <cell r="J177">
            <v>1.8E-3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RAL14_SE</v>
          </cell>
          <cell r="B178" t="str">
            <v xml:space="preserve">Disposition of Deferral/Variance Account (2014) </v>
          </cell>
          <cell r="C178" t="str">
            <v>Rate Rider</v>
          </cell>
          <cell r="E178" t="str">
            <v>$/kW</v>
          </cell>
          <cell r="H178">
            <v>0</v>
          </cell>
          <cell r="I178">
            <v>0</v>
          </cell>
          <cell r="J178">
            <v>-0.22969999999999999</v>
          </cell>
          <cell r="K178">
            <v>-0.22969999999999999</v>
          </cell>
          <cell r="L178">
            <v>-0.22969999999999999</v>
          </cell>
          <cell r="M178">
            <v>-0.22969999999999999</v>
          </cell>
        </row>
        <row r="179">
          <cell r="A179" t="str">
            <v>GA14_SE</v>
          </cell>
          <cell r="B179" t="str">
            <v xml:space="preserve">Disposition of Global Adjustment Sub-Account (2014) </v>
          </cell>
          <cell r="C179" t="str">
            <v>Rate Rider</v>
          </cell>
          <cell r="D179" t="str">
            <v>non_RPP</v>
          </cell>
          <cell r="E179" t="str">
            <v>$/kW</v>
          </cell>
          <cell r="H179">
            <v>0</v>
          </cell>
          <cell r="I179">
            <v>0</v>
          </cell>
          <cell r="J179">
            <v>-7.3200000000000001E-2</v>
          </cell>
          <cell r="K179">
            <v>-7.3200000000000001E-2</v>
          </cell>
          <cell r="L179">
            <v>-7.3200000000000001E-2</v>
          </cell>
          <cell r="M179">
            <v>-7.3200000000000001E-2</v>
          </cell>
        </row>
        <row r="180">
          <cell r="A180" t="str">
            <v>ICMV_SE</v>
          </cell>
          <cell r="B180" t="str">
            <v>ICM Rate Rider  (2014) - in effect until the effective date of the next cost of service rates</v>
          </cell>
          <cell r="C180" t="str">
            <v>Rate Rider</v>
          </cell>
          <cell r="E180" t="str">
            <v>$/kW</v>
          </cell>
          <cell r="H180">
            <v>0</v>
          </cell>
          <cell r="I180">
            <v>0</v>
          </cell>
          <cell r="J180">
            <v>4.1599999999999998E-2</v>
          </cell>
          <cell r="K180">
            <v>4.1599999999999998E-2</v>
          </cell>
          <cell r="L180">
            <v>4.1599999999999998E-2</v>
          </cell>
          <cell r="M180">
            <v>4.1599999999999998E-2</v>
          </cell>
          <cell r="N180">
            <v>0</v>
          </cell>
        </row>
        <row r="181">
          <cell r="A181" t="str">
            <v>TAXC_SE</v>
          </cell>
          <cell r="B181" t="str">
            <v>Tax Change</v>
          </cell>
          <cell r="C181" t="str">
            <v>Rate Rider</v>
          </cell>
          <cell r="E181" t="str">
            <v>$/kW</v>
          </cell>
          <cell r="F181">
            <v>-0.14580000000000001</v>
          </cell>
        </row>
        <row r="182">
          <cell r="A182" t="str">
            <v>RAL16_SE</v>
          </cell>
          <cell r="B182" t="str">
            <v xml:space="preserve">Disposition of Deferral/Variance Accounts (2016) </v>
          </cell>
          <cell r="C182" t="str">
            <v>Rate Rider</v>
          </cell>
          <cell r="E182" t="str">
            <v>$/kW</v>
          </cell>
          <cell r="N182">
            <v>0</v>
          </cell>
          <cell r="O182">
            <v>0.121</v>
          </cell>
          <cell r="P182">
            <v>0.121</v>
          </cell>
        </row>
        <row r="183">
          <cell r="A183" t="str">
            <v>RALP16_SE</v>
          </cell>
          <cell r="B183" t="str">
            <v xml:space="preserve">Disposition of Deferral/Variance Accounts - Power (2016) </v>
          </cell>
          <cell r="C183" t="str">
            <v>Rate Rider</v>
          </cell>
          <cell r="E183" t="str">
            <v>$/kW</v>
          </cell>
          <cell r="N183">
            <v>-1.0139</v>
          </cell>
          <cell r="O183">
            <v>0</v>
          </cell>
          <cell r="P183">
            <v>0</v>
          </cell>
        </row>
        <row r="184">
          <cell r="A184" t="str">
            <v>GA16_SE</v>
          </cell>
          <cell r="B184" t="str">
            <v xml:space="preserve">Disposition of Deferral/Variance Accounts - Power - Global Adjustment (2016) </v>
          </cell>
          <cell r="C184" t="str">
            <v>Rate Rider</v>
          </cell>
          <cell r="D184" t="str">
            <v>non_RPP</v>
          </cell>
          <cell r="E184" t="str">
            <v>$/kW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2RAL16_SE</v>
          </cell>
          <cell r="B185" t="str">
            <v xml:space="preserve">Disposition of Deferral/Variance Accounts - Group 2 Accounts (2016) </v>
          </cell>
          <cell r="C185" t="str">
            <v>Rate Rider</v>
          </cell>
          <cell r="E185" t="str">
            <v>$/kW</v>
          </cell>
          <cell r="N185">
            <v>0</v>
          </cell>
          <cell r="O185">
            <v>6.59E-2</v>
          </cell>
          <cell r="P185">
            <v>6.59E-2</v>
          </cell>
        </row>
        <row r="186">
          <cell r="A186" t="str">
            <v>LRVA16_SE</v>
          </cell>
          <cell r="B186" t="str">
            <v>Lost Revenue Adjustment Mechanism Variance Account (LRAMVA) (2016)</v>
          </cell>
          <cell r="C186" t="str">
            <v>Rate Rider</v>
          </cell>
          <cell r="E186" t="str">
            <v>$/kW</v>
          </cell>
          <cell r="N186">
            <v>-0.67120000000000002</v>
          </cell>
          <cell r="O186">
            <v>0</v>
          </cell>
          <cell r="P186">
            <v>0</v>
          </cell>
        </row>
        <row r="187">
          <cell r="A187" t="str">
            <v>PPE16_SE</v>
          </cell>
          <cell r="B187" t="str">
            <v>Account 1575 (2016)</v>
          </cell>
          <cell r="C187" t="str">
            <v>Rate Rider</v>
          </cell>
          <cell r="E187" t="str">
            <v>$/kW</v>
          </cell>
          <cell r="N187">
            <v>-0.45739999999999997</v>
          </cell>
          <cell r="O187">
            <v>0</v>
          </cell>
          <cell r="P187">
            <v>0</v>
          </cell>
        </row>
        <row r="188">
          <cell r="A188" t="str">
            <v>SG16_SE</v>
          </cell>
          <cell r="B188" t="str">
            <v>Smart Grid True-up (2016)</v>
          </cell>
          <cell r="C188" t="str">
            <v>Rate Rider</v>
          </cell>
          <cell r="E188" t="str">
            <v>$</v>
          </cell>
          <cell r="N188">
            <v>-0.04</v>
          </cell>
          <cell r="O188">
            <v>0</v>
          </cell>
          <cell r="P188">
            <v>0</v>
          </cell>
        </row>
        <row r="189">
          <cell r="A189" t="str">
            <v>FRV_SE</v>
          </cell>
          <cell r="B189" t="str">
            <v>Foregone Revenue/Var</v>
          </cell>
          <cell r="C189" t="str">
            <v>Rate Rider</v>
          </cell>
          <cell r="E189" t="str">
            <v>$/kW</v>
          </cell>
          <cell r="N189">
            <v>2.2822</v>
          </cell>
        </row>
        <row r="192">
          <cell r="A192" t="str">
            <v>TN_SE</v>
          </cell>
          <cell r="B192" t="str">
            <v>Retail Transmission Rate - Network Service Rate</v>
          </cell>
          <cell r="C192" t="str">
            <v>Rate</v>
          </cell>
          <cell r="E192" t="str">
            <v>$/kW</v>
          </cell>
          <cell r="F192">
            <v>2.0377999999999998</v>
          </cell>
          <cell r="H192">
            <v>2.0983999999999998</v>
          </cell>
          <cell r="I192">
            <v>2.0983999999999998</v>
          </cell>
          <cell r="J192">
            <v>2.1787999999999998</v>
          </cell>
          <cell r="K192">
            <v>2.1787999999999998</v>
          </cell>
          <cell r="L192">
            <v>2.2561</v>
          </cell>
          <cell r="M192">
            <v>2.2561</v>
          </cell>
          <cell r="N192">
            <v>2.2561</v>
          </cell>
          <cell r="O192">
            <v>2.2743000000000002</v>
          </cell>
          <cell r="P192">
            <v>2.3047</v>
          </cell>
          <cell r="Q192">
            <v>2.3365</v>
          </cell>
          <cell r="R192">
            <v>2.3763999999999998</v>
          </cell>
        </row>
        <row r="193">
          <cell r="A193" t="str">
            <v>TC_SE</v>
          </cell>
          <cell r="B193" t="str">
            <v>Retail Transmission Rate - Line and Transformation Connection Service Rate</v>
          </cell>
          <cell r="C193" t="str">
            <v>Rate</v>
          </cell>
          <cell r="E193" t="str">
            <v>$/kW</v>
          </cell>
          <cell r="F193">
            <v>0.82720000000000005</v>
          </cell>
          <cell r="H193">
            <v>0.8024</v>
          </cell>
          <cell r="I193">
            <v>0.8024</v>
          </cell>
          <cell r="J193">
            <v>0.84179999999999999</v>
          </cell>
          <cell r="K193">
            <v>0.84179999999999999</v>
          </cell>
          <cell r="L193">
            <v>0.8629</v>
          </cell>
          <cell r="M193">
            <v>0.8629</v>
          </cell>
          <cell r="N193">
            <v>0.8629</v>
          </cell>
          <cell r="O193">
            <v>0.93359999999999999</v>
          </cell>
          <cell r="P193">
            <v>0.94910000000000005</v>
          </cell>
          <cell r="Q193">
            <v>0.96530000000000005</v>
          </cell>
          <cell r="R193">
            <v>0.98509999999999998</v>
          </cell>
        </row>
        <row r="196">
          <cell r="B196" t="str">
            <v>STREET LIGHTING</v>
          </cell>
        </row>
        <row r="197">
          <cell r="A197" t="str">
            <v>Fix_SL</v>
          </cell>
          <cell r="B197" t="str">
            <v>Service Charge</v>
          </cell>
          <cell r="C197" t="str">
            <v>Rate</v>
          </cell>
          <cell r="E197" t="str">
            <v>$</v>
          </cell>
          <cell r="F197">
            <v>0.84</v>
          </cell>
          <cell r="G197">
            <v>3.02</v>
          </cell>
          <cell r="H197">
            <v>1.22</v>
          </cell>
          <cell r="I197">
            <v>1.22</v>
          </cell>
          <cell r="J197">
            <v>1.24</v>
          </cell>
          <cell r="K197">
            <v>1.24</v>
          </cell>
          <cell r="L197">
            <v>1.26</v>
          </cell>
          <cell r="M197">
            <v>1.26</v>
          </cell>
          <cell r="N197">
            <v>1.2</v>
          </cell>
          <cell r="O197">
            <v>1.22</v>
          </cell>
          <cell r="P197">
            <v>1.17</v>
          </cell>
          <cell r="Q197">
            <v>1.21</v>
          </cell>
          <cell r="R197">
            <v>1.25</v>
          </cell>
        </row>
        <row r="198">
          <cell r="A198" t="str">
            <v>FR_SL</v>
          </cell>
          <cell r="B198" t="str">
            <v>Foregone Revenue/Fix</v>
          </cell>
          <cell r="C198" t="str">
            <v>Rate Rider</v>
          </cell>
          <cell r="E198" t="str">
            <v>$</v>
          </cell>
          <cell r="H198">
            <v>0</v>
          </cell>
          <cell r="I198">
            <v>0</v>
          </cell>
          <cell r="J198">
            <v>0.01</v>
          </cell>
          <cell r="K198">
            <v>0.01</v>
          </cell>
          <cell r="L198">
            <v>0</v>
          </cell>
          <cell r="M198">
            <v>0</v>
          </cell>
          <cell r="N198">
            <v>-0.21</v>
          </cell>
        </row>
        <row r="199">
          <cell r="A199" t="str">
            <v>PPE_SL</v>
          </cell>
          <cell r="B199" t="str">
            <v xml:space="preserve">Recovery of CGAAP/CWIP Differential </v>
          </cell>
          <cell r="C199" t="str">
            <v>Rate Rider</v>
          </cell>
          <cell r="E199" t="str">
            <v>$</v>
          </cell>
          <cell r="H199">
            <v>0.02</v>
          </cell>
          <cell r="I199">
            <v>0.02</v>
          </cell>
          <cell r="J199">
            <v>0.02</v>
          </cell>
          <cell r="K199">
            <v>0.02</v>
          </cell>
          <cell r="L199">
            <v>0.02</v>
          </cell>
          <cell r="M199">
            <v>0.02</v>
          </cell>
          <cell r="N199">
            <v>0.02</v>
          </cell>
        </row>
        <row r="200">
          <cell r="A200" t="str">
            <v>ICMF_SL</v>
          </cell>
          <cell r="B200" t="str">
            <v>ICM Rate Rider  (2014) - in effect until the effective date of the next cost of service rates</v>
          </cell>
          <cell r="C200" t="str">
            <v>Rate Rider</v>
          </cell>
          <cell r="E200" t="str">
            <v>$</v>
          </cell>
          <cell r="H200">
            <v>0</v>
          </cell>
          <cell r="I200">
            <v>0</v>
          </cell>
          <cell r="J200">
            <v>0.01</v>
          </cell>
          <cell r="K200">
            <v>0.01</v>
          </cell>
          <cell r="L200">
            <v>0.01</v>
          </cell>
          <cell r="M200">
            <v>0.01</v>
          </cell>
          <cell r="N200">
            <v>0</v>
          </cell>
        </row>
        <row r="201">
          <cell r="A201" t="str">
            <v>SGD_SL</v>
          </cell>
          <cell r="B201" t="str">
            <v xml:space="preserve">Smart Grid Funding Adder(2014) </v>
          </cell>
          <cell r="C201" t="str">
            <v>Rate Rider</v>
          </cell>
          <cell r="E201" t="str">
            <v>$</v>
          </cell>
          <cell r="H201">
            <v>0</v>
          </cell>
          <cell r="I201">
            <v>0</v>
          </cell>
          <cell r="J201">
            <v>0.02</v>
          </cell>
          <cell r="K201">
            <v>0.02</v>
          </cell>
          <cell r="L201">
            <v>0</v>
          </cell>
          <cell r="M201">
            <v>0</v>
          </cell>
        </row>
        <row r="202">
          <cell r="A202" t="str">
            <v>Var_SL</v>
          </cell>
          <cell r="B202" t="str">
            <v>Distribution Volumetric Rate</v>
          </cell>
          <cell r="C202" t="str">
            <v>Rate</v>
          </cell>
          <cell r="E202" t="str">
            <v>$/kW</v>
          </cell>
          <cell r="F202">
            <v>4.8616000000000001</v>
          </cell>
          <cell r="G202">
            <v>11.296099999999999</v>
          </cell>
          <cell r="H202">
            <v>6.4785000000000004</v>
          </cell>
          <cell r="I202">
            <v>6.4785000000000004</v>
          </cell>
          <cell r="J202">
            <v>6.5692000000000004</v>
          </cell>
          <cell r="K202">
            <v>6.5692000000000004</v>
          </cell>
          <cell r="L202">
            <v>6.6546000000000003</v>
          </cell>
          <cell r="M202">
            <v>6.6546000000000003</v>
          </cell>
          <cell r="N202">
            <v>6.34</v>
          </cell>
          <cell r="O202">
            <v>6.4316000000000004</v>
          </cell>
          <cell r="P202">
            <v>6.2099000000000002</v>
          </cell>
          <cell r="Q202">
            <v>6.5189000000000004</v>
          </cell>
          <cell r="R202">
            <v>6.6505999999999998</v>
          </cell>
        </row>
        <row r="203">
          <cell r="A203" t="str">
            <v>LV_SL</v>
          </cell>
          <cell r="B203" t="str">
            <v>Low Voltage Service Rate</v>
          </cell>
          <cell r="C203" t="str">
            <v>Rate</v>
          </cell>
          <cell r="E203" t="str">
            <v>$/kW</v>
          </cell>
          <cell r="F203">
            <v>3.6700000000000003E-2</v>
          </cell>
          <cell r="G203">
            <v>0.2301</v>
          </cell>
          <cell r="H203">
            <v>9.1700000000000004E-2</v>
          </cell>
          <cell r="I203">
            <v>9.1700000000000004E-2</v>
          </cell>
          <cell r="J203">
            <v>9.1700000000000004E-2</v>
          </cell>
          <cell r="K203">
            <v>9.1700000000000004E-2</v>
          </cell>
          <cell r="L203">
            <v>9.1700000000000004E-2</v>
          </cell>
          <cell r="M203">
            <v>9.1700000000000004E-2</v>
          </cell>
          <cell r="N203">
            <v>9.1700000000000004E-2</v>
          </cell>
          <cell r="O203">
            <v>0.1288</v>
          </cell>
          <cell r="P203">
            <v>0.1288</v>
          </cell>
          <cell r="Q203">
            <v>0.12889999999999999</v>
          </cell>
          <cell r="R203">
            <v>0.1288</v>
          </cell>
        </row>
        <row r="204">
          <cell r="A204" t="str">
            <v>RAL13_SL</v>
          </cell>
          <cell r="B204" t="str">
            <v xml:space="preserve">Disposition of Deferral/Variance Accounts (2013) </v>
          </cell>
          <cell r="C204" t="str">
            <v>Rate Rider</v>
          </cell>
          <cell r="E204" t="str">
            <v>$/kW</v>
          </cell>
          <cell r="H204">
            <v>-0.67120000000000002</v>
          </cell>
          <cell r="I204">
            <v>-0.47460000000000002</v>
          </cell>
          <cell r="J204">
            <v>-0.67120000000000002</v>
          </cell>
          <cell r="K204">
            <v>-0.47460000000000002</v>
          </cell>
          <cell r="L204">
            <v>0</v>
          </cell>
          <cell r="M204">
            <v>0</v>
          </cell>
        </row>
        <row r="205">
          <cell r="A205" t="str">
            <v>GA13_SL</v>
          </cell>
          <cell r="B205" t="str">
            <v xml:space="preserve">Disposition of Global Adjustment Sub-Account (2013) </v>
          </cell>
          <cell r="C205" t="str">
            <v>Rate Rider</v>
          </cell>
          <cell r="D205" t="str">
            <v>non_RPP</v>
          </cell>
          <cell r="E205" t="str">
            <v>$/kWh</v>
          </cell>
          <cell r="H205">
            <v>1.8E-3</v>
          </cell>
          <cell r="I205">
            <v>3.0999999999999999E-3</v>
          </cell>
          <cell r="J205">
            <v>1.8E-3</v>
          </cell>
          <cell r="K205">
            <v>3.0999999999999999E-3</v>
          </cell>
          <cell r="L205">
            <v>0</v>
          </cell>
          <cell r="M205">
            <v>0</v>
          </cell>
        </row>
        <row r="206">
          <cell r="A206" t="str">
            <v>RAL14_SL</v>
          </cell>
          <cell r="B206" t="str">
            <v xml:space="preserve">Disposition of Deferral/Variance Account (2014) </v>
          </cell>
          <cell r="C206" t="str">
            <v>Rate Rider</v>
          </cell>
          <cell r="E206" t="str">
            <v>$/kW</v>
          </cell>
          <cell r="G206">
            <v>-0.1545</v>
          </cell>
          <cell r="H206">
            <v>0</v>
          </cell>
          <cell r="I206">
            <v>0</v>
          </cell>
          <cell r="J206">
            <v>-0.20019999999999999</v>
          </cell>
          <cell r="K206">
            <v>-0.20019999999999999</v>
          </cell>
          <cell r="L206">
            <v>-0.20019999999999999</v>
          </cell>
          <cell r="M206">
            <v>-0.20019999999999999</v>
          </cell>
        </row>
        <row r="207">
          <cell r="A207" t="str">
            <v>GA14_SL</v>
          </cell>
          <cell r="B207" t="str">
            <v xml:space="preserve">Disposition of Global Adjustment Sub-Account (2014) </v>
          </cell>
          <cell r="C207" t="str">
            <v>Rate Rider</v>
          </cell>
          <cell r="D207" t="str">
            <v>non_RPP</v>
          </cell>
          <cell r="E207" t="str">
            <v>$/kW</v>
          </cell>
          <cell r="H207">
            <v>0</v>
          </cell>
          <cell r="I207">
            <v>0</v>
          </cell>
          <cell r="J207">
            <v>-6.5299999999999997E-2</v>
          </cell>
          <cell r="K207">
            <v>-6.5299999999999997E-2</v>
          </cell>
          <cell r="L207">
            <v>-6.5299999999999997E-2</v>
          </cell>
          <cell r="M207">
            <v>-6.5299999999999997E-2</v>
          </cell>
        </row>
        <row r="208">
          <cell r="A208" t="str">
            <v>ICMV_SL</v>
          </cell>
          <cell r="B208" t="str">
            <v>ICM Rate Rider  (2014) - in effect until the effective date of the next cost of service rates</v>
          </cell>
          <cell r="C208" t="str">
            <v>Rate Rider</v>
          </cell>
          <cell r="E208" t="str">
            <v>$/kW</v>
          </cell>
          <cell r="H208">
            <v>0</v>
          </cell>
          <cell r="I208">
            <v>0</v>
          </cell>
          <cell r="J208">
            <v>3.4500000000000003E-2</v>
          </cell>
          <cell r="K208">
            <v>3.4500000000000003E-2</v>
          </cell>
          <cell r="L208">
            <v>3.4500000000000003E-2</v>
          </cell>
          <cell r="M208">
            <v>3.4500000000000003E-2</v>
          </cell>
          <cell r="N208">
            <v>0</v>
          </cell>
        </row>
        <row r="209">
          <cell r="A209" t="str">
            <v>TAXC_SL</v>
          </cell>
          <cell r="B209" t="str">
            <v>Tax Change</v>
          </cell>
          <cell r="C209" t="str">
            <v>Rate Rider</v>
          </cell>
          <cell r="E209" t="str">
            <v>$/kW</v>
          </cell>
          <cell r="F209">
            <v>-0.12759999999999999</v>
          </cell>
          <cell r="G209">
            <v>-0.47799999999999998</v>
          </cell>
        </row>
        <row r="210">
          <cell r="A210" t="str">
            <v>RAL16_SL</v>
          </cell>
          <cell r="B210" t="str">
            <v xml:space="preserve">Disposition of Deferral/Variance Accounts (2016) </v>
          </cell>
          <cell r="C210" t="str">
            <v>Rate Rider</v>
          </cell>
          <cell r="E210" t="str">
            <v>$/kW</v>
          </cell>
          <cell r="N210">
            <v>0.8931</v>
          </cell>
          <cell r="O210">
            <v>0</v>
          </cell>
          <cell r="P210">
            <v>0</v>
          </cell>
        </row>
        <row r="211">
          <cell r="A211" t="str">
            <v>RALP16_SL</v>
          </cell>
          <cell r="B211" t="str">
            <v xml:space="preserve">Disposition of Deferral/Variance Accounts - Power (2016) </v>
          </cell>
          <cell r="C211" t="str">
            <v>Rate Rider</v>
          </cell>
          <cell r="E211" t="str">
            <v>$/kW</v>
          </cell>
          <cell r="N211">
            <v>-0.93540000000000001</v>
          </cell>
          <cell r="O211">
            <v>0</v>
          </cell>
          <cell r="P211">
            <v>0</v>
          </cell>
        </row>
        <row r="212">
          <cell r="A212" t="str">
            <v>GA16_SL</v>
          </cell>
          <cell r="B212" t="str">
            <v xml:space="preserve">Disposition of Deferral/Variance Accounts - Power - Global Adjustment (2016) </v>
          </cell>
          <cell r="C212" t="str">
            <v>Rate Rider</v>
          </cell>
          <cell r="D212" t="str">
            <v>non_RPP</v>
          </cell>
          <cell r="E212" t="str">
            <v>$/kW</v>
          </cell>
          <cell r="N212">
            <v>3.2993000000000001</v>
          </cell>
          <cell r="O212">
            <v>0</v>
          </cell>
          <cell r="P212">
            <v>0</v>
          </cell>
        </row>
        <row r="213">
          <cell r="A213" t="str">
            <v>2RAL16_SL</v>
          </cell>
          <cell r="B213" t="str">
            <v xml:space="preserve">Disposition of Deferral/Variance Accounts - Group 2 Accounts (2016) </v>
          </cell>
          <cell r="C213" t="str">
            <v>Rate Rider</v>
          </cell>
          <cell r="E213" t="str">
            <v>$/kW</v>
          </cell>
          <cell r="N213">
            <v>0.48630000000000001</v>
          </cell>
          <cell r="O213">
            <v>0</v>
          </cell>
          <cell r="P213">
            <v>0</v>
          </cell>
        </row>
        <row r="214">
          <cell r="A214" t="str">
            <v>LRVA16_SL</v>
          </cell>
          <cell r="B214" t="str">
            <v>Lost Revenue Adjustment Mechanism Variance Account (LRAMVA) (2016)</v>
          </cell>
          <cell r="C214" t="str">
            <v>Rate Rider</v>
          </cell>
          <cell r="E214" t="str">
            <v>$/kW</v>
          </cell>
          <cell r="N214">
            <v>-0.58209999999999995</v>
          </cell>
          <cell r="O214">
            <v>0</v>
          </cell>
          <cell r="P214">
            <v>0</v>
          </cell>
        </row>
        <row r="215">
          <cell r="A215" t="str">
            <v>PPE16_SL</v>
          </cell>
          <cell r="B215" t="str">
            <v>Account 1575 (2016)</v>
          </cell>
          <cell r="C215" t="str">
            <v>Rate Rider</v>
          </cell>
          <cell r="E215" t="str">
            <v>$/kW</v>
          </cell>
          <cell r="N215">
            <v>-0.42199999999999999</v>
          </cell>
          <cell r="O215">
            <v>0</v>
          </cell>
          <cell r="P215">
            <v>0</v>
          </cell>
        </row>
        <row r="216">
          <cell r="A216" t="str">
            <v>FRV_SL</v>
          </cell>
          <cell r="B216" t="str">
            <v>Foregone Revenue/Var</v>
          </cell>
          <cell r="C216" t="str">
            <v>Rate Rider</v>
          </cell>
          <cell r="E216" t="str">
            <v>$/kW</v>
          </cell>
          <cell r="N216">
            <v>-0.79300000000000004</v>
          </cell>
          <cell r="O216">
            <v>0</v>
          </cell>
          <cell r="P216">
            <v>0</v>
          </cell>
        </row>
        <row r="217">
          <cell r="A217" t="str">
            <v>SG16_SL</v>
          </cell>
          <cell r="B217" t="str">
            <v>Smart Grid True-up (2016)</v>
          </cell>
          <cell r="C217" t="str">
            <v>Rate Rider</v>
          </cell>
          <cell r="E217" t="str">
            <v>$</v>
          </cell>
          <cell r="N217">
            <v>-0.01</v>
          </cell>
          <cell r="O217">
            <v>0</v>
          </cell>
          <cell r="P217">
            <v>0</v>
          </cell>
        </row>
        <row r="220">
          <cell r="A220" t="str">
            <v>TN_SL</v>
          </cell>
          <cell r="B220" t="str">
            <v>Retail Transmission Rate - Network Service Rate</v>
          </cell>
          <cell r="C220" t="str">
            <v>Rate</v>
          </cell>
          <cell r="E220" t="str">
            <v>$/kW</v>
          </cell>
          <cell r="F220">
            <v>2.0173999999999999</v>
          </cell>
          <cell r="G220">
            <v>1.9589000000000001</v>
          </cell>
          <cell r="H220">
            <v>2.0649999999999999</v>
          </cell>
          <cell r="I220">
            <v>2.0649999999999999</v>
          </cell>
          <cell r="J220">
            <v>2.1442000000000001</v>
          </cell>
          <cell r="K220">
            <v>2.1442000000000001</v>
          </cell>
          <cell r="L220">
            <v>2.2202999999999999</v>
          </cell>
          <cell r="M220">
            <v>2.2202999999999999</v>
          </cell>
          <cell r="N220">
            <v>2.2202999999999999</v>
          </cell>
          <cell r="O220">
            <v>2.9430999999999998</v>
          </cell>
          <cell r="P220">
            <v>3.1322999999999999</v>
          </cell>
          <cell r="Q220">
            <v>3.1753</v>
          </cell>
          <cell r="R220">
            <v>3.2378999999999998</v>
          </cell>
        </row>
        <row r="221">
          <cell r="A221" t="str">
            <v>TC_SL</v>
          </cell>
          <cell r="B221" t="str">
            <v>Retail Transmission Rate - Line and Transformation Connection Service Rate</v>
          </cell>
          <cell r="C221" t="str">
            <v>Rate</v>
          </cell>
          <cell r="E221" t="str">
            <v>$/kW</v>
          </cell>
          <cell r="F221">
            <v>0.75839999999999996</v>
          </cell>
          <cell r="G221">
            <v>1.5002</v>
          </cell>
          <cell r="H221">
            <v>0.88360000000000005</v>
          </cell>
          <cell r="I221">
            <v>0.88360000000000005</v>
          </cell>
          <cell r="J221">
            <v>0.92700000000000005</v>
          </cell>
          <cell r="K221">
            <v>0.92700000000000005</v>
          </cell>
          <cell r="L221">
            <v>0.95030000000000003</v>
          </cell>
          <cell r="M221">
            <v>0.95030000000000003</v>
          </cell>
          <cell r="N221">
            <v>0.95030000000000003</v>
          </cell>
          <cell r="O221">
            <v>1.3520000000000001</v>
          </cell>
          <cell r="P221">
            <v>1.4435</v>
          </cell>
          <cell r="Q221">
            <v>1.4681</v>
          </cell>
          <cell r="R221">
            <v>1.502</v>
          </cell>
        </row>
        <row r="226">
          <cell r="A226" t="str">
            <v>LF</v>
          </cell>
          <cell r="B226" t="str">
            <v>Loss Factor</v>
          </cell>
          <cell r="E226" t="str">
            <v>LF</v>
          </cell>
          <cell r="F226">
            <v>1.0345</v>
          </cell>
          <cell r="G226">
            <v>1.0345</v>
          </cell>
          <cell r="H226">
            <v>1.0345</v>
          </cell>
          <cell r="I226">
            <v>1.0345</v>
          </cell>
          <cell r="J226">
            <v>1.0345</v>
          </cell>
          <cell r="K226">
            <v>1.0345</v>
          </cell>
          <cell r="L226">
            <v>1.0345</v>
          </cell>
          <cell r="M226">
            <v>1.0345</v>
          </cell>
          <cell r="N226">
            <v>1.0345</v>
          </cell>
          <cell r="O226">
            <v>1.0368999999999999</v>
          </cell>
          <cell r="P226">
            <v>1.0368999999999999</v>
          </cell>
          <cell r="Q226">
            <v>1.0368999999999999</v>
          </cell>
          <cell r="R226">
            <v>1.0368999999999999</v>
          </cell>
        </row>
        <row r="227">
          <cell r="A227" t="str">
            <v>LF_LU</v>
          </cell>
          <cell r="B227" t="str">
            <v>Loss Factor - Large User</v>
          </cell>
          <cell r="E227" t="str">
            <v>LF LU</v>
          </cell>
          <cell r="F227">
            <v>1.0145</v>
          </cell>
          <cell r="G227">
            <v>1.0145</v>
          </cell>
          <cell r="H227">
            <v>1.0145</v>
          </cell>
          <cell r="I227">
            <v>1.0145</v>
          </cell>
          <cell r="J227">
            <v>1.0145</v>
          </cell>
          <cell r="K227">
            <v>1.0145</v>
          </cell>
          <cell r="L227">
            <v>1.0145</v>
          </cell>
          <cell r="M227">
            <v>1.0145</v>
          </cell>
          <cell r="N227">
            <v>1.0145</v>
          </cell>
          <cell r="O227">
            <v>1.0145</v>
          </cell>
          <cell r="P227">
            <v>1.0145</v>
          </cell>
          <cell r="Q227">
            <v>1.0145</v>
          </cell>
          <cell r="R227">
            <v>1.0145</v>
          </cell>
        </row>
        <row r="233">
          <cell r="B233" t="str">
            <v>COMMODITY RATES</v>
          </cell>
        </row>
        <row r="234">
          <cell r="E234" t="str">
            <v>May 1st, 2011</v>
          </cell>
          <cell r="G234" t="str">
            <v>May 1st, 2012</v>
          </cell>
          <cell r="I234" t="str">
            <v>May 1st, 2013</v>
          </cell>
          <cell r="K234" t="str">
            <v>May 1st, 2014</v>
          </cell>
          <cell r="M234" t="str">
            <v>May 1st, 2015</v>
          </cell>
          <cell r="N234" t="str">
            <v>May 1st, 2016</v>
          </cell>
          <cell r="O234" t="str">
            <v>May 1st, 2017</v>
          </cell>
          <cell r="P234" t="str">
            <v>May 1st, 2018</v>
          </cell>
          <cell r="Q234" t="str">
            <v>May 1st, 2019</v>
          </cell>
          <cell r="R234" t="str">
            <v>May 1st, 2020</v>
          </cell>
        </row>
        <row r="235">
          <cell r="B235" t="str">
            <v xml:space="preserve">AVG RPP </v>
          </cell>
          <cell r="D235" t="str">
            <v>$/kWh</v>
          </cell>
          <cell r="E235">
            <v>7.2980000000000003E-2</v>
          </cell>
          <cell r="G235">
            <v>8.0689999999999998E-2</v>
          </cell>
          <cell r="I235">
            <v>8.3949999999999997E-2</v>
          </cell>
        </row>
        <row r="236">
          <cell r="B236" t="str">
            <v>AVG non-RPP</v>
          </cell>
          <cell r="D236" t="str">
            <v>$/kWh</v>
          </cell>
          <cell r="E236">
            <v>7.3226479796471122E-2</v>
          </cell>
          <cell r="G236">
            <v>7.1774486439540652E-2</v>
          </cell>
          <cell r="I236">
            <v>8.6725100453403953E-2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 xml:space="preserve"> Tier 1</v>
          </cell>
          <cell r="D237" t="str">
            <v>$/kWh</v>
          </cell>
          <cell r="E237">
            <v>6.8000000000000005E-2</v>
          </cell>
          <cell r="G237">
            <v>7.4999999999999997E-2</v>
          </cell>
          <cell r="I237">
            <v>7.8E-2</v>
          </cell>
        </row>
        <row r="238">
          <cell r="B238" t="str">
            <v xml:space="preserve"> Tier 2</v>
          </cell>
          <cell r="D238" t="str">
            <v>$/kWh</v>
          </cell>
          <cell r="E238">
            <v>7.9000000000000001E-2</v>
          </cell>
          <cell r="G238">
            <v>8.7999999999999995E-2</v>
          </cell>
          <cell r="I238">
            <v>9.0999999999999998E-2</v>
          </cell>
        </row>
        <row r="239">
          <cell r="B239" t="str">
            <v>ON-peak</v>
          </cell>
          <cell r="D239" t="str">
            <v>$/kWh</v>
          </cell>
          <cell r="E239">
            <v>0.107</v>
          </cell>
          <cell r="G239">
            <v>0.11700000000000001</v>
          </cell>
          <cell r="I239">
            <v>0.124</v>
          </cell>
        </row>
        <row r="240">
          <cell r="B240" t="str">
            <v>MID-Peak</v>
          </cell>
          <cell r="D240" t="str">
            <v>$/kWh</v>
          </cell>
          <cell r="E240">
            <v>8.8999999999999996E-2</v>
          </cell>
          <cell r="G240">
            <v>0.1</v>
          </cell>
          <cell r="I240">
            <v>0.104</v>
          </cell>
        </row>
        <row r="241">
          <cell r="B241" t="str">
            <v>OFF-Peak</v>
          </cell>
          <cell r="D241" t="str">
            <v>$/kWh</v>
          </cell>
          <cell r="E241">
            <v>5.8999999999999997E-2</v>
          </cell>
          <cell r="G241">
            <v>6.5000000000000002E-2</v>
          </cell>
          <cell r="I241">
            <v>6.7000000000000004E-2</v>
          </cell>
        </row>
        <row r="242">
          <cell r="B242" t="str">
            <v>Non- RPP</v>
          </cell>
          <cell r="D242" t="str">
            <v>$/kWh</v>
          </cell>
          <cell r="E242">
            <v>3.285188125385443E-2</v>
          </cell>
          <cell r="G242">
            <v>2.4133571105072429E-2</v>
          </cell>
          <cell r="I242">
            <v>2.3226123188405789E-2</v>
          </cell>
        </row>
        <row r="243">
          <cell r="B243" t="str">
            <v>Global Adjustment</v>
          </cell>
          <cell r="D243" t="str">
            <v>$/kWh</v>
          </cell>
          <cell r="E243">
            <v>4.0374598542616692E-2</v>
          </cell>
          <cell r="G243">
            <v>4.7640915334468216E-2</v>
          </cell>
          <cell r="I243">
            <v>6.349897726499816E-2</v>
          </cell>
        </row>
        <row r="244">
          <cell r="E244" t="str">
            <v>Nov 1st, 2011</v>
          </cell>
          <cell r="G244" t="str">
            <v>Nov 1st, 2012</v>
          </cell>
          <cell r="I244" t="str">
            <v>Nov 1st, 2013</v>
          </cell>
          <cell r="K244" t="str">
            <v>Nov 1st, 2014</v>
          </cell>
          <cell r="M244" t="str">
            <v>Nov 1st, 2015</v>
          </cell>
          <cell r="N244" t="str">
            <v>Nov 1st, 2016</v>
          </cell>
          <cell r="O244" t="str">
            <v>Nov 1st, 2017</v>
          </cell>
          <cell r="P244" t="str">
            <v>Nov 1st, 2018</v>
          </cell>
          <cell r="Q244" t="str">
            <v>Nov 1st, 2019</v>
          </cell>
          <cell r="R244" t="str">
            <v>Nov 1st, 2020</v>
          </cell>
        </row>
        <row r="245">
          <cell r="B245" t="str">
            <v xml:space="preserve">AVG RPP </v>
          </cell>
          <cell r="D245" t="str">
            <v>$/kWh</v>
          </cell>
          <cell r="E245">
            <v>7.5649999999999995E-2</v>
          </cell>
          <cell r="G245">
            <v>7.9320000000000002E-2</v>
          </cell>
          <cell r="I245">
            <v>8.8999999999999996E-2</v>
          </cell>
        </row>
        <row r="246">
          <cell r="B246" t="str">
            <v>AVG non-RPP</v>
          </cell>
          <cell r="D246" t="str">
            <v>$/kWh</v>
          </cell>
          <cell r="E246">
            <v>7.3782733705817824E-2</v>
          </cell>
          <cell r="G246">
            <v>7.7224489290347018E-2</v>
          </cell>
          <cell r="I246">
            <v>8.7095356520461381E-2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 xml:space="preserve"> Tier 1</v>
          </cell>
          <cell r="D247" t="str">
            <v>$/kWh</v>
          </cell>
          <cell r="E247">
            <v>7.0999999999999994E-2</v>
          </cell>
          <cell r="G247">
            <v>7.3999999999999996E-2</v>
          </cell>
          <cell r="I247">
            <v>8.3000000000000004E-2</v>
          </cell>
        </row>
        <row r="248">
          <cell r="B248" t="str">
            <v xml:space="preserve"> Tier 2</v>
          </cell>
          <cell r="D248" t="str">
            <v>$/kWh</v>
          </cell>
          <cell r="E248">
            <v>8.3000000000000004E-2</v>
          </cell>
          <cell r="G248">
            <v>8.6999999999999994E-2</v>
          </cell>
          <cell r="I248">
            <v>9.7000000000000003E-2</v>
          </cell>
        </row>
        <row r="249">
          <cell r="B249" t="str">
            <v>ON-peak</v>
          </cell>
          <cell r="D249" t="str">
            <v>$/kWh</v>
          </cell>
          <cell r="E249">
            <v>0.108</v>
          </cell>
          <cell r="G249">
            <v>0.11799999999999999</v>
          </cell>
          <cell r="I249">
            <v>0.129</v>
          </cell>
        </row>
        <row r="250">
          <cell r="B250" t="str">
            <v>MID-Peak</v>
          </cell>
          <cell r="D250" t="str">
            <v>$/kWh</v>
          </cell>
          <cell r="E250">
            <v>9.1999999999999998E-2</v>
          </cell>
          <cell r="G250">
            <v>9.9000000000000005E-2</v>
          </cell>
          <cell r="I250">
            <v>0.109</v>
          </cell>
        </row>
        <row r="251">
          <cell r="B251" t="str">
            <v>OFF-Peak</v>
          </cell>
          <cell r="D251" t="str">
            <v>$/kWh</v>
          </cell>
          <cell r="E251">
            <v>6.2E-2</v>
          </cell>
          <cell r="G251">
            <v>6.3E-2</v>
          </cell>
          <cell r="I251">
            <v>7.1999999999999995E-2</v>
          </cell>
        </row>
        <row r="252">
          <cell r="B252" t="str">
            <v>Non- RPP</v>
          </cell>
          <cell r="D252" t="str">
            <v>$/kWh</v>
          </cell>
          <cell r="E252">
            <v>2.2656296908937151E-2</v>
          </cell>
          <cell r="G252">
            <v>2.7076109289617487E-2</v>
          </cell>
          <cell r="I252">
            <v>2.243511160714284E-2</v>
          </cell>
        </row>
        <row r="253">
          <cell r="B253" t="str">
            <v>Global Adjustment</v>
          </cell>
          <cell r="D253" t="str">
            <v>$/kWh</v>
          </cell>
          <cell r="E253">
            <v>5.1126436796880677E-2</v>
          </cell>
          <cell r="G253">
            <v>5.0148380000729527E-2</v>
          </cell>
          <cell r="I253">
            <v>6.4660244913318538E-2</v>
          </cell>
        </row>
        <row r="257">
          <cell r="B257" t="str">
            <v>MONTHLY RATES &amp; CHARGES - REGULATORY COMPONENT</v>
          </cell>
          <cell r="E257" t="str">
            <v>PS South</v>
          </cell>
          <cell r="G257" t="str">
            <v>PS South</v>
          </cell>
          <cell r="I257" t="str">
            <v>PS South</v>
          </cell>
          <cell r="K257" t="str">
            <v>PS South</v>
          </cell>
          <cell r="M257" t="str">
            <v>PS South</v>
          </cell>
          <cell r="N257" t="str">
            <v>PS</v>
          </cell>
          <cell r="O257" t="str">
            <v>PS</v>
          </cell>
          <cell r="P257" t="str">
            <v>PS</v>
          </cell>
          <cell r="Q257" t="str">
            <v>PS</v>
          </cell>
          <cell r="R257" t="str">
            <v>PS</v>
          </cell>
        </row>
        <row r="258">
          <cell r="B258" t="str">
            <v xml:space="preserve">Wholesale Market Service Rate </v>
          </cell>
          <cell r="C258" t="str">
            <v>Rate</v>
          </cell>
          <cell r="D258" t="str">
            <v>$/kWh</v>
          </cell>
          <cell r="E258">
            <v>5.1999999999999998E-3</v>
          </cell>
          <cell r="G258">
            <v>5.1999999999999998E-3</v>
          </cell>
          <cell r="I258">
            <v>4.4000000000000003E-3</v>
          </cell>
          <cell r="K258">
            <v>4.4000000000000003E-3</v>
          </cell>
          <cell r="M258">
            <v>4.4000000000000003E-3</v>
          </cell>
          <cell r="N258">
            <v>4.4000000000000003E-3</v>
          </cell>
          <cell r="O258">
            <v>4.4000000000000003E-3</v>
          </cell>
          <cell r="P258">
            <v>4.4000000000000003E-3</v>
          </cell>
          <cell r="Q258">
            <v>4.4000000000000003E-3</v>
          </cell>
          <cell r="R258">
            <v>4.4000000000000003E-3</v>
          </cell>
        </row>
        <row r="259">
          <cell r="B259" t="str">
            <v>Rural Rate Protection Charge</v>
          </cell>
          <cell r="C259" t="str">
            <v>Rate</v>
          </cell>
          <cell r="D259" t="str">
            <v>$/kWh</v>
          </cell>
          <cell r="E259">
            <v>1.2999999999999999E-3</v>
          </cell>
          <cell r="G259">
            <v>1.1000000000000001E-3</v>
          </cell>
          <cell r="I259">
            <v>1.1999999999999999E-3</v>
          </cell>
          <cell r="K259">
            <v>1.2999999999999999E-3</v>
          </cell>
          <cell r="M259">
            <v>1.2999999999999999E-3</v>
          </cell>
          <cell r="N259">
            <v>1.2999999999999999E-3</v>
          </cell>
          <cell r="O259">
            <v>1.2999999999999999E-3</v>
          </cell>
          <cell r="P259">
            <v>1.2999999999999999E-3</v>
          </cell>
          <cell r="Q259">
            <v>1.2999999999999999E-3</v>
          </cell>
          <cell r="R259">
            <v>1.2999999999999999E-3</v>
          </cell>
        </row>
        <row r="260">
          <cell r="B260" t="str">
            <v>Debt Retirement Charge</v>
          </cell>
          <cell r="C260" t="str">
            <v>Rate</v>
          </cell>
          <cell r="D260" t="str">
            <v>$/kWh</v>
          </cell>
          <cell r="E260">
            <v>7.0000000000000001E-3</v>
          </cell>
          <cell r="G260">
            <v>7.0000000000000001E-3</v>
          </cell>
          <cell r="I260">
            <v>7.0000000000000001E-3</v>
          </cell>
          <cell r="K260">
            <v>7.0000000000000001E-3</v>
          </cell>
          <cell r="M260">
            <v>7.0000000000000001E-3</v>
          </cell>
          <cell r="N260">
            <v>7.0000000000000001E-3</v>
          </cell>
          <cell r="O260">
            <v>7.0000000000000001E-3</v>
          </cell>
          <cell r="P260">
            <v>7.0000000000000001E-3</v>
          </cell>
          <cell r="Q260">
            <v>7.0000000000000001E-3</v>
          </cell>
          <cell r="R260">
            <v>7.0000000000000001E-3</v>
          </cell>
        </row>
        <row r="261">
          <cell r="B261" t="str">
            <v>Sub-Total</v>
          </cell>
          <cell r="E261">
            <v>1.35E-2</v>
          </cell>
          <cell r="G261">
            <v>1.3299999999999999E-2</v>
          </cell>
          <cell r="I261">
            <v>1.26E-2</v>
          </cell>
          <cell r="K261">
            <v>1.2699999999999999E-2</v>
          </cell>
          <cell r="M261">
            <v>1.2699999999999999E-2</v>
          </cell>
          <cell r="N261">
            <v>1.2699999999999999E-2</v>
          </cell>
          <cell r="O261">
            <v>1.2699999999999999E-2</v>
          </cell>
          <cell r="P261">
            <v>1.2699999999999999E-2</v>
          </cell>
          <cell r="Q261">
            <v>1.2699999999999999E-2</v>
          </cell>
          <cell r="R261">
            <v>1.2699999999999999E-2</v>
          </cell>
        </row>
        <row r="263">
          <cell r="B263" t="str">
            <v>Admin charge</v>
          </cell>
          <cell r="D263" t="str">
            <v>$</v>
          </cell>
          <cell r="E263">
            <v>0.25</v>
          </cell>
          <cell r="G263">
            <v>0.25</v>
          </cell>
          <cell r="I263">
            <v>0.25</v>
          </cell>
          <cell r="K263">
            <v>0.25</v>
          </cell>
          <cell r="M263">
            <v>0.25</v>
          </cell>
          <cell r="N263">
            <v>0.25</v>
          </cell>
          <cell r="O263">
            <v>0.25</v>
          </cell>
          <cell r="P263">
            <v>0.25</v>
          </cell>
          <cell r="Q263">
            <v>0.25</v>
          </cell>
          <cell r="R263">
            <v>0.25</v>
          </cell>
        </row>
        <row r="264">
          <cell r="B264" t="str">
            <v>Smart Meter Entity Charge</v>
          </cell>
          <cell r="D264" t="str">
            <v>$</v>
          </cell>
          <cell r="E264">
            <v>0</v>
          </cell>
          <cell r="G264">
            <v>0.79</v>
          </cell>
          <cell r="I264">
            <v>0.79</v>
          </cell>
          <cell r="K264">
            <v>0.79</v>
          </cell>
          <cell r="M264">
            <v>0.79</v>
          </cell>
          <cell r="N264">
            <v>0.79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72">
          <cell r="A272">
            <v>2011</v>
          </cell>
        </row>
        <row r="273">
          <cell r="A273">
            <v>2012</v>
          </cell>
        </row>
        <row r="274">
          <cell r="A274">
            <v>2013</v>
          </cell>
        </row>
        <row r="275">
          <cell r="A275">
            <v>2014</v>
          </cell>
        </row>
        <row r="276">
          <cell r="A276">
            <v>2015</v>
          </cell>
        </row>
        <row r="277">
          <cell r="A277">
            <v>2016</v>
          </cell>
        </row>
        <row r="278">
          <cell r="A278">
            <v>2017</v>
          </cell>
        </row>
        <row r="279">
          <cell r="A279">
            <v>2018</v>
          </cell>
        </row>
        <row r="280">
          <cell r="A280">
            <v>2019</v>
          </cell>
        </row>
        <row r="281">
          <cell r="A281">
            <v>2020</v>
          </cell>
        </row>
      </sheetData>
      <sheetData sheetId="3"/>
      <sheetData sheetId="4">
        <row r="29">
          <cell r="P29">
            <v>1.1999999999999999E-3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63"/>
  <sheetViews>
    <sheetView view="pageBreakPreview" zoomScale="85" zoomScaleNormal="85" zoomScaleSheetLayoutView="85" workbookViewId="0">
      <selection activeCell="I67" sqref="I67"/>
    </sheetView>
  </sheetViews>
  <sheetFormatPr defaultRowHeight="16.5" outlineLevelRow="1" outlineLevelCol="1" x14ac:dyDescent="0.3"/>
  <cols>
    <col min="1" max="1" width="11.28515625" style="222" customWidth="1"/>
    <col min="2" max="2" width="23.28515625" style="202" customWidth="1"/>
    <col min="3" max="3" width="14.140625" style="202" customWidth="1"/>
    <col min="4" max="4" width="14.28515625" style="202" customWidth="1"/>
    <col min="5" max="5" width="12.5703125" style="202" customWidth="1"/>
    <col min="6" max="6" width="18.42578125" style="202" hidden="1" customWidth="1" outlineLevel="1"/>
    <col min="7" max="7" width="18.42578125" style="202" customWidth="1" collapsed="1"/>
    <col min="8" max="8" width="18.42578125" style="202" hidden="1" customWidth="1" outlineLevel="1"/>
    <col min="9" max="9" width="18.42578125" style="202" customWidth="1" collapsed="1"/>
    <col min="10" max="10" width="4.5703125" style="202" customWidth="1"/>
    <col min="11" max="11" width="13.42578125" style="349" customWidth="1"/>
    <col min="12" max="12" width="16.140625" style="202" customWidth="1"/>
    <col min="13" max="13" width="3.140625" style="202" customWidth="1"/>
    <col min="14" max="190" width="9.140625" style="202"/>
    <col min="191" max="191" width="11.28515625" style="202" customWidth="1"/>
    <col min="192" max="192" width="27.140625" style="202" customWidth="1"/>
    <col min="193" max="193" width="13.7109375" style="202" customWidth="1"/>
    <col min="194" max="194" width="14.140625" style="202" customWidth="1"/>
    <col min="195" max="199" width="13.42578125" style="202" customWidth="1"/>
    <col min="200" max="200" width="9.140625" style="202"/>
    <col min="201" max="204" width="13.42578125" style="202" customWidth="1"/>
    <col min="205" max="205" width="9.140625" style="202"/>
    <col min="206" max="209" width="13.42578125" style="202" customWidth="1"/>
    <col min="210" max="210" width="9.140625" style="202"/>
    <col min="211" max="214" width="13.42578125" style="202" customWidth="1"/>
    <col min="215" max="215" width="9.140625" style="202"/>
    <col min="216" max="219" width="13.42578125" style="202" customWidth="1"/>
    <col min="220" max="446" width="9.140625" style="202"/>
    <col min="447" max="447" width="11.28515625" style="202" customWidth="1"/>
    <col min="448" max="448" width="27.140625" style="202" customWidth="1"/>
    <col min="449" max="449" width="13.7109375" style="202" customWidth="1"/>
    <col min="450" max="450" width="14.140625" style="202" customWidth="1"/>
    <col min="451" max="455" width="13.42578125" style="202" customWidth="1"/>
    <col min="456" max="456" width="9.140625" style="202"/>
    <col min="457" max="460" width="13.42578125" style="202" customWidth="1"/>
    <col min="461" max="461" width="9.140625" style="202"/>
    <col min="462" max="465" width="13.42578125" style="202" customWidth="1"/>
    <col min="466" max="466" width="9.140625" style="202"/>
    <col min="467" max="470" width="13.42578125" style="202" customWidth="1"/>
    <col min="471" max="471" width="9.140625" style="202"/>
    <col min="472" max="475" width="13.42578125" style="202" customWidth="1"/>
    <col min="476" max="702" width="9.140625" style="202"/>
    <col min="703" max="703" width="11.28515625" style="202" customWidth="1"/>
    <col min="704" max="704" width="27.140625" style="202" customWidth="1"/>
    <col min="705" max="705" width="13.7109375" style="202" customWidth="1"/>
    <col min="706" max="706" width="14.140625" style="202" customWidth="1"/>
    <col min="707" max="711" width="13.42578125" style="202" customWidth="1"/>
    <col min="712" max="712" width="9.140625" style="202"/>
    <col min="713" max="716" width="13.42578125" style="202" customWidth="1"/>
    <col min="717" max="717" width="9.140625" style="202"/>
    <col min="718" max="721" width="13.42578125" style="202" customWidth="1"/>
    <col min="722" max="722" width="9.140625" style="202"/>
    <col min="723" max="726" width="13.42578125" style="202" customWidth="1"/>
    <col min="727" max="727" width="9.140625" style="202"/>
    <col min="728" max="731" width="13.42578125" style="202" customWidth="1"/>
    <col min="732" max="958" width="9.140625" style="202"/>
    <col min="959" max="959" width="11.28515625" style="202" customWidth="1"/>
    <col min="960" max="960" width="27.140625" style="202" customWidth="1"/>
    <col min="961" max="961" width="13.7109375" style="202" customWidth="1"/>
    <col min="962" max="962" width="14.140625" style="202" customWidth="1"/>
    <col min="963" max="967" width="13.42578125" style="202" customWidth="1"/>
    <col min="968" max="968" width="9.140625" style="202"/>
    <col min="969" max="972" width="13.42578125" style="202" customWidth="1"/>
    <col min="973" max="973" width="9.140625" style="202"/>
    <col min="974" max="977" width="13.42578125" style="202" customWidth="1"/>
    <col min="978" max="978" width="9.140625" style="202"/>
    <col min="979" max="982" width="13.42578125" style="202" customWidth="1"/>
    <col min="983" max="983" width="9.140625" style="202"/>
    <col min="984" max="987" width="13.42578125" style="202" customWidth="1"/>
    <col min="988" max="1214" width="9.140625" style="202"/>
    <col min="1215" max="1215" width="11.28515625" style="202" customWidth="1"/>
    <col min="1216" max="1216" width="27.140625" style="202" customWidth="1"/>
    <col min="1217" max="1217" width="13.7109375" style="202" customWidth="1"/>
    <col min="1218" max="1218" width="14.140625" style="202" customWidth="1"/>
    <col min="1219" max="1223" width="13.42578125" style="202" customWidth="1"/>
    <col min="1224" max="1224" width="9.140625" style="202"/>
    <col min="1225" max="1228" width="13.42578125" style="202" customWidth="1"/>
    <col min="1229" max="1229" width="9.140625" style="202"/>
    <col min="1230" max="1233" width="13.42578125" style="202" customWidth="1"/>
    <col min="1234" max="1234" width="9.140625" style="202"/>
    <col min="1235" max="1238" width="13.42578125" style="202" customWidth="1"/>
    <col min="1239" max="1239" width="9.140625" style="202"/>
    <col min="1240" max="1243" width="13.42578125" style="202" customWidth="1"/>
    <col min="1244" max="1470" width="9.140625" style="202"/>
    <col min="1471" max="1471" width="11.28515625" style="202" customWidth="1"/>
    <col min="1472" max="1472" width="27.140625" style="202" customWidth="1"/>
    <col min="1473" max="1473" width="13.7109375" style="202" customWidth="1"/>
    <col min="1474" max="1474" width="14.140625" style="202" customWidth="1"/>
    <col min="1475" max="1479" width="13.42578125" style="202" customWidth="1"/>
    <col min="1480" max="1480" width="9.140625" style="202"/>
    <col min="1481" max="1484" width="13.42578125" style="202" customWidth="1"/>
    <col min="1485" max="1485" width="9.140625" style="202"/>
    <col min="1486" max="1489" width="13.42578125" style="202" customWidth="1"/>
    <col min="1490" max="1490" width="9.140625" style="202"/>
    <col min="1491" max="1494" width="13.42578125" style="202" customWidth="1"/>
    <col min="1495" max="1495" width="9.140625" style="202"/>
    <col min="1496" max="1499" width="13.42578125" style="202" customWidth="1"/>
    <col min="1500" max="1726" width="9.140625" style="202"/>
    <col min="1727" max="1727" width="11.28515625" style="202" customWidth="1"/>
    <col min="1728" max="1728" width="27.140625" style="202" customWidth="1"/>
    <col min="1729" max="1729" width="13.7109375" style="202" customWidth="1"/>
    <col min="1730" max="1730" width="14.140625" style="202" customWidth="1"/>
    <col min="1731" max="1735" width="13.42578125" style="202" customWidth="1"/>
    <col min="1736" max="1736" width="9.140625" style="202"/>
    <col min="1737" max="1740" width="13.42578125" style="202" customWidth="1"/>
    <col min="1741" max="1741" width="9.140625" style="202"/>
    <col min="1742" max="1745" width="13.42578125" style="202" customWidth="1"/>
    <col min="1746" max="1746" width="9.140625" style="202"/>
    <col min="1747" max="1750" width="13.42578125" style="202" customWidth="1"/>
    <col min="1751" max="1751" width="9.140625" style="202"/>
    <col min="1752" max="1755" width="13.42578125" style="202" customWidth="1"/>
    <col min="1756" max="1982" width="9.140625" style="202"/>
    <col min="1983" max="1983" width="11.28515625" style="202" customWidth="1"/>
    <col min="1984" max="1984" width="27.140625" style="202" customWidth="1"/>
    <col min="1985" max="1985" width="13.7109375" style="202" customWidth="1"/>
    <col min="1986" max="1986" width="14.140625" style="202" customWidth="1"/>
    <col min="1987" max="1991" width="13.42578125" style="202" customWidth="1"/>
    <col min="1992" max="1992" width="9.140625" style="202"/>
    <col min="1993" max="1996" width="13.42578125" style="202" customWidth="1"/>
    <col min="1997" max="1997" width="9.140625" style="202"/>
    <col min="1998" max="2001" width="13.42578125" style="202" customWidth="1"/>
    <col min="2002" max="2002" width="9.140625" style="202"/>
    <col min="2003" max="2006" width="13.42578125" style="202" customWidth="1"/>
    <col min="2007" max="2007" width="9.140625" style="202"/>
    <col min="2008" max="2011" width="13.42578125" style="202" customWidth="1"/>
    <col min="2012" max="2238" width="9.140625" style="202"/>
    <col min="2239" max="2239" width="11.28515625" style="202" customWidth="1"/>
    <col min="2240" max="2240" width="27.140625" style="202" customWidth="1"/>
    <col min="2241" max="2241" width="13.7109375" style="202" customWidth="1"/>
    <col min="2242" max="2242" width="14.140625" style="202" customWidth="1"/>
    <col min="2243" max="2247" width="13.42578125" style="202" customWidth="1"/>
    <col min="2248" max="2248" width="9.140625" style="202"/>
    <col min="2249" max="2252" width="13.42578125" style="202" customWidth="1"/>
    <col min="2253" max="2253" width="9.140625" style="202"/>
    <col min="2254" max="2257" width="13.42578125" style="202" customWidth="1"/>
    <col min="2258" max="2258" width="9.140625" style="202"/>
    <col min="2259" max="2262" width="13.42578125" style="202" customWidth="1"/>
    <col min="2263" max="2263" width="9.140625" style="202"/>
    <col min="2264" max="2267" width="13.42578125" style="202" customWidth="1"/>
    <col min="2268" max="2494" width="9.140625" style="202"/>
    <col min="2495" max="2495" width="11.28515625" style="202" customWidth="1"/>
    <col min="2496" max="2496" width="27.140625" style="202" customWidth="1"/>
    <col min="2497" max="2497" width="13.7109375" style="202" customWidth="1"/>
    <col min="2498" max="2498" width="14.140625" style="202" customWidth="1"/>
    <col min="2499" max="2503" width="13.42578125" style="202" customWidth="1"/>
    <col min="2504" max="2504" width="9.140625" style="202"/>
    <col min="2505" max="2508" width="13.42578125" style="202" customWidth="1"/>
    <col min="2509" max="2509" width="9.140625" style="202"/>
    <col min="2510" max="2513" width="13.42578125" style="202" customWidth="1"/>
    <col min="2514" max="2514" width="9.140625" style="202"/>
    <col min="2515" max="2518" width="13.42578125" style="202" customWidth="1"/>
    <col min="2519" max="2519" width="9.140625" style="202"/>
    <col min="2520" max="2523" width="13.42578125" style="202" customWidth="1"/>
    <col min="2524" max="2750" width="9.140625" style="202"/>
    <col min="2751" max="2751" width="11.28515625" style="202" customWidth="1"/>
    <col min="2752" max="2752" width="27.140625" style="202" customWidth="1"/>
    <col min="2753" max="2753" width="13.7109375" style="202" customWidth="1"/>
    <col min="2754" max="2754" width="14.140625" style="202" customWidth="1"/>
    <col min="2755" max="2759" width="13.42578125" style="202" customWidth="1"/>
    <col min="2760" max="2760" width="9.140625" style="202"/>
    <col min="2761" max="2764" width="13.42578125" style="202" customWidth="1"/>
    <col min="2765" max="2765" width="9.140625" style="202"/>
    <col min="2766" max="2769" width="13.42578125" style="202" customWidth="1"/>
    <col min="2770" max="2770" width="9.140625" style="202"/>
    <col min="2771" max="2774" width="13.42578125" style="202" customWidth="1"/>
    <col min="2775" max="2775" width="9.140625" style="202"/>
    <col min="2776" max="2779" width="13.42578125" style="202" customWidth="1"/>
    <col min="2780" max="3006" width="9.140625" style="202"/>
    <col min="3007" max="3007" width="11.28515625" style="202" customWidth="1"/>
    <col min="3008" max="3008" width="27.140625" style="202" customWidth="1"/>
    <col min="3009" max="3009" width="13.7109375" style="202" customWidth="1"/>
    <col min="3010" max="3010" width="14.140625" style="202" customWidth="1"/>
    <col min="3011" max="3015" width="13.42578125" style="202" customWidth="1"/>
    <col min="3016" max="3016" width="9.140625" style="202"/>
    <col min="3017" max="3020" width="13.42578125" style="202" customWidth="1"/>
    <col min="3021" max="3021" width="9.140625" style="202"/>
    <col min="3022" max="3025" width="13.42578125" style="202" customWidth="1"/>
    <col min="3026" max="3026" width="9.140625" style="202"/>
    <col min="3027" max="3030" width="13.42578125" style="202" customWidth="1"/>
    <col min="3031" max="3031" width="9.140625" style="202"/>
    <col min="3032" max="3035" width="13.42578125" style="202" customWidth="1"/>
    <col min="3036" max="3262" width="9.140625" style="202"/>
    <col min="3263" max="3263" width="11.28515625" style="202" customWidth="1"/>
    <col min="3264" max="3264" width="27.140625" style="202" customWidth="1"/>
    <col min="3265" max="3265" width="13.7109375" style="202" customWidth="1"/>
    <col min="3266" max="3266" width="14.140625" style="202" customWidth="1"/>
    <col min="3267" max="3271" width="13.42578125" style="202" customWidth="1"/>
    <col min="3272" max="3272" width="9.140625" style="202"/>
    <col min="3273" max="3276" width="13.42578125" style="202" customWidth="1"/>
    <col min="3277" max="3277" width="9.140625" style="202"/>
    <col min="3278" max="3281" width="13.42578125" style="202" customWidth="1"/>
    <col min="3282" max="3282" width="9.140625" style="202"/>
    <col min="3283" max="3286" width="13.42578125" style="202" customWidth="1"/>
    <col min="3287" max="3287" width="9.140625" style="202"/>
    <col min="3288" max="3291" width="13.42578125" style="202" customWidth="1"/>
    <col min="3292" max="3518" width="9.140625" style="202"/>
    <col min="3519" max="3519" width="11.28515625" style="202" customWidth="1"/>
    <col min="3520" max="3520" width="27.140625" style="202" customWidth="1"/>
    <col min="3521" max="3521" width="13.7109375" style="202" customWidth="1"/>
    <col min="3522" max="3522" width="14.140625" style="202" customWidth="1"/>
    <col min="3523" max="3527" width="13.42578125" style="202" customWidth="1"/>
    <col min="3528" max="3528" width="9.140625" style="202"/>
    <col min="3529" max="3532" width="13.42578125" style="202" customWidth="1"/>
    <col min="3533" max="3533" width="9.140625" style="202"/>
    <col min="3534" max="3537" width="13.42578125" style="202" customWidth="1"/>
    <col min="3538" max="3538" width="9.140625" style="202"/>
    <col min="3539" max="3542" width="13.42578125" style="202" customWidth="1"/>
    <col min="3543" max="3543" width="9.140625" style="202"/>
    <col min="3544" max="3547" width="13.42578125" style="202" customWidth="1"/>
    <col min="3548" max="3774" width="9.140625" style="202"/>
    <col min="3775" max="3775" width="11.28515625" style="202" customWidth="1"/>
    <col min="3776" max="3776" width="27.140625" style="202" customWidth="1"/>
    <col min="3777" max="3777" width="13.7109375" style="202" customWidth="1"/>
    <col min="3778" max="3778" width="14.140625" style="202" customWidth="1"/>
    <col min="3779" max="3783" width="13.42578125" style="202" customWidth="1"/>
    <col min="3784" max="3784" width="9.140625" style="202"/>
    <col min="3785" max="3788" width="13.42578125" style="202" customWidth="1"/>
    <col min="3789" max="3789" width="9.140625" style="202"/>
    <col min="3790" max="3793" width="13.42578125" style="202" customWidth="1"/>
    <col min="3794" max="3794" width="9.140625" style="202"/>
    <col min="3795" max="3798" width="13.42578125" style="202" customWidth="1"/>
    <col min="3799" max="3799" width="9.140625" style="202"/>
    <col min="3800" max="3803" width="13.42578125" style="202" customWidth="1"/>
    <col min="3804" max="4030" width="9.140625" style="202"/>
    <col min="4031" max="4031" width="11.28515625" style="202" customWidth="1"/>
    <col min="4032" max="4032" width="27.140625" style="202" customWidth="1"/>
    <col min="4033" max="4033" width="13.7109375" style="202" customWidth="1"/>
    <col min="4034" max="4034" width="14.140625" style="202" customWidth="1"/>
    <col min="4035" max="4039" width="13.42578125" style="202" customWidth="1"/>
    <col min="4040" max="4040" width="9.140625" style="202"/>
    <col min="4041" max="4044" width="13.42578125" style="202" customWidth="1"/>
    <col min="4045" max="4045" width="9.140625" style="202"/>
    <col min="4046" max="4049" width="13.42578125" style="202" customWidth="1"/>
    <col min="4050" max="4050" width="9.140625" style="202"/>
    <col min="4051" max="4054" width="13.42578125" style="202" customWidth="1"/>
    <col min="4055" max="4055" width="9.140625" style="202"/>
    <col min="4056" max="4059" width="13.42578125" style="202" customWidth="1"/>
    <col min="4060" max="4286" width="9.140625" style="202"/>
    <col min="4287" max="4287" width="11.28515625" style="202" customWidth="1"/>
    <col min="4288" max="4288" width="27.140625" style="202" customWidth="1"/>
    <col min="4289" max="4289" width="13.7109375" style="202" customWidth="1"/>
    <col min="4290" max="4290" width="14.140625" style="202" customWidth="1"/>
    <col min="4291" max="4295" width="13.42578125" style="202" customWidth="1"/>
    <col min="4296" max="4296" width="9.140625" style="202"/>
    <col min="4297" max="4300" width="13.42578125" style="202" customWidth="1"/>
    <col min="4301" max="4301" width="9.140625" style="202"/>
    <col min="4302" max="4305" width="13.42578125" style="202" customWidth="1"/>
    <col min="4306" max="4306" width="9.140625" style="202"/>
    <col min="4307" max="4310" width="13.42578125" style="202" customWidth="1"/>
    <col min="4311" max="4311" width="9.140625" style="202"/>
    <col min="4312" max="4315" width="13.42578125" style="202" customWidth="1"/>
    <col min="4316" max="4542" width="9.140625" style="202"/>
    <col min="4543" max="4543" width="11.28515625" style="202" customWidth="1"/>
    <col min="4544" max="4544" width="27.140625" style="202" customWidth="1"/>
    <col min="4545" max="4545" width="13.7109375" style="202" customWidth="1"/>
    <col min="4546" max="4546" width="14.140625" style="202" customWidth="1"/>
    <col min="4547" max="4551" width="13.42578125" style="202" customWidth="1"/>
    <col min="4552" max="4552" width="9.140625" style="202"/>
    <col min="4553" max="4556" width="13.42578125" style="202" customWidth="1"/>
    <col min="4557" max="4557" width="9.140625" style="202"/>
    <col min="4558" max="4561" width="13.42578125" style="202" customWidth="1"/>
    <col min="4562" max="4562" width="9.140625" style="202"/>
    <col min="4563" max="4566" width="13.42578125" style="202" customWidth="1"/>
    <col min="4567" max="4567" width="9.140625" style="202"/>
    <col min="4568" max="4571" width="13.42578125" style="202" customWidth="1"/>
    <col min="4572" max="4798" width="9.140625" style="202"/>
    <col min="4799" max="4799" width="11.28515625" style="202" customWidth="1"/>
    <col min="4800" max="4800" width="27.140625" style="202" customWidth="1"/>
    <col min="4801" max="4801" width="13.7109375" style="202" customWidth="1"/>
    <col min="4802" max="4802" width="14.140625" style="202" customWidth="1"/>
    <col min="4803" max="4807" width="13.42578125" style="202" customWidth="1"/>
    <col min="4808" max="4808" width="9.140625" style="202"/>
    <col min="4809" max="4812" width="13.42578125" style="202" customWidth="1"/>
    <col min="4813" max="4813" width="9.140625" style="202"/>
    <col min="4814" max="4817" width="13.42578125" style="202" customWidth="1"/>
    <col min="4818" max="4818" width="9.140625" style="202"/>
    <col min="4819" max="4822" width="13.42578125" style="202" customWidth="1"/>
    <col min="4823" max="4823" width="9.140625" style="202"/>
    <col min="4824" max="4827" width="13.42578125" style="202" customWidth="1"/>
    <col min="4828" max="5054" width="9.140625" style="202"/>
    <col min="5055" max="5055" width="11.28515625" style="202" customWidth="1"/>
    <col min="5056" max="5056" width="27.140625" style="202" customWidth="1"/>
    <col min="5057" max="5057" width="13.7109375" style="202" customWidth="1"/>
    <col min="5058" max="5058" width="14.140625" style="202" customWidth="1"/>
    <col min="5059" max="5063" width="13.42578125" style="202" customWidth="1"/>
    <col min="5064" max="5064" width="9.140625" style="202"/>
    <col min="5065" max="5068" width="13.42578125" style="202" customWidth="1"/>
    <col min="5069" max="5069" width="9.140625" style="202"/>
    <col min="5070" max="5073" width="13.42578125" style="202" customWidth="1"/>
    <col min="5074" max="5074" width="9.140625" style="202"/>
    <col min="5075" max="5078" width="13.42578125" style="202" customWidth="1"/>
    <col min="5079" max="5079" width="9.140625" style="202"/>
    <col min="5080" max="5083" width="13.42578125" style="202" customWidth="1"/>
    <col min="5084" max="5310" width="9.140625" style="202"/>
    <col min="5311" max="5311" width="11.28515625" style="202" customWidth="1"/>
    <col min="5312" max="5312" width="27.140625" style="202" customWidth="1"/>
    <col min="5313" max="5313" width="13.7109375" style="202" customWidth="1"/>
    <col min="5314" max="5314" width="14.140625" style="202" customWidth="1"/>
    <col min="5315" max="5319" width="13.42578125" style="202" customWidth="1"/>
    <col min="5320" max="5320" width="9.140625" style="202"/>
    <col min="5321" max="5324" width="13.42578125" style="202" customWidth="1"/>
    <col min="5325" max="5325" width="9.140625" style="202"/>
    <col min="5326" max="5329" width="13.42578125" style="202" customWidth="1"/>
    <col min="5330" max="5330" width="9.140625" style="202"/>
    <col min="5331" max="5334" width="13.42578125" style="202" customWidth="1"/>
    <col min="5335" max="5335" width="9.140625" style="202"/>
    <col min="5336" max="5339" width="13.42578125" style="202" customWidth="1"/>
    <col min="5340" max="5566" width="9.140625" style="202"/>
    <col min="5567" max="5567" width="11.28515625" style="202" customWidth="1"/>
    <col min="5568" max="5568" width="27.140625" style="202" customWidth="1"/>
    <col min="5569" max="5569" width="13.7109375" style="202" customWidth="1"/>
    <col min="5570" max="5570" width="14.140625" style="202" customWidth="1"/>
    <col min="5571" max="5575" width="13.42578125" style="202" customWidth="1"/>
    <col min="5576" max="5576" width="9.140625" style="202"/>
    <col min="5577" max="5580" width="13.42578125" style="202" customWidth="1"/>
    <col min="5581" max="5581" width="9.140625" style="202"/>
    <col min="5582" max="5585" width="13.42578125" style="202" customWidth="1"/>
    <col min="5586" max="5586" width="9.140625" style="202"/>
    <col min="5587" max="5590" width="13.42578125" style="202" customWidth="1"/>
    <col min="5591" max="5591" width="9.140625" style="202"/>
    <col min="5592" max="5595" width="13.42578125" style="202" customWidth="1"/>
    <col min="5596" max="5822" width="9.140625" style="202"/>
    <col min="5823" max="5823" width="11.28515625" style="202" customWidth="1"/>
    <col min="5824" max="5824" width="27.140625" style="202" customWidth="1"/>
    <col min="5825" max="5825" width="13.7109375" style="202" customWidth="1"/>
    <col min="5826" max="5826" width="14.140625" style="202" customWidth="1"/>
    <col min="5827" max="5831" width="13.42578125" style="202" customWidth="1"/>
    <col min="5832" max="5832" width="9.140625" style="202"/>
    <col min="5833" max="5836" width="13.42578125" style="202" customWidth="1"/>
    <col min="5837" max="5837" width="9.140625" style="202"/>
    <col min="5838" max="5841" width="13.42578125" style="202" customWidth="1"/>
    <col min="5842" max="5842" width="9.140625" style="202"/>
    <col min="5843" max="5846" width="13.42578125" style="202" customWidth="1"/>
    <col min="5847" max="5847" width="9.140625" style="202"/>
    <col min="5848" max="5851" width="13.42578125" style="202" customWidth="1"/>
    <col min="5852" max="6078" width="9.140625" style="202"/>
    <col min="6079" max="6079" width="11.28515625" style="202" customWidth="1"/>
    <col min="6080" max="6080" width="27.140625" style="202" customWidth="1"/>
    <col min="6081" max="6081" width="13.7109375" style="202" customWidth="1"/>
    <col min="6082" max="6082" width="14.140625" style="202" customWidth="1"/>
    <col min="6083" max="6087" width="13.42578125" style="202" customWidth="1"/>
    <col min="6088" max="6088" width="9.140625" style="202"/>
    <col min="6089" max="6092" width="13.42578125" style="202" customWidth="1"/>
    <col min="6093" max="6093" width="9.140625" style="202"/>
    <col min="6094" max="6097" width="13.42578125" style="202" customWidth="1"/>
    <col min="6098" max="6098" width="9.140625" style="202"/>
    <col min="6099" max="6102" width="13.42578125" style="202" customWidth="1"/>
    <col min="6103" max="6103" width="9.140625" style="202"/>
    <col min="6104" max="6107" width="13.42578125" style="202" customWidth="1"/>
    <col min="6108" max="6334" width="9.140625" style="202"/>
    <col min="6335" max="6335" width="11.28515625" style="202" customWidth="1"/>
    <col min="6336" max="6336" width="27.140625" style="202" customWidth="1"/>
    <col min="6337" max="6337" width="13.7109375" style="202" customWidth="1"/>
    <col min="6338" max="6338" width="14.140625" style="202" customWidth="1"/>
    <col min="6339" max="6343" width="13.42578125" style="202" customWidth="1"/>
    <col min="6344" max="6344" width="9.140625" style="202"/>
    <col min="6345" max="6348" width="13.42578125" style="202" customWidth="1"/>
    <col min="6349" max="6349" width="9.140625" style="202"/>
    <col min="6350" max="6353" width="13.42578125" style="202" customWidth="1"/>
    <col min="6354" max="6354" width="9.140625" style="202"/>
    <col min="6355" max="6358" width="13.42578125" style="202" customWidth="1"/>
    <col min="6359" max="6359" width="9.140625" style="202"/>
    <col min="6360" max="6363" width="13.42578125" style="202" customWidth="1"/>
    <col min="6364" max="6590" width="9.140625" style="202"/>
    <col min="6591" max="6591" width="11.28515625" style="202" customWidth="1"/>
    <col min="6592" max="6592" width="27.140625" style="202" customWidth="1"/>
    <col min="6593" max="6593" width="13.7109375" style="202" customWidth="1"/>
    <col min="6594" max="6594" width="14.140625" style="202" customWidth="1"/>
    <col min="6595" max="6599" width="13.42578125" style="202" customWidth="1"/>
    <col min="6600" max="6600" width="9.140625" style="202"/>
    <col min="6601" max="6604" width="13.42578125" style="202" customWidth="1"/>
    <col min="6605" max="6605" width="9.140625" style="202"/>
    <col min="6606" max="6609" width="13.42578125" style="202" customWidth="1"/>
    <col min="6610" max="6610" width="9.140625" style="202"/>
    <col min="6611" max="6614" width="13.42578125" style="202" customWidth="1"/>
    <col min="6615" max="6615" width="9.140625" style="202"/>
    <col min="6616" max="6619" width="13.42578125" style="202" customWidth="1"/>
    <col min="6620" max="6846" width="9.140625" style="202"/>
    <col min="6847" max="6847" width="11.28515625" style="202" customWidth="1"/>
    <col min="6848" max="6848" width="27.140625" style="202" customWidth="1"/>
    <col min="6849" max="6849" width="13.7109375" style="202" customWidth="1"/>
    <col min="6850" max="6850" width="14.140625" style="202" customWidth="1"/>
    <col min="6851" max="6855" width="13.42578125" style="202" customWidth="1"/>
    <col min="6856" max="6856" width="9.140625" style="202"/>
    <col min="6857" max="6860" width="13.42578125" style="202" customWidth="1"/>
    <col min="6861" max="6861" width="9.140625" style="202"/>
    <col min="6862" max="6865" width="13.42578125" style="202" customWidth="1"/>
    <col min="6866" max="6866" width="9.140625" style="202"/>
    <col min="6867" max="6870" width="13.42578125" style="202" customWidth="1"/>
    <col min="6871" max="6871" width="9.140625" style="202"/>
    <col min="6872" max="6875" width="13.42578125" style="202" customWidth="1"/>
    <col min="6876" max="7102" width="9.140625" style="202"/>
    <col min="7103" max="7103" width="11.28515625" style="202" customWidth="1"/>
    <col min="7104" max="7104" width="27.140625" style="202" customWidth="1"/>
    <col min="7105" max="7105" width="13.7109375" style="202" customWidth="1"/>
    <col min="7106" max="7106" width="14.140625" style="202" customWidth="1"/>
    <col min="7107" max="7111" width="13.42578125" style="202" customWidth="1"/>
    <col min="7112" max="7112" width="9.140625" style="202"/>
    <col min="7113" max="7116" width="13.42578125" style="202" customWidth="1"/>
    <col min="7117" max="7117" width="9.140625" style="202"/>
    <col min="7118" max="7121" width="13.42578125" style="202" customWidth="1"/>
    <col min="7122" max="7122" width="9.140625" style="202"/>
    <col min="7123" max="7126" width="13.42578125" style="202" customWidth="1"/>
    <col min="7127" max="7127" width="9.140625" style="202"/>
    <col min="7128" max="7131" width="13.42578125" style="202" customWidth="1"/>
    <col min="7132" max="7358" width="9.140625" style="202"/>
    <col min="7359" max="7359" width="11.28515625" style="202" customWidth="1"/>
    <col min="7360" max="7360" width="27.140625" style="202" customWidth="1"/>
    <col min="7361" max="7361" width="13.7109375" style="202" customWidth="1"/>
    <col min="7362" max="7362" width="14.140625" style="202" customWidth="1"/>
    <col min="7363" max="7367" width="13.42578125" style="202" customWidth="1"/>
    <col min="7368" max="7368" width="9.140625" style="202"/>
    <col min="7369" max="7372" width="13.42578125" style="202" customWidth="1"/>
    <col min="7373" max="7373" width="9.140625" style="202"/>
    <col min="7374" max="7377" width="13.42578125" style="202" customWidth="1"/>
    <col min="7378" max="7378" width="9.140625" style="202"/>
    <col min="7379" max="7382" width="13.42578125" style="202" customWidth="1"/>
    <col min="7383" max="7383" width="9.140625" style="202"/>
    <col min="7384" max="7387" width="13.42578125" style="202" customWidth="1"/>
    <col min="7388" max="7614" width="9.140625" style="202"/>
    <col min="7615" max="7615" width="11.28515625" style="202" customWidth="1"/>
    <col min="7616" max="7616" width="27.140625" style="202" customWidth="1"/>
    <col min="7617" max="7617" width="13.7109375" style="202" customWidth="1"/>
    <col min="7618" max="7618" width="14.140625" style="202" customWidth="1"/>
    <col min="7619" max="7623" width="13.42578125" style="202" customWidth="1"/>
    <col min="7624" max="7624" width="9.140625" style="202"/>
    <col min="7625" max="7628" width="13.42578125" style="202" customWidth="1"/>
    <col min="7629" max="7629" width="9.140625" style="202"/>
    <col min="7630" max="7633" width="13.42578125" style="202" customWidth="1"/>
    <col min="7634" max="7634" width="9.140625" style="202"/>
    <col min="7635" max="7638" width="13.42578125" style="202" customWidth="1"/>
    <col min="7639" max="7639" width="9.140625" style="202"/>
    <col min="7640" max="7643" width="13.42578125" style="202" customWidth="1"/>
    <col min="7644" max="7870" width="9.140625" style="202"/>
    <col min="7871" max="7871" width="11.28515625" style="202" customWidth="1"/>
    <col min="7872" max="7872" width="27.140625" style="202" customWidth="1"/>
    <col min="7873" max="7873" width="13.7109375" style="202" customWidth="1"/>
    <col min="7874" max="7874" width="14.140625" style="202" customWidth="1"/>
    <col min="7875" max="7879" width="13.42578125" style="202" customWidth="1"/>
    <col min="7880" max="7880" width="9.140625" style="202"/>
    <col min="7881" max="7884" width="13.42578125" style="202" customWidth="1"/>
    <col min="7885" max="7885" width="9.140625" style="202"/>
    <col min="7886" max="7889" width="13.42578125" style="202" customWidth="1"/>
    <col min="7890" max="7890" width="9.140625" style="202"/>
    <col min="7891" max="7894" width="13.42578125" style="202" customWidth="1"/>
    <col min="7895" max="7895" width="9.140625" style="202"/>
    <col min="7896" max="7899" width="13.42578125" style="202" customWidth="1"/>
    <col min="7900" max="8126" width="9.140625" style="202"/>
    <col min="8127" max="8127" width="11.28515625" style="202" customWidth="1"/>
    <col min="8128" max="8128" width="27.140625" style="202" customWidth="1"/>
    <col min="8129" max="8129" width="13.7109375" style="202" customWidth="1"/>
    <col min="8130" max="8130" width="14.140625" style="202" customWidth="1"/>
    <col min="8131" max="8135" width="13.42578125" style="202" customWidth="1"/>
    <col min="8136" max="8136" width="9.140625" style="202"/>
    <col min="8137" max="8140" width="13.42578125" style="202" customWidth="1"/>
    <col min="8141" max="8141" width="9.140625" style="202"/>
    <col min="8142" max="8145" width="13.42578125" style="202" customWidth="1"/>
    <col min="8146" max="8146" width="9.140625" style="202"/>
    <col min="8147" max="8150" width="13.42578125" style="202" customWidth="1"/>
    <col min="8151" max="8151" width="9.140625" style="202"/>
    <col min="8152" max="8155" width="13.42578125" style="202" customWidth="1"/>
    <col min="8156" max="8382" width="9.140625" style="202"/>
    <col min="8383" max="8383" width="11.28515625" style="202" customWidth="1"/>
    <col min="8384" max="8384" width="27.140625" style="202" customWidth="1"/>
    <col min="8385" max="8385" width="13.7109375" style="202" customWidth="1"/>
    <col min="8386" max="8386" width="14.140625" style="202" customWidth="1"/>
    <col min="8387" max="8391" width="13.42578125" style="202" customWidth="1"/>
    <col min="8392" max="8392" width="9.140625" style="202"/>
    <col min="8393" max="8396" width="13.42578125" style="202" customWidth="1"/>
    <col min="8397" max="8397" width="9.140625" style="202"/>
    <col min="8398" max="8401" width="13.42578125" style="202" customWidth="1"/>
    <col min="8402" max="8402" width="9.140625" style="202"/>
    <col min="8403" max="8406" width="13.42578125" style="202" customWidth="1"/>
    <col min="8407" max="8407" width="9.140625" style="202"/>
    <col min="8408" max="8411" width="13.42578125" style="202" customWidth="1"/>
    <col min="8412" max="8638" width="9.140625" style="202"/>
    <col min="8639" max="8639" width="11.28515625" style="202" customWidth="1"/>
    <col min="8640" max="8640" width="27.140625" style="202" customWidth="1"/>
    <col min="8641" max="8641" width="13.7109375" style="202" customWidth="1"/>
    <col min="8642" max="8642" width="14.140625" style="202" customWidth="1"/>
    <col min="8643" max="8647" width="13.42578125" style="202" customWidth="1"/>
    <col min="8648" max="8648" width="9.140625" style="202"/>
    <col min="8649" max="8652" width="13.42578125" style="202" customWidth="1"/>
    <col min="8653" max="8653" width="9.140625" style="202"/>
    <col min="8654" max="8657" width="13.42578125" style="202" customWidth="1"/>
    <col min="8658" max="8658" width="9.140625" style="202"/>
    <col min="8659" max="8662" width="13.42578125" style="202" customWidth="1"/>
    <col min="8663" max="8663" width="9.140625" style="202"/>
    <col min="8664" max="8667" width="13.42578125" style="202" customWidth="1"/>
    <col min="8668" max="8894" width="9.140625" style="202"/>
    <col min="8895" max="8895" width="11.28515625" style="202" customWidth="1"/>
    <col min="8896" max="8896" width="27.140625" style="202" customWidth="1"/>
    <col min="8897" max="8897" width="13.7109375" style="202" customWidth="1"/>
    <col min="8898" max="8898" width="14.140625" style="202" customWidth="1"/>
    <col min="8899" max="8903" width="13.42578125" style="202" customWidth="1"/>
    <col min="8904" max="8904" width="9.140625" style="202"/>
    <col min="8905" max="8908" width="13.42578125" style="202" customWidth="1"/>
    <col min="8909" max="8909" width="9.140625" style="202"/>
    <col min="8910" max="8913" width="13.42578125" style="202" customWidth="1"/>
    <col min="8914" max="8914" width="9.140625" style="202"/>
    <col min="8915" max="8918" width="13.42578125" style="202" customWidth="1"/>
    <col min="8919" max="8919" width="9.140625" style="202"/>
    <col min="8920" max="8923" width="13.42578125" style="202" customWidth="1"/>
    <col min="8924" max="9150" width="9.140625" style="202"/>
    <col min="9151" max="9151" width="11.28515625" style="202" customWidth="1"/>
    <col min="9152" max="9152" width="27.140625" style="202" customWidth="1"/>
    <col min="9153" max="9153" width="13.7109375" style="202" customWidth="1"/>
    <col min="9154" max="9154" width="14.140625" style="202" customWidth="1"/>
    <col min="9155" max="9159" width="13.42578125" style="202" customWidth="1"/>
    <col min="9160" max="9160" width="9.140625" style="202"/>
    <col min="9161" max="9164" width="13.42578125" style="202" customWidth="1"/>
    <col min="9165" max="9165" width="9.140625" style="202"/>
    <col min="9166" max="9169" width="13.42578125" style="202" customWidth="1"/>
    <col min="9170" max="9170" width="9.140625" style="202"/>
    <col min="9171" max="9174" width="13.42578125" style="202" customWidth="1"/>
    <col min="9175" max="9175" width="9.140625" style="202"/>
    <col min="9176" max="9179" width="13.42578125" style="202" customWidth="1"/>
    <col min="9180" max="9406" width="9.140625" style="202"/>
    <col min="9407" max="9407" width="11.28515625" style="202" customWidth="1"/>
    <col min="9408" max="9408" width="27.140625" style="202" customWidth="1"/>
    <col min="9409" max="9409" width="13.7109375" style="202" customWidth="1"/>
    <col min="9410" max="9410" width="14.140625" style="202" customWidth="1"/>
    <col min="9411" max="9415" width="13.42578125" style="202" customWidth="1"/>
    <col min="9416" max="9416" width="9.140625" style="202"/>
    <col min="9417" max="9420" width="13.42578125" style="202" customWidth="1"/>
    <col min="9421" max="9421" width="9.140625" style="202"/>
    <col min="9422" max="9425" width="13.42578125" style="202" customWidth="1"/>
    <col min="9426" max="9426" width="9.140625" style="202"/>
    <col min="9427" max="9430" width="13.42578125" style="202" customWidth="1"/>
    <col min="9431" max="9431" width="9.140625" style="202"/>
    <col min="9432" max="9435" width="13.42578125" style="202" customWidth="1"/>
    <col min="9436" max="9662" width="9.140625" style="202"/>
    <col min="9663" max="9663" width="11.28515625" style="202" customWidth="1"/>
    <col min="9664" max="9664" width="27.140625" style="202" customWidth="1"/>
    <col min="9665" max="9665" width="13.7109375" style="202" customWidth="1"/>
    <col min="9666" max="9666" width="14.140625" style="202" customWidth="1"/>
    <col min="9667" max="9671" width="13.42578125" style="202" customWidth="1"/>
    <col min="9672" max="9672" width="9.140625" style="202"/>
    <col min="9673" max="9676" width="13.42578125" style="202" customWidth="1"/>
    <col min="9677" max="9677" width="9.140625" style="202"/>
    <col min="9678" max="9681" width="13.42578125" style="202" customWidth="1"/>
    <col min="9682" max="9682" width="9.140625" style="202"/>
    <col min="9683" max="9686" width="13.42578125" style="202" customWidth="1"/>
    <col min="9687" max="9687" width="9.140625" style="202"/>
    <col min="9688" max="9691" width="13.42578125" style="202" customWidth="1"/>
    <col min="9692" max="9918" width="9.140625" style="202"/>
    <col min="9919" max="9919" width="11.28515625" style="202" customWidth="1"/>
    <col min="9920" max="9920" width="27.140625" style="202" customWidth="1"/>
    <col min="9921" max="9921" width="13.7109375" style="202" customWidth="1"/>
    <col min="9922" max="9922" width="14.140625" style="202" customWidth="1"/>
    <col min="9923" max="9927" width="13.42578125" style="202" customWidth="1"/>
    <col min="9928" max="9928" width="9.140625" style="202"/>
    <col min="9929" max="9932" width="13.42578125" style="202" customWidth="1"/>
    <col min="9933" max="9933" width="9.140625" style="202"/>
    <col min="9934" max="9937" width="13.42578125" style="202" customWidth="1"/>
    <col min="9938" max="9938" width="9.140625" style="202"/>
    <col min="9939" max="9942" width="13.42578125" style="202" customWidth="1"/>
    <col min="9943" max="9943" width="9.140625" style="202"/>
    <col min="9944" max="9947" width="13.42578125" style="202" customWidth="1"/>
    <col min="9948" max="10174" width="9.140625" style="202"/>
    <col min="10175" max="10175" width="11.28515625" style="202" customWidth="1"/>
    <col min="10176" max="10176" width="27.140625" style="202" customWidth="1"/>
    <col min="10177" max="10177" width="13.7109375" style="202" customWidth="1"/>
    <col min="10178" max="10178" width="14.140625" style="202" customWidth="1"/>
    <col min="10179" max="10183" width="13.42578125" style="202" customWidth="1"/>
    <col min="10184" max="10184" width="9.140625" style="202"/>
    <col min="10185" max="10188" width="13.42578125" style="202" customWidth="1"/>
    <col min="10189" max="10189" width="9.140625" style="202"/>
    <col min="10190" max="10193" width="13.42578125" style="202" customWidth="1"/>
    <col min="10194" max="10194" width="9.140625" style="202"/>
    <col min="10195" max="10198" width="13.42578125" style="202" customWidth="1"/>
    <col min="10199" max="10199" width="9.140625" style="202"/>
    <col min="10200" max="10203" width="13.42578125" style="202" customWidth="1"/>
    <col min="10204" max="10430" width="9.140625" style="202"/>
    <col min="10431" max="10431" width="11.28515625" style="202" customWidth="1"/>
    <col min="10432" max="10432" width="27.140625" style="202" customWidth="1"/>
    <col min="10433" max="10433" width="13.7109375" style="202" customWidth="1"/>
    <col min="10434" max="10434" width="14.140625" style="202" customWidth="1"/>
    <col min="10435" max="10439" width="13.42578125" style="202" customWidth="1"/>
    <col min="10440" max="10440" width="9.140625" style="202"/>
    <col min="10441" max="10444" width="13.42578125" style="202" customWidth="1"/>
    <col min="10445" max="10445" width="9.140625" style="202"/>
    <col min="10446" max="10449" width="13.42578125" style="202" customWidth="1"/>
    <col min="10450" max="10450" width="9.140625" style="202"/>
    <col min="10451" max="10454" width="13.42578125" style="202" customWidth="1"/>
    <col min="10455" max="10455" width="9.140625" style="202"/>
    <col min="10456" max="10459" width="13.42578125" style="202" customWidth="1"/>
    <col min="10460" max="10686" width="9.140625" style="202"/>
    <col min="10687" max="10687" width="11.28515625" style="202" customWidth="1"/>
    <col min="10688" max="10688" width="27.140625" style="202" customWidth="1"/>
    <col min="10689" max="10689" width="13.7109375" style="202" customWidth="1"/>
    <col min="10690" max="10690" width="14.140625" style="202" customWidth="1"/>
    <col min="10691" max="10695" width="13.42578125" style="202" customWidth="1"/>
    <col min="10696" max="10696" width="9.140625" style="202"/>
    <col min="10697" max="10700" width="13.42578125" style="202" customWidth="1"/>
    <col min="10701" max="10701" width="9.140625" style="202"/>
    <col min="10702" max="10705" width="13.42578125" style="202" customWidth="1"/>
    <col min="10706" max="10706" width="9.140625" style="202"/>
    <col min="10707" max="10710" width="13.42578125" style="202" customWidth="1"/>
    <col min="10711" max="10711" width="9.140625" style="202"/>
    <col min="10712" max="10715" width="13.42578125" style="202" customWidth="1"/>
    <col min="10716" max="10942" width="9.140625" style="202"/>
    <col min="10943" max="10943" width="11.28515625" style="202" customWidth="1"/>
    <col min="10944" max="10944" width="27.140625" style="202" customWidth="1"/>
    <col min="10945" max="10945" width="13.7109375" style="202" customWidth="1"/>
    <col min="10946" max="10946" width="14.140625" style="202" customWidth="1"/>
    <col min="10947" max="10951" width="13.42578125" style="202" customWidth="1"/>
    <col min="10952" max="10952" width="9.140625" style="202"/>
    <col min="10953" max="10956" width="13.42578125" style="202" customWidth="1"/>
    <col min="10957" max="10957" width="9.140625" style="202"/>
    <col min="10958" max="10961" width="13.42578125" style="202" customWidth="1"/>
    <col min="10962" max="10962" width="9.140625" style="202"/>
    <col min="10963" max="10966" width="13.42578125" style="202" customWidth="1"/>
    <col min="10967" max="10967" width="9.140625" style="202"/>
    <col min="10968" max="10971" width="13.42578125" style="202" customWidth="1"/>
    <col min="10972" max="11198" width="9.140625" style="202"/>
    <col min="11199" max="11199" width="11.28515625" style="202" customWidth="1"/>
    <col min="11200" max="11200" width="27.140625" style="202" customWidth="1"/>
    <col min="11201" max="11201" width="13.7109375" style="202" customWidth="1"/>
    <col min="11202" max="11202" width="14.140625" style="202" customWidth="1"/>
    <col min="11203" max="11207" width="13.42578125" style="202" customWidth="1"/>
    <col min="11208" max="11208" width="9.140625" style="202"/>
    <col min="11209" max="11212" width="13.42578125" style="202" customWidth="1"/>
    <col min="11213" max="11213" width="9.140625" style="202"/>
    <col min="11214" max="11217" width="13.42578125" style="202" customWidth="1"/>
    <col min="11218" max="11218" width="9.140625" style="202"/>
    <col min="11219" max="11222" width="13.42578125" style="202" customWidth="1"/>
    <col min="11223" max="11223" width="9.140625" style="202"/>
    <col min="11224" max="11227" width="13.42578125" style="202" customWidth="1"/>
    <col min="11228" max="11454" width="9.140625" style="202"/>
    <col min="11455" max="11455" width="11.28515625" style="202" customWidth="1"/>
    <col min="11456" max="11456" width="27.140625" style="202" customWidth="1"/>
    <col min="11457" max="11457" width="13.7109375" style="202" customWidth="1"/>
    <col min="11458" max="11458" width="14.140625" style="202" customWidth="1"/>
    <col min="11459" max="11463" width="13.42578125" style="202" customWidth="1"/>
    <col min="11464" max="11464" width="9.140625" style="202"/>
    <col min="11465" max="11468" width="13.42578125" style="202" customWidth="1"/>
    <col min="11469" max="11469" width="9.140625" style="202"/>
    <col min="11470" max="11473" width="13.42578125" style="202" customWidth="1"/>
    <col min="11474" max="11474" width="9.140625" style="202"/>
    <col min="11475" max="11478" width="13.42578125" style="202" customWidth="1"/>
    <col min="11479" max="11479" width="9.140625" style="202"/>
    <col min="11480" max="11483" width="13.42578125" style="202" customWidth="1"/>
    <col min="11484" max="11710" width="9.140625" style="202"/>
    <col min="11711" max="11711" width="11.28515625" style="202" customWidth="1"/>
    <col min="11712" max="11712" width="27.140625" style="202" customWidth="1"/>
    <col min="11713" max="11713" width="13.7109375" style="202" customWidth="1"/>
    <col min="11714" max="11714" width="14.140625" style="202" customWidth="1"/>
    <col min="11715" max="11719" width="13.42578125" style="202" customWidth="1"/>
    <col min="11720" max="11720" width="9.140625" style="202"/>
    <col min="11721" max="11724" width="13.42578125" style="202" customWidth="1"/>
    <col min="11725" max="11725" width="9.140625" style="202"/>
    <col min="11726" max="11729" width="13.42578125" style="202" customWidth="1"/>
    <col min="11730" max="11730" width="9.140625" style="202"/>
    <col min="11731" max="11734" width="13.42578125" style="202" customWidth="1"/>
    <col min="11735" max="11735" width="9.140625" style="202"/>
    <col min="11736" max="11739" width="13.42578125" style="202" customWidth="1"/>
    <col min="11740" max="11966" width="9.140625" style="202"/>
    <col min="11967" max="11967" width="11.28515625" style="202" customWidth="1"/>
    <col min="11968" max="11968" width="27.140625" style="202" customWidth="1"/>
    <col min="11969" max="11969" width="13.7109375" style="202" customWidth="1"/>
    <col min="11970" max="11970" width="14.140625" style="202" customWidth="1"/>
    <col min="11971" max="11975" width="13.42578125" style="202" customWidth="1"/>
    <col min="11976" max="11976" width="9.140625" style="202"/>
    <col min="11977" max="11980" width="13.42578125" style="202" customWidth="1"/>
    <col min="11981" max="11981" width="9.140625" style="202"/>
    <col min="11982" max="11985" width="13.42578125" style="202" customWidth="1"/>
    <col min="11986" max="11986" width="9.140625" style="202"/>
    <col min="11987" max="11990" width="13.42578125" style="202" customWidth="1"/>
    <col min="11991" max="11991" width="9.140625" style="202"/>
    <col min="11992" max="11995" width="13.42578125" style="202" customWidth="1"/>
    <col min="11996" max="12222" width="9.140625" style="202"/>
    <col min="12223" max="12223" width="11.28515625" style="202" customWidth="1"/>
    <col min="12224" max="12224" width="27.140625" style="202" customWidth="1"/>
    <col min="12225" max="12225" width="13.7109375" style="202" customWidth="1"/>
    <col min="12226" max="12226" width="14.140625" style="202" customWidth="1"/>
    <col min="12227" max="12231" width="13.42578125" style="202" customWidth="1"/>
    <col min="12232" max="12232" width="9.140625" style="202"/>
    <col min="12233" max="12236" width="13.42578125" style="202" customWidth="1"/>
    <col min="12237" max="12237" width="9.140625" style="202"/>
    <col min="12238" max="12241" width="13.42578125" style="202" customWidth="1"/>
    <col min="12242" max="12242" width="9.140625" style="202"/>
    <col min="12243" max="12246" width="13.42578125" style="202" customWidth="1"/>
    <col min="12247" max="12247" width="9.140625" style="202"/>
    <col min="12248" max="12251" width="13.42578125" style="202" customWidth="1"/>
    <col min="12252" max="12478" width="9.140625" style="202"/>
    <col min="12479" max="12479" width="11.28515625" style="202" customWidth="1"/>
    <col min="12480" max="12480" width="27.140625" style="202" customWidth="1"/>
    <col min="12481" max="12481" width="13.7109375" style="202" customWidth="1"/>
    <col min="12482" max="12482" width="14.140625" style="202" customWidth="1"/>
    <col min="12483" max="12487" width="13.42578125" style="202" customWidth="1"/>
    <col min="12488" max="12488" width="9.140625" style="202"/>
    <col min="12489" max="12492" width="13.42578125" style="202" customWidth="1"/>
    <col min="12493" max="12493" width="9.140625" style="202"/>
    <col min="12494" max="12497" width="13.42578125" style="202" customWidth="1"/>
    <col min="12498" max="12498" width="9.140625" style="202"/>
    <col min="12499" max="12502" width="13.42578125" style="202" customWidth="1"/>
    <col min="12503" max="12503" width="9.140625" style="202"/>
    <col min="12504" max="12507" width="13.42578125" style="202" customWidth="1"/>
    <col min="12508" max="12734" width="9.140625" style="202"/>
    <col min="12735" max="12735" width="11.28515625" style="202" customWidth="1"/>
    <col min="12736" max="12736" width="27.140625" style="202" customWidth="1"/>
    <col min="12737" max="12737" width="13.7109375" style="202" customWidth="1"/>
    <col min="12738" max="12738" width="14.140625" style="202" customWidth="1"/>
    <col min="12739" max="12743" width="13.42578125" style="202" customWidth="1"/>
    <col min="12744" max="12744" width="9.140625" style="202"/>
    <col min="12745" max="12748" width="13.42578125" style="202" customWidth="1"/>
    <col min="12749" max="12749" width="9.140625" style="202"/>
    <col min="12750" max="12753" width="13.42578125" style="202" customWidth="1"/>
    <col min="12754" max="12754" width="9.140625" style="202"/>
    <col min="12755" max="12758" width="13.42578125" style="202" customWidth="1"/>
    <col min="12759" max="12759" width="9.140625" style="202"/>
    <col min="12760" max="12763" width="13.42578125" style="202" customWidth="1"/>
    <col min="12764" max="12990" width="9.140625" style="202"/>
    <col min="12991" max="12991" width="11.28515625" style="202" customWidth="1"/>
    <col min="12992" max="12992" width="27.140625" style="202" customWidth="1"/>
    <col min="12993" max="12993" width="13.7109375" style="202" customWidth="1"/>
    <col min="12994" max="12994" width="14.140625" style="202" customWidth="1"/>
    <col min="12995" max="12999" width="13.42578125" style="202" customWidth="1"/>
    <col min="13000" max="13000" width="9.140625" style="202"/>
    <col min="13001" max="13004" width="13.42578125" style="202" customWidth="1"/>
    <col min="13005" max="13005" width="9.140625" style="202"/>
    <col min="13006" max="13009" width="13.42578125" style="202" customWidth="1"/>
    <col min="13010" max="13010" width="9.140625" style="202"/>
    <col min="13011" max="13014" width="13.42578125" style="202" customWidth="1"/>
    <col min="13015" max="13015" width="9.140625" style="202"/>
    <col min="13016" max="13019" width="13.42578125" style="202" customWidth="1"/>
    <col min="13020" max="13246" width="9.140625" style="202"/>
    <col min="13247" max="13247" width="11.28515625" style="202" customWidth="1"/>
    <col min="13248" max="13248" width="27.140625" style="202" customWidth="1"/>
    <col min="13249" max="13249" width="13.7109375" style="202" customWidth="1"/>
    <col min="13250" max="13250" width="14.140625" style="202" customWidth="1"/>
    <col min="13251" max="13255" width="13.42578125" style="202" customWidth="1"/>
    <col min="13256" max="13256" width="9.140625" style="202"/>
    <col min="13257" max="13260" width="13.42578125" style="202" customWidth="1"/>
    <col min="13261" max="13261" width="9.140625" style="202"/>
    <col min="13262" max="13265" width="13.42578125" style="202" customWidth="1"/>
    <col min="13266" max="13266" width="9.140625" style="202"/>
    <col min="13267" max="13270" width="13.42578125" style="202" customWidth="1"/>
    <col min="13271" max="13271" width="9.140625" style="202"/>
    <col min="13272" max="13275" width="13.42578125" style="202" customWidth="1"/>
    <col min="13276" max="13502" width="9.140625" style="202"/>
    <col min="13503" max="13503" width="11.28515625" style="202" customWidth="1"/>
    <col min="13504" max="13504" width="27.140625" style="202" customWidth="1"/>
    <col min="13505" max="13505" width="13.7109375" style="202" customWidth="1"/>
    <col min="13506" max="13506" width="14.140625" style="202" customWidth="1"/>
    <col min="13507" max="13511" width="13.42578125" style="202" customWidth="1"/>
    <col min="13512" max="13512" width="9.140625" style="202"/>
    <col min="13513" max="13516" width="13.42578125" style="202" customWidth="1"/>
    <col min="13517" max="13517" width="9.140625" style="202"/>
    <col min="13518" max="13521" width="13.42578125" style="202" customWidth="1"/>
    <col min="13522" max="13522" width="9.140625" style="202"/>
    <col min="13523" max="13526" width="13.42578125" style="202" customWidth="1"/>
    <col min="13527" max="13527" width="9.140625" style="202"/>
    <col min="13528" max="13531" width="13.42578125" style="202" customWidth="1"/>
    <col min="13532" max="13758" width="9.140625" style="202"/>
    <col min="13759" max="13759" width="11.28515625" style="202" customWidth="1"/>
    <col min="13760" max="13760" width="27.140625" style="202" customWidth="1"/>
    <col min="13761" max="13761" width="13.7109375" style="202" customWidth="1"/>
    <col min="13762" max="13762" width="14.140625" style="202" customWidth="1"/>
    <col min="13763" max="13767" width="13.42578125" style="202" customWidth="1"/>
    <col min="13768" max="13768" width="9.140625" style="202"/>
    <col min="13769" max="13772" width="13.42578125" style="202" customWidth="1"/>
    <col min="13773" max="13773" width="9.140625" style="202"/>
    <col min="13774" max="13777" width="13.42578125" style="202" customWidth="1"/>
    <col min="13778" max="13778" width="9.140625" style="202"/>
    <col min="13779" max="13782" width="13.42578125" style="202" customWidth="1"/>
    <col min="13783" max="13783" width="9.140625" style="202"/>
    <col min="13784" max="13787" width="13.42578125" style="202" customWidth="1"/>
    <col min="13788" max="14014" width="9.140625" style="202"/>
    <col min="14015" max="14015" width="11.28515625" style="202" customWidth="1"/>
    <col min="14016" max="14016" width="27.140625" style="202" customWidth="1"/>
    <col min="14017" max="14017" width="13.7109375" style="202" customWidth="1"/>
    <col min="14018" max="14018" width="14.140625" style="202" customWidth="1"/>
    <col min="14019" max="14023" width="13.42578125" style="202" customWidth="1"/>
    <col min="14024" max="14024" width="9.140625" style="202"/>
    <col min="14025" max="14028" width="13.42578125" style="202" customWidth="1"/>
    <col min="14029" max="14029" width="9.140625" style="202"/>
    <col min="14030" max="14033" width="13.42578125" style="202" customWidth="1"/>
    <col min="14034" max="14034" width="9.140625" style="202"/>
    <col min="14035" max="14038" width="13.42578125" style="202" customWidth="1"/>
    <col min="14039" max="14039" width="9.140625" style="202"/>
    <col min="14040" max="14043" width="13.42578125" style="202" customWidth="1"/>
    <col min="14044" max="14270" width="9.140625" style="202"/>
    <col min="14271" max="14271" width="11.28515625" style="202" customWidth="1"/>
    <col min="14272" max="14272" width="27.140625" style="202" customWidth="1"/>
    <col min="14273" max="14273" width="13.7109375" style="202" customWidth="1"/>
    <col min="14274" max="14274" width="14.140625" style="202" customWidth="1"/>
    <col min="14275" max="14279" width="13.42578125" style="202" customWidth="1"/>
    <col min="14280" max="14280" width="9.140625" style="202"/>
    <col min="14281" max="14284" width="13.42578125" style="202" customWidth="1"/>
    <col min="14285" max="14285" width="9.140625" style="202"/>
    <col min="14286" max="14289" width="13.42578125" style="202" customWidth="1"/>
    <col min="14290" max="14290" width="9.140625" style="202"/>
    <col min="14291" max="14294" width="13.42578125" style="202" customWidth="1"/>
    <col min="14295" max="14295" width="9.140625" style="202"/>
    <col min="14296" max="14299" width="13.42578125" style="202" customWidth="1"/>
    <col min="14300" max="14526" width="9.140625" style="202"/>
    <col min="14527" max="14527" width="11.28515625" style="202" customWidth="1"/>
    <col min="14528" max="14528" width="27.140625" style="202" customWidth="1"/>
    <col min="14529" max="14529" width="13.7109375" style="202" customWidth="1"/>
    <col min="14530" max="14530" width="14.140625" style="202" customWidth="1"/>
    <col min="14531" max="14535" width="13.42578125" style="202" customWidth="1"/>
    <col min="14536" max="14536" width="9.140625" style="202"/>
    <col min="14537" max="14540" width="13.42578125" style="202" customWidth="1"/>
    <col min="14541" max="14541" width="9.140625" style="202"/>
    <col min="14542" max="14545" width="13.42578125" style="202" customWidth="1"/>
    <col min="14546" max="14546" width="9.140625" style="202"/>
    <col min="14547" max="14550" width="13.42578125" style="202" customWidth="1"/>
    <col min="14551" max="14551" width="9.140625" style="202"/>
    <col min="14552" max="14555" width="13.42578125" style="202" customWidth="1"/>
    <col min="14556" max="14782" width="9.140625" style="202"/>
    <col min="14783" max="14783" width="11.28515625" style="202" customWidth="1"/>
    <col min="14784" max="14784" width="27.140625" style="202" customWidth="1"/>
    <col min="14785" max="14785" width="13.7109375" style="202" customWidth="1"/>
    <col min="14786" max="14786" width="14.140625" style="202" customWidth="1"/>
    <col min="14787" max="14791" width="13.42578125" style="202" customWidth="1"/>
    <col min="14792" max="14792" width="9.140625" style="202"/>
    <col min="14793" max="14796" width="13.42578125" style="202" customWidth="1"/>
    <col min="14797" max="14797" width="9.140625" style="202"/>
    <col min="14798" max="14801" width="13.42578125" style="202" customWidth="1"/>
    <col min="14802" max="14802" width="9.140625" style="202"/>
    <col min="14803" max="14806" width="13.42578125" style="202" customWidth="1"/>
    <col min="14807" max="14807" width="9.140625" style="202"/>
    <col min="14808" max="14811" width="13.42578125" style="202" customWidth="1"/>
    <col min="14812" max="15038" width="9.140625" style="202"/>
    <col min="15039" max="15039" width="11.28515625" style="202" customWidth="1"/>
    <col min="15040" max="15040" width="27.140625" style="202" customWidth="1"/>
    <col min="15041" max="15041" width="13.7109375" style="202" customWidth="1"/>
    <col min="15042" max="15042" width="14.140625" style="202" customWidth="1"/>
    <col min="15043" max="15047" width="13.42578125" style="202" customWidth="1"/>
    <col min="15048" max="15048" width="9.140625" style="202"/>
    <col min="15049" max="15052" width="13.42578125" style="202" customWidth="1"/>
    <col min="15053" max="15053" width="9.140625" style="202"/>
    <col min="15054" max="15057" width="13.42578125" style="202" customWidth="1"/>
    <col min="15058" max="15058" width="9.140625" style="202"/>
    <col min="15059" max="15062" width="13.42578125" style="202" customWidth="1"/>
    <col min="15063" max="15063" width="9.140625" style="202"/>
    <col min="15064" max="15067" width="13.42578125" style="202" customWidth="1"/>
    <col min="15068" max="15294" width="9.140625" style="202"/>
    <col min="15295" max="15295" width="11.28515625" style="202" customWidth="1"/>
    <col min="15296" max="15296" width="27.140625" style="202" customWidth="1"/>
    <col min="15297" max="15297" width="13.7109375" style="202" customWidth="1"/>
    <col min="15298" max="15298" width="14.140625" style="202" customWidth="1"/>
    <col min="15299" max="15303" width="13.42578125" style="202" customWidth="1"/>
    <col min="15304" max="15304" width="9.140625" style="202"/>
    <col min="15305" max="15308" width="13.42578125" style="202" customWidth="1"/>
    <col min="15309" max="15309" width="9.140625" style="202"/>
    <col min="15310" max="15313" width="13.42578125" style="202" customWidth="1"/>
    <col min="15314" max="15314" width="9.140625" style="202"/>
    <col min="15315" max="15318" width="13.42578125" style="202" customWidth="1"/>
    <col min="15319" max="15319" width="9.140625" style="202"/>
    <col min="15320" max="15323" width="13.42578125" style="202" customWidth="1"/>
    <col min="15324" max="15550" width="9.140625" style="202"/>
    <col min="15551" max="15551" width="11.28515625" style="202" customWidth="1"/>
    <col min="15552" max="15552" width="27.140625" style="202" customWidth="1"/>
    <col min="15553" max="15553" width="13.7109375" style="202" customWidth="1"/>
    <col min="15554" max="15554" width="14.140625" style="202" customWidth="1"/>
    <col min="15555" max="15559" width="13.42578125" style="202" customWidth="1"/>
    <col min="15560" max="15560" width="9.140625" style="202"/>
    <col min="15561" max="15564" width="13.42578125" style="202" customWidth="1"/>
    <col min="15565" max="15565" width="9.140625" style="202"/>
    <col min="15566" max="15569" width="13.42578125" style="202" customWidth="1"/>
    <col min="15570" max="15570" width="9.140625" style="202"/>
    <col min="15571" max="15574" width="13.42578125" style="202" customWidth="1"/>
    <col min="15575" max="15575" width="9.140625" style="202"/>
    <col min="15576" max="15579" width="13.42578125" style="202" customWidth="1"/>
    <col min="15580" max="15806" width="9.140625" style="202"/>
    <col min="15807" max="15807" width="11.28515625" style="202" customWidth="1"/>
    <col min="15808" max="15808" width="27.140625" style="202" customWidth="1"/>
    <col min="15809" max="15809" width="13.7109375" style="202" customWidth="1"/>
    <col min="15810" max="15810" width="14.140625" style="202" customWidth="1"/>
    <col min="15811" max="15815" width="13.42578125" style="202" customWidth="1"/>
    <col min="15816" max="15816" width="9.140625" style="202"/>
    <col min="15817" max="15820" width="13.42578125" style="202" customWidth="1"/>
    <col min="15821" max="15821" width="9.140625" style="202"/>
    <col min="15822" max="15825" width="13.42578125" style="202" customWidth="1"/>
    <col min="15826" max="15826" width="9.140625" style="202"/>
    <col min="15827" max="15830" width="13.42578125" style="202" customWidth="1"/>
    <col min="15831" max="15831" width="9.140625" style="202"/>
    <col min="15832" max="15835" width="13.42578125" style="202" customWidth="1"/>
    <col min="15836" max="16062" width="9.140625" style="202"/>
    <col min="16063" max="16063" width="11.28515625" style="202" customWidth="1"/>
    <col min="16064" max="16064" width="27.140625" style="202" customWidth="1"/>
    <col min="16065" max="16065" width="13.7109375" style="202" customWidth="1"/>
    <col min="16066" max="16066" width="14.140625" style="202" customWidth="1"/>
    <col min="16067" max="16071" width="13.42578125" style="202" customWidth="1"/>
    <col min="16072" max="16072" width="9.140625" style="202"/>
    <col min="16073" max="16076" width="13.42578125" style="202" customWidth="1"/>
    <col min="16077" max="16077" width="9.140625" style="202"/>
    <col min="16078" max="16081" width="13.42578125" style="202" customWidth="1"/>
    <col min="16082" max="16082" width="9.140625" style="202"/>
    <col min="16083" max="16086" width="13.42578125" style="202" customWidth="1"/>
    <col min="16087" max="16087" width="9.140625" style="202"/>
    <col min="16088" max="16091" width="13.42578125" style="202" customWidth="1"/>
    <col min="16092" max="16384" width="9.140625" style="202"/>
  </cols>
  <sheetData>
    <row r="1" spans="1:12" ht="22.5" customHeight="1" x14ac:dyDescent="0.3">
      <c r="A1" s="223"/>
      <c r="B1" s="273" t="s">
        <v>156</v>
      </c>
    </row>
    <row r="2" spans="1:12" hidden="1" outlineLevel="1" x14ac:dyDescent="0.3">
      <c r="A2" s="224" t="s">
        <v>93</v>
      </c>
      <c r="B2" s="201" t="s">
        <v>94</v>
      </c>
    </row>
    <row r="3" spans="1:12" ht="33" hidden="1" customHeight="1" outlineLevel="1" thickBot="1" x14ac:dyDescent="0.35">
      <c r="A3" s="224"/>
      <c r="G3" s="387" t="s">
        <v>95</v>
      </c>
      <c r="H3" s="388"/>
      <c r="I3" s="389"/>
      <c r="K3" s="387" t="s">
        <v>96</v>
      </c>
      <c r="L3" s="389"/>
    </row>
    <row r="4" spans="1:12" ht="33.75" hidden="1" customHeight="1" outlineLevel="1" x14ac:dyDescent="0.3">
      <c r="A4" s="224"/>
      <c r="B4" s="390" t="s">
        <v>97</v>
      </c>
      <c r="C4" s="392" t="s">
        <v>98</v>
      </c>
      <c r="D4" s="225" t="s">
        <v>99</v>
      </c>
      <c r="E4" s="225" t="s">
        <v>100</v>
      </c>
      <c r="F4" s="225"/>
      <c r="G4" s="394" t="s">
        <v>101</v>
      </c>
      <c r="H4" s="381"/>
      <c r="I4" s="395"/>
      <c r="K4" s="390" t="s">
        <v>101</v>
      </c>
      <c r="L4" s="395"/>
    </row>
    <row r="5" spans="1:12" ht="17.25" hidden="1" outlineLevel="1" thickBot="1" x14ac:dyDescent="0.35">
      <c r="A5" s="224"/>
      <c r="B5" s="391"/>
      <c r="C5" s="393"/>
      <c r="D5" s="226" t="s">
        <v>102</v>
      </c>
      <c r="E5" s="226" t="s">
        <v>64</v>
      </c>
      <c r="F5" s="226"/>
      <c r="G5" s="226" t="s">
        <v>65</v>
      </c>
      <c r="H5" s="345"/>
      <c r="I5" s="227" t="s">
        <v>66</v>
      </c>
      <c r="K5" s="343" t="s">
        <v>65</v>
      </c>
      <c r="L5" s="227" t="s">
        <v>66</v>
      </c>
    </row>
    <row r="6" spans="1:12" hidden="1" outlineLevel="1" x14ac:dyDescent="0.3">
      <c r="A6" s="224"/>
      <c r="B6" s="203" t="s">
        <v>67</v>
      </c>
      <c r="C6" s="204" t="s">
        <v>63</v>
      </c>
      <c r="D6" s="228">
        <v>750</v>
      </c>
      <c r="E6" s="228"/>
      <c r="F6" s="229"/>
      <c r="G6" s="229">
        <f>Residential!L47</f>
        <v>5.144999999999996</v>
      </c>
      <c r="H6" s="229"/>
      <c r="I6" s="230">
        <f>Residential!M47</f>
        <v>0.18761035098633075</v>
      </c>
      <c r="K6" s="350">
        <f>Residential!R47</f>
        <v>0.88631199999999666</v>
      </c>
      <c r="L6" s="230">
        <f>Residential!S47</f>
        <v>2.7213479378768456E-2</v>
      </c>
    </row>
    <row r="7" spans="1:12" hidden="1" outlineLevel="1" x14ac:dyDescent="0.3">
      <c r="A7" s="224"/>
      <c r="B7" s="209" t="s">
        <v>103</v>
      </c>
      <c r="C7" s="210" t="s">
        <v>63</v>
      </c>
      <c r="D7" s="232">
        <v>2000</v>
      </c>
      <c r="E7" s="232"/>
      <c r="F7" s="233"/>
      <c r="G7" s="233">
        <f>'GS&lt;50'!L47</f>
        <v>12.810000000000002</v>
      </c>
      <c r="H7" s="233"/>
      <c r="I7" s="234">
        <f>'GS&lt;50'!M47</f>
        <v>0.20054179159434016</v>
      </c>
      <c r="K7" s="351">
        <f>'GS&lt;50'!R47</f>
        <v>1.2049860226651106</v>
      </c>
      <c r="L7" s="234">
        <f>'GS&lt;50'!S47</f>
        <v>1.5713049815315544E-2</v>
      </c>
    </row>
    <row r="8" spans="1:12" hidden="1" outlineLevel="1" x14ac:dyDescent="0.3">
      <c r="A8" s="224"/>
      <c r="B8" s="236" t="s">
        <v>104</v>
      </c>
      <c r="C8" s="237" t="s">
        <v>64</v>
      </c>
      <c r="D8" s="238">
        <v>80000</v>
      </c>
      <c r="E8" s="232">
        <v>250</v>
      </c>
      <c r="F8" s="233"/>
      <c r="G8" s="233">
        <f>'GS&gt;50'!L50</f>
        <v>606.91500000000008</v>
      </c>
      <c r="H8" s="233"/>
      <c r="I8" s="234">
        <f>'GS&gt;50'!M50</f>
        <v>0.61046178295899189</v>
      </c>
      <c r="K8" s="351">
        <f>'GS&gt;50'!R50</f>
        <v>-133.30999999999995</v>
      </c>
      <c r="L8" s="234">
        <f>'GS&gt;50'!S50</f>
        <v>-8.326124770080659E-2</v>
      </c>
    </row>
    <row r="9" spans="1:12" hidden="1" outlineLevel="1" x14ac:dyDescent="0.3">
      <c r="A9" s="224"/>
      <c r="B9" s="236" t="s">
        <v>68</v>
      </c>
      <c r="C9" s="237" t="s">
        <v>64</v>
      </c>
      <c r="D9" s="238">
        <v>2800000</v>
      </c>
      <c r="E9" s="232">
        <v>7350</v>
      </c>
      <c r="F9" s="233"/>
      <c r="G9" s="233">
        <f>LU!L50</f>
        <v>13310.080000000005</v>
      </c>
      <c r="H9" s="233"/>
      <c r="I9" s="234">
        <f>LU!M50</f>
        <v>0.75545938153165526</v>
      </c>
      <c r="K9" s="351">
        <f>LU!R50</f>
        <v>-6472.4450000000033</v>
      </c>
      <c r="L9" s="234">
        <f>LU!S50</f>
        <v>-0.20927051187727358</v>
      </c>
    </row>
    <row r="10" spans="1:12" hidden="1" outlineLevel="1" x14ac:dyDescent="0.3">
      <c r="A10" s="224"/>
      <c r="B10" s="236" t="s">
        <v>69</v>
      </c>
      <c r="C10" s="237" t="s">
        <v>63</v>
      </c>
      <c r="D10" s="238">
        <v>150</v>
      </c>
      <c r="E10" s="232"/>
      <c r="F10" s="233"/>
      <c r="G10" s="233">
        <f>USL!L49</f>
        <v>2.7650000000000006</v>
      </c>
      <c r="H10" s="233"/>
      <c r="I10" s="234">
        <f>USL!M49</f>
        <v>0.28787090057261849</v>
      </c>
      <c r="K10" s="351">
        <f>USL!R49</f>
        <v>-0.39000000000000234</v>
      </c>
      <c r="L10" s="234">
        <f>USL!S49</f>
        <v>-3.1527890056588709E-2</v>
      </c>
    </row>
    <row r="11" spans="1:12" hidden="1" outlineLevel="1" x14ac:dyDescent="0.3">
      <c r="A11" s="224"/>
      <c r="B11" s="236" t="s">
        <v>105</v>
      </c>
      <c r="C11" s="237" t="s">
        <v>64</v>
      </c>
      <c r="D11" s="238">
        <v>180</v>
      </c>
      <c r="E11" s="232">
        <v>1</v>
      </c>
      <c r="F11" s="233"/>
      <c r="G11" s="233">
        <f>Sentinel!L50</f>
        <v>2.2077999999999989</v>
      </c>
      <c r="H11" s="233"/>
      <c r="I11" s="234">
        <f>Sentinel!M50</f>
        <v>0.18899322884119868</v>
      </c>
      <c r="K11" s="351">
        <f>Sentinel!R50</f>
        <v>0.81789999999999985</v>
      </c>
      <c r="L11" s="234">
        <f>Sentinel!S50</f>
        <v>5.8885361094912048E-2</v>
      </c>
    </row>
    <row r="12" spans="1:12" ht="17.25" hidden="1" outlineLevel="1" thickBot="1" x14ac:dyDescent="0.35">
      <c r="A12" s="224"/>
      <c r="B12" s="239" t="s">
        <v>70</v>
      </c>
      <c r="C12" s="217" t="s">
        <v>64</v>
      </c>
      <c r="D12" s="240">
        <v>280</v>
      </c>
      <c r="E12" s="240">
        <v>1</v>
      </c>
      <c r="F12" s="241"/>
      <c r="G12" s="241">
        <f>SL!L50</f>
        <v>1.372399999999999</v>
      </c>
      <c r="H12" s="241"/>
      <c r="I12" s="242">
        <f>SL!M50</f>
        <v>0.17143214040347246</v>
      </c>
      <c r="K12" s="352">
        <f>SL!R50</f>
        <v>-1.5975000000000001</v>
      </c>
      <c r="L12" s="242">
        <f>SL!S50</f>
        <v>-0.1703473059000416</v>
      </c>
    </row>
    <row r="13" spans="1:12" hidden="1" outlineLevel="1" x14ac:dyDescent="0.3">
      <c r="A13" s="224"/>
    </row>
    <row r="14" spans="1:12" hidden="1" outlineLevel="1" x14ac:dyDescent="0.3">
      <c r="A14" s="224" t="s">
        <v>106</v>
      </c>
      <c r="B14" s="201" t="s">
        <v>107</v>
      </c>
    </row>
    <row r="15" spans="1:12" ht="17.25" hidden="1" outlineLevel="1" thickBot="1" x14ac:dyDescent="0.35">
      <c r="A15" s="224"/>
      <c r="G15" s="374"/>
      <c r="H15" s="374"/>
      <c r="I15" s="374"/>
    </row>
    <row r="16" spans="1:12" ht="33" hidden="1" customHeight="1" outlineLevel="1" x14ac:dyDescent="0.3">
      <c r="A16" s="224"/>
      <c r="B16" s="377" t="s">
        <v>97</v>
      </c>
      <c r="C16" s="379" t="s">
        <v>98</v>
      </c>
      <c r="D16" s="225" t="s">
        <v>99</v>
      </c>
      <c r="E16" s="225" t="s">
        <v>100</v>
      </c>
      <c r="F16" s="344"/>
      <c r="G16" s="381" t="s">
        <v>108</v>
      </c>
      <c r="H16" s="382"/>
      <c r="I16" s="373"/>
      <c r="K16" s="372" t="s">
        <v>108</v>
      </c>
      <c r="L16" s="373"/>
    </row>
    <row r="17" spans="1:12" ht="17.25" hidden="1" outlineLevel="1" thickBot="1" x14ac:dyDescent="0.35">
      <c r="A17" s="224"/>
      <c r="B17" s="378"/>
      <c r="C17" s="380"/>
      <c r="D17" s="226" t="s">
        <v>102</v>
      </c>
      <c r="E17" s="226" t="s">
        <v>64</v>
      </c>
      <c r="F17" s="226"/>
      <c r="G17" s="226" t="s">
        <v>65</v>
      </c>
      <c r="H17" s="345"/>
      <c r="I17" s="227" t="s">
        <v>66</v>
      </c>
      <c r="K17" s="343" t="s">
        <v>65</v>
      </c>
      <c r="L17" s="227" t="s">
        <v>66</v>
      </c>
    </row>
    <row r="18" spans="1:12" hidden="1" outlineLevel="1" x14ac:dyDescent="0.3">
      <c r="A18" s="224"/>
      <c r="B18" s="203" t="str">
        <f t="shared" ref="B18:E24" si="0">B6</f>
        <v>Residential</v>
      </c>
      <c r="C18" s="204" t="str">
        <f t="shared" si="0"/>
        <v>kWh</v>
      </c>
      <c r="D18" s="205">
        <f t="shared" si="0"/>
        <v>750</v>
      </c>
      <c r="E18" s="205">
        <f t="shared" si="0"/>
        <v>0</v>
      </c>
      <c r="F18" s="206"/>
      <c r="G18" s="206">
        <f>Residential!L50</f>
        <v>5.144999999999996</v>
      </c>
      <c r="H18" s="206"/>
      <c r="I18" s="207">
        <f>Residential!M50</f>
        <v>0.14155450925053206</v>
      </c>
      <c r="K18" s="353">
        <f>Residential!R50</f>
        <v>1.2958495000000028</v>
      </c>
      <c r="L18" s="207">
        <f>Residential!S50</f>
        <v>3.1231744344267856E-2</v>
      </c>
    </row>
    <row r="19" spans="1:12" hidden="1" outlineLevel="1" x14ac:dyDescent="0.3">
      <c r="A19" s="224"/>
      <c r="B19" s="209" t="str">
        <f t="shared" si="0"/>
        <v>GS&lt;50 kW</v>
      </c>
      <c r="C19" s="210" t="str">
        <f t="shared" si="0"/>
        <v>kWh</v>
      </c>
      <c r="D19" s="211">
        <f t="shared" si="0"/>
        <v>2000</v>
      </c>
      <c r="E19" s="211">
        <f t="shared" si="0"/>
        <v>0</v>
      </c>
      <c r="F19" s="212"/>
      <c r="G19" s="212">
        <f>'GS&lt;50'!L50</f>
        <v>12.810000000000002</v>
      </c>
      <c r="H19" s="212"/>
      <c r="I19" s="213">
        <f>'GS&lt;50'!M50</f>
        <v>0.15074000279592703</v>
      </c>
      <c r="K19" s="354">
        <f>'GS&lt;50'!R50</f>
        <v>2.0834660226651209</v>
      </c>
      <c r="L19" s="213">
        <f>'GS&lt;50'!S50</f>
        <v>2.1305346462847014E-2</v>
      </c>
    </row>
    <row r="20" spans="1:12" hidden="1" outlineLevel="1" x14ac:dyDescent="0.3">
      <c r="A20" s="224"/>
      <c r="B20" s="209" t="str">
        <f t="shared" si="0"/>
        <v>GS&gt;50 kW</v>
      </c>
      <c r="C20" s="210" t="str">
        <f t="shared" si="0"/>
        <v>kW</v>
      </c>
      <c r="D20" s="215">
        <f t="shared" si="0"/>
        <v>80000</v>
      </c>
      <c r="E20" s="211">
        <f t="shared" si="0"/>
        <v>250</v>
      </c>
      <c r="F20" s="212"/>
      <c r="G20" s="212">
        <f>'GS&gt;50'!L53</f>
        <v>606.91499999999996</v>
      </c>
      <c r="H20" s="212"/>
      <c r="I20" s="213">
        <f>'GS&gt;50'!M53</f>
        <v>0.30087896725066182</v>
      </c>
      <c r="K20" s="354">
        <f>'GS&gt;50'!R53</f>
        <v>-109.11000000000013</v>
      </c>
      <c r="L20" s="213">
        <f>'GS&gt;50'!S53</f>
        <v>-4.1580683331713754E-2</v>
      </c>
    </row>
    <row r="21" spans="1:12" hidden="1" outlineLevel="1" x14ac:dyDescent="0.3">
      <c r="A21" s="224"/>
      <c r="B21" s="209" t="str">
        <f t="shared" si="0"/>
        <v>Large Use</v>
      </c>
      <c r="C21" s="210" t="str">
        <f t="shared" si="0"/>
        <v>kW</v>
      </c>
      <c r="D21" s="215">
        <f t="shared" si="0"/>
        <v>2800000</v>
      </c>
      <c r="E21" s="211">
        <f t="shared" si="0"/>
        <v>7350</v>
      </c>
      <c r="F21" s="212"/>
      <c r="G21" s="212">
        <f>LU!L53</f>
        <v>13310.080000000002</v>
      </c>
      <c r="H21" s="212"/>
      <c r="I21" s="213">
        <f>LU!M53</f>
        <v>0.25637080510735344</v>
      </c>
      <c r="K21" s="354">
        <f>LU!R53</f>
        <v>-5095.0550000000076</v>
      </c>
      <c r="L21" s="213">
        <f>LU!S53</f>
        <v>-7.8112213000123679E-2</v>
      </c>
    </row>
    <row r="22" spans="1:12" hidden="1" outlineLevel="1" x14ac:dyDescent="0.3">
      <c r="A22" s="224"/>
      <c r="B22" s="209" t="str">
        <f t="shared" si="0"/>
        <v>Unmetered Scattered Load</v>
      </c>
      <c r="C22" s="210" t="str">
        <f t="shared" si="0"/>
        <v>kWh</v>
      </c>
      <c r="D22" s="215">
        <f t="shared" si="0"/>
        <v>150</v>
      </c>
      <c r="E22" s="211">
        <f t="shared" si="0"/>
        <v>0</v>
      </c>
      <c r="F22" s="212"/>
      <c r="G22" s="212">
        <f>USL!L52</f>
        <v>2.7650000000000006</v>
      </c>
      <c r="H22" s="212"/>
      <c r="I22" s="213">
        <f>USL!M52</f>
        <v>0.24578094562107694</v>
      </c>
      <c r="K22" s="354">
        <f>USL!R52</f>
        <v>-0.4172910000000023</v>
      </c>
      <c r="L22" s="213">
        <f>USL!S52</f>
        <v>-2.9774906697215369E-2</v>
      </c>
    </row>
    <row r="23" spans="1:12" hidden="1" outlineLevel="1" x14ac:dyDescent="0.3">
      <c r="A23" s="224"/>
      <c r="B23" s="209" t="str">
        <f t="shared" si="0"/>
        <v>Sentinel Lights</v>
      </c>
      <c r="C23" s="210" t="str">
        <f t="shared" si="0"/>
        <v>kW</v>
      </c>
      <c r="D23" s="215">
        <f t="shared" si="0"/>
        <v>180</v>
      </c>
      <c r="E23" s="211">
        <f t="shared" si="0"/>
        <v>1</v>
      </c>
      <c r="F23" s="212"/>
      <c r="G23" s="212">
        <f>Sentinel!L53</f>
        <v>2.2078000000000007</v>
      </c>
      <c r="H23" s="212"/>
      <c r="I23" s="213">
        <f>Sentinel!M53</f>
        <v>0.14916660473349597</v>
      </c>
      <c r="K23" s="354">
        <f>Sentinel!R53</f>
        <v>0.90679999999999694</v>
      </c>
      <c r="L23" s="213">
        <f>Sentinel!S53</f>
        <v>5.3313892302174586E-2</v>
      </c>
    </row>
    <row r="24" spans="1:12" ht="17.25" hidden="1" outlineLevel="1" thickBot="1" x14ac:dyDescent="0.35">
      <c r="A24" s="224"/>
      <c r="B24" s="216" t="str">
        <f t="shared" si="0"/>
        <v>Street Lighting</v>
      </c>
      <c r="C24" s="217" t="str">
        <f t="shared" si="0"/>
        <v>kW</v>
      </c>
      <c r="D24" s="218">
        <f t="shared" si="0"/>
        <v>280</v>
      </c>
      <c r="E24" s="218">
        <f t="shared" si="0"/>
        <v>1</v>
      </c>
      <c r="F24" s="219"/>
      <c r="G24" s="219">
        <f>SL!L53</f>
        <v>1.372399999999999</v>
      </c>
      <c r="H24" s="219"/>
      <c r="I24" s="220">
        <f>Sentinel!M53</f>
        <v>0.14916660473349597</v>
      </c>
      <c r="K24" s="355">
        <f>SL!R53</f>
        <v>-0.47300000000000075</v>
      </c>
      <c r="L24" s="220">
        <f>SL!S53</f>
        <v>-3.7693748256763818E-2</v>
      </c>
    </row>
    <row r="25" spans="1:12" hidden="1" outlineLevel="1" x14ac:dyDescent="0.3">
      <c r="A25" s="224"/>
    </row>
    <row r="26" spans="1:12" hidden="1" outlineLevel="1" x14ac:dyDescent="0.3">
      <c r="A26" s="224"/>
    </row>
    <row r="27" spans="1:12" hidden="1" outlineLevel="1" x14ac:dyDescent="0.3">
      <c r="A27" s="224" t="s">
        <v>109</v>
      </c>
      <c r="B27" s="201" t="s">
        <v>110</v>
      </c>
    </row>
    <row r="28" spans="1:12" ht="17.25" hidden="1" outlineLevel="1" thickBot="1" x14ac:dyDescent="0.35">
      <c r="G28" s="374"/>
      <c r="H28" s="374"/>
      <c r="I28" s="374"/>
    </row>
    <row r="29" spans="1:12" ht="33" hidden="1" customHeight="1" outlineLevel="1" x14ac:dyDescent="0.3">
      <c r="B29" s="377" t="s">
        <v>97</v>
      </c>
      <c r="C29" s="379" t="s">
        <v>98</v>
      </c>
      <c r="D29" s="225" t="s">
        <v>99</v>
      </c>
      <c r="E29" s="225" t="s">
        <v>100</v>
      </c>
      <c r="F29" s="344"/>
      <c r="G29" s="381" t="s">
        <v>111</v>
      </c>
      <c r="H29" s="382"/>
      <c r="I29" s="373"/>
      <c r="K29" s="372" t="s">
        <v>111</v>
      </c>
      <c r="L29" s="373"/>
    </row>
    <row r="30" spans="1:12" ht="17.25" hidden="1" outlineLevel="1" thickBot="1" x14ac:dyDescent="0.35">
      <c r="B30" s="378"/>
      <c r="C30" s="380"/>
      <c r="D30" s="226" t="s">
        <v>102</v>
      </c>
      <c r="E30" s="226" t="s">
        <v>64</v>
      </c>
      <c r="F30" s="226"/>
      <c r="G30" s="226" t="s">
        <v>65</v>
      </c>
      <c r="H30" s="345"/>
      <c r="I30" s="227" t="s">
        <v>66</v>
      </c>
      <c r="K30" s="343" t="s">
        <v>65</v>
      </c>
      <c r="L30" s="227" t="s">
        <v>66</v>
      </c>
    </row>
    <row r="31" spans="1:12" hidden="1" outlineLevel="1" x14ac:dyDescent="0.3">
      <c r="B31" s="203" t="str">
        <f>B18</f>
        <v>Residential</v>
      </c>
      <c r="C31" s="204" t="str">
        <f>C18</f>
        <v>kWh</v>
      </c>
      <c r="D31" s="205">
        <f>D18</f>
        <v>750</v>
      </c>
      <c r="E31" s="205">
        <f>E18</f>
        <v>0</v>
      </c>
      <c r="F31" s="206"/>
      <c r="G31" s="206">
        <f>Residential!L65</f>
        <v>5.8138500000000022</v>
      </c>
      <c r="H31" s="206"/>
      <c r="I31" s="207">
        <f>Residential!M65</f>
        <v>4.1126043048775499E-2</v>
      </c>
      <c r="K31" s="353">
        <f>Residential!R65</f>
        <v>1.4742765349999729</v>
      </c>
      <c r="L31" s="207">
        <f>Residential!S65</f>
        <v>1.0016794088763109E-2</v>
      </c>
    </row>
    <row r="32" spans="1:12" hidden="1" outlineLevel="1" x14ac:dyDescent="0.3">
      <c r="B32" s="209" t="str">
        <f t="shared" ref="B32:E37" si="1">B19</f>
        <v>GS&lt;50 kW</v>
      </c>
      <c r="C32" s="210" t="str">
        <f t="shared" si="1"/>
        <v>kWh</v>
      </c>
      <c r="D32" s="211">
        <f t="shared" si="1"/>
        <v>2000</v>
      </c>
      <c r="E32" s="211">
        <f t="shared" si="1"/>
        <v>0</v>
      </c>
      <c r="F32" s="212"/>
      <c r="G32" s="212">
        <f>'GS&lt;50'!L65</f>
        <v>14.475299999999947</v>
      </c>
      <c r="H32" s="212"/>
      <c r="I32" s="213">
        <f>'GS&lt;50'!M65</f>
        <v>3.8210420760267323E-2</v>
      </c>
      <c r="K32" s="354">
        <f>'GS&lt;50'!R65</f>
        <v>2.3808942056115256</v>
      </c>
      <c r="L32" s="213">
        <f>'GS&lt;50'!S65</f>
        <v>6.053533654236146E-3</v>
      </c>
    </row>
    <row r="33" spans="2:13" s="202" customFormat="1" hidden="1" outlineLevel="1" x14ac:dyDescent="0.3">
      <c r="B33" s="209" t="str">
        <f t="shared" si="1"/>
        <v>GS&gt;50 kW</v>
      </c>
      <c r="C33" s="210" t="str">
        <f t="shared" si="1"/>
        <v>kW</v>
      </c>
      <c r="D33" s="211">
        <f t="shared" si="1"/>
        <v>80000</v>
      </c>
      <c r="E33" s="211">
        <f t="shared" si="1"/>
        <v>250</v>
      </c>
      <c r="F33" s="212"/>
      <c r="G33" s="212">
        <f>'GS&gt;50'!L68</f>
        <v>685.81394999999975</v>
      </c>
      <c r="H33" s="212"/>
      <c r="I33" s="213">
        <f>'GS&gt;50'!M68</f>
        <v>4.9235436138277126E-2</v>
      </c>
      <c r="K33" s="354">
        <f>'GS&gt;50'!R68</f>
        <v>-97.966389600000184</v>
      </c>
      <c r="L33" s="213">
        <f>'GS&gt;50'!S68</f>
        <v>-6.703098911917566E-3</v>
      </c>
    </row>
    <row r="34" spans="2:13" s="202" customFormat="1" hidden="1" outlineLevel="1" x14ac:dyDescent="0.3">
      <c r="B34" s="209" t="str">
        <f t="shared" si="1"/>
        <v>Large Use</v>
      </c>
      <c r="C34" s="210" t="str">
        <f t="shared" si="1"/>
        <v>kW</v>
      </c>
      <c r="D34" s="211">
        <f t="shared" si="1"/>
        <v>2800000</v>
      </c>
      <c r="E34" s="211">
        <f t="shared" si="1"/>
        <v>7350</v>
      </c>
      <c r="F34" s="212"/>
      <c r="G34" s="212">
        <f>LU!L68</f>
        <v>15040.390399999975</v>
      </c>
      <c r="H34" s="212"/>
      <c r="I34" s="213">
        <f>LU!M68</f>
        <v>3.2247579758578906E-2</v>
      </c>
      <c r="K34" s="354">
        <f>LU!R68</f>
        <v>-4870.9352860000799</v>
      </c>
      <c r="L34" s="213">
        <f>LU!S68</f>
        <v>-1.011734367364076E-2</v>
      </c>
    </row>
    <row r="35" spans="2:13" s="202" customFormat="1" hidden="1" outlineLevel="1" x14ac:dyDescent="0.3">
      <c r="B35" s="209" t="str">
        <f t="shared" si="1"/>
        <v>Unmetered Scattered Load</v>
      </c>
      <c r="C35" s="210" t="str">
        <f t="shared" si="1"/>
        <v>kWh</v>
      </c>
      <c r="D35" s="211">
        <f t="shared" si="1"/>
        <v>150</v>
      </c>
      <c r="E35" s="211">
        <f t="shared" si="1"/>
        <v>0</v>
      </c>
      <c r="F35" s="212"/>
      <c r="G35" s="212">
        <f>USL!L67</f>
        <v>3.1244500000000031</v>
      </c>
      <c r="H35" s="212"/>
      <c r="I35" s="213">
        <f>USL!M67</f>
        <v>8.9685416481477737E-2</v>
      </c>
      <c r="K35" s="354">
        <f>USL!R67</f>
        <v>-0.4240489979999964</v>
      </c>
      <c r="L35" s="213">
        <f>USL!S67</f>
        <v>-1.1170256679237248E-2</v>
      </c>
    </row>
    <row r="36" spans="2:13" s="202" customFormat="1" hidden="1" outlineLevel="1" x14ac:dyDescent="0.3">
      <c r="B36" s="209" t="str">
        <f t="shared" si="1"/>
        <v>Sentinel Lights</v>
      </c>
      <c r="C36" s="210" t="str">
        <f t="shared" si="1"/>
        <v>kW</v>
      </c>
      <c r="D36" s="211">
        <f t="shared" si="1"/>
        <v>180</v>
      </c>
      <c r="E36" s="211">
        <f t="shared" si="1"/>
        <v>1</v>
      </c>
      <c r="F36" s="212"/>
      <c r="G36" s="212">
        <f>Sentinel!L68</f>
        <v>2.4948139999999981</v>
      </c>
      <c r="H36" s="212"/>
      <c r="I36" s="213">
        <f>Sentinel!M68</f>
        <v>5.772470525927071E-2</v>
      </c>
      <c r="K36" s="354">
        <f>Sentinel!R68</f>
        <v>1.0816717983999951</v>
      </c>
      <c r="L36" s="213">
        <f>Sentinel!S68</f>
        <v>2.366172541059177E-2</v>
      </c>
    </row>
    <row r="37" spans="2:13" s="202" customFormat="1" ht="17.25" hidden="1" outlineLevel="1" thickBot="1" x14ac:dyDescent="0.35">
      <c r="B37" s="216" t="str">
        <f t="shared" si="1"/>
        <v>Street Lighting</v>
      </c>
      <c r="C37" s="217" t="str">
        <f t="shared" si="1"/>
        <v>kW</v>
      </c>
      <c r="D37" s="218">
        <f t="shared" si="1"/>
        <v>280</v>
      </c>
      <c r="E37" s="218">
        <f t="shared" si="1"/>
        <v>1</v>
      </c>
      <c r="F37" s="219"/>
      <c r="G37" s="219">
        <f>SL!L68</f>
        <v>1.5508120000000005</v>
      </c>
      <c r="H37" s="219"/>
      <c r="I37" s="220">
        <f>SL!M68</f>
        <v>2.8887153115155325E-2</v>
      </c>
      <c r="K37" s="355">
        <f>SL!R68</f>
        <v>-0.44584231359999649</v>
      </c>
      <c r="L37" s="220">
        <f>SL!S68</f>
        <v>-8.0715906704520585E-3</v>
      </c>
    </row>
    <row r="38" spans="2:13" hidden="1" outlineLevel="1" x14ac:dyDescent="0.3"/>
    <row r="39" spans="2:13" hidden="1" outlineLevel="1" x14ac:dyDescent="0.3"/>
    <row r="40" spans="2:13" s="202" customFormat="1" ht="17.25" collapsed="1" thickBot="1" x14ac:dyDescent="0.35">
      <c r="B40" s="201" t="s">
        <v>92</v>
      </c>
      <c r="J40" s="272"/>
      <c r="K40" s="356"/>
      <c r="L40" s="272"/>
      <c r="M40" s="272"/>
    </row>
    <row r="41" spans="2:13" s="202" customFormat="1" ht="49.5" x14ac:dyDescent="0.3">
      <c r="B41" s="375" t="s">
        <v>97</v>
      </c>
      <c r="C41" s="266" t="s">
        <v>118</v>
      </c>
      <c r="D41" s="266" t="s">
        <v>124</v>
      </c>
      <c r="E41" s="266" t="s">
        <v>121</v>
      </c>
      <c r="F41" s="383" t="s">
        <v>117</v>
      </c>
      <c r="G41" s="384"/>
      <c r="H41" s="384"/>
      <c r="I41" s="385"/>
      <c r="J41" s="272"/>
      <c r="K41" s="356"/>
      <c r="L41" s="272"/>
      <c r="M41" s="272"/>
    </row>
    <row r="42" spans="2:13" s="202" customFormat="1" ht="17.25" thickBot="1" x14ac:dyDescent="0.35">
      <c r="B42" s="376"/>
      <c r="C42" s="267" t="s">
        <v>119</v>
      </c>
      <c r="D42" s="267" t="s">
        <v>120</v>
      </c>
      <c r="E42" s="267" t="s">
        <v>122</v>
      </c>
      <c r="F42" s="346" t="s">
        <v>159</v>
      </c>
      <c r="G42" s="348">
        <v>2016</v>
      </c>
      <c r="H42" s="348" t="s">
        <v>158</v>
      </c>
      <c r="I42" s="347">
        <v>2017</v>
      </c>
      <c r="J42" s="272"/>
      <c r="K42" s="356"/>
      <c r="L42" s="272"/>
      <c r="M42" s="272"/>
    </row>
    <row r="43" spans="2:13" s="202" customFormat="1" x14ac:dyDescent="0.3">
      <c r="B43" s="209" t="s">
        <v>67</v>
      </c>
      <c r="C43" s="263" t="s">
        <v>63</v>
      </c>
      <c r="D43" s="268">
        <v>750</v>
      </c>
      <c r="E43" s="268"/>
      <c r="F43" s="270">
        <f>'[3]Summary Tables'!$F43</f>
        <v>-4.2845901342845147E-2</v>
      </c>
      <c r="G43" s="257">
        <f t="shared" ref="G43:G49" si="2">I6</f>
        <v>0.18761035098633075</v>
      </c>
      <c r="H43" s="257">
        <f>'[3]Summary Tables'!$G43</f>
        <v>0.274538094225806</v>
      </c>
      <c r="I43" s="258">
        <f t="shared" ref="I43:I49" si="3">L6</f>
        <v>2.7213479378768456E-2</v>
      </c>
      <c r="J43" s="272"/>
      <c r="L43" s="272"/>
      <c r="M43" s="272"/>
    </row>
    <row r="44" spans="2:13" s="202" customFormat="1" x14ac:dyDescent="0.3">
      <c r="B44" s="209" t="s">
        <v>103</v>
      </c>
      <c r="C44" s="264" t="s">
        <v>63</v>
      </c>
      <c r="D44" s="269">
        <v>2000</v>
      </c>
      <c r="E44" s="269"/>
      <c r="F44" s="271">
        <f>'[3]Summary Tables'!$F44</f>
        <v>-4.2894965571310881E-2</v>
      </c>
      <c r="G44" s="259">
        <f t="shared" si="2"/>
        <v>0.20054179159434016</v>
      </c>
      <c r="H44" s="259">
        <f>'[3]Summary Tables'!$G44</f>
        <v>0.27405657760322261</v>
      </c>
      <c r="I44" s="260">
        <f t="shared" si="3"/>
        <v>1.5713049815315544E-2</v>
      </c>
      <c r="J44" s="272"/>
      <c r="L44" s="272"/>
      <c r="M44" s="272"/>
    </row>
    <row r="45" spans="2:13" s="202" customFormat="1" x14ac:dyDescent="0.3">
      <c r="B45" s="209" t="s">
        <v>104</v>
      </c>
      <c r="C45" s="264" t="s">
        <v>64</v>
      </c>
      <c r="D45" s="269">
        <v>80000</v>
      </c>
      <c r="E45" s="269">
        <v>250</v>
      </c>
      <c r="F45" s="271">
        <f>'[3]Summary Tables'!$F45</f>
        <v>0.3204820004224545</v>
      </c>
      <c r="G45" s="259">
        <f t="shared" si="2"/>
        <v>0.61046178295899189</v>
      </c>
      <c r="H45" s="259">
        <f>'[3]Summary Tables'!$G45</f>
        <v>0.16469252976439855</v>
      </c>
      <c r="I45" s="260">
        <f t="shared" si="3"/>
        <v>-8.326124770080659E-2</v>
      </c>
      <c r="J45" s="272"/>
      <c r="L45" s="272"/>
      <c r="M45" s="272"/>
    </row>
    <row r="46" spans="2:13" s="202" customFormat="1" x14ac:dyDescent="0.3">
      <c r="B46" s="209" t="s">
        <v>68</v>
      </c>
      <c r="C46" s="264" t="s">
        <v>64</v>
      </c>
      <c r="D46" s="269">
        <v>2800000</v>
      </c>
      <c r="E46" s="269">
        <v>7350</v>
      </c>
      <c r="F46" s="271">
        <f>'[3]Summary Tables'!$F46</f>
        <v>0.12148094122521642</v>
      </c>
      <c r="G46" s="259">
        <f t="shared" si="2"/>
        <v>0.75545938153165526</v>
      </c>
      <c r="H46" s="259">
        <f>'[3]Summary Tables'!$G46</f>
        <v>0.23773257944292253</v>
      </c>
      <c r="I46" s="260">
        <f t="shared" si="3"/>
        <v>-0.20927051187727358</v>
      </c>
      <c r="J46" s="272"/>
      <c r="L46" s="272"/>
      <c r="M46" s="272"/>
    </row>
    <row r="47" spans="2:13" s="202" customFormat="1" x14ac:dyDescent="0.3">
      <c r="B47" s="209" t="s">
        <v>69</v>
      </c>
      <c r="C47" s="264" t="s">
        <v>63</v>
      </c>
      <c r="D47" s="269">
        <v>150</v>
      </c>
      <c r="E47" s="269"/>
      <c r="F47" s="271">
        <f>'[3]Summary Tables'!$F47</f>
        <v>8.8495575221239822E-3</v>
      </c>
      <c r="G47" s="259">
        <f t="shared" si="2"/>
        <v>0.28787090057261849</v>
      </c>
      <c r="H47" s="259">
        <f>'[3]Summary Tables'!$G47</f>
        <v>0.23632610939112456</v>
      </c>
      <c r="I47" s="260">
        <f t="shared" si="3"/>
        <v>-3.1527890056588709E-2</v>
      </c>
      <c r="J47" s="272"/>
      <c r="L47" s="272"/>
      <c r="M47" s="272"/>
    </row>
    <row r="48" spans="2:13" s="202" customFormat="1" x14ac:dyDescent="0.3">
      <c r="B48" s="209" t="s">
        <v>105</v>
      </c>
      <c r="C48" s="264" t="s">
        <v>64</v>
      </c>
      <c r="D48" s="269">
        <v>180</v>
      </c>
      <c r="E48" s="269"/>
      <c r="F48" s="271">
        <f>'[3]Summary Tables'!$F48</f>
        <v>-9.1971340278550626E-2</v>
      </c>
      <c r="G48" s="259">
        <f t="shared" si="2"/>
        <v>0.18899322884119868</v>
      </c>
      <c r="H48" s="259">
        <f>'[3]Summary Tables'!$G48</f>
        <v>0.38652839971718117</v>
      </c>
      <c r="I48" s="260">
        <f t="shared" si="3"/>
        <v>5.8885361094912048E-2</v>
      </c>
      <c r="J48" s="272"/>
      <c r="L48" s="272"/>
      <c r="M48" s="272"/>
    </row>
    <row r="49" spans="1:13" ht="17.25" thickBot="1" x14ac:dyDescent="0.35">
      <c r="A49" s="202"/>
      <c r="B49" s="209" t="s">
        <v>70</v>
      </c>
      <c r="C49" s="264" t="s">
        <v>64</v>
      </c>
      <c r="D49" s="269">
        <v>280</v>
      </c>
      <c r="E49" s="269"/>
      <c r="F49" s="271">
        <f>'[3]Summary Tables'!$F49</f>
        <v>0.19766410592717501</v>
      </c>
      <c r="G49" s="259">
        <f t="shared" si="2"/>
        <v>0.17143214040347246</v>
      </c>
      <c r="H49" s="259">
        <f>'[3]Summary Tables'!$G49</f>
        <v>-0.18851886231604426</v>
      </c>
      <c r="I49" s="260">
        <f t="shared" si="3"/>
        <v>-0.1703473059000416</v>
      </c>
      <c r="J49" s="272"/>
      <c r="L49" s="272"/>
      <c r="M49" s="272"/>
    </row>
    <row r="50" spans="1:13" ht="17.25" thickBot="1" x14ac:dyDescent="0.35">
      <c r="A50" s="202"/>
      <c r="B50" s="256" t="s">
        <v>116</v>
      </c>
      <c r="C50" s="265"/>
      <c r="D50" s="265"/>
      <c r="E50" s="265"/>
      <c r="F50" s="280">
        <f>'[3]Summary Tables'!$F50</f>
        <v>6.7252056843466176E-2</v>
      </c>
      <c r="G50" s="261">
        <f>AVERAGE(G43:G49)</f>
        <v>0.34319565384122974</v>
      </c>
      <c r="H50" s="261">
        <f>'[3]Summary Tables'!$G50</f>
        <v>0.19790791826123016</v>
      </c>
      <c r="I50" s="262">
        <f t="shared" ref="I50" si="4">AVERAGE(I43:I49)</f>
        <v>-5.6085009320816351E-2</v>
      </c>
      <c r="J50" s="272"/>
      <c r="K50" s="357"/>
      <c r="L50" s="272"/>
      <c r="M50" s="272"/>
    </row>
    <row r="51" spans="1:13" x14ac:dyDescent="0.3">
      <c r="F51" s="272"/>
      <c r="G51" s="272"/>
      <c r="H51" s="272"/>
      <c r="I51" s="272"/>
      <c r="J51" s="272"/>
      <c r="K51" s="357"/>
      <c r="L51" s="272"/>
      <c r="M51" s="272"/>
    </row>
    <row r="52" spans="1:13" ht="17.25" thickBot="1" x14ac:dyDescent="0.35">
      <c r="A52" s="202"/>
      <c r="F52" s="272"/>
      <c r="G52" s="272"/>
      <c r="H52" s="272"/>
      <c r="I52" s="272"/>
      <c r="J52" s="272"/>
      <c r="K52" s="357"/>
      <c r="L52" s="272"/>
      <c r="M52" s="272"/>
    </row>
    <row r="53" spans="1:13" ht="49.5" x14ac:dyDescent="0.3">
      <c r="A53" s="202"/>
      <c r="B53" s="375" t="s">
        <v>97</v>
      </c>
      <c r="C53" s="266" t="s">
        <v>118</v>
      </c>
      <c r="D53" s="266" t="s">
        <v>124</v>
      </c>
      <c r="E53" s="266" t="s">
        <v>121</v>
      </c>
      <c r="F53" s="383" t="s">
        <v>110</v>
      </c>
      <c r="G53" s="384"/>
      <c r="H53" s="384"/>
      <c r="I53" s="385"/>
      <c r="J53" s="272"/>
      <c r="K53" s="386" t="s">
        <v>160</v>
      </c>
      <c r="L53" s="386"/>
      <c r="M53" s="272"/>
    </row>
    <row r="54" spans="1:13" ht="17.25" thickBot="1" x14ac:dyDescent="0.35">
      <c r="A54" s="202"/>
      <c r="B54" s="376"/>
      <c r="C54" s="267" t="s">
        <v>119</v>
      </c>
      <c r="D54" s="267" t="s">
        <v>120</v>
      </c>
      <c r="E54" s="267" t="s">
        <v>122</v>
      </c>
      <c r="F54" s="346" t="s">
        <v>159</v>
      </c>
      <c r="G54" s="348">
        <v>2016</v>
      </c>
      <c r="H54" s="348" t="s">
        <v>158</v>
      </c>
      <c r="I54" s="347">
        <v>2017</v>
      </c>
      <c r="J54" s="272"/>
      <c r="K54" s="359">
        <v>2016</v>
      </c>
      <c r="L54" s="359">
        <v>2017</v>
      </c>
      <c r="M54" s="272"/>
    </row>
    <row r="55" spans="1:13" x14ac:dyDescent="0.3">
      <c r="A55" s="202"/>
      <c r="B55" s="209" t="s">
        <v>67</v>
      </c>
      <c r="C55" s="263" t="s">
        <v>63</v>
      </c>
      <c r="D55" s="268">
        <v>750</v>
      </c>
      <c r="E55" s="268"/>
      <c r="F55" s="270">
        <f>'[3]Summary Tables'!$F55</f>
        <v>-9.3922450111390641E-3</v>
      </c>
      <c r="G55" s="257">
        <f>I31</f>
        <v>4.1126043048775499E-2</v>
      </c>
      <c r="H55" s="257">
        <f>'[3]Summary Tables'!$G55</f>
        <v>6.152489009564456E-2</v>
      </c>
      <c r="I55" s="258">
        <f>L31</f>
        <v>1.0016794088763109E-2</v>
      </c>
      <c r="J55" s="272"/>
      <c r="K55" s="360">
        <v>1.4999999999999999E-2</v>
      </c>
      <c r="L55" s="360">
        <v>3.5000000000000003E-2</v>
      </c>
      <c r="M55" s="272"/>
    </row>
    <row r="56" spans="1:13" x14ac:dyDescent="0.3">
      <c r="A56" s="202"/>
      <c r="B56" s="209" t="s">
        <v>103</v>
      </c>
      <c r="C56" s="264" t="s">
        <v>63</v>
      </c>
      <c r="D56" s="269">
        <v>2000</v>
      </c>
      <c r="E56" s="269"/>
      <c r="F56" s="271">
        <f>'[3]Summary Tables'!$F56</f>
        <v>-8.1730330119540416E-3</v>
      </c>
      <c r="G56" s="259">
        <f t="shared" ref="G56:G61" si="5">I32</f>
        <v>3.8210420760267323E-2</v>
      </c>
      <c r="H56" s="259">
        <f>'[3]Summary Tables'!$G56</f>
        <v>5.310230236470985E-2</v>
      </c>
      <c r="I56" s="260">
        <f t="shared" ref="I56:I61" si="6">L32</f>
        <v>6.053533654236146E-3</v>
      </c>
      <c r="J56" s="272"/>
      <c r="K56" s="361">
        <v>1.4999999999999999E-2</v>
      </c>
      <c r="L56" s="361">
        <v>2.8000000000000001E-2</v>
      </c>
      <c r="M56" s="272"/>
    </row>
    <row r="57" spans="1:13" x14ac:dyDescent="0.3">
      <c r="A57" s="202"/>
      <c r="B57" s="209" t="s">
        <v>104</v>
      </c>
      <c r="C57" s="264" t="s">
        <v>64</v>
      </c>
      <c r="D57" s="269">
        <v>80000</v>
      </c>
      <c r="E57" s="269">
        <v>250</v>
      </c>
      <c r="F57" s="271">
        <f>'[3]Summary Tables'!$F57</f>
        <v>2.5847762310006961E-2</v>
      </c>
      <c r="G57" s="259">
        <f t="shared" si="5"/>
        <v>4.9235436138277126E-2</v>
      </c>
      <c r="H57" s="259">
        <f>'[3]Summary Tables'!$G57</f>
        <v>2.0784144612001711E-2</v>
      </c>
      <c r="I57" s="260">
        <f t="shared" si="6"/>
        <v>-6.703098911917566E-3</v>
      </c>
      <c r="J57" s="272"/>
      <c r="K57" s="361">
        <v>1.6E-2</v>
      </c>
      <c r="L57" s="361">
        <v>1.7999999999999999E-2</v>
      </c>
      <c r="M57" s="272"/>
    </row>
    <row r="58" spans="1:13" x14ac:dyDescent="0.3">
      <c r="A58" s="202"/>
      <c r="B58" s="209" t="s">
        <v>68</v>
      </c>
      <c r="C58" s="264" t="s">
        <v>64</v>
      </c>
      <c r="D58" s="269">
        <v>2800000</v>
      </c>
      <c r="E58" s="269">
        <v>7350</v>
      </c>
      <c r="F58" s="271">
        <f>'[3]Summary Tables'!$F58</f>
        <v>5.1855419855464076E-3</v>
      </c>
      <c r="G58" s="259">
        <f t="shared" si="5"/>
        <v>3.2247579758578906E-2</v>
      </c>
      <c r="H58" s="259">
        <f>'[3]Summary Tables'!$G58</f>
        <v>1.6532703225620025E-2</v>
      </c>
      <c r="I58" s="260">
        <f t="shared" si="6"/>
        <v>-1.011734367364076E-2</v>
      </c>
      <c r="J58" s="272"/>
      <c r="K58" s="361">
        <v>3.0000000000000001E-3</v>
      </c>
      <c r="L58" s="361">
        <v>1.9E-2</v>
      </c>
      <c r="M58" s="272"/>
    </row>
    <row r="59" spans="1:13" x14ac:dyDescent="0.3">
      <c r="A59" s="202"/>
      <c r="B59" s="209" t="s">
        <v>69</v>
      </c>
      <c r="C59" s="264" t="s">
        <v>63</v>
      </c>
      <c r="D59" s="269">
        <v>150</v>
      </c>
      <c r="E59" s="269"/>
      <c r="F59" s="271">
        <f>'[3]Summary Tables'!$F59</f>
        <v>2.7570562028665538E-3</v>
      </c>
      <c r="G59" s="259">
        <f t="shared" si="5"/>
        <v>8.9685416481477737E-2</v>
      </c>
      <c r="H59" s="259">
        <f>'[3]Summary Tables'!$G59</f>
        <v>7.4550753858537475E-2</v>
      </c>
      <c r="I59" s="260">
        <f t="shared" si="6"/>
        <v>-1.1170256679237248E-2</v>
      </c>
      <c r="J59" s="272"/>
      <c r="K59" s="361">
        <v>2.1999999999999999E-2</v>
      </c>
      <c r="L59" s="361">
        <v>5.0999999999999997E-2</v>
      </c>
      <c r="M59" s="272"/>
    </row>
    <row r="60" spans="1:13" x14ac:dyDescent="0.3">
      <c r="A60" s="202"/>
      <c r="B60" s="209" t="s">
        <v>105</v>
      </c>
      <c r="C60" s="264" t="s">
        <v>64</v>
      </c>
      <c r="D60" s="269">
        <v>180</v>
      </c>
      <c r="E60" s="269"/>
      <c r="F60" s="271">
        <f>'[3]Summary Tables'!$F60</f>
        <v>-2.8091051422484019E-2</v>
      </c>
      <c r="G60" s="259">
        <f t="shared" si="5"/>
        <v>5.772470525927071E-2</v>
      </c>
      <c r="H60" s="259">
        <f>'[3]Summary Tables'!$G60</f>
        <v>0.11404704975690244</v>
      </c>
      <c r="I60" s="260">
        <f t="shared" si="6"/>
        <v>2.366172541059177E-2</v>
      </c>
      <c r="J60" s="272"/>
      <c r="K60" s="361">
        <v>-1.2999999999999999E-2</v>
      </c>
      <c r="L60" s="361">
        <v>5.7000000000000002E-2</v>
      </c>
      <c r="M60" s="272"/>
    </row>
    <row r="61" spans="1:13" ht="17.25" thickBot="1" x14ac:dyDescent="0.35">
      <c r="A61" s="202"/>
      <c r="B61" s="209" t="s">
        <v>70</v>
      </c>
      <c r="C61" s="264" t="s">
        <v>64</v>
      </c>
      <c r="D61" s="269">
        <v>280</v>
      </c>
      <c r="E61" s="269"/>
      <c r="F61" s="271">
        <f>'[3]Summary Tables'!$F61</f>
        <v>3.3307367450758921E-2</v>
      </c>
      <c r="G61" s="259">
        <f t="shared" si="5"/>
        <v>2.8887153115155325E-2</v>
      </c>
      <c r="H61" s="259">
        <f>'[3]Summary Tables'!$G61</f>
        <v>-1.2314796818907087E-2</v>
      </c>
      <c r="I61" s="260">
        <f t="shared" si="6"/>
        <v>-8.0715906704520585E-3</v>
      </c>
      <c r="J61" s="272"/>
      <c r="K61" s="361">
        <v>2.4E-2</v>
      </c>
      <c r="L61" s="361">
        <v>3.0000000000000001E-3</v>
      </c>
      <c r="M61" s="272"/>
    </row>
    <row r="62" spans="1:13" ht="17.25" thickBot="1" x14ac:dyDescent="0.35">
      <c r="A62" s="202"/>
      <c r="B62" s="256" t="s">
        <v>116</v>
      </c>
      <c r="C62" s="265"/>
      <c r="D62" s="265"/>
      <c r="E62" s="265"/>
      <c r="F62" s="280">
        <f>'[3]Summary Tables'!$F62</f>
        <v>3.0630569290859594E-3</v>
      </c>
      <c r="G62" s="261">
        <f>AVERAGE(G55:G61)</f>
        <v>4.8159536365971804E-2</v>
      </c>
      <c r="H62" s="261">
        <f>'[3]Summary Tables'!$G62</f>
        <v>4.6889578156358427E-2</v>
      </c>
      <c r="I62" s="262">
        <f t="shared" ref="I62" si="7">AVERAGE(I55:I61)</f>
        <v>5.2425188833477021E-4</v>
      </c>
      <c r="J62" s="272"/>
      <c r="K62" s="362">
        <v>1.2E-2</v>
      </c>
      <c r="L62" s="362">
        <v>0.03</v>
      </c>
      <c r="M62" s="272"/>
    </row>
    <row r="63" spans="1:13" x14ac:dyDescent="0.3">
      <c r="K63" s="358"/>
    </row>
  </sheetData>
  <mergeCells count="21">
    <mergeCell ref="G15:I15"/>
    <mergeCell ref="B16:B17"/>
    <mergeCell ref="C16:C17"/>
    <mergeCell ref="G16:I16"/>
    <mergeCell ref="K16:L16"/>
    <mergeCell ref="G3:I3"/>
    <mergeCell ref="K3:L3"/>
    <mergeCell ref="B4:B5"/>
    <mergeCell ref="C4:C5"/>
    <mergeCell ref="G4:I4"/>
    <mergeCell ref="K4:L4"/>
    <mergeCell ref="K29:L29"/>
    <mergeCell ref="G28:I28"/>
    <mergeCell ref="B53:B54"/>
    <mergeCell ref="B41:B42"/>
    <mergeCell ref="B29:B30"/>
    <mergeCell ref="C29:C30"/>
    <mergeCell ref="G29:I29"/>
    <mergeCell ref="F41:I41"/>
    <mergeCell ref="F53:I53"/>
    <mergeCell ref="K53:L53"/>
  </mergeCells>
  <conditionalFormatting sqref="I31:I37">
    <cfRule type="expression" dxfId="7" priority="10" stopIfTrue="1">
      <formula>ABS(I31)&gt;0.1</formula>
    </cfRule>
  </conditionalFormatting>
  <conditionalFormatting sqref="L31:L37">
    <cfRule type="expression" dxfId="6" priority="8" stopIfTrue="1">
      <formula>ABS(L31)&gt;0.1</formula>
    </cfRule>
  </conditionalFormatting>
  <pageMargins left="0.70866141732283472" right="0.70866141732283472" top="0.94488188976377963" bottom="0.74803149606299213" header="0.31496062992125984" footer="0.31496062992125984"/>
  <pageSetup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0"/>
  <sheetViews>
    <sheetView view="pageBreakPreview" topLeftCell="B21" zoomScale="70" zoomScaleNormal="85" zoomScaleSheetLayoutView="70" workbookViewId="0">
      <selection activeCell="E27" sqref="E27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750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750</v>
      </c>
      <c r="F29" s="16">
        <f>IF(A29&lt;&gt;"",VLOOKUP(A29,[4]Rates!$A$1:$R$65536,12,FALSE),0)</f>
        <v>1.4E-2</v>
      </c>
      <c r="G29" s="18">
        <f t="shared" si="0"/>
        <v>10.5</v>
      </c>
      <c r="H29" s="38"/>
      <c r="I29" s="16">
        <f>IF($A29&lt;&gt;"",VLOOKUP($A29,[4]Rates!$A$1:$R$65536,14,FALSE),0)</f>
        <v>1.54E-2</v>
      </c>
      <c r="J29" s="18">
        <f t="shared" si="1"/>
        <v>11.55</v>
      </c>
      <c r="K29" s="38"/>
      <c r="L29" s="167">
        <f t="shared" si="2"/>
        <v>1.0500000000000007</v>
      </c>
      <c r="M29" s="123">
        <f t="shared" si="3"/>
        <v>0.10000000000000006</v>
      </c>
      <c r="N29" s="38"/>
      <c r="O29" s="16">
        <f>IF($A29&lt;&gt;"",VLOOKUP($A29,[4]Rates!$A$1:$R$65536,15,FALSE),0)</f>
        <v>1.32E-2</v>
      </c>
      <c r="P29" s="18">
        <f t="shared" si="4"/>
        <v>9.9</v>
      </c>
      <c r="Q29" s="38"/>
      <c r="R29" s="167">
        <f t="shared" si="5"/>
        <v>-1.6500000000000004</v>
      </c>
      <c r="S29" s="123">
        <f t="shared" si="6"/>
        <v>-0.14285714285714288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750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750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750</v>
      </c>
      <c r="F32" s="301">
        <f>IF(A32&lt;&gt;"",VLOOKUP(A32,[4]Rates!$A$1:$R$65536,12,FALSE),0)</f>
        <v>1E-4</v>
      </c>
      <c r="G32" s="296">
        <f t="shared" si="0"/>
        <v>7.4999999999999997E-2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-7.4999999999999997E-2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750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23.514999999999997</v>
      </c>
      <c r="H39" s="38"/>
      <c r="I39" s="26"/>
      <c r="J39" s="28">
        <f>SUM(J23:J38)</f>
        <v>30.609999999999996</v>
      </c>
      <c r="K39" s="38"/>
      <c r="L39" s="168">
        <f t="shared" si="2"/>
        <v>7.0949999999999989</v>
      </c>
      <c r="M39" s="124">
        <f>IF((G39)=0,"",(L39/G39))</f>
        <v>0.30172230491175844</v>
      </c>
      <c r="N39" s="38"/>
      <c r="O39" s="26"/>
      <c r="P39" s="28">
        <f>SUM(P23:P38)</f>
        <v>28.97</v>
      </c>
      <c r="Q39" s="38"/>
      <c r="R39" s="168">
        <f t="shared" si="5"/>
        <v>-1.639999999999997</v>
      </c>
      <c r="S39" s="124">
        <f t="shared" si="6"/>
        <v>-5.3577262332570964E-2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750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750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0.22499999999999998</v>
      </c>
      <c r="Q41" s="21"/>
      <c r="R41" s="167">
        <f t="shared" si="5"/>
        <v>0.22499999999999998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750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-1.95</v>
      </c>
      <c r="K42" s="21"/>
      <c r="L42" s="167">
        <f t="shared" si="2"/>
        <v>-1.95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1.95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750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750</v>
      </c>
      <c r="F44" s="16">
        <f>IF(A44&lt;&gt;"",VLOOKUP(A44,[4]Rates!$A$1:$R$65536,12,FALSE),0)</f>
        <v>2.9999999999999997E-4</v>
      </c>
      <c r="G44" s="18">
        <f t="shared" si="9"/>
        <v>0.22499999999999998</v>
      </c>
      <c r="H44" s="38"/>
      <c r="I44" s="16">
        <f>IF($A44&lt;&gt;"",VLOOKUP($A44,[4]Rates!$A$1:$R$65536,14,FALSE),0)</f>
        <v>2.9999999999999997E-4</v>
      </c>
      <c r="J44" s="18">
        <f t="shared" si="11"/>
        <v>0.22499999999999998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0.375</v>
      </c>
      <c r="Q44" s="38"/>
      <c r="R44" s="167">
        <f t="shared" si="5"/>
        <v>0.15000000000000002</v>
      </c>
      <c r="S44" s="123">
        <f t="shared" si="6"/>
        <v>0.66666666666666685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25.875</v>
      </c>
      <c r="F45" s="32">
        <f>IF(ISBLANK(D16)=TRUE, 0, IF(D16="TOU", 0.64*$F$55+0.18*$F$56+0.18*$F$57, IF(AND(D16="non-TOU", E59&gt;0), F59,F58)))</f>
        <v>0.11183999999999999</v>
      </c>
      <c r="G45" s="18">
        <f>E45*F45</f>
        <v>2.8938599999999997</v>
      </c>
      <c r="H45" s="90">
        <f>$F$18*(1+$O$74)-$F$18</f>
        <v>27.674999999999955</v>
      </c>
      <c r="I45" s="32">
        <f>0.64*$F$55+0.18*$F$56+0.18*$F$57</f>
        <v>0.11183999999999999</v>
      </c>
      <c r="J45" s="18">
        <f>$E45*I45</f>
        <v>2.8938599999999997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3.0951719999999949</v>
      </c>
      <c r="Q45" s="38"/>
      <c r="R45" s="169">
        <f t="shared" si="5"/>
        <v>0.20131199999999527</v>
      </c>
      <c r="S45" s="123">
        <f t="shared" si="6"/>
        <v>6.9565217391302725E-2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27.423859999999998</v>
      </c>
      <c r="H47" s="38"/>
      <c r="I47" s="35"/>
      <c r="J47" s="37">
        <f>SUM(J40:J46)+J39</f>
        <v>32.568859999999994</v>
      </c>
      <c r="K47" s="38"/>
      <c r="L47" s="170">
        <f t="shared" si="2"/>
        <v>5.144999999999996</v>
      </c>
      <c r="M47" s="125">
        <f>IF((G47)=0,"",(L47/G47))</f>
        <v>0.18761035098633075</v>
      </c>
      <c r="N47" s="38"/>
      <c r="O47" s="35"/>
      <c r="P47" s="37">
        <f>SUM(P40:P46)+P39</f>
        <v>33.45517199999999</v>
      </c>
      <c r="Q47" s="38"/>
      <c r="R47" s="170">
        <f t="shared" si="5"/>
        <v>0.88631199999999666</v>
      </c>
      <c r="S47" s="125">
        <f>IF((J47)=0,"",(R47/J47))</f>
        <v>2.7213479378768456E-2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775.875</v>
      </c>
      <c r="F48" s="20">
        <f>IF(A48&lt;&gt;"",VLOOKUP(A48,[4]Rates!$A$1:$R$65536,12,FALSE),0)</f>
        <v>8.0000000000000002E-3</v>
      </c>
      <c r="G48" s="18">
        <f>E48*F48</f>
        <v>6.2069999999999999</v>
      </c>
      <c r="H48" s="39">
        <f>F18*(1+O74)</f>
        <v>777.67499999999995</v>
      </c>
      <c r="I48" s="20">
        <f>IF($A48&lt;&gt;"",VLOOKUP($A48,[4]Rates!$A$1:$R$65536,14,FALSE),0)</f>
        <v>8.0000000000000002E-3</v>
      </c>
      <c r="J48" s="18">
        <f>$E48*I48</f>
        <v>6.2069999999999999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6.3769350000000005</v>
      </c>
      <c r="Q48" s="38"/>
      <c r="R48" s="171">
        <f t="shared" si="5"/>
        <v>0.16993500000000061</v>
      </c>
      <c r="S48" s="123">
        <f t="shared" si="6"/>
        <v>2.7377960367327311E-2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775.875</v>
      </c>
      <c r="F49" s="20">
        <f>IF(A49&lt;&gt;"",VLOOKUP(A49,[4]Rates!$A$1:$R$65536,12,FALSE),0)</f>
        <v>3.5000000000000001E-3</v>
      </c>
      <c r="G49" s="18">
        <f>E49*F49</f>
        <v>2.7155624999999999</v>
      </c>
      <c r="H49" s="39">
        <f>H48</f>
        <v>777.67499999999995</v>
      </c>
      <c r="I49" s="20">
        <f>IF($A49&lt;&gt;"",VLOOKUP($A49,[4]Rates!$A$1:$R$65536,14,FALSE),0)</f>
        <v>3.5000000000000001E-3</v>
      </c>
      <c r="J49" s="18">
        <f>$E49*I49</f>
        <v>2.7155624999999999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2.955165</v>
      </c>
      <c r="Q49" s="38"/>
      <c r="R49" s="171">
        <f t="shared" si="5"/>
        <v>0.23960250000000016</v>
      </c>
      <c r="S49" s="123">
        <f t="shared" si="6"/>
        <v>8.8233100876890208E-2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36.346422499999996</v>
      </c>
      <c r="H50" s="109"/>
      <c r="I50" s="41"/>
      <c r="J50" s="37">
        <f>SUM(J47:J49)</f>
        <v>41.491422499999992</v>
      </c>
      <c r="K50" s="109"/>
      <c r="L50" s="172">
        <f t="shared" si="2"/>
        <v>5.144999999999996</v>
      </c>
      <c r="M50" s="125">
        <f t="shared" si="13"/>
        <v>0.14155450925053206</v>
      </c>
      <c r="N50" s="109"/>
      <c r="O50" s="41"/>
      <c r="P50" s="37">
        <f>SUM(P47:P49)</f>
        <v>42.787271999999994</v>
      </c>
      <c r="Q50" s="109"/>
      <c r="R50" s="172">
        <f t="shared" si="5"/>
        <v>1.2958495000000028</v>
      </c>
      <c r="S50" s="125">
        <f t="shared" si="6"/>
        <v>3.1231744344267856E-2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775.875</v>
      </c>
      <c r="F51" s="43">
        <v>3.5999999999999999E-3</v>
      </c>
      <c r="G51" s="44">
        <f t="shared" ref="G51:G59" si="14">E51*F51</f>
        <v>2.7931499999999998</v>
      </c>
      <c r="H51" s="39">
        <f>H49</f>
        <v>777.67499999999995</v>
      </c>
      <c r="I51" s="43">
        <v>3.5999999999999999E-3</v>
      </c>
      <c r="J51" s="44">
        <f>$E51*I51</f>
        <v>2.7931499999999998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2.7996299999999996</v>
      </c>
      <c r="Q51" s="17"/>
      <c r="R51" s="173">
        <f>P51-J51</f>
        <v>6.4799999999998192E-3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775.875</v>
      </c>
      <c r="F52" s="43">
        <v>1.2999999999999999E-3</v>
      </c>
      <c r="G52" s="44">
        <f t="shared" si="14"/>
        <v>1.0086374999999999</v>
      </c>
      <c r="H52" s="39">
        <f>H49</f>
        <v>777.67499999999995</v>
      </c>
      <c r="I52" s="43">
        <v>1.2999999999999999E-3</v>
      </c>
      <c r="J52" s="44">
        <f>$E52*I52</f>
        <v>1.0086374999999999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1.0109774999999999</v>
      </c>
      <c r="Q52" s="17"/>
      <c r="R52" s="173">
        <f t="shared" si="5"/>
        <v>2.3400000000000087E-3</v>
      </c>
      <c r="S52" s="126">
        <f t="shared" si="6"/>
        <v>2.3199613339777761E-3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750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480</v>
      </c>
      <c r="F55" s="46">
        <v>8.6999999999999994E-2</v>
      </c>
      <c r="G55" s="44">
        <f t="shared" si="14"/>
        <v>41.76</v>
      </c>
      <c r="H55" s="17"/>
      <c r="I55" s="46">
        <f>F55</f>
        <v>8.6999999999999994E-2</v>
      </c>
      <c r="J55" s="44">
        <f t="shared" si="15"/>
        <v>41.76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41.76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135</v>
      </c>
      <c r="F56" s="46">
        <v>0.13200000000000001</v>
      </c>
      <c r="G56" s="44">
        <f t="shared" si="14"/>
        <v>17.82</v>
      </c>
      <c r="H56" s="17"/>
      <c r="I56" s="46">
        <f t="shared" ref="I56:I59" si="17">F56</f>
        <v>0.13200000000000001</v>
      </c>
      <c r="J56" s="44">
        <f t="shared" si="15"/>
        <v>17.82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17.82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135</v>
      </c>
      <c r="F57" s="46">
        <v>0.18</v>
      </c>
      <c r="G57" s="44">
        <f t="shared" si="14"/>
        <v>24.3</v>
      </c>
      <c r="H57" s="17"/>
      <c r="I57" s="46">
        <f t="shared" si="17"/>
        <v>0.18</v>
      </c>
      <c r="J57" s="44">
        <f t="shared" si="15"/>
        <v>24.3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24.3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750</v>
      </c>
      <c r="F58" s="43">
        <v>1.1000000000000001E-3</v>
      </c>
      <c r="G58" s="44">
        <f t="shared" si="14"/>
        <v>0.82500000000000007</v>
      </c>
      <c r="H58" s="110"/>
      <c r="I58" s="43">
        <v>1.1000000000000001E-3</v>
      </c>
      <c r="J58" s="44">
        <f>$E58*I58</f>
        <v>0.82500000000000007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0.82500000000000007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125.10320999999999</v>
      </c>
      <c r="H61" s="57"/>
      <c r="I61" s="56"/>
      <c r="J61" s="58">
        <f>SUM(J51:J58,J50)</f>
        <v>130.24821</v>
      </c>
      <c r="K61" s="57"/>
      <c r="L61" s="176">
        <f>J61-G61</f>
        <v>5.1450000000000102</v>
      </c>
      <c r="M61" s="128">
        <f>IF((G61)=0,"",(L61/G61))</f>
        <v>4.1126043048775575E-2</v>
      </c>
      <c r="N61" s="57"/>
      <c r="O61" s="56"/>
      <c r="P61" s="58">
        <f>SUM(P51:P58,P50)</f>
        <v>131.55287949999999</v>
      </c>
      <c r="Q61" s="57"/>
      <c r="R61" s="176">
        <f>P61-J61</f>
        <v>1.3046694999999886</v>
      </c>
      <c r="S61" s="128">
        <f>IF((J61)=0,"",(R61/J61))</f>
        <v>1.0016794088763206E-2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16.2634173</v>
      </c>
      <c r="H62" s="61"/>
      <c r="I62" s="60">
        <v>0.13</v>
      </c>
      <c r="J62" s="62">
        <f>J61*I62</f>
        <v>16.932267299999999</v>
      </c>
      <c r="K62" s="61"/>
      <c r="L62" s="176">
        <f>J62-G62</f>
        <v>0.66884999999999906</v>
      </c>
      <c r="M62" s="129">
        <f>IF((G62)=0,"",(L62/G62))</f>
        <v>4.1126043048775429E-2</v>
      </c>
      <c r="N62" s="61"/>
      <c r="O62" s="60">
        <v>0.13</v>
      </c>
      <c r="P62" s="62">
        <f>P61*O62</f>
        <v>17.101874334999998</v>
      </c>
      <c r="Q62" s="61"/>
      <c r="R62" s="176">
        <f t="shared" si="5"/>
        <v>0.16960703499999852</v>
      </c>
      <c r="S62" s="129">
        <f t="shared" ref="S62:S64" si="19">IF((J62)=0,"",(R62/J62))</f>
        <v>1.0016794088763206E-2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141.3666273</v>
      </c>
      <c r="H63" s="61"/>
      <c r="I63" s="64"/>
      <c r="J63" s="62">
        <f>J61+J62</f>
        <v>147.18047730000001</v>
      </c>
      <c r="K63" s="61"/>
      <c r="L63" s="176">
        <f>J63-G63</f>
        <v>5.8138500000000022</v>
      </c>
      <c r="M63" s="129">
        <f>IF((G63)=0,"",(L63/G63))</f>
        <v>4.1126043048775499E-2</v>
      </c>
      <c r="N63" s="61"/>
      <c r="O63" s="64"/>
      <c r="P63" s="62">
        <f>P61+P62</f>
        <v>148.65475383499998</v>
      </c>
      <c r="Q63" s="61"/>
      <c r="R63" s="176">
        <f t="shared" si="5"/>
        <v>1.4742765349999729</v>
      </c>
      <c r="S63" s="129">
        <f t="shared" si="19"/>
        <v>1.0016794088763109E-2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141.3666273</v>
      </c>
      <c r="H65" s="57"/>
      <c r="I65" s="66"/>
      <c r="J65" s="67">
        <f>J63+J64</f>
        <v>147.18047730000001</v>
      </c>
      <c r="K65" s="57"/>
      <c r="L65" s="178">
        <f>J65-G65</f>
        <v>5.8138500000000022</v>
      </c>
      <c r="M65" s="131">
        <f>IF((G65)=0,"",(L65/G65))</f>
        <v>4.1126043048775499E-2</v>
      </c>
      <c r="N65" s="57"/>
      <c r="O65" s="66"/>
      <c r="P65" s="67">
        <f>P63+P64</f>
        <v>148.65475383499998</v>
      </c>
      <c r="Q65" s="57"/>
      <c r="R65" s="178">
        <f t="shared" si="5"/>
        <v>1.4742765349999729</v>
      </c>
      <c r="S65" s="131">
        <f>IF((J65)=0,"",(R65/J65))</f>
        <v>1.0016794088763109E-2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41.223209999999995</v>
      </c>
      <c r="H67" s="74"/>
      <c r="I67" s="73"/>
      <c r="J67" s="75">
        <f>SUM(J58:J59,J50,J51:J54)</f>
        <v>46.368209999999991</v>
      </c>
      <c r="K67" s="74"/>
      <c r="L67" s="180">
        <f>J67-G67</f>
        <v>5.144999999999996</v>
      </c>
      <c r="M67" s="128">
        <f>IF((G67)=0,"",(L67/G67))</f>
        <v>0.12480833006454366</v>
      </c>
      <c r="N67" s="74"/>
      <c r="O67" s="73"/>
      <c r="P67" s="75">
        <f>SUM(P58:P59,P50,P51:P54)</f>
        <v>47.672879500000001</v>
      </c>
      <c r="Q67" s="74"/>
      <c r="R67" s="180">
        <f t="shared" si="5"/>
        <v>1.3046695000000099</v>
      </c>
      <c r="S67" s="128">
        <f>IF((J67)=0,"",(R67/J67))</f>
        <v>2.8137154744597864E-2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5.3590172999999997</v>
      </c>
      <c r="H68" s="78"/>
      <c r="I68" s="77">
        <v>0.13</v>
      </c>
      <c r="J68" s="79">
        <f>J67*I68</f>
        <v>6.0278672999999987</v>
      </c>
      <c r="K68" s="78"/>
      <c r="L68" s="180">
        <f>J68-G68</f>
        <v>0.66884999999999906</v>
      </c>
      <c r="M68" s="129">
        <f>IF((G68)=0,"",(L68/G68))</f>
        <v>0.12480833006454357</v>
      </c>
      <c r="N68" s="78"/>
      <c r="O68" s="77">
        <v>0.13</v>
      </c>
      <c r="P68" s="79">
        <f>P67*O68</f>
        <v>6.1974743349999999</v>
      </c>
      <c r="Q68" s="78"/>
      <c r="R68" s="180">
        <f t="shared" si="5"/>
        <v>0.16960703500000118</v>
      </c>
      <c r="S68" s="129">
        <f t="shared" ref="S68:S71" si="20">IF((J68)=0,"",(R68/J68))</f>
        <v>2.8137154744597846E-2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46.582227299999992</v>
      </c>
      <c r="H69" s="78"/>
      <c r="I69" s="81"/>
      <c r="J69" s="79">
        <f>J67+J68</f>
        <v>52.396077299999988</v>
      </c>
      <c r="K69" s="78"/>
      <c r="L69" s="180">
        <f>J69-G69</f>
        <v>5.8138499999999951</v>
      </c>
      <c r="M69" s="129">
        <f>IF((G69)=0,"",(L69/G69))</f>
        <v>0.12480833006454366</v>
      </c>
      <c r="N69" s="78"/>
      <c r="O69" s="81"/>
      <c r="P69" s="79">
        <f>P67+P68</f>
        <v>53.870353835000003</v>
      </c>
      <c r="Q69" s="78"/>
      <c r="R69" s="180">
        <f t="shared" si="5"/>
        <v>1.4742765350000155</v>
      </c>
      <c r="S69" s="129">
        <f t="shared" si="20"/>
        <v>2.813715474459795E-2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-4.6582227299999994</v>
      </c>
      <c r="H70" s="78"/>
      <c r="I70" s="81"/>
      <c r="J70" s="82"/>
      <c r="K70" s="78"/>
      <c r="L70" s="181">
        <f>J70-G70</f>
        <v>4.6582227299999994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">
      <c r="B71" s="403" t="s">
        <v>38</v>
      </c>
      <c r="C71" s="403"/>
      <c r="D71" s="403"/>
      <c r="E71" s="160"/>
      <c r="F71" s="83"/>
      <c r="G71" s="84">
        <f>SUM(G69:G70)</f>
        <v>41.924004569999994</v>
      </c>
      <c r="H71" s="74"/>
      <c r="I71" s="83"/>
      <c r="J71" s="84">
        <f>SUM(J69:J70)</f>
        <v>52.396077299999988</v>
      </c>
      <c r="K71" s="74"/>
      <c r="L71" s="182">
        <f>J71-G71</f>
        <v>10.472072729999994</v>
      </c>
      <c r="M71" s="132">
        <f>IF((G71)=0,"",(L71/G71))</f>
        <v>0.24978703340504849</v>
      </c>
      <c r="N71" s="74"/>
      <c r="O71" s="83"/>
      <c r="P71" s="84">
        <f>SUM(P69:P70)</f>
        <v>53.870353835000003</v>
      </c>
      <c r="Q71" s="74"/>
      <c r="R71" s="182">
        <f t="shared" si="5"/>
        <v>1.4742765350000155</v>
      </c>
      <c r="S71" s="132">
        <f t="shared" si="20"/>
        <v>2.813715474459795E-2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B71:D71"/>
    <mergeCell ref="O20:P20"/>
    <mergeCell ref="R20:S20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pageSetup scale="4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0"/>
  <sheetViews>
    <sheetView view="pageBreakPreview" topLeftCell="B10" zoomScale="70" zoomScaleNormal="70" zoomScaleSheetLayoutView="70" workbookViewId="0">
      <selection activeCell="E27" sqref="E27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customWidth="1"/>
    <col min="7" max="7" width="12.42578125" style="2" customWidth="1"/>
    <col min="8" max="8" width="1.85546875" style="2" customWidth="1"/>
    <col min="9" max="10" width="13.5703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123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73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2000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IF($A23&lt;&gt;"",VLOOKUP($A23,[4]Rates!$A$1:$R$65536,12,FALSE),0)</f>
        <v>26.08</v>
      </c>
      <c r="G23" s="18">
        <f t="shared" ref="G23:G38" si="0">E23*F23</f>
        <v>26.08</v>
      </c>
      <c r="H23" s="38"/>
      <c r="I23" s="114">
        <f>IF($A23&lt;&gt;"",VLOOKUP($A23,[4]Rates!$A$1:$R$65536,14,FALSE),0)</f>
        <v>28.75</v>
      </c>
      <c r="J23" s="18">
        <f>$E23*I23</f>
        <v>28.75</v>
      </c>
      <c r="K23" s="38"/>
      <c r="L23" s="167">
        <f>J23-G23</f>
        <v>2.6700000000000017</v>
      </c>
      <c r="M23" s="123">
        <f>IF((G23)=0,"",(L23/G23))</f>
        <v>0.10237730061349701</v>
      </c>
      <c r="N23" s="38"/>
      <c r="O23" s="114">
        <f>IF($A23&lt;&gt;"",VLOOKUP($A23,[4]Rates!$A$1:$R$65536,15,FALSE),0)</f>
        <v>29.03815402266514</v>
      </c>
      <c r="P23" s="18">
        <f>$E23*O23</f>
        <v>29.03815402266514</v>
      </c>
      <c r="Q23" s="38"/>
      <c r="R23" s="167">
        <f>P23-J23</f>
        <v>0.28815402266513956</v>
      </c>
      <c r="S23" s="123">
        <f>IF((J23)=0,"",(R23/J23))</f>
        <v>1.0022748614439638E-2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[4]Rates!$A$50</f>
        <v>PPE_GS</v>
      </c>
      <c r="B25" s="313" t="s">
        <v>71</v>
      </c>
      <c r="C25" s="305"/>
      <c r="D25" s="306" t="s">
        <v>57</v>
      </c>
      <c r="E25" s="307">
        <v>1</v>
      </c>
      <c r="F25" s="314">
        <f>IF($A25&lt;&gt;"",VLOOKUP($A25,[4]Rates!$A$1:$R$65536,12,FALSE),0)</f>
        <v>0.55000000000000004</v>
      </c>
      <c r="G25" s="309">
        <f t="shared" si="0"/>
        <v>0.55000000000000004</v>
      </c>
      <c r="H25" s="310"/>
      <c r="I25" s="314">
        <f>IF($A25&lt;&gt;"",VLOOKUP($A25,[4]Rates!$A$1:$R$65536,14,FALSE),0)</f>
        <v>0.55000000000000004</v>
      </c>
      <c r="J25" s="309">
        <f t="shared" si="1"/>
        <v>0.55000000000000004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-0.55000000000000004</v>
      </c>
      <c r="S25" s="312">
        <f t="shared" si="6"/>
        <v>-1</v>
      </c>
      <c r="T25" s="310"/>
    </row>
    <row r="26" spans="1:360" s="277" customFormat="1" x14ac:dyDescent="0.25">
      <c r="A26" s="303" t="str">
        <f>[4]Rates!$A$51</f>
        <v>ICMF_GS</v>
      </c>
      <c r="B26" s="313" t="s">
        <v>72</v>
      </c>
      <c r="C26" s="305"/>
      <c r="D26" s="306" t="s">
        <v>57</v>
      </c>
      <c r="E26" s="307">
        <v>1</v>
      </c>
      <c r="F26" s="314">
        <f>IF($A26&lt;&gt;"",VLOOKUP($A26,[4]Rates!$A$1:$R$65536,12,FALSE),0)</f>
        <v>0.14000000000000001</v>
      </c>
      <c r="G26" s="309">
        <f t="shared" si="0"/>
        <v>0.14000000000000001</v>
      </c>
      <c r="H26" s="310"/>
      <c r="I26" s="3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-0.14000000000000001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139</v>
      </c>
      <c r="B27" s="22" t="s">
        <v>140</v>
      </c>
      <c r="C27" s="15"/>
      <c r="D27" s="319" t="s">
        <v>57</v>
      </c>
      <c r="E27" s="13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7.55</v>
      </c>
      <c r="J27" s="18">
        <f t="shared" si="1"/>
        <v>7.55</v>
      </c>
      <c r="K27" s="38"/>
      <c r="L27" s="167">
        <f t="shared" si="2"/>
        <v>7.55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-7.55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[4]Rates!$A$53</f>
        <v>Var_GS</v>
      </c>
      <c r="B29" s="15" t="s">
        <v>14</v>
      </c>
      <c r="C29" s="15"/>
      <c r="D29" s="99" t="s">
        <v>58</v>
      </c>
      <c r="E29" s="137">
        <f>$F$18</f>
        <v>2000</v>
      </c>
      <c r="F29" s="16">
        <f>IF($A29&lt;&gt;"",VLOOKUP($A29,[4]Rates!$A$1:$R$65536,12,FALSE),0)</f>
        <v>1.3899999999999999E-2</v>
      </c>
      <c r="G29" s="18">
        <f t="shared" si="0"/>
        <v>27.799999999999997</v>
      </c>
      <c r="H29" s="38"/>
      <c r="I29" s="16">
        <f>IF($A29&lt;&gt;"",VLOOKUP($A29,[4]Rates!$A$1:$R$65536,14,FALSE),0)</f>
        <v>1.5299999999999999E-2</v>
      </c>
      <c r="J29" s="18">
        <f t="shared" si="1"/>
        <v>30.599999999999998</v>
      </c>
      <c r="K29" s="38"/>
      <c r="L29" s="167">
        <f t="shared" si="2"/>
        <v>2.8000000000000007</v>
      </c>
      <c r="M29" s="123">
        <f t="shared" si="3"/>
        <v>0.10071942446043169</v>
      </c>
      <c r="N29" s="38"/>
      <c r="O29" s="16">
        <f>IF($A29&lt;&gt;"",VLOOKUP($A29,[4]Rates!$A$1:$R$65536,15,FALSE),0)</f>
        <v>1.89E-2</v>
      </c>
      <c r="P29" s="18">
        <f t="shared" si="4"/>
        <v>37.799999999999997</v>
      </c>
      <c r="Q29" s="38"/>
      <c r="R29" s="167">
        <f t="shared" si="5"/>
        <v>7.1999999999999993</v>
      </c>
      <c r="S29" s="123">
        <f t="shared" si="6"/>
        <v>0.23529411764705882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>
        <f t="shared" ref="E30" si="7">$F$18</f>
        <v>2000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141</v>
      </c>
      <c r="B31" s="22" t="s">
        <v>142</v>
      </c>
      <c r="C31" s="15"/>
      <c r="D31" s="99" t="s">
        <v>58</v>
      </c>
      <c r="E31" s="137">
        <f>$F$18</f>
        <v>2000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4.0000000000000001E-3</v>
      </c>
      <c r="J31" s="18">
        <f t="shared" si="1"/>
        <v>8</v>
      </c>
      <c r="K31" s="38"/>
      <c r="L31" s="167">
        <f t="shared" si="2"/>
        <v>8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-8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[4]Rates!$A$60</f>
        <v>ICMV_GS</v>
      </c>
      <c r="B32" s="304" t="s">
        <v>72</v>
      </c>
      <c r="C32" s="305"/>
      <c r="D32" s="306" t="s">
        <v>58</v>
      </c>
      <c r="E32" s="307">
        <f t="shared" ref="E32:E35" si="8">$F$18</f>
        <v>2000</v>
      </c>
      <c r="F32" s="308">
        <f>IF($A32&lt;&gt;"",VLOOKUP($A32,[4]Rates!$A$1:$R$65536,12,FALSE),0)</f>
        <v>1E-4</v>
      </c>
      <c r="G32" s="309">
        <f t="shared" si="0"/>
        <v>0.2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-0.2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[4]Rates!$A69</f>
        <v>2RAL16_GS</v>
      </c>
      <c r="B33" s="23" t="str">
        <f>[4]Rates!$B69</f>
        <v xml:space="preserve">Disposition of Deferral/Variance Accounts - Group 2 Accounts (2016) </v>
      </c>
      <c r="C33" s="15"/>
      <c r="D33" s="99" t="s">
        <v>58</v>
      </c>
      <c r="E33" s="137">
        <f t="shared" si="8"/>
        <v>2000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6">
        <f>IF($A33&lt;&gt;"",VLOOKUP($A33,[4]Rates!$A$1:$R$65536,15,FALSE),0)</f>
        <v>2.0000000000000001E-4</v>
      </c>
      <c r="P33" s="18">
        <f t="shared" si="4"/>
        <v>0.4</v>
      </c>
      <c r="Q33" s="38"/>
      <c r="R33" s="167">
        <f t="shared" si="5"/>
        <v>0.4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[4]Rates!$A70</f>
        <v>LRVA16_GS</v>
      </c>
      <c r="B34" s="23" t="str">
        <f>[4]Rates!$B70</f>
        <v>Lost Revenue Adjustment Mechanism Variance Account (LRAMVA) (2016)</v>
      </c>
      <c r="C34" s="15"/>
      <c r="D34" s="99" t="s">
        <v>58</v>
      </c>
      <c r="E34" s="137">
        <f t="shared" si="8"/>
        <v>2000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2.0000000000000001E-4</v>
      </c>
      <c r="J34" s="18">
        <f t="shared" si="1"/>
        <v>0.4</v>
      </c>
      <c r="K34" s="38"/>
      <c r="L34" s="167">
        <f t="shared" si="2"/>
        <v>0.4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-0.4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[4]Rates!$A71</f>
        <v>PPE16_GS</v>
      </c>
      <c r="B35" s="23" t="str">
        <f>[4]Rates!$B71</f>
        <v>Account 1575 (2016)</v>
      </c>
      <c r="C35" s="15"/>
      <c r="D35" s="99" t="s">
        <v>58</v>
      </c>
      <c r="E35" s="137">
        <f t="shared" si="8"/>
        <v>2000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-1.1999999999999999E-3</v>
      </c>
      <c r="J35" s="18">
        <f t="shared" si="1"/>
        <v>-2.4</v>
      </c>
      <c r="K35" s="38"/>
      <c r="L35" s="167">
        <f t="shared" si="2"/>
        <v>-2.4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2.4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[4]Rates!$A72</f>
        <v>SG16_GS</v>
      </c>
      <c r="B36" s="23" t="str">
        <f>[4]Rates!$B72</f>
        <v>Smart Grid True-up (2016)</v>
      </c>
      <c r="C36" s="15"/>
      <c r="D36" s="99" t="s">
        <v>57</v>
      </c>
      <c r="E36" s="137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-0.67</v>
      </c>
      <c r="J36" s="18">
        <f t="shared" si="1"/>
        <v>-0.67</v>
      </c>
      <c r="K36" s="38"/>
      <c r="L36" s="167">
        <f t="shared" si="2"/>
        <v>-0.67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0.67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[4]Rates!$A73</f>
        <v>SMA16_GS</v>
      </c>
      <c r="B37" s="23" t="str">
        <f>[4]Rates!$B73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0.21</v>
      </c>
      <c r="P37" s="18">
        <f t="shared" si="4"/>
        <v>0.21</v>
      </c>
      <c r="Q37" s="38"/>
      <c r="R37" s="167">
        <f t="shared" si="5"/>
        <v>0.21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7" customFormat="1" x14ac:dyDescent="0.25">
      <c r="A38" s="303" t="str">
        <f>[4]Rates!$A$65</f>
        <v>LRVA_GS</v>
      </c>
      <c r="B38" s="304"/>
      <c r="C38" s="305"/>
      <c r="D38" s="319" t="s">
        <v>58</v>
      </c>
      <c r="E38" s="334">
        <f>E35</f>
        <v>2000</v>
      </c>
      <c r="F38" s="308"/>
      <c r="G38" s="309">
        <f t="shared" si="0"/>
        <v>0</v>
      </c>
      <c r="H38" s="310"/>
      <c r="I38" s="308">
        <f>IF($A38&lt;&gt;"",VLOOKUP($A38,[4]Rates!$A$1:$R$65536,14,FALSE),0)</f>
        <v>0</v>
      </c>
      <c r="J38" s="309">
        <f t="shared" si="1"/>
        <v>0</v>
      </c>
      <c r="K38" s="310"/>
      <c r="L38" s="311">
        <f t="shared" si="2"/>
        <v>0</v>
      </c>
      <c r="M38" s="312" t="str">
        <f t="shared" si="3"/>
        <v/>
      </c>
      <c r="N38" s="310"/>
      <c r="O38" s="308">
        <f>IF($A38&lt;&gt;"",VLOOKUP($A38,[4]Rates!$A$1:$R$65536,15,FALSE),0)</f>
        <v>0</v>
      </c>
      <c r="P38" s="309">
        <f t="shared" si="4"/>
        <v>0</v>
      </c>
      <c r="Q38" s="310"/>
      <c r="R38" s="311">
        <f t="shared" si="5"/>
        <v>0</v>
      </c>
      <c r="S38" s="312" t="str">
        <f t="shared" si="6"/>
        <v/>
      </c>
      <c r="T38" s="310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54.769999999999996</v>
      </c>
      <c r="H39" s="38"/>
      <c r="I39" s="26"/>
      <c r="J39" s="28">
        <f>SUM(J23:J38)</f>
        <v>72.78</v>
      </c>
      <c r="K39" s="38"/>
      <c r="L39" s="168">
        <f t="shared" si="2"/>
        <v>18.010000000000005</v>
      </c>
      <c r="M39" s="124">
        <f>IF((G39)=0,"",(L39/G39))</f>
        <v>0.32882965126894298</v>
      </c>
      <c r="N39" s="38"/>
      <c r="O39" s="26"/>
      <c r="P39" s="28">
        <f>SUM(P23:P38)</f>
        <v>67.448154022665136</v>
      </c>
      <c r="Q39" s="38"/>
      <c r="R39" s="168">
        <f t="shared" si="5"/>
        <v>-5.331845977334865</v>
      </c>
      <c r="S39" s="124">
        <f t="shared" si="6"/>
        <v>-7.3259768855933841E-2</v>
      </c>
      <c r="T39" s="38"/>
    </row>
    <row r="40" spans="1:360" s="277" customFormat="1" x14ac:dyDescent="0.25">
      <c r="A40" s="303" t="str">
        <f>[4]Rates!$A$58</f>
        <v>RAL14_GS</v>
      </c>
      <c r="B40" s="302"/>
      <c r="C40" s="305"/>
      <c r="D40" s="319" t="s">
        <v>58</v>
      </c>
      <c r="E40" s="334">
        <f>$F$18</f>
        <v>2000</v>
      </c>
      <c r="F40" s="308"/>
      <c r="G40" s="309">
        <f t="shared" ref="G40:G46" si="9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60" x14ac:dyDescent="0.25">
      <c r="A41" s="139" t="str">
        <f>[4]Rates!$A$66</f>
        <v>RAL16_GS</v>
      </c>
      <c r="B41" s="30" t="str">
        <f>[4]Rates!$B$66</f>
        <v xml:space="preserve">Disposition of Deferral/Variance Accounts (2016) </v>
      </c>
      <c r="C41" s="15"/>
      <c r="D41" s="99" t="s">
        <v>58</v>
      </c>
      <c r="E41" s="137">
        <f t="shared" ref="E41:E44" si="10">$F$18</f>
        <v>2000</v>
      </c>
      <c r="F41" s="16">
        <f>IF($A41&lt;&gt;"",VLOOKUP($A41,[4]Rates!$A$1:$R$65536,12,FALSE),0)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0.6</v>
      </c>
      <c r="Q41" s="21"/>
      <c r="R41" s="167">
        <f t="shared" si="5"/>
        <v>0.6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[4]Rates!$A$67</f>
        <v>RALP16_GS</v>
      </c>
      <c r="B42" s="30" t="str">
        <f>[4]Rates!$B$67</f>
        <v xml:space="preserve">Disposition of Deferral/Variance Accounts - Power (2016) </v>
      </c>
      <c r="C42" s="15"/>
      <c r="D42" s="99" t="s">
        <v>58</v>
      </c>
      <c r="E42" s="137">
        <f t="shared" si="10"/>
        <v>2000</v>
      </c>
      <c r="F42" s="16">
        <f>IF($A42&lt;&gt;"",VLOOKUP($A42,[4]Rates!$A$1:$R$65536,12,FALSE),0)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-5.2</v>
      </c>
      <c r="K42" s="21"/>
      <c r="L42" s="167">
        <f t="shared" si="2"/>
        <v>-5.2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5.2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[4]Rates!$A$54</f>
        <v>LV_GS</v>
      </c>
      <c r="B44" s="31" t="s">
        <v>18</v>
      </c>
      <c r="C44" s="15"/>
      <c r="D44" s="99" t="s">
        <v>58</v>
      </c>
      <c r="E44" s="137">
        <f t="shared" si="10"/>
        <v>2000</v>
      </c>
      <c r="F44" s="16">
        <f>IF($A44&lt;&gt;"",VLOOKUP($A44,[4]Rates!$A$1:$R$65536,12,FALSE),0)</f>
        <v>2.9999999999999997E-4</v>
      </c>
      <c r="G44" s="18">
        <f t="shared" si="9"/>
        <v>0.6</v>
      </c>
      <c r="H44" s="38"/>
      <c r="I44" s="16">
        <f>IF($A44&lt;&gt;"",VLOOKUP($A44,[4]Rates!$A$1:$R$65536,14,FALSE),0)</f>
        <v>2.9999999999999997E-4</v>
      </c>
      <c r="J44" s="18">
        <f t="shared" si="11"/>
        <v>0.6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4.0000000000000002E-4</v>
      </c>
      <c r="P44" s="18">
        <f t="shared" si="12"/>
        <v>0.8</v>
      </c>
      <c r="Q44" s="38"/>
      <c r="R44" s="167">
        <f t="shared" si="5"/>
        <v>0.20000000000000007</v>
      </c>
      <c r="S44" s="123">
        <f t="shared" si="6"/>
        <v>0.33333333333333348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6">
        <f>$F$18*(1+$F$74)-$F$18</f>
        <v>69</v>
      </c>
      <c r="F45" s="32">
        <f>IF(ISBLANK(D16)=TRUE, 0, IF(D16="TOU", 0.64*$F$55+0.18*$F$56+0.18*$F$57, IF(AND(D16="non-TOU", E59&gt;0), F59,F58)))</f>
        <v>0.11183999999999999</v>
      </c>
      <c r="G45" s="18">
        <f>E45*F45</f>
        <v>7.7169599999999994</v>
      </c>
      <c r="H45" s="288">
        <f>$F$18*(1+$O$74)-$F$18</f>
        <v>73.799999999999727</v>
      </c>
      <c r="I45" s="32">
        <f>0.64*$F$55+0.18*$F$56+0.18*$F$57</f>
        <v>0.11183999999999999</v>
      </c>
      <c r="J45" s="18">
        <f>$E45*I45</f>
        <v>7.7169599999999994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8.2537919999999687</v>
      </c>
      <c r="Q45" s="38"/>
      <c r="R45" s="169">
        <f t="shared" si="5"/>
        <v>0.53683199999996933</v>
      </c>
      <c r="S45" s="123">
        <f t="shared" si="6"/>
        <v>6.956521739130038E-2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9"/>
        <v>0.79</v>
      </c>
      <c r="H46" s="281"/>
      <c r="I46" s="32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7"/>
      <c r="F47" s="35"/>
      <c r="G47" s="37">
        <f>SUM(G40:G46)+G39</f>
        <v>63.876959999999997</v>
      </c>
      <c r="H47" s="281"/>
      <c r="I47" s="35"/>
      <c r="J47" s="37">
        <f>SUM(J40:J46)+J39</f>
        <v>76.686959999999999</v>
      </c>
      <c r="K47" s="38"/>
      <c r="L47" s="170">
        <f t="shared" si="2"/>
        <v>12.810000000000002</v>
      </c>
      <c r="M47" s="125">
        <f>IF((G47)=0,"",(L47/G47))</f>
        <v>0.20054179159434016</v>
      </c>
      <c r="N47" s="38"/>
      <c r="O47" s="35"/>
      <c r="P47" s="37">
        <f>SUM(P40:P46)+P39</f>
        <v>77.89194602266511</v>
      </c>
      <c r="Q47" s="38"/>
      <c r="R47" s="170">
        <f t="shared" si="5"/>
        <v>1.2049860226651106</v>
      </c>
      <c r="S47" s="125">
        <f t="shared" si="6"/>
        <v>1.5713049815315544E-2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[4]Rates!$A$76</f>
        <v>TN_GS</v>
      </c>
      <c r="B48" s="19" t="s">
        <v>22</v>
      </c>
      <c r="C48" s="19"/>
      <c r="D48" s="101" t="s">
        <v>58</v>
      </c>
      <c r="E48" s="137">
        <f>F18*(1+F74)</f>
        <v>2069</v>
      </c>
      <c r="F48" s="20">
        <f>IF($A48&lt;&gt;"",VLOOKUP($A48,[4]Rates!$A$1:$R$65536,12,FALSE),0)</f>
        <v>7.1999999999999998E-3</v>
      </c>
      <c r="G48" s="18">
        <f>E48*F48</f>
        <v>14.896799999999999</v>
      </c>
      <c r="H48" s="283">
        <f>F18*(1+O74)</f>
        <v>2073.7999999999997</v>
      </c>
      <c r="I48" s="20">
        <f>IF($A48&lt;&gt;"",VLOOKUP($A48,[4]Rates!$A$1:$R$65536,14,FALSE),0)</f>
        <v>7.1999999999999998E-3</v>
      </c>
      <c r="J48" s="18">
        <f>$E48*I48</f>
        <v>14.896799999999999</v>
      </c>
      <c r="K48" s="38"/>
      <c r="L48" s="171">
        <f>J48-G48</f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7.3000000000000001E-3</v>
      </c>
      <c r="P48" s="18">
        <f>$H48*O48</f>
        <v>15.138739999999999</v>
      </c>
      <c r="Q48" s="38"/>
      <c r="R48" s="171">
        <f t="shared" si="5"/>
        <v>0.2419399999999996</v>
      </c>
      <c r="S48" s="123">
        <f t="shared" si="6"/>
        <v>1.6241071908060765E-2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[4]Rates!$A$77</f>
        <v>TC_GS</v>
      </c>
      <c r="B49" s="40" t="s">
        <v>23</v>
      </c>
      <c r="C49" s="19"/>
      <c r="D49" s="101" t="s">
        <v>58</v>
      </c>
      <c r="E49" s="137">
        <f>E48</f>
        <v>2069</v>
      </c>
      <c r="F49" s="20">
        <f>IF($A49&lt;&gt;"",VLOOKUP($A49,[4]Rates!$A$1:$R$65536,12,FALSE),0)</f>
        <v>3.0000000000000001E-3</v>
      </c>
      <c r="G49" s="18">
        <f>E49*F49</f>
        <v>6.2069999999999999</v>
      </c>
      <c r="H49" s="283">
        <f>H48</f>
        <v>2073.7999999999997</v>
      </c>
      <c r="I49" s="20">
        <f>IF($A49&lt;&gt;"",VLOOKUP($A49,[4]Rates!$A$1:$R$65536,14,FALSE),0)</f>
        <v>3.0000000000000001E-3</v>
      </c>
      <c r="J49" s="18">
        <f>$E49*I49</f>
        <v>6.2069999999999999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3.3E-3</v>
      </c>
      <c r="P49" s="18">
        <f>$H49*O49</f>
        <v>6.8435399999999991</v>
      </c>
      <c r="Q49" s="38"/>
      <c r="R49" s="171">
        <f t="shared" si="5"/>
        <v>0.63653999999999922</v>
      </c>
      <c r="S49" s="123">
        <f t="shared" si="6"/>
        <v>0.10255195746737542</v>
      </c>
      <c r="T49" s="38"/>
    </row>
    <row r="50" spans="1:360" x14ac:dyDescent="0.25">
      <c r="B50" s="33" t="s">
        <v>24</v>
      </c>
      <c r="C50" s="25"/>
      <c r="D50" s="41"/>
      <c r="E50" s="287"/>
      <c r="F50" s="41"/>
      <c r="G50" s="37">
        <f>SUM(G47:G49)</f>
        <v>84.980759999999989</v>
      </c>
      <c r="H50" s="282"/>
      <c r="I50" s="41"/>
      <c r="J50" s="37">
        <f>SUM(J47:J49)</f>
        <v>97.790759999999992</v>
      </c>
      <c r="K50" s="109"/>
      <c r="L50" s="172">
        <f t="shared" si="2"/>
        <v>12.810000000000002</v>
      </c>
      <c r="M50" s="125">
        <f t="shared" si="13"/>
        <v>0.15074000279592703</v>
      </c>
      <c r="N50" s="109"/>
      <c r="O50" s="41"/>
      <c r="P50" s="37">
        <f>SUM(P47:P49)</f>
        <v>99.874226022665113</v>
      </c>
      <c r="Q50" s="109"/>
      <c r="R50" s="172">
        <f t="shared" si="5"/>
        <v>2.0834660226651209</v>
      </c>
      <c r="S50" s="125">
        <f t="shared" si="6"/>
        <v>2.1305346462847014E-2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2069</v>
      </c>
      <c r="F51" s="43">
        <v>3.5999999999999999E-3</v>
      </c>
      <c r="G51" s="44">
        <f t="shared" ref="G51:G59" si="14">E51*F51</f>
        <v>7.4483999999999995</v>
      </c>
      <c r="H51" s="283">
        <f>H49</f>
        <v>2073.7999999999997</v>
      </c>
      <c r="I51" s="43">
        <v>3.5999999999999999E-3</v>
      </c>
      <c r="J51" s="44">
        <f>$E51*I51</f>
        <v>7.4483999999999995</v>
      </c>
      <c r="K51" s="17"/>
      <c r="L51" s="173">
        <f t="shared" si="2"/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7.465679999999999</v>
      </c>
      <c r="Q51" s="17"/>
      <c r="R51" s="173">
        <f>P51-J51</f>
        <v>1.7279999999999518E-2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37">
        <f>E49</f>
        <v>2069</v>
      </c>
      <c r="F52" s="43">
        <v>1.2999999999999999E-3</v>
      </c>
      <c r="G52" s="44">
        <f t="shared" si="14"/>
        <v>2.6896999999999998</v>
      </c>
      <c r="H52" s="283">
        <f>H49</f>
        <v>2073.7999999999997</v>
      </c>
      <c r="I52" s="43">
        <v>1.2999999999999999E-3</v>
      </c>
      <c r="J52" s="44">
        <f>$E52*I52</f>
        <v>2.6896999999999998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2.6959399999999993</v>
      </c>
      <c r="Q52" s="17"/>
      <c r="R52" s="173">
        <f t="shared" si="5"/>
        <v>6.2399999999995792E-3</v>
      </c>
      <c r="S52" s="126">
        <f t="shared" si="6"/>
        <v>2.3199613339776109E-3</v>
      </c>
      <c r="T52" s="1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4"/>
        <v>0.25</v>
      </c>
      <c r="H53" s="283"/>
      <c r="I53" s="43">
        <v>0.25</v>
      </c>
      <c r="J53" s="44">
        <f t="shared" ref="J53:J54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43">
        <v>0.25</v>
      </c>
      <c r="P53" s="44">
        <f t="shared" ref="P53:P54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37">
        <f>F18</f>
        <v>2000</v>
      </c>
      <c r="F54" s="43">
        <v>7.0000000000000001E-3</v>
      </c>
      <c r="G54" s="44">
        <f t="shared" si="14"/>
        <v>14</v>
      </c>
      <c r="H54" s="283"/>
      <c r="I54" s="43">
        <v>7.0000000000000001E-3</v>
      </c>
      <c r="J54" s="44">
        <f t="shared" si="15"/>
        <v>14</v>
      </c>
      <c r="K54" s="17"/>
      <c r="L54" s="173">
        <f t="shared" si="2"/>
        <v>0</v>
      </c>
      <c r="M54" s="126">
        <f t="shared" si="13"/>
        <v>0</v>
      </c>
      <c r="N54" s="17"/>
      <c r="O54" s="43">
        <v>7.0000000000000001E-3</v>
      </c>
      <c r="P54" s="44">
        <f t="shared" si="16"/>
        <v>14</v>
      </c>
      <c r="Q54" s="17"/>
      <c r="R54" s="173">
        <f t="shared" si="5"/>
        <v>0</v>
      </c>
      <c r="S54" s="126">
        <f t="shared" si="6"/>
        <v>0</v>
      </c>
      <c r="T54" s="17"/>
    </row>
    <row r="55" spans="1:360" x14ac:dyDescent="0.25">
      <c r="B55" s="31" t="s">
        <v>29</v>
      </c>
      <c r="C55" s="15"/>
      <c r="D55" s="99" t="s">
        <v>58</v>
      </c>
      <c r="E55" s="137">
        <f>0.64*$F$18</f>
        <v>1280</v>
      </c>
      <c r="F55" s="46">
        <f>Residential!F55</f>
        <v>8.6999999999999994E-2</v>
      </c>
      <c r="G55" s="44">
        <f t="shared" si="14"/>
        <v>111.35999999999999</v>
      </c>
      <c r="H55" s="289">
        <f>0.64*$F$18</f>
        <v>1280</v>
      </c>
      <c r="I55" s="46">
        <f>F55</f>
        <v>8.6999999999999994E-2</v>
      </c>
      <c r="J55" s="44">
        <f>$H55*I55</f>
        <v>111.35999999999999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>$H55*O55</f>
        <v>111.35999999999999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37">
        <f>0.18*$F$18</f>
        <v>360</v>
      </c>
      <c r="F56" s="46">
        <f>Residential!F56</f>
        <v>0.13200000000000001</v>
      </c>
      <c r="G56" s="44">
        <f t="shared" si="14"/>
        <v>47.52</v>
      </c>
      <c r="H56" s="289">
        <f>0.18*$F$18</f>
        <v>360</v>
      </c>
      <c r="I56" s="46">
        <f t="shared" ref="I56:I59" si="17">F56</f>
        <v>0.13200000000000001</v>
      </c>
      <c r="J56" s="44">
        <f>$H56*I56</f>
        <v>47.52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>$H56*O56</f>
        <v>47.52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37">
        <f>0.18*$F$18</f>
        <v>360</v>
      </c>
      <c r="F57" s="46">
        <f>Residential!F57</f>
        <v>0.18</v>
      </c>
      <c r="G57" s="44">
        <f t="shared" si="14"/>
        <v>64.8</v>
      </c>
      <c r="H57" s="289">
        <f>0.18*$F$18</f>
        <v>360</v>
      </c>
      <c r="I57" s="46">
        <f t="shared" si="17"/>
        <v>0.18</v>
      </c>
      <c r="J57" s="44">
        <f>$H57*I57</f>
        <v>64.8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>$H57*O57</f>
        <v>64.8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37">
        <f>F18</f>
        <v>2000</v>
      </c>
      <c r="F58" s="43">
        <v>1.1000000000000001E-3</v>
      </c>
      <c r="G58" s="44">
        <f>E58*F58</f>
        <v>2.2000000000000002</v>
      </c>
      <c r="H58" s="289"/>
      <c r="I58" s="43">
        <v>1.1000000000000001E-3</v>
      </c>
      <c r="J58" s="44">
        <f>$E58*I58</f>
        <v>2.2000000000000002</v>
      </c>
      <c r="K58" s="110"/>
      <c r="L58" s="174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>$E58*O58</f>
        <v>2.2000000000000002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4"/>
        <v>0</v>
      </c>
      <c r="H59" s="289"/>
      <c r="I59" s="46">
        <f t="shared" si="17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335.24885999999998</v>
      </c>
      <c r="H61" s="57"/>
      <c r="I61" s="56"/>
      <c r="J61" s="58">
        <f>SUM(J51:J58,J50)</f>
        <v>348.05885999999998</v>
      </c>
      <c r="K61" s="57"/>
      <c r="L61" s="176">
        <f>J61-G61</f>
        <v>12.810000000000002</v>
      </c>
      <c r="M61" s="128">
        <f>IF((G61)=0,"",(L61/G61))</f>
        <v>3.8210420760267469E-2</v>
      </c>
      <c r="N61" s="57"/>
      <c r="O61" s="56"/>
      <c r="P61" s="58">
        <f>SUM(P51:P58,P50)</f>
        <v>350.16584602266505</v>
      </c>
      <c r="Q61" s="57"/>
      <c r="R61" s="176">
        <f>P61-J61</f>
        <v>2.106986022665069</v>
      </c>
      <c r="S61" s="128">
        <f>IF((J61)=0,"",(R61/J61))</f>
        <v>6.0535336542361512E-3</v>
      </c>
      <c r="T61" s="57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43.582351799999998</v>
      </c>
      <c r="H62" s="61"/>
      <c r="I62" s="60">
        <v>0.13</v>
      </c>
      <c r="J62" s="62">
        <f>J61*I62</f>
        <v>45.2476518</v>
      </c>
      <c r="K62" s="61"/>
      <c r="L62" s="176">
        <f>J62-G62</f>
        <v>1.665300000000002</v>
      </c>
      <c r="M62" s="129">
        <f>IF((G62)=0,"",(L62/G62))</f>
        <v>3.8210420760267511E-2</v>
      </c>
      <c r="N62" s="61"/>
      <c r="O62" s="60">
        <v>0.13</v>
      </c>
      <c r="P62" s="62">
        <f>P61*O62</f>
        <v>45.521559982946457</v>
      </c>
      <c r="Q62" s="61"/>
      <c r="R62" s="176">
        <f t="shared" si="5"/>
        <v>0.27390818294645669</v>
      </c>
      <c r="S62" s="129">
        <f t="shared" ref="S62:S64" si="19">IF((J62)=0,"",(R62/J62))</f>
        <v>6.0535336542361009E-3</v>
      </c>
      <c r="T62" s="61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378.83121180000001</v>
      </c>
      <c r="H63" s="61"/>
      <c r="I63" s="64"/>
      <c r="J63" s="62">
        <f>J61+J62</f>
        <v>393.30651179999995</v>
      </c>
      <c r="K63" s="61"/>
      <c r="L63" s="176">
        <f>J63-G63</f>
        <v>14.475299999999947</v>
      </c>
      <c r="M63" s="129">
        <f>IF((G63)=0,"",(L63/G63))</f>
        <v>3.8210420760267323E-2</v>
      </c>
      <c r="N63" s="61"/>
      <c r="O63" s="64"/>
      <c r="P63" s="62">
        <f>P61+P62</f>
        <v>395.68740600561148</v>
      </c>
      <c r="Q63" s="61"/>
      <c r="R63" s="176">
        <f t="shared" si="5"/>
        <v>2.3808942056115256</v>
      </c>
      <c r="S63" s="129">
        <f t="shared" si="19"/>
        <v>6.053533654236146E-3</v>
      </c>
      <c r="T63" s="61"/>
    </row>
    <row r="64" spans="1:360" ht="15" customHeight="1" x14ac:dyDescent="0.25">
      <c r="B64" s="406" t="s">
        <v>35</v>
      </c>
      <c r="C64" s="406"/>
      <c r="D64" s="40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96"/>
      <c r="F65" s="66"/>
      <c r="G65" s="67">
        <f>G63+G64</f>
        <v>378.83121180000001</v>
      </c>
      <c r="H65" s="57"/>
      <c r="I65" s="66"/>
      <c r="J65" s="67">
        <f>J63+J64</f>
        <v>393.30651179999995</v>
      </c>
      <c r="K65" s="57"/>
      <c r="L65" s="178">
        <f>J65-G65</f>
        <v>14.475299999999947</v>
      </c>
      <c r="M65" s="131">
        <f>IF((G65)=0,"",(L65/G65))</f>
        <v>3.8210420760267323E-2</v>
      </c>
      <c r="N65" s="57"/>
      <c r="O65" s="66"/>
      <c r="P65" s="67">
        <f>P63+P64</f>
        <v>395.68740600561148</v>
      </c>
      <c r="Q65" s="57"/>
      <c r="R65" s="178">
        <f t="shared" si="5"/>
        <v>2.3808942056115256</v>
      </c>
      <c r="S65" s="131">
        <f>IF((J65)=0,"",(R65/J65))</f>
        <v>6.053533654236146E-3</v>
      </c>
      <c r="T65" s="57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111.56885999999999</v>
      </c>
      <c r="H67" s="74"/>
      <c r="I67" s="73"/>
      <c r="J67" s="75">
        <f>SUM(J58:J59,J50,J51:J54)</f>
        <v>124.37885999999999</v>
      </c>
      <c r="K67" s="74"/>
      <c r="L67" s="180">
        <f>J67-G67</f>
        <v>12.810000000000002</v>
      </c>
      <c r="M67" s="128">
        <f>IF((G67)=0,"",(L67/G67))</f>
        <v>0.11481698387883504</v>
      </c>
      <c r="N67" s="74"/>
      <c r="O67" s="73"/>
      <c r="P67" s="75">
        <f>SUM(P58:P59,P50,P51:P54)</f>
        <v>126.48584602266511</v>
      </c>
      <c r="Q67" s="74"/>
      <c r="R67" s="180">
        <f t="shared" si="5"/>
        <v>2.1069860226651258</v>
      </c>
      <c r="S67" s="128">
        <f>IF((J67)=0,"",(R67/J67))</f>
        <v>1.6940065399096968E-2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14.503951799999999</v>
      </c>
      <c r="H68" s="78"/>
      <c r="I68" s="77">
        <v>0.13</v>
      </c>
      <c r="J68" s="79">
        <f>J67*I68</f>
        <v>16.169251799999998</v>
      </c>
      <c r="K68" s="78"/>
      <c r="L68" s="180">
        <f>J68-G68</f>
        <v>1.6652999999999984</v>
      </c>
      <c r="M68" s="129">
        <f>IF((G68)=0,"",(L68/G68))</f>
        <v>0.11481698387883491</v>
      </c>
      <c r="N68" s="78"/>
      <c r="O68" s="77">
        <v>0.13</v>
      </c>
      <c r="P68" s="79">
        <f>P67*O68</f>
        <v>16.443159982946465</v>
      </c>
      <c r="Q68" s="78"/>
      <c r="R68" s="180">
        <f t="shared" si="5"/>
        <v>0.27390818294646735</v>
      </c>
      <c r="S68" s="129">
        <f t="shared" ref="S68:S71" si="20">IF((J68)=0,"",(R68/J68))</f>
        <v>1.694006539909703E-2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126.07281179999998</v>
      </c>
      <c r="H69" s="78"/>
      <c r="I69" s="81"/>
      <c r="J69" s="79">
        <f>J67+J68</f>
        <v>140.54811179999999</v>
      </c>
      <c r="K69" s="78"/>
      <c r="L69" s="180">
        <f>J69-G69</f>
        <v>14.475300000000004</v>
      </c>
      <c r="M69" s="129">
        <f>IF((G69)=0,"",(L69/G69))</f>
        <v>0.11481698387883506</v>
      </c>
      <c r="N69" s="78"/>
      <c r="O69" s="81"/>
      <c r="P69" s="79">
        <f>P67+P68</f>
        <v>142.92900600561157</v>
      </c>
      <c r="Q69" s="78"/>
      <c r="R69" s="180">
        <f t="shared" si="5"/>
        <v>2.3808942056115825</v>
      </c>
      <c r="S69" s="129">
        <f t="shared" si="20"/>
        <v>1.6940065399096899E-2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98"/>
      <c r="F70" s="73">
        <v>0.1</v>
      </c>
      <c r="G70" s="82">
        <f>-G69*F70</f>
        <v>-12.607281179999999</v>
      </c>
      <c r="H70" s="78"/>
      <c r="I70" s="81"/>
      <c r="J70" s="82"/>
      <c r="K70" s="78"/>
      <c r="L70" s="181">
        <f>J70-G70</f>
        <v>12.607281179999999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">
      <c r="B71" s="403" t="s">
        <v>38</v>
      </c>
      <c r="C71" s="403"/>
      <c r="D71" s="403"/>
      <c r="E71" s="199"/>
      <c r="F71" s="83"/>
      <c r="G71" s="84">
        <f>SUM(G69:G70)</f>
        <v>113.46553061999998</v>
      </c>
      <c r="H71" s="74"/>
      <c r="I71" s="83"/>
      <c r="J71" s="84">
        <f>SUM(J69:J70)</f>
        <v>140.54811179999999</v>
      </c>
      <c r="K71" s="74"/>
      <c r="L71" s="182">
        <f>J71-G71</f>
        <v>27.082581180000005</v>
      </c>
      <c r="M71" s="132">
        <f>IF((G71)=0,"",(L71/G71))</f>
        <v>0.23868553764315009</v>
      </c>
      <c r="N71" s="74"/>
      <c r="O71" s="83"/>
      <c r="P71" s="84">
        <f>SUM(P69:P70)</f>
        <v>142.92900600561157</v>
      </c>
      <c r="Q71" s="74"/>
      <c r="R71" s="182">
        <f t="shared" si="5"/>
        <v>2.3808942056115825</v>
      </c>
      <c r="S71" s="132">
        <f t="shared" si="20"/>
        <v>1.6940065399096899E-2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8" spans="1:360" x14ac:dyDescent="0.25">
      <c r="A78" s="2" t="s">
        <v>41</v>
      </c>
    </row>
    <row r="79" spans="1:360" x14ac:dyDescent="0.25">
      <c r="A79" s="2" t="s">
        <v>42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4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4" zoomScale="70" zoomScaleNormal="70" zoomScaleSheetLayoutView="70" workbookViewId="0">
      <selection activeCell="O42" sqref="O42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5.28515625" style="2" customWidth="1"/>
    <col min="8" max="8" width="2.140625" style="2" customWidth="1"/>
    <col min="9" max="9" width="13.5703125" style="2" customWidth="1"/>
    <col min="10" max="10" width="16.42578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75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74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250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IF($A23&lt;&gt;"",VLOOKUP($A23,[4]Rates!$A$1:$R$65536,14,FALSE),0)</f>
        <v>138.47999999999999</v>
      </c>
      <c r="J23" s="18">
        <f>$E23*I23</f>
        <v>138.47999999999999</v>
      </c>
      <c r="K23" s="38"/>
      <c r="L23" s="167">
        <f>J23-G23</f>
        <v>0</v>
      </c>
      <c r="M23" s="123">
        <f>IF((G23)=0,"",(L23/G23))</f>
        <v>0</v>
      </c>
      <c r="N23" s="38"/>
      <c r="O23" s="114">
        <f>IF($A23&lt;&gt;"",VLOOKUP($A23,[4]Rates!$A$1:$R$65536,15,FALSE),0)</f>
        <v>138.47999999999999</v>
      </c>
      <c r="P23" s="18">
        <f>$E23*O23</f>
        <v>138.47999999999999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[4]Rates!$A$83</f>
        <v>PPE_GSL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6.99</v>
      </c>
      <c r="G25" s="309">
        <f t="shared" si="0"/>
        <v>6.99</v>
      </c>
      <c r="H25" s="310"/>
      <c r="I25" s="314">
        <f>IF($A25&lt;&gt;"",VLOOKUP($A25,[4]Rates!$A$1:$R$65536,14,FALSE),0)</f>
        <v>6.99</v>
      </c>
      <c r="J25" s="309">
        <f t="shared" si="1"/>
        <v>6.99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-6.99</v>
      </c>
      <c r="S25" s="312">
        <f t="shared" si="6"/>
        <v>-1</v>
      </c>
      <c r="T25" s="310"/>
    </row>
    <row r="26" spans="1:360" s="277" customFormat="1" x14ac:dyDescent="0.25">
      <c r="A26" s="303" t="str">
        <f>[4]Rates!$A$84</f>
        <v>ICMF_GSL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0.72</v>
      </c>
      <c r="G26" s="309">
        <f t="shared" si="0"/>
        <v>0.72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-0.72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143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-2.13</v>
      </c>
      <c r="J27" s="18">
        <f t="shared" si="1"/>
        <v>-2.13</v>
      </c>
      <c r="K27" s="38"/>
      <c r="L27" s="167">
        <f t="shared" si="2"/>
        <v>-2.13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2.13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[4]Rates!$A$86</f>
        <v>Var_GSL</v>
      </c>
      <c r="B29" s="15" t="s">
        <v>14</v>
      </c>
      <c r="C29" s="15"/>
      <c r="D29" s="99" t="s">
        <v>59</v>
      </c>
      <c r="E29" s="135">
        <f>$F$18</f>
        <v>250</v>
      </c>
      <c r="F29" s="16">
        <f>IF($A29&lt;&gt;"",VLOOKUP($A29,[4]Rates!$A$1:$R$65536,12,FALSE),0)</f>
        <v>3.3277999999999999</v>
      </c>
      <c r="G29" s="18">
        <f t="shared" si="0"/>
        <v>831.94999999999993</v>
      </c>
      <c r="H29" s="38"/>
      <c r="I29" s="16">
        <f>IF($A29&lt;&gt;"",VLOOKUP($A29,[4]Rates!$A$1:$R$65536,14,FALSE),0)</f>
        <v>3.7199</v>
      </c>
      <c r="J29" s="18">
        <f t="shared" si="1"/>
        <v>929.97500000000002</v>
      </c>
      <c r="K29" s="38"/>
      <c r="L29" s="167">
        <f t="shared" si="2"/>
        <v>98.025000000000091</v>
      </c>
      <c r="M29" s="123">
        <f t="shared" si="3"/>
        <v>0.11782559048019725</v>
      </c>
      <c r="N29" s="38"/>
      <c r="O29" s="16">
        <f>IF($A29&lt;&gt;"",VLOOKUP($A29,[4]Rates!$A$1:$R$65536,15,FALSE),0)</f>
        <v>4.3277999999999999</v>
      </c>
      <c r="P29" s="18">
        <f t="shared" si="4"/>
        <v>1081.95</v>
      </c>
      <c r="Q29" s="38"/>
      <c r="R29" s="167">
        <f t="shared" si="5"/>
        <v>151.97500000000002</v>
      </c>
      <c r="S29" s="123">
        <f t="shared" si="6"/>
        <v>0.16341837146159846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250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144</v>
      </c>
      <c r="B31" s="22" t="s">
        <v>145</v>
      </c>
      <c r="C31" s="15"/>
      <c r="D31" s="99" t="s">
        <v>59</v>
      </c>
      <c r="E31" s="135">
        <f t="shared" si="7"/>
        <v>250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1.1617</v>
      </c>
      <c r="J31" s="18">
        <f t="shared" si="1"/>
        <v>290.42500000000001</v>
      </c>
      <c r="K31" s="38"/>
      <c r="L31" s="167">
        <f t="shared" si="2"/>
        <v>290.42500000000001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-290.42500000000001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[4]Rates!$A$92</f>
        <v>ICMV_GSL</v>
      </c>
      <c r="B32" s="304" t="s">
        <v>72</v>
      </c>
      <c r="C32" s="305"/>
      <c r="D32" s="306" t="s">
        <v>59</v>
      </c>
      <c r="E32" s="316">
        <f t="shared" si="7"/>
        <v>250</v>
      </c>
      <c r="F32" s="308">
        <f>IF($A32&lt;&gt;"",VLOOKUP($A32,[4]Rates!$A$1:$R$65536,12,FALSE),0)</f>
        <v>1.7299999999999999E-2</v>
      </c>
      <c r="G32" s="309">
        <f t="shared" si="0"/>
        <v>4.3250000000000002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-4.3250000000000002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[4]Rates!$A102</f>
        <v>2RAL16_GSL</v>
      </c>
      <c r="B33" s="23" t="str">
        <f>[4]Rates!$B$102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250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0.1273</v>
      </c>
      <c r="J33" s="18">
        <f t="shared" si="1"/>
        <v>31.824999999999999</v>
      </c>
      <c r="K33" s="38"/>
      <c r="L33" s="167">
        <f t="shared" si="2"/>
        <v>31.824999999999999</v>
      </c>
      <c r="M33" s="123" t="str">
        <f t="shared" si="3"/>
        <v/>
      </c>
      <c r="N33" s="38"/>
      <c r="O33" s="16">
        <f>IF($A33&lt;&gt;"",VLOOKUP($A33,[4]Rates!$A$1:$R$65536,15,FALSE),0)</f>
        <v>0.1273</v>
      </c>
      <c r="P33" s="18">
        <f t="shared" si="4"/>
        <v>31.824999999999999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[4]Rates!$A103</f>
        <v>LRVA16_GSL</v>
      </c>
      <c r="B34" s="23" t="str">
        <f>[4]Rates!$B103</f>
        <v>Lost Revenue Adjustment Mechanism Variance Account (LRAMVA) (2016)</v>
      </c>
      <c r="C34" s="15"/>
      <c r="D34" s="99" t="s">
        <v>59</v>
      </c>
      <c r="E34" s="135">
        <f t="shared" si="7"/>
        <v>250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-1.9599999999999999E-2</v>
      </c>
      <c r="J34" s="18">
        <f t="shared" si="1"/>
        <v>-4.8999999999999995</v>
      </c>
      <c r="K34" s="38"/>
      <c r="L34" s="167">
        <f t="shared" si="2"/>
        <v>-4.8999999999999995</v>
      </c>
      <c r="M34" s="123" t="str">
        <f t="shared" si="3"/>
        <v/>
      </c>
      <c r="N34" s="38"/>
      <c r="O34" s="16">
        <f>IF($A34&lt;&gt;"",VLOOKUP($A34,[4]Rates!$A$1:$R$65536,15,FALSE),0)</f>
        <v>-1.9599999999999999E-2</v>
      </c>
      <c r="P34" s="18">
        <f t="shared" si="4"/>
        <v>-4.8999999999999995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[4]Rates!$A104</f>
        <v>PPE16_GSL</v>
      </c>
      <c r="B35" s="23" t="str">
        <f>[4]Rates!$B104</f>
        <v>Account 1575 (2016)</v>
      </c>
      <c r="C35" s="15"/>
      <c r="D35" s="99" t="s">
        <v>59</v>
      </c>
      <c r="E35" s="135">
        <f t="shared" si="7"/>
        <v>250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-0.1105</v>
      </c>
      <c r="J35" s="18">
        <f t="shared" si="1"/>
        <v>-27.625</v>
      </c>
      <c r="K35" s="38"/>
      <c r="L35" s="167">
        <f t="shared" si="2"/>
        <v>-27.625</v>
      </c>
      <c r="M35" s="123" t="str">
        <f t="shared" si="3"/>
        <v/>
      </c>
      <c r="N35" s="38"/>
      <c r="O35" s="16">
        <f>IF($A35&lt;&gt;"",VLOOKUP($A35,[4]Rates!$A$1:$R$65536,15,FALSE),0)</f>
        <v>-0.1105</v>
      </c>
      <c r="P35" s="18">
        <f t="shared" si="4"/>
        <v>-27.625</v>
      </c>
      <c r="Q35" s="38"/>
      <c r="R35" s="167">
        <f t="shared" si="5"/>
        <v>0</v>
      </c>
      <c r="S35" s="123">
        <f t="shared" si="6"/>
        <v>0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[4]Rates!$A105</f>
        <v>SG16_GSL</v>
      </c>
      <c r="B36" s="23" t="str">
        <f>[4]Rates!$B105</f>
        <v>Smart Grid True-up (2016)</v>
      </c>
      <c r="C36" s="15"/>
      <c r="D36" s="99" t="s">
        <v>57</v>
      </c>
      <c r="E36" s="135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IF($A36&lt;&gt;"",VLOOKUP($A36,[4]Rates!$A$1:$R$65536,15,FALSE),0)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7" customFormat="1" x14ac:dyDescent="0.25">
      <c r="A37" s="303" t="str">
        <f>[4]Rates!$A$98</f>
        <v>LRVA_GSL</v>
      </c>
      <c r="B37" s="304"/>
      <c r="C37" s="305"/>
      <c r="D37" s="319" t="s">
        <v>59</v>
      </c>
      <c r="E37" s="335">
        <f>E29</f>
        <v>250</v>
      </c>
      <c r="F37" s="308"/>
      <c r="G37" s="309">
        <f t="shared" si="0"/>
        <v>0</v>
      </c>
      <c r="H37" s="310"/>
      <c r="I37" s="308">
        <f>IF($A37&lt;&gt;"",VLOOKUP($A37,[4]Rates!$A$1:$R$65536,14,FALSE),0)</f>
        <v>0</v>
      </c>
      <c r="J37" s="309">
        <f t="shared" si="1"/>
        <v>0</v>
      </c>
      <c r="K37" s="310"/>
      <c r="L37" s="311">
        <f t="shared" si="2"/>
        <v>0</v>
      </c>
      <c r="M37" s="312" t="str">
        <f t="shared" si="3"/>
        <v/>
      </c>
      <c r="N37" s="310"/>
      <c r="O37" s="308">
        <f>IF($A37&lt;&gt;"",VLOOKUP($A37,[4]Rates!$A$1:$R$65536,15,FALSE),0)</f>
        <v>0</v>
      </c>
      <c r="P37" s="309">
        <f t="shared" si="4"/>
        <v>0</v>
      </c>
      <c r="Q37" s="310"/>
      <c r="R37" s="311">
        <f t="shared" si="5"/>
        <v>0</v>
      </c>
      <c r="S37" s="312" t="str">
        <f t="shared" si="6"/>
        <v/>
      </c>
      <c r="T37" s="310"/>
    </row>
    <row r="38" spans="1:360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982.46499999999992</v>
      </c>
      <c r="H39" s="38"/>
      <c r="I39" s="26"/>
      <c r="J39" s="28">
        <f>SUM(J23:J38)</f>
        <v>1358.23</v>
      </c>
      <c r="K39" s="38"/>
      <c r="L39" s="168">
        <f t="shared" si="2"/>
        <v>375.7650000000001</v>
      </c>
      <c r="M39" s="124">
        <f>IF((G39)=0,"",(L39/G39))</f>
        <v>0.3824716402111018</v>
      </c>
      <c r="N39" s="38"/>
      <c r="O39" s="26"/>
      <c r="P39" s="28">
        <f>SUM(P23:P38)</f>
        <v>1214.92</v>
      </c>
      <c r="Q39" s="38"/>
      <c r="R39" s="168">
        <f t="shared" si="5"/>
        <v>-143.30999999999995</v>
      </c>
      <c r="S39" s="124">
        <f t="shared" si="6"/>
        <v>-0.1055123211827157</v>
      </c>
      <c r="T39" s="38"/>
    </row>
    <row r="40" spans="1:360" s="277" customFormat="1" x14ac:dyDescent="0.25">
      <c r="A40" s="303" t="str">
        <f>[4]Rates!$A$90</f>
        <v>RAL14_GSL</v>
      </c>
      <c r="B40" s="302"/>
      <c r="C40" s="305"/>
      <c r="D40" s="319" t="s">
        <v>59</v>
      </c>
      <c r="E40" s="335">
        <f>$F$18</f>
        <v>250</v>
      </c>
      <c r="F40" s="308"/>
      <c r="G40" s="309">
        <f t="shared" ref="G40:G49" si="8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  <c r="U40" s="368"/>
    </row>
    <row r="41" spans="1:360" x14ac:dyDescent="0.25">
      <c r="A41" s="139" t="str">
        <f>[4]Rates!$A99</f>
        <v>RAL16_GSL</v>
      </c>
      <c r="B41" s="30" t="str">
        <f>[4]Rates!$B99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250</v>
      </c>
      <c r="F41" s="16">
        <f>IF($A41&lt;&gt;"",VLOOKUP($A41,[4]Rates!$A$1:$R$65536,12,FALSE),0)</f>
        <v>0</v>
      </c>
      <c r="G41" s="18">
        <f t="shared" si="8"/>
        <v>0</v>
      </c>
      <c r="H41" s="21"/>
      <c r="I41" s="16">
        <f>IF($A41&lt;&gt;"",VLOOKUP($A41,[4]Rates!$A$1:$R$65536,14,FALSE),0)</f>
        <v>0.23380000000000001</v>
      </c>
      <c r="J41" s="18">
        <f t="shared" ref="J41:J47" si="10">$E41*I41</f>
        <v>58.45</v>
      </c>
      <c r="K41" s="21"/>
      <c r="L41" s="167">
        <f t="shared" si="2"/>
        <v>58.45</v>
      </c>
      <c r="M41" s="123" t="str">
        <f t="shared" si="3"/>
        <v/>
      </c>
      <c r="N41" s="21"/>
      <c r="O41" s="16">
        <f>IF($A41&lt;&gt;"",VLOOKUP($A41,[4]Rates!$A$1:$R$65536,15,FALSE),0)</f>
        <v>0.23380000000000001</v>
      </c>
      <c r="P41" s="18">
        <f t="shared" ref="P41:P49" si="11">$E41*O41</f>
        <v>58.45</v>
      </c>
      <c r="Q41" s="21"/>
      <c r="R41" s="167">
        <f t="shared" si="5"/>
        <v>0</v>
      </c>
      <c r="S41" s="123">
        <f t="shared" si="6"/>
        <v>0</v>
      </c>
      <c r="T41" s="244"/>
      <c r="U41" s="36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[4]Rates!$A100</f>
        <v>RALP16_GSL</v>
      </c>
      <c r="B42" s="30" t="str">
        <f>[4]Rates!$B100</f>
        <v xml:space="preserve">Disposition of Deferral/Variance Accounts - Power (2016) </v>
      </c>
      <c r="C42" s="15"/>
      <c r="D42" s="99" t="s">
        <v>59</v>
      </c>
      <c r="E42" s="135">
        <f t="shared" si="9"/>
        <v>250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-0.24490000000000001</v>
      </c>
      <c r="J42" s="18">
        <f t="shared" si="10"/>
        <v>-61.225000000000001</v>
      </c>
      <c r="K42" s="21"/>
      <c r="L42" s="167">
        <f t="shared" si="2"/>
        <v>-61.225000000000001</v>
      </c>
      <c r="M42" s="123" t="str">
        <f t="shared" si="3"/>
        <v/>
      </c>
      <c r="N42" s="21"/>
      <c r="O42" s="16">
        <f>IF($A42&lt;&gt;"",VLOOKUP($A42,[4]Rates!$A$1:$R$65536,15,FALSE),0)</f>
        <v>-0.24490000000000001</v>
      </c>
      <c r="P42" s="18">
        <f t="shared" si="11"/>
        <v>-61.225000000000001</v>
      </c>
      <c r="Q42" s="21"/>
      <c r="R42" s="167">
        <f t="shared" si="5"/>
        <v>0</v>
      </c>
      <c r="S42" s="123">
        <f t="shared" si="6"/>
        <v>0</v>
      </c>
      <c r="T42" s="244"/>
      <c r="U42" s="36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[4]Rates!$A101</f>
        <v>GA16_GSL</v>
      </c>
      <c r="B43" s="30" t="str">
        <f>[4]Rates!$B101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250</v>
      </c>
      <c r="F43" s="16">
        <f>IF($A43&lt;&gt;"",VLOOKUP($A43,[4]Rates!$A$1:$R$65536,12,FALSE),0)</f>
        <v>0</v>
      </c>
      <c r="G43" s="18">
        <f t="shared" si="8"/>
        <v>0</v>
      </c>
      <c r="H43" s="21"/>
      <c r="I43" s="16">
        <f>IF($A43&lt;&gt;"",VLOOKUP($A43,[4]Rates!$A$1:$R$65536,14,FALSE),0)</f>
        <v>0.86370000000000002</v>
      </c>
      <c r="J43" s="18">
        <f t="shared" si="10"/>
        <v>215.92500000000001</v>
      </c>
      <c r="K43" s="21"/>
      <c r="L43" s="167">
        <f t="shared" si="2"/>
        <v>215.92500000000001</v>
      </c>
      <c r="M43" s="123" t="str">
        <f t="shared" si="3"/>
        <v/>
      </c>
      <c r="N43" s="21"/>
      <c r="O43" s="16">
        <f>IF($A43&lt;&gt;"",VLOOKUP($A43,[4]Rates!$A$1:$R$65536,15,FALSE),0)</f>
        <v>0.86370000000000002</v>
      </c>
      <c r="P43" s="18">
        <f t="shared" si="11"/>
        <v>215.92500000000001</v>
      </c>
      <c r="Q43" s="21"/>
      <c r="R43" s="167">
        <f t="shared" si="5"/>
        <v>0</v>
      </c>
      <c r="S43" s="123">
        <f t="shared" si="6"/>
        <v>0</v>
      </c>
      <c r="T43" s="244"/>
      <c r="U43" s="36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[4]Rates!$A$91</f>
        <v>GA14_GSL</v>
      </c>
      <c r="B44" s="30" t="str">
        <f>[4]Rates!$B$91</f>
        <v xml:space="preserve">Disposition of Global Adjustment Sub-Account (2014) </v>
      </c>
      <c r="C44" s="15"/>
      <c r="D44" s="99" t="s">
        <v>59</v>
      </c>
      <c r="E44" s="135">
        <f>F18</f>
        <v>250</v>
      </c>
      <c r="F44" s="16">
        <f>IF($A44&lt;&gt;"",VLOOKUP($A44,[4]Rates!$A$1:$R$65536,12,FALSE),0)</f>
        <v>-7.1999999999999995E-2</v>
      </c>
      <c r="G44" s="18">
        <f t="shared" si="8"/>
        <v>-18</v>
      </c>
      <c r="H44" s="244"/>
      <c r="I44" s="16">
        <f>IF($A44&lt;&gt;"",VLOOKUP($A44,[4]Rates!$A$1:$R$65536,14,FALSE),0)</f>
        <v>0</v>
      </c>
      <c r="J44" s="18">
        <f t="shared" si="10"/>
        <v>0</v>
      </c>
      <c r="K44" s="244"/>
      <c r="L44" s="167">
        <f t="shared" si="2"/>
        <v>18</v>
      </c>
      <c r="M44" s="123"/>
      <c r="N44" s="244"/>
      <c r="O44" s="16">
        <f>IF($A44&lt;&gt;"",VLOOKUP($A44,[4]Rates!$A$1:$R$65536,15,FALSE),0)</f>
        <v>0</v>
      </c>
      <c r="P44" s="18">
        <f t="shared" ref="P44:P45" si="12">$E44*O44</f>
        <v>0</v>
      </c>
      <c r="Q44" s="21"/>
      <c r="R44" s="167">
        <f t="shared" ref="R44:R45" si="13">P44-J44</f>
        <v>0</v>
      </c>
      <c r="S44" s="123" t="str">
        <f t="shared" ref="S44:S45" si="14">IF((J44)=0,"",(R44/J44))</f>
        <v/>
      </c>
      <c r="T44" s="244"/>
      <c r="U44" s="36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/>
      <c r="N45" s="244"/>
      <c r="O45" s="16">
        <f>IF($A45&lt;&gt;"",VLOOKUP($A45,[4]Rates!$A$1:$R$65536,15,FALSE),0)</f>
        <v>0</v>
      </c>
      <c r="P45" s="18">
        <f t="shared" si="12"/>
        <v>0</v>
      </c>
      <c r="Q45" s="21"/>
      <c r="R45" s="167">
        <f t="shared" si="13"/>
        <v>0</v>
      </c>
      <c r="S45" s="123" t="str">
        <f t="shared" si="14"/>
        <v/>
      </c>
      <c r="T45" s="244"/>
      <c r="U45" s="36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/>
      <c r="K46" s="244"/>
      <c r="L46" s="167"/>
      <c r="M46" s="123"/>
      <c r="N46" s="244"/>
      <c r="O46" s="16">
        <f>IF($A46&lt;&gt;"",VLOOKUP($A46,[4]Rates!$A$1:$R$65536,15,FALSE),0)</f>
        <v>0</v>
      </c>
      <c r="P46" s="18"/>
      <c r="Q46" s="244"/>
      <c r="R46" s="167"/>
      <c r="S46" s="123"/>
      <c r="T46" s="244"/>
      <c r="U46" s="36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[4]Rates!$A$87</f>
        <v>LV_GSL</v>
      </c>
      <c r="B47" s="31" t="s">
        <v>18</v>
      </c>
      <c r="C47" s="15"/>
      <c r="D47" s="99" t="s">
        <v>59</v>
      </c>
      <c r="E47" s="135">
        <f t="shared" si="9"/>
        <v>250</v>
      </c>
      <c r="F47" s="16">
        <f>IF($A47&lt;&gt;"",VLOOKUP($A47,[4]Rates!$A$1:$R$65536,12,FALSE),0)</f>
        <v>0.11890000000000001</v>
      </c>
      <c r="G47" s="18">
        <f t="shared" si="8"/>
        <v>29.725000000000001</v>
      </c>
      <c r="H47" s="38"/>
      <c r="I47" s="16">
        <f>IF($A47&lt;&gt;"",VLOOKUP($A47,[4]Rates!$A$1:$R$65536,14,FALSE),0)</f>
        <v>0.11890000000000001</v>
      </c>
      <c r="J47" s="18">
        <f t="shared" si="10"/>
        <v>29.725000000000001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0.15890000000000001</v>
      </c>
      <c r="P47" s="18">
        <f t="shared" si="11"/>
        <v>39.725000000000001</v>
      </c>
      <c r="Q47" s="38"/>
      <c r="R47" s="167">
        <f t="shared" si="5"/>
        <v>10</v>
      </c>
      <c r="S47" s="123">
        <f t="shared" si="6"/>
        <v>0.33641715727502103</v>
      </c>
      <c r="T47" s="38"/>
      <c r="U47" s="36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8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994.18999999999994</v>
      </c>
      <c r="H50" s="38"/>
      <c r="I50" s="35"/>
      <c r="J50" s="37">
        <f>SUM(J40:J49)+J39</f>
        <v>1601.105</v>
      </c>
      <c r="K50" s="38"/>
      <c r="L50" s="170">
        <f t="shared" si="2"/>
        <v>606.91500000000008</v>
      </c>
      <c r="M50" s="125">
        <f>IF((G50)=0,"",(L50/G50))</f>
        <v>0.61046178295899189</v>
      </c>
      <c r="N50" s="38"/>
      <c r="O50" s="35"/>
      <c r="P50" s="37">
        <f>SUM(P40:P49)+P39</f>
        <v>1467.7950000000001</v>
      </c>
      <c r="Q50" s="38"/>
      <c r="R50" s="170">
        <f t="shared" si="5"/>
        <v>-133.30999999999995</v>
      </c>
      <c r="S50" s="125">
        <f t="shared" si="6"/>
        <v>-8.326124770080659E-2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[4]Rates!$A$108</f>
        <v>TN_GSL</v>
      </c>
      <c r="B51" s="19" t="s">
        <v>22</v>
      </c>
      <c r="C51" s="19"/>
      <c r="D51" s="101" t="s">
        <v>59</v>
      </c>
      <c r="E51" s="45">
        <f>F18</f>
        <v>250</v>
      </c>
      <c r="F51" s="20">
        <f>IF($A51&lt;&gt;"",VLOOKUP($A51,[4]Rates!$A$1:$R$65536,12,FALSE),0)</f>
        <v>2.9192</v>
      </c>
      <c r="G51" s="18">
        <f>E51*F51</f>
        <v>729.8</v>
      </c>
      <c r="H51" s="39">
        <v>250</v>
      </c>
      <c r="I51" s="20">
        <f>IF($A51&lt;&gt;"",VLOOKUP($A51,[4]Rates!$A$1:$R$65536,14,FALSE),0)</f>
        <v>2.9192</v>
      </c>
      <c r="J51" s="18">
        <f>$E51*I51</f>
        <v>729.8</v>
      </c>
      <c r="K51" s="38"/>
      <c r="L51" s="171">
        <f>J51-G51</f>
        <v>0</v>
      </c>
      <c r="M51" s="123">
        <f t="shared" ref="M51:M62" si="15">IF((G51)=0,"",(L51/G51))</f>
        <v>0</v>
      </c>
      <c r="N51" s="38"/>
      <c r="O51" s="20">
        <f>IF($A51&lt;&gt;"",VLOOKUP($A51,[4]Rates!$A$1:$R$65536,15,FALSE),0)</f>
        <v>2.9268000000000001</v>
      </c>
      <c r="P51" s="18">
        <f>$E51*O51</f>
        <v>731.7</v>
      </c>
      <c r="Q51" s="38"/>
      <c r="R51" s="171">
        <f t="shared" si="5"/>
        <v>1.9000000000000909</v>
      </c>
      <c r="S51" s="123">
        <f t="shared" si="6"/>
        <v>2.603453000822268E-3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[4]Rates!$A$109</f>
        <v>TC_GSL</v>
      </c>
      <c r="B52" s="40" t="s">
        <v>23</v>
      </c>
      <c r="C52" s="19"/>
      <c r="D52" s="101" t="s">
        <v>59</v>
      </c>
      <c r="E52" s="45">
        <f>E51</f>
        <v>250</v>
      </c>
      <c r="F52" s="20">
        <f>IF($A52&lt;&gt;"",VLOOKUP($A52,[4]Rates!$A$1:$R$65536,12,FALSE),0)</f>
        <v>1.1726000000000001</v>
      </c>
      <c r="G52" s="18">
        <f>E52*F52</f>
        <v>293.15000000000003</v>
      </c>
      <c r="H52" s="39">
        <v>250</v>
      </c>
      <c r="I52" s="20">
        <f>IF($A52&lt;&gt;"",VLOOKUP($A52,[4]Rates!$A$1:$R$65536,14,FALSE),0)</f>
        <v>1.1726000000000001</v>
      </c>
      <c r="J52" s="18">
        <f>$E52*I52</f>
        <v>293.15000000000003</v>
      </c>
      <c r="K52" s="38"/>
      <c r="L52" s="171">
        <f t="shared" si="2"/>
        <v>0</v>
      </c>
      <c r="M52" s="123">
        <f t="shared" si="15"/>
        <v>0</v>
      </c>
      <c r="N52" s="38"/>
      <c r="O52" s="20">
        <f>IF($A52&lt;&gt;"",VLOOKUP($A52,[4]Rates!$A$1:$R$65536,15,FALSE),0)</f>
        <v>1.2618</v>
      </c>
      <c r="P52" s="18">
        <f>$E52*O52</f>
        <v>315.45</v>
      </c>
      <c r="Q52" s="38"/>
      <c r="R52" s="171">
        <f t="shared" si="5"/>
        <v>22.299999999999955</v>
      </c>
      <c r="S52" s="123">
        <f t="shared" si="6"/>
        <v>7.6070271192222247E-2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2017.1399999999999</v>
      </c>
      <c r="H53" s="17"/>
      <c r="I53" s="41"/>
      <c r="J53" s="37">
        <f>SUM(J50:J52)</f>
        <v>2624.0549999999998</v>
      </c>
      <c r="K53" s="109"/>
      <c r="L53" s="172">
        <f t="shared" si="2"/>
        <v>606.91499999999996</v>
      </c>
      <c r="M53" s="125">
        <f t="shared" si="15"/>
        <v>0.30087896725066182</v>
      </c>
      <c r="N53" s="109"/>
      <c r="O53" s="41"/>
      <c r="P53" s="37">
        <f>SUM(P50:P52)</f>
        <v>2514.9449999999997</v>
      </c>
      <c r="Q53" s="109"/>
      <c r="R53" s="172">
        <f t="shared" si="5"/>
        <v>-109.11000000000013</v>
      </c>
      <c r="S53" s="125">
        <f t="shared" si="6"/>
        <v>-4.1580683331713754E-2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6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5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63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6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5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63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6"/>
        <v>0.25</v>
      </c>
      <c r="H56" s="17"/>
      <c r="I56" s="134">
        <v>0.25</v>
      </c>
      <c r="J56" s="44">
        <f t="shared" ref="J56:J62" si="17">$E56*I56</f>
        <v>0.25</v>
      </c>
      <c r="K56" s="17"/>
      <c r="L56" s="173">
        <f t="shared" si="2"/>
        <v>0</v>
      </c>
      <c r="M56" s="126">
        <f t="shared" si="15"/>
        <v>0</v>
      </c>
      <c r="N56" s="17"/>
      <c r="O56" s="43">
        <v>0.25</v>
      </c>
      <c r="P56" s="44">
        <f t="shared" ref="P56:P62" si="18">$E56*O56</f>
        <v>0.25</v>
      </c>
      <c r="Q56" s="17"/>
      <c r="R56" s="173">
        <f t="shared" si="5"/>
        <v>0</v>
      </c>
      <c r="S56" s="126">
        <f t="shared" si="6"/>
        <v>0</v>
      </c>
      <c r="T56" s="363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6"/>
        <v>560</v>
      </c>
      <c r="H57" s="17"/>
      <c r="I57" s="318">
        <v>7.0000000000000001E-3</v>
      </c>
      <c r="J57" s="44">
        <f t="shared" si="17"/>
        <v>560</v>
      </c>
      <c r="K57" s="17"/>
      <c r="L57" s="173">
        <f t="shared" si="2"/>
        <v>0</v>
      </c>
      <c r="M57" s="126">
        <f t="shared" si="15"/>
        <v>0</v>
      </c>
      <c r="N57" s="17"/>
      <c r="O57" s="43">
        <v>7.0000000000000001E-3</v>
      </c>
      <c r="P57" s="44">
        <f t="shared" si="18"/>
        <v>560</v>
      </c>
      <c r="Q57" s="17"/>
      <c r="R57" s="173">
        <f t="shared" si="5"/>
        <v>0</v>
      </c>
      <c r="S57" s="126">
        <f t="shared" si="6"/>
        <v>0</v>
      </c>
      <c r="T57" s="363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6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5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63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6"/>
        <v>1966.3776</v>
      </c>
      <c r="H59" s="136">
        <f>0.18*$F$17+H48*0.18</f>
        <v>14931.36</v>
      </c>
      <c r="I59" s="46">
        <f t="shared" ref="I59:I62" si="19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5"/>
        <v>0</v>
      </c>
      <c r="N59" s="17"/>
      <c r="O59" s="46">
        <f t="shared" ref="O59:O62" si="20">I59</f>
        <v>0.13200000000000001</v>
      </c>
      <c r="P59" s="44">
        <f t="shared" ref="P59:P60" si="21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63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6"/>
        <v>2681.424</v>
      </c>
      <c r="H60" s="136">
        <f>0.18*$F$17+H48*0.18</f>
        <v>14931.36</v>
      </c>
      <c r="I60" s="46">
        <f t="shared" si="19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5"/>
        <v>0</v>
      </c>
      <c r="N60" s="17"/>
      <c r="O60" s="46">
        <f t="shared" si="20"/>
        <v>0.18</v>
      </c>
      <c r="P60" s="44">
        <f t="shared" si="21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63"/>
      <c r="U60" s="93"/>
    </row>
    <row r="61" spans="1:360" s="51" customFormat="1" x14ac:dyDescent="0.2">
      <c r="B61" s="48" t="s">
        <v>136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6"/>
        <v>88</v>
      </c>
      <c r="H61" s="110"/>
      <c r="I61" s="43">
        <v>1.1000000000000001E-3</v>
      </c>
      <c r="J61" s="44">
        <f t="shared" si="17"/>
        <v>88</v>
      </c>
      <c r="K61" s="110"/>
      <c r="L61" s="173">
        <f t="shared" si="2"/>
        <v>0</v>
      </c>
      <c r="M61" s="126">
        <f t="shared" si="15"/>
        <v>0</v>
      </c>
      <c r="N61" s="110"/>
      <c r="O61" s="46">
        <f t="shared" si="20"/>
        <v>1.1000000000000001E-3</v>
      </c>
      <c r="P61" s="44">
        <f t="shared" si="18"/>
        <v>88</v>
      </c>
      <c r="Q61" s="110"/>
      <c r="R61" s="174">
        <f t="shared" si="5"/>
        <v>0</v>
      </c>
      <c r="S61" s="126">
        <f t="shared" si="6"/>
        <v>0</v>
      </c>
      <c r="T61" s="364"/>
      <c r="U61" s="367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6"/>
        <v>0</v>
      </c>
      <c r="H62" s="110"/>
      <c r="I62" s="46">
        <f t="shared" si="19"/>
        <v>0</v>
      </c>
      <c r="J62" s="44">
        <f t="shared" si="17"/>
        <v>0</v>
      </c>
      <c r="K62" s="110"/>
      <c r="L62" s="174">
        <f t="shared" si="2"/>
        <v>0</v>
      </c>
      <c r="M62" s="126" t="str">
        <f t="shared" si="15"/>
        <v/>
      </c>
      <c r="N62" s="110"/>
      <c r="O62" s="46">
        <f t="shared" si="20"/>
        <v>0</v>
      </c>
      <c r="P62" s="44">
        <f t="shared" si="18"/>
        <v>0</v>
      </c>
      <c r="Q62" s="110"/>
      <c r="R62" s="174">
        <f t="shared" si="5"/>
        <v>0</v>
      </c>
      <c r="S62" s="126" t="str">
        <f t="shared" si="6"/>
        <v/>
      </c>
      <c r="T62" s="364"/>
      <c r="U62" s="367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63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12326.792399999998</v>
      </c>
      <c r="H64" s="57"/>
      <c r="I64" s="56"/>
      <c r="J64" s="58">
        <f>SUM(J54:J61,J53)</f>
        <v>12933.707399999999</v>
      </c>
      <c r="K64" s="57"/>
      <c r="L64" s="176">
        <f>J64-G64</f>
        <v>606.91500000000087</v>
      </c>
      <c r="M64" s="128">
        <f>IF((G64)=0,"",(L64/G64))</f>
        <v>4.9235436138277217E-2</v>
      </c>
      <c r="N64" s="57"/>
      <c r="O64" s="56"/>
      <c r="P64" s="58">
        <f>SUM(P54:P61,P53)</f>
        <v>12847.011479999999</v>
      </c>
      <c r="Q64" s="57"/>
      <c r="R64" s="176">
        <f>P64-J64</f>
        <v>-86.695920000000115</v>
      </c>
      <c r="S64" s="128">
        <f>IF((J64)=0,"",(R64/J64))</f>
        <v>-6.7030989119175616E-3</v>
      </c>
      <c r="T64" s="365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1602.4830119999999</v>
      </c>
      <c r="H65" s="61"/>
      <c r="I65" s="60">
        <v>0.13</v>
      </c>
      <c r="J65" s="62">
        <f>J64*I65</f>
        <v>1681.3819619999999</v>
      </c>
      <c r="K65" s="61"/>
      <c r="L65" s="176">
        <f>J65-G65</f>
        <v>78.898950000000013</v>
      </c>
      <c r="M65" s="129">
        <f>IF((G65)=0,"",(L65/G65))</f>
        <v>4.9235436138277154E-2</v>
      </c>
      <c r="N65" s="61"/>
      <c r="O65" s="60">
        <v>0.13</v>
      </c>
      <c r="P65" s="62">
        <f>P64*O65</f>
        <v>1670.1114923999999</v>
      </c>
      <c r="Q65" s="61"/>
      <c r="R65" s="176">
        <f t="shared" si="5"/>
        <v>-11.270469600000069</v>
      </c>
      <c r="S65" s="129">
        <f t="shared" ref="S65:S67" si="22">IF((J65)=0,"",(R65/J65))</f>
        <v>-6.7030989119175946E-3</v>
      </c>
      <c r="T65" s="366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13929.275411999999</v>
      </c>
      <c r="H66" s="61"/>
      <c r="I66" s="64"/>
      <c r="J66" s="62">
        <f>J64+J65</f>
        <v>14615.089361999999</v>
      </c>
      <c r="K66" s="61"/>
      <c r="L66" s="176">
        <f>J66-G66</f>
        <v>685.81394999999975</v>
      </c>
      <c r="M66" s="129">
        <f>IF((G66)=0,"",(L66/G66))</f>
        <v>4.9235436138277126E-2</v>
      </c>
      <c r="N66" s="61"/>
      <c r="O66" s="64"/>
      <c r="P66" s="62">
        <f>P64+P65</f>
        <v>14517.122972399999</v>
      </c>
      <c r="Q66" s="61"/>
      <c r="R66" s="176">
        <f t="shared" si="5"/>
        <v>-97.966389600000184</v>
      </c>
      <c r="S66" s="129">
        <f t="shared" si="22"/>
        <v>-6.703098911917566E-3</v>
      </c>
      <c r="T66" s="366"/>
      <c r="U66" s="93"/>
    </row>
    <row r="67" spans="1:360" ht="15" customHeight="1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22"/>
        <v/>
      </c>
      <c r="T67" s="366"/>
      <c r="U67" s="93"/>
    </row>
    <row r="68" spans="1:360" ht="15.75" customHeight="1" thickBot="1" x14ac:dyDescent="0.3">
      <c r="B68" s="407" t="s">
        <v>36</v>
      </c>
      <c r="C68" s="407"/>
      <c r="D68" s="407"/>
      <c r="E68" s="105"/>
      <c r="F68" s="66"/>
      <c r="G68" s="67">
        <f>G66+G67</f>
        <v>13929.275411999999</v>
      </c>
      <c r="H68" s="57"/>
      <c r="I68" s="66"/>
      <c r="J68" s="67">
        <f>J66+J67</f>
        <v>14615.089361999999</v>
      </c>
      <c r="K68" s="57"/>
      <c r="L68" s="178">
        <f>J68-G68</f>
        <v>685.81394999999975</v>
      </c>
      <c r="M68" s="131">
        <f>IF((G68)=0,"",(L68/G68))</f>
        <v>4.9235436138277126E-2</v>
      </c>
      <c r="N68" s="57"/>
      <c r="O68" s="66"/>
      <c r="P68" s="67">
        <f>P66+P67</f>
        <v>14517.122972399999</v>
      </c>
      <c r="Q68" s="57"/>
      <c r="R68" s="178">
        <f t="shared" si="5"/>
        <v>-97.966389600000184</v>
      </c>
      <c r="S68" s="131">
        <f>IF((J68)=0,"",(R68/J68))</f>
        <v>-6.703098911917566E-3</v>
      </c>
      <c r="T68" s="365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64"/>
      <c r="U69" s="36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3070.9140000000002</v>
      </c>
      <c r="H70" s="74"/>
      <c r="I70" s="73"/>
      <c r="J70" s="75">
        <f>SUM(J61:J62,J53,J54:J57)</f>
        <v>3677.8290000000002</v>
      </c>
      <c r="K70" s="74"/>
      <c r="L70" s="180">
        <f>J70-G70</f>
        <v>606.91499999999996</v>
      </c>
      <c r="M70" s="128">
        <f>IF((G70)=0,"",(L70/G70))</f>
        <v>0.19763334303728464</v>
      </c>
      <c r="N70" s="74"/>
      <c r="O70" s="73"/>
      <c r="P70" s="75">
        <f>SUM(P61:P62,P53,P54:P57)</f>
        <v>3569.6597999999994</v>
      </c>
      <c r="Q70" s="74"/>
      <c r="R70" s="180">
        <f t="shared" si="5"/>
        <v>-108.16920000000073</v>
      </c>
      <c r="S70" s="128">
        <f>IF((J70)=0,"",(R70/J70))</f>
        <v>-2.9411155331039242E-2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399.21882000000005</v>
      </c>
      <c r="H71" s="78"/>
      <c r="I71" s="77">
        <v>0.13</v>
      </c>
      <c r="J71" s="79">
        <f>J70*I71</f>
        <v>478.11777000000006</v>
      </c>
      <c r="K71" s="78"/>
      <c r="L71" s="180">
        <f>J71-G71</f>
        <v>78.898950000000013</v>
      </c>
      <c r="M71" s="129">
        <f>IF((G71)=0,"",(L71/G71))</f>
        <v>0.19763334303728466</v>
      </c>
      <c r="N71" s="78"/>
      <c r="O71" s="77">
        <v>0.13</v>
      </c>
      <c r="P71" s="79">
        <f>P70*O71</f>
        <v>464.05577399999993</v>
      </c>
      <c r="Q71" s="78"/>
      <c r="R71" s="180">
        <f t="shared" si="5"/>
        <v>-14.061996000000136</v>
      </c>
      <c r="S71" s="129">
        <f t="shared" ref="S71:S74" si="23">IF((J71)=0,"",(R71/J71))</f>
        <v>-2.9411155331039326E-2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3470.1328200000003</v>
      </c>
      <c r="H72" s="78"/>
      <c r="I72" s="81"/>
      <c r="J72" s="79">
        <f>J70+J71</f>
        <v>4155.9467700000005</v>
      </c>
      <c r="K72" s="78"/>
      <c r="L72" s="180">
        <f>J72-G72</f>
        <v>685.8139500000002</v>
      </c>
      <c r="M72" s="129">
        <f>IF((G72)=0,"",(L72/G72))</f>
        <v>0.19763334303728472</v>
      </c>
      <c r="N72" s="78"/>
      <c r="O72" s="81"/>
      <c r="P72" s="79">
        <f>P70+P71</f>
        <v>4033.7155739999994</v>
      </c>
      <c r="Q72" s="78"/>
      <c r="R72" s="180">
        <f t="shared" si="5"/>
        <v>-122.23119600000109</v>
      </c>
      <c r="S72" s="129">
        <f t="shared" si="23"/>
        <v>-2.9411155331039305E-2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3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">
      <c r="B74" s="403" t="s">
        <v>38</v>
      </c>
      <c r="C74" s="403"/>
      <c r="D74" s="403"/>
      <c r="E74" s="108"/>
      <c r="F74" s="83"/>
      <c r="G74" s="84">
        <f>SUM(G72:G73)</f>
        <v>3470.1328200000003</v>
      </c>
      <c r="H74" s="74"/>
      <c r="I74" s="83"/>
      <c r="J74" s="84">
        <f>SUM(J72:J73)</f>
        <v>4155.9467700000005</v>
      </c>
      <c r="K74" s="74"/>
      <c r="L74" s="182">
        <f>J74-G74</f>
        <v>685.8139500000002</v>
      </c>
      <c r="M74" s="132">
        <f>IF((G74)=0,"",(L74/G74))</f>
        <v>0.19763334303728472</v>
      </c>
      <c r="N74" s="74"/>
      <c r="O74" s="83"/>
      <c r="P74" s="84">
        <f>SUM(P72:P73)</f>
        <v>4033.7155739999994</v>
      </c>
      <c r="Q74" s="74"/>
      <c r="R74" s="182">
        <f t="shared" si="5"/>
        <v>-122.23119600000109</v>
      </c>
      <c r="S74" s="132">
        <f t="shared" si="23"/>
        <v>-2.9411155331039305E-2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xWindow="360" yWindow="448"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51:D52 D40:D49 D69 D54:D63 D75 D23:D38">
      <formula1>"Monthly, per kWh, per kW"</formula1>
    </dataValidation>
  </dataValidations>
  <pageMargins left="0.7" right="0.7" top="0.75" bottom="0.75" header="0.3" footer="0.3"/>
  <pageSetup scale="4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B1" zoomScale="70" zoomScaleNormal="70" zoomScaleSheetLayoutView="70" workbookViewId="0">
      <selection activeCell="U45" sqref="U45"/>
    </sheetView>
  </sheetViews>
  <sheetFormatPr defaultRowHeight="15" outlineLevelRow="1" outlineLevelCol="1" x14ac:dyDescent="0.25"/>
  <cols>
    <col min="1" max="1" width="12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2.28515625" style="2" bestFit="1" customWidth="1"/>
    <col min="6" max="6" width="15.5703125" style="2" customWidth="1"/>
    <col min="7" max="7" width="17.7109375" style="2" bestFit="1" customWidth="1"/>
    <col min="8" max="8" width="2.28515625" style="2" customWidth="1"/>
    <col min="9" max="9" width="13.5703125" style="2" customWidth="1"/>
    <col min="10" max="10" width="18" style="2" bestFit="1" customWidth="1"/>
    <col min="11" max="11" width="1" style="2" customWidth="1"/>
    <col min="12" max="12" width="16.2851562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8" style="2" bestFit="1" customWidth="1"/>
    <col min="17" max="17" width="1" style="2" customWidth="1"/>
    <col min="18" max="18" width="16.2851562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76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77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x14ac:dyDescent="0.25">
      <c r="B17" s="7"/>
      <c r="D17" s="8" t="s">
        <v>4</v>
      </c>
      <c r="E17" s="8"/>
      <c r="F17" s="9">
        <v>2800000</v>
      </c>
      <c r="U17" s="36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7350</v>
      </c>
      <c r="U18" s="36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36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36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[4]Rates!$A$113</f>
        <v>Fix_LU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5966.29</v>
      </c>
      <c r="G23" s="18">
        <f t="shared" ref="G23:G39" si="0">E23*F23</f>
        <v>5966.29</v>
      </c>
      <c r="H23" s="38"/>
      <c r="I23" s="114">
        <f>IF($A23&lt;&gt;"",VLOOKUP($A23,[4]Rates!$A$1:$R$65536,14,FALSE),0)</f>
        <v>5758.58</v>
      </c>
      <c r="J23" s="18">
        <f>$E23*I23</f>
        <v>5758.58</v>
      </c>
      <c r="K23" s="38"/>
      <c r="L23" s="167">
        <f>J23-G23</f>
        <v>-207.71000000000004</v>
      </c>
      <c r="M23" s="123">
        <f>IF((G23)=0,"",(L23/G23))</f>
        <v>-3.4813929594438089E-2</v>
      </c>
      <c r="N23" s="38"/>
      <c r="O23" s="114">
        <f>IF($A23&lt;&gt;"",VLOOKUP($A23,[4]Rates!$A$1:$R$65536,15,FALSE),0)</f>
        <v>5369.68</v>
      </c>
      <c r="P23" s="18">
        <f>$E23*O23</f>
        <v>5369.68</v>
      </c>
      <c r="Q23" s="38"/>
      <c r="R23" s="167">
        <f>P23-J23</f>
        <v>-388.89999999999964</v>
      </c>
      <c r="S23" s="123">
        <f>IF((J23)=0,"",(R23/J23))</f>
        <v>-6.7534010120550492E-2</v>
      </c>
      <c r="T23" s="38"/>
      <c r="U23" s="36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9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9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36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[4]Rates!$A$115</f>
        <v>PPE_LU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104.59</v>
      </c>
      <c r="G25" s="309">
        <f t="shared" si="0"/>
        <v>104.59</v>
      </c>
      <c r="H25" s="310"/>
      <c r="I25" s="314">
        <f>IF($A25&lt;&gt;"",VLOOKUP($A25,[4]Rates!$A$1:$R$65536,14,FALSE),0)</f>
        <v>104.59</v>
      </c>
      <c r="J25" s="309">
        <f t="shared" si="1"/>
        <v>104.59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-104.59</v>
      </c>
      <c r="S25" s="312">
        <f t="shared" si="6"/>
        <v>-1</v>
      </c>
      <c r="T25" s="310"/>
      <c r="U25" s="368"/>
    </row>
    <row r="26" spans="1:360" s="277" customFormat="1" x14ac:dyDescent="0.25">
      <c r="A26" s="303" t="str">
        <f>[4]Rates!$A$116</f>
        <v>ICMF_LU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30.93</v>
      </c>
      <c r="G26" s="309">
        <f t="shared" si="0"/>
        <v>30.93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-30.93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  <c r="U26" s="368"/>
    </row>
    <row r="27" spans="1:360" x14ac:dyDescent="0.25">
      <c r="A27" s="139" t="s">
        <v>146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-715.92</v>
      </c>
      <c r="J27" s="18">
        <f t="shared" si="1"/>
        <v>-715.92</v>
      </c>
      <c r="K27" s="38"/>
      <c r="L27" s="167">
        <f t="shared" si="2"/>
        <v>-715.92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715.92</v>
      </c>
      <c r="S27" s="123">
        <f t="shared" si="6"/>
        <v>-1</v>
      </c>
      <c r="T27" s="38"/>
      <c r="U27" s="36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[4]Rates!$A$118</f>
        <v>Var_LU</v>
      </c>
      <c r="B29" s="15" t="s">
        <v>14</v>
      </c>
      <c r="C29" s="15"/>
      <c r="D29" s="99" t="s">
        <v>59</v>
      </c>
      <c r="E29" s="135">
        <f>$F$18</f>
        <v>7350</v>
      </c>
      <c r="F29" s="16">
        <f>IF($A29&lt;&gt;"",VLOOKUP($A29,[4]Rates!$A$1:$R$65536,12,FALSE),0)</f>
        <v>1.4158999999999999</v>
      </c>
      <c r="G29" s="18">
        <f t="shared" si="0"/>
        <v>10406.865</v>
      </c>
      <c r="H29" s="38"/>
      <c r="I29" s="16">
        <f>IF($A29&lt;&gt;"",VLOOKUP($A29,[4]Rates!$A$1:$R$65536,14,FALSE),0)</f>
        <v>1.9666000000000001</v>
      </c>
      <c r="J29" s="18">
        <f t="shared" si="1"/>
        <v>14454.51</v>
      </c>
      <c r="K29" s="38"/>
      <c r="L29" s="167">
        <f t="shared" si="2"/>
        <v>4047.6450000000004</v>
      </c>
      <c r="M29" s="123">
        <f t="shared" si="3"/>
        <v>0.38893989688537334</v>
      </c>
      <c r="N29" s="38"/>
      <c r="O29" s="16">
        <f>IF($A29&lt;&gt;"",VLOOKUP($A29,[4]Rates!$A$1:$R$65536,15,FALSE),0)</f>
        <v>2.4338000000000002</v>
      </c>
      <c r="P29" s="18">
        <f t="shared" si="4"/>
        <v>17888.43</v>
      </c>
      <c r="Q29" s="38"/>
      <c r="R29" s="167">
        <f t="shared" si="5"/>
        <v>3433.92</v>
      </c>
      <c r="S29" s="123">
        <f t="shared" si="6"/>
        <v>0.23756737516525983</v>
      </c>
      <c r="T29" s="38"/>
      <c r="U29" s="36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7350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147</v>
      </c>
      <c r="B31" s="22" t="s">
        <v>142</v>
      </c>
      <c r="C31" s="15"/>
      <c r="D31" s="99" t="s">
        <v>59</v>
      </c>
      <c r="E31" s="135">
        <f t="shared" si="7"/>
        <v>7350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1.6171</v>
      </c>
      <c r="J31" s="18">
        <f t="shared" si="1"/>
        <v>11885.684999999999</v>
      </c>
      <c r="K31" s="38"/>
      <c r="L31" s="167">
        <f t="shared" si="2"/>
        <v>11885.684999999999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-11885.684999999999</v>
      </c>
      <c r="S31" s="123">
        <f t="shared" si="6"/>
        <v>-1</v>
      </c>
      <c r="T31" s="38"/>
      <c r="U31" s="36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[4]Rates!$A$123</f>
        <v>ICMV_LU</v>
      </c>
      <c r="B32" s="304" t="s">
        <v>72</v>
      </c>
      <c r="C32" s="305"/>
      <c r="D32" s="306" t="s">
        <v>59</v>
      </c>
      <c r="E32" s="316">
        <f t="shared" si="7"/>
        <v>7350</v>
      </c>
      <c r="F32" s="308">
        <f>IF($A32&lt;&gt;"",VLOOKUP($A32,[4]Rates!$A$1:$R$65536,12,FALSE),0)</f>
        <v>7.3000000000000001E-3</v>
      </c>
      <c r="G32" s="309">
        <f t="shared" si="0"/>
        <v>53.655000000000001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-53.655000000000001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  <c r="U32" s="368"/>
    </row>
    <row r="33" spans="1:360" x14ac:dyDescent="0.25">
      <c r="A33" s="139" t="str">
        <f>[4]Rates!$A129</f>
        <v>2RAL16_LU</v>
      </c>
      <c r="B33" s="23" t="str">
        <f>[4]Rates!$B129</f>
        <v xml:space="preserve">Disposition of Deferral/Variance Accounts - Group 2 Accounts (2016) </v>
      </c>
      <c r="C33" s="15"/>
      <c r="D33" s="99" t="s">
        <v>59</v>
      </c>
      <c r="E33" s="135">
        <f t="shared" si="7"/>
        <v>7350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0.69</v>
      </c>
      <c r="J33" s="18">
        <f t="shared" si="1"/>
        <v>5071.5</v>
      </c>
      <c r="K33" s="38"/>
      <c r="L33" s="167">
        <f t="shared" si="2"/>
        <v>5071.5</v>
      </c>
      <c r="M33" s="123" t="str">
        <f t="shared" si="3"/>
        <v/>
      </c>
      <c r="N33" s="38"/>
      <c r="O33" s="16">
        <f>IF($A33&lt;&gt;"",VLOOKUP($A33,[4]Rates!$A$1:$R$65536,15,FALSE),0)</f>
        <v>0</v>
      </c>
      <c r="P33" s="18">
        <f t="shared" si="4"/>
        <v>0</v>
      </c>
      <c r="Q33" s="38"/>
      <c r="R33" s="167">
        <f t="shared" si="5"/>
        <v>-5071.5</v>
      </c>
      <c r="S33" s="123">
        <f t="shared" si="6"/>
        <v>-1</v>
      </c>
      <c r="T33" s="38"/>
      <c r="U33" s="36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[4]Rates!$A130</f>
        <v>LRVA16_LU</v>
      </c>
      <c r="B34" s="23" t="str">
        <f>[4]Rates!$B130</f>
        <v>Lost Revenue Adjustment Mechanism Variance Account (LRAMVA) (2016)</v>
      </c>
      <c r="C34" s="15"/>
      <c r="D34" s="99" t="s">
        <v>59</v>
      </c>
      <c r="E34" s="135">
        <f t="shared" si="7"/>
        <v>7350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-0.1424</v>
      </c>
      <c r="J34" s="18">
        <f t="shared" si="1"/>
        <v>-1046.6400000000001</v>
      </c>
      <c r="K34" s="38"/>
      <c r="L34" s="167">
        <f t="shared" si="2"/>
        <v>-1046.6400000000001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1046.6400000000001</v>
      </c>
      <c r="S34" s="123">
        <f t="shared" si="6"/>
        <v>-1</v>
      </c>
      <c r="T34" s="38"/>
      <c r="U34" s="36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[4]Rates!$A131</f>
        <v>PPE16_LU</v>
      </c>
      <c r="B35" s="23" t="str">
        <f>[4]Rates!$B131</f>
        <v>Account 1575 (2016)</v>
      </c>
      <c r="C35" s="15"/>
      <c r="D35" s="99" t="s">
        <v>59</v>
      </c>
      <c r="E35" s="135">
        <f t="shared" si="7"/>
        <v>7350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-0.59870000000000001</v>
      </c>
      <c r="J35" s="18">
        <f t="shared" si="1"/>
        <v>-4400.4449999999997</v>
      </c>
      <c r="K35" s="38"/>
      <c r="L35" s="167">
        <f t="shared" si="2"/>
        <v>-4400.4449999999997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4400.4449999999997</v>
      </c>
      <c r="S35" s="123">
        <f t="shared" si="6"/>
        <v>-1</v>
      </c>
      <c r="T35" s="38"/>
      <c r="U35" s="36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[4]Rates!$A132</f>
        <v>SG16_LU</v>
      </c>
      <c r="B36" s="23" t="str">
        <f>[4]Rates!$B132</f>
        <v>Smart Grid True-up (2016)</v>
      </c>
      <c r="C36" s="15"/>
      <c r="D36" s="99" t="s">
        <v>57</v>
      </c>
      <c r="E36" s="135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-798.45</v>
      </c>
      <c r="J36" s="18">
        <f t="shared" si="1"/>
        <v>-798.45</v>
      </c>
      <c r="K36" s="38"/>
      <c r="L36" s="167">
        <f t="shared" si="2"/>
        <v>-798.45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798.45</v>
      </c>
      <c r="S36" s="123">
        <f t="shared" si="6"/>
        <v>-1</v>
      </c>
      <c r="T36" s="38"/>
      <c r="U36" s="36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/>
      <c r="B37" s="23"/>
      <c r="C37" s="15"/>
      <c r="D37" s="99"/>
      <c r="E37" s="135"/>
      <c r="F37" s="16">
        <f>IF($A37&lt;&gt;"",VLOOKUP($A37,[4]Rates!$A$1:$R$65536,12,FALSE),0)</f>
        <v>0</v>
      </c>
      <c r="G37" s="18"/>
      <c r="H37" s="38"/>
      <c r="I37" s="16">
        <f>IF($A37&lt;&gt;"",VLOOKUP($A37,[4]Rates!$A$1:$R$65536,14,FALSE),0)</f>
        <v>0</v>
      </c>
      <c r="J37" s="18"/>
      <c r="K37" s="38"/>
      <c r="L37" s="167"/>
      <c r="M37" s="123"/>
      <c r="N37" s="38"/>
      <c r="O37" s="16">
        <f>IF($A37&lt;&gt;"",VLOOKUP($A37,[4]Rates!$A$1:$R$65536,15,FALSE),0)</f>
        <v>0</v>
      </c>
      <c r="P37" s="18"/>
      <c r="Q37" s="38"/>
      <c r="R37" s="167"/>
      <c r="S37" s="123"/>
      <c r="T37" s="38"/>
      <c r="U37" s="36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36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x14ac:dyDescent="0.25">
      <c r="A39" s="139"/>
      <c r="B39" s="23"/>
      <c r="C39" s="15"/>
      <c r="D39" s="99"/>
      <c r="E39" s="135"/>
      <c r="F39" s="16">
        <f>IF($A39&lt;&gt;"",VLOOKUP($A39,[4]Rates!$A$1:$R$65536,12,FALSE),0)</f>
        <v>0</v>
      </c>
      <c r="G39" s="18">
        <f t="shared" si="0"/>
        <v>0</v>
      </c>
      <c r="H39" s="38"/>
      <c r="I39" s="16">
        <f>IF($A39&lt;&gt;"",VLOOKUP($A39,[4]Rates!$A$1:$R$65536,14,FALSE),0)</f>
        <v>0</v>
      </c>
      <c r="J39" s="18">
        <f t="shared" si="1"/>
        <v>0</v>
      </c>
      <c r="K39" s="38"/>
      <c r="L39" s="167">
        <f t="shared" si="2"/>
        <v>0</v>
      </c>
      <c r="M39" s="123" t="str">
        <f t="shared" si="3"/>
        <v/>
      </c>
      <c r="N39" s="38"/>
      <c r="O39" s="16">
        <f>IF($A39&lt;&gt;"",VLOOKUP($A39,[4]Rates!$A$1:$R$65536,15,FALSE),0)</f>
        <v>0</v>
      </c>
      <c r="P39" s="18">
        <f t="shared" si="4"/>
        <v>0</v>
      </c>
      <c r="Q39" s="38"/>
      <c r="R39" s="167">
        <f t="shared" si="5"/>
        <v>0</v>
      </c>
      <c r="S39" s="123" t="str">
        <f t="shared" si="6"/>
        <v/>
      </c>
      <c r="T39" s="38"/>
      <c r="U39" s="36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</row>
    <row r="40" spans="1:360" s="29" customFormat="1" x14ac:dyDescent="0.25">
      <c r="A40" s="139"/>
      <c r="B40" s="24" t="s">
        <v>17</v>
      </c>
      <c r="C40" s="25"/>
      <c r="D40" s="100"/>
      <c r="E40" s="27"/>
      <c r="F40" s="26"/>
      <c r="G40" s="28">
        <f>SUM(G23:G39)</f>
        <v>16562.329999999998</v>
      </c>
      <c r="H40" s="38"/>
      <c r="I40" s="26"/>
      <c r="J40" s="28">
        <f>SUM(J23:J39)</f>
        <v>30313.41</v>
      </c>
      <c r="K40" s="38"/>
      <c r="L40" s="168">
        <f t="shared" si="2"/>
        <v>13751.080000000002</v>
      </c>
      <c r="M40" s="124">
        <f>IF((G40)=0,"",(L40/G40))</f>
        <v>0.83026240873113888</v>
      </c>
      <c r="N40" s="38"/>
      <c r="O40" s="26"/>
      <c r="P40" s="28">
        <f>SUM(P23:P39)</f>
        <v>23258.11</v>
      </c>
      <c r="Q40" s="38"/>
      <c r="R40" s="168">
        <f t="shared" si="5"/>
        <v>-7055.2999999999993</v>
      </c>
      <c r="S40" s="124">
        <f t="shared" si="6"/>
        <v>-0.23274517779425011</v>
      </c>
      <c r="T40" s="38"/>
      <c r="U40" s="93"/>
    </row>
    <row r="41" spans="1:360" s="277" customFormat="1" x14ac:dyDescent="0.25">
      <c r="A41" s="303" t="str">
        <f>[4]Rates!$A$122</f>
        <v>RAL14_LU</v>
      </c>
      <c r="B41" s="302"/>
      <c r="C41" s="305"/>
      <c r="D41" s="319" t="s">
        <v>59</v>
      </c>
      <c r="E41" s="335">
        <f>$F$18</f>
        <v>7350</v>
      </c>
      <c r="F41" s="308"/>
      <c r="G41" s="309">
        <f t="shared" ref="G41:G49" si="8">E41*F41</f>
        <v>0</v>
      </c>
      <c r="H41" s="310"/>
      <c r="I41" s="308">
        <f>IF($A41&lt;&gt;"",VLOOKUP($A41,[4]Rates!$A$1:$R$65536,14,FALSE),0)</f>
        <v>0</v>
      </c>
      <c r="J41" s="309">
        <f>$E41*I41</f>
        <v>0</v>
      </c>
      <c r="K41" s="310"/>
      <c r="L41" s="311">
        <f t="shared" si="2"/>
        <v>0</v>
      </c>
      <c r="M41" s="312" t="str">
        <f t="shared" si="3"/>
        <v/>
      </c>
      <c r="N41" s="310"/>
      <c r="O41" s="308">
        <f>IF($A41&lt;&gt;"",VLOOKUP($A41,[4]Rates!$A$1:$R$65536,15,FALSE),0)</f>
        <v>0</v>
      </c>
      <c r="P41" s="309">
        <f>$E41*O41</f>
        <v>0</v>
      </c>
      <c r="Q41" s="310"/>
      <c r="R41" s="311">
        <f t="shared" si="5"/>
        <v>0</v>
      </c>
      <c r="S41" s="312" t="str">
        <f t="shared" si="6"/>
        <v/>
      </c>
      <c r="T41" s="310"/>
      <c r="U41" s="368"/>
    </row>
    <row r="42" spans="1:360" x14ac:dyDescent="0.25">
      <c r="A42" s="139" t="str">
        <f>[4]Rates!$A126</f>
        <v>RAL16_LU</v>
      </c>
      <c r="B42" s="30" t="str">
        <f>[4]Rates!$B126</f>
        <v xml:space="preserve">Disposition of Deferral/Variance Accounts (2016) </v>
      </c>
      <c r="C42" s="15"/>
      <c r="D42" s="99" t="s">
        <v>59</v>
      </c>
      <c r="E42" s="135">
        <f t="shared" ref="E42:E47" si="9">$F$18</f>
        <v>7350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1.2673000000000001</v>
      </c>
      <c r="J42" s="18">
        <f t="shared" ref="J42:J47" si="10">$E42*I42</f>
        <v>9314.6550000000007</v>
      </c>
      <c r="K42" s="21"/>
      <c r="L42" s="167">
        <f t="shared" si="2"/>
        <v>9314.6550000000007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ref="P42:P49" si="11">$E42*O42</f>
        <v>0</v>
      </c>
      <c r="Q42" s="21"/>
      <c r="R42" s="167">
        <f t="shared" si="5"/>
        <v>-9314.6550000000007</v>
      </c>
      <c r="S42" s="123">
        <f t="shared" si="6"/>
        <v>-1</v>
      </c>
      <c r="T42" s="244"/>
      <c r="U42" s="36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[4]Rates!$A127</f>
        <v>RALP16_LU</v>
      </c>
      <c r="B43" s="30" t="str">
        <f>[4]Rates!$B127</f>
        <v xml:space="preserve">Disposition of Deferral/Variance Accounts - Power (2016) </v>
      </c>
      <c r="C43" s="15"/>
      <c r="D43" s="99" t="s">
        <v>59</v>
      </c>
      <c r="E43" s="135">
        <f t="shared" si="9"/>
        <v>7350</v>
      </c>
      <c r="F43" s="16">
        <f>IF($A43&lt;&gt;"",VLOOKUP($A43,[4]Rates!$A$1:$R$65536,12,FALSE),0)</f>
        <v>0</v>
      </c>
      <c r="G43" s="18">
        <f t="shared" si="8"/>
        <v>0</v>
      </c>
      <c r="H43" s="21"/>
      <c r="I43" s="16">
        <f>IF($A43&lt;&gt;"",VLOOKUP($A43,[4]Rates!$A$1:$R$65536,14,FALSE),0)</f>
        <v>-1.3272999999999999</v>
      </c>
      <c r="J43" s="18">
        <f>$E43*I43</f>
        <v>-9755.6549999999988</v>
      </c>
      <c r="K43" s="21"/>
      <c r="L43" s="167">
        <f t="shared" si="2"/>
        <v>-9755.6549999999988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1"/>
        <v>0</v>
      </c>
      <c r="Q43" s="21"/>
      <c r="R43" s="167">
        <f t="shared" si="5"/>
        <v>9755.6549999999988</v>
      </c>
      <c r="S43" s="123">
        <f t="shared" si="6"/>
        <v>-1</v>
      </c>
      <c r="T43" s="244"/>
      <c r="U43" s="36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[4]Rates!$A128</f>
        <v>GA16_LU</v>
      </c>
      <c r="B44" s="30" t="str">
        <f>[4]Rates!$B128</f>
        <v xml:space="preserve">Disposition of Deferral/Variance Accounts - Power - Global Adjustment (2016) </v>
      </c>
      <c r="C44" s="15"/>
      <c r="D44" s="99" t="s">
        <v>59</v>
      </c>
      <c r="E44" s="135">
        <f t="shared" si="9"/>
        <v>7350</v>
      </c>
      <c r="F44" s="16">
        <f>IF($A44&lt;&gt;"",VLOOKUP($A44,[4]Rates!$A$1:$R$65536,12,FALSE),0)</f>
        <v>0</v>
      </c>
      <c r="G44" s="18">
        <f t="shared" si="8"/>
        <v>0</v>
      </c>
      <c r="H44" s="21"/>
      <c r="I44" s="16">
        <f>IF($A44&lt;&gt;"",VLOOKUP($A44,[4]Rates!$A$1:$R$65536,14,FALSE),0)</f>
        <v>0</v>
      </c>
      <c r="J44" s="18">
        <f t="shared" si="10"/>
        <v>0</v>
      </c>
      <c r="K44" s="21"/>
      <c r="L44" s="167">
        <f t="shared" si="2"/>
        <v>0</v>
      </c>
      <c r="M44" s="123" t="str">
        <f t="shared" si="3"/>
        <v/>
      </c>
      <c r="N44" s="21"/>
      <c r="O44" s="16">
        <f>IF($A44&lt;&gt;"",VLOOKUP($A44,[4]Rates!$A$1:$R$65536,15,FALSE),0)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/>
      <c r="N45" s="244"/>
      <c r="O45" s="16">
        <f>IF($A45&lt;&gt;"",VLOOKUP($A45,[4]Rates!$A$1:$R$65536,15,FALSE),0)</f>
        <v>0</v>
      </c>
      <c r="P45" s="18"/>
      <c r="Q45" s="244"/>
      <c r="R45" s="167"/>
      <c r="S45" s="123"/>
      <c r="T45" s="244"/>
      <c r="U45" s="36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/>
      <c r="K46" s="244"/>
      <c r="L46" s="167"/>
      <c r="M46" s="123"/>
      <c r="N46" s="244"/>
      <c r="O46" s="16">
        <f>IF($A46&lt;&gt;"",VLOOKUP($A46,[4]Rates!$A$1:$R$65536,15,FALSE),0)</f>
        <v>0</v>
      </c>
      <c r="P46" s="18"/>
      <c r="Q46" s="244"/>
      <c r="R46" s="167"/>
      <c r="S46" s="123"/>
      <c r="T46" s="244"/>
      <c r="U46" s="36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[4]Rates!$A$119</f>
        <v>LV_LU</v>
      </c>
      <c r="B47" s="31" t="s">
        <v>18</v>
      </c>
      <c r="C47" s="15"/>
      <c r="D47" s="99" t="s">
        <v>59</v>
      </c>
      <c r="E47" s="135">
        <f t="shared" si="9"/>
        <v>7350</v>
      </c>
      <c r="F47" s="16">
        <f>IF($A47&lt;&gt;"",VLOOKUP($A47,[4]Rates!$A$1:$R$65536,12,FALSE),0)</f>
        <v>0.14369999999999999</v>
      </c>
      <c r="G47" s="18">
        <f t="shared" si="8"/>
        <v>1056.1949999999999</v>
      </c>
      <c r="H47" s="38"/>
      <c r="I47" s="16">
        <f>IF($A47&lt;&gt;"",VLOOKUP($A47,[4]Rates!$A$1:$R$65536,14,FALSE),0)</f>
        <v>0.14369999999999999</v>
      </c>
      <c r="J47" s="18">
        <f t="shared" si="10"/>
        <v>1056.1949999999999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0.16300000000000001</v>
      </c>
      <c r="P47" s="18">
        <f t="shared" si="11"/>
        <v>1198.05</v>
      </c>
      <c r="Q47" s="38"/>
      <c r="R47" s="167">
        <f t="shared" si="5"/>
        <v>141.85500000000002</v>
      </c>
      <c r="S47" s="123">
        <f t="shared" si="6"/>
        <v>0.13430758524704248</v>
      </c>
      <c r="T47" s="38"/>
      <c r="U47" s="36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9">
        <f>$F$17*(1+$F$77)-$F$17</f>
        <v>96600</v>
      </c>
      <c r="F48" s="32"/>
      <c r="G48" s="18">
        <f>E48*F48</f>
        <v>0</v>
      </c>
      <c r="H48" s="245">
        <f>$F$17*(1+$O$77)-$F$17</f>
        <v>103320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36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SUM(G41:G49)+G40</f>
        <v>17618.524999999998</v>
      </c>
      <c r="H50" s="38"/>
      <c r="I50" s="35"/>
      <c r="J50" s="37">
        <f>SUM(J41:J49)+J40</f>
        <v>30928.605000000003</v>
      </c>
      <c r="K50" s="38"/>
      <c r="L50" s="246">
        <f t="shared" si="2"/>
        <v>13310.080000000005</v>
      </c>
      <c r="M50" s="125">
        <f>IF((G50)=0,"",(L50/G50))</f>
        <v>0.75545938153165526</v>
      </c>
      <c r="N50" s="38"/>
      <c r="O50" s="35"/>
      <c r="P50" s="37">
        <f>SUM(P41:P49)+P40</f>
        <v>24456.16</v>
      </c>
      <c r="Q50" s="38"/>
      <c r="R50" s="246">
        <f t="shared" si="5"/>
        <v>-6472.4450000000033</v>
      </c>
      <c r="S50" s="125">
        <f t="shared" si="6"/>
        <v>-0.20927051187727358</v>
      </c>
      <c r="T50" s="38"/>
      <c r="U50" s="369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[4]Rates!$A$136</f>
        <v>TN_LU</v>
      </c>
      <c r="B51" s="19" t="s">
        <v>22</v>
      </c>
      <c r="C51" s="19"/>
      <c r="D51" s="101" t="s">
        <v>59</v>
      </c>
      <c r="E51" s="45">
        <f>F18</f>
        <v>7350</v>
      </c>
      <c r="F51" s="20">
        <f>IF($A51&lt;&gt;"",VLOOKUP($A51,[4]Rates!$A$1:$R$65536,12,FALSE),0)</f>
        <v>3.4638</v>
      </c>
      <c r="G51" s="18">
        <f>E51*F51</f>
        <v>25458.93</v>
      </c>
      <c r="H51" s="39">
        <f>E51</f>
        <v>7350</v>
      </c>
      <c r="I51" s="20">
        <f>IF($A51&lt;&gt;"",VLOOKUP($A51,[4]Rates!$A$1:$R$65536,14,FALSE),0)</f>
        <v>3.4638</v>
      </c>
      <c r="J51" s="18">
        <f>$H51*I51</f>
        <v>25458.93</v>
      </c>
      <c r="K51" s="38"/>
      <c r="L51" s="247">
        <f>J51-G51</f>
        <v>0</v>
      </c>
      <c r="M51" s="123">
        <f t="shared" ref="M51:M62" si="12">IF((G51)=0,"",(L51/G51))</f>
        <v>0</v>
      </c>
      <c r="N51" s="38"/>
      <c r="O51" s="20">
        <f>IF($A51&lt;&gt;"",VLOOKUP($A51,[4]Rates!$A$1:$R$65536,15,FALSE),0)</f>
        <v>3.5360999999999998</v>
      </c>
      <c r="P51" s="18">
        <f>$H51*O51</f>
        <v>25990.334999999999</v>
      </c>
      <c r="Q51" s="38"/>
      <c r="R51" s="247">
        <f t="shared" si="5"/>
        <v>531.40499999999884</v>
      </c>
      <c r="S51" s="123">
        <f t="shared" si="6"/>
        <v>2.0873029620647798E-2</v>
      </c>
      <c r="T51" s="38"/>
      <c r="U51" s="369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[4]Rates!$A$137</f>
        <v>TC_LU</v>
      </c>
      <c r="B52" s="40" t="s">
        <v>23</v>
      </c>
      <c r="C52" s="19"/>
      <c r="D52" s="101" t="s">
        <v>59</v>
      </c>
      <c r="E52" s="45">
        <f>E51</f>
        <v>7350</v>
      </c>
      <c r="F52" s="20">
        <f>IF($A52&lt;&gt;"",VLOOKUP($A52,[4]Rates!$A$1:$R$65536,12,FALSE),0)</f>
        <v>1.2027000000000001</v>
      </c>
      <c r="G52" s="18">
        <f>E52*F52</f>
        <v>8839.8450000000012</v>
      </c>
      <c r="H52" s="39">
        <f>E52</f>
        <v>7350</v>
      </c>
      <c r="I52" s="20">
        <f>IF($A52&lt;&gt;"",VLOOKUP($A52,[4]Rates!$A$1:$R$65536,14,FALSE),0)</f>
        <v>1.2027000000000001</v>
      </c>
      <c r="J52" s="18">
        <f>$H52*I52</f>
        <v>8839.8450000000012</v>
      </c>
      <c r="K52" s="38"/>
      <c r="L52" s="247">
        <f t="shared" si="2"/>
        <v>0</v>
      </c>
      <c r="M52" s="123">
        <f t="shared" si="12"/>
        <v>0</v>
      </c>
      <c r="N52" s="38"/>
      <c r="O52" s="20">
        <f>IF($A52&lt;&gt;"",VLOOKUP($A52,[4]Rates!$A$1:$R$65536,15,FALSE),0)</f>
        <v>1.3178000000000001</v>
      </c>
      <c r="P52" s="18">
        <f>$H52*O52</f>
        <v>9685.83</v>
      </c>
      <c r="Q52" s="38"/>
      <c r="R52" s="247">
        <f t="shared" si="5"/>
        <v>845.98499999999876</v>
      </c>
      <c r="S52" s="123">
        <f t="shared" si="6"/>
        <v>9.5701338654693449E-2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51917.3</v>
      </c>
      <c r="H53" s="17"/>
      <c r="I53" s="41"/>
      <c r="J53" s="37">
        <f>SUM(J50:J52)</f>
        <v>65227.380000000005</v>
      </c>
      <c r="K53" s="109"/>
      <c r="L53" s="248">
        <f t="shared" si="2"/>
        <v>13310.080000000002</v>
      </c>
      <c r="M53" s="125">
        <f t="shared" si="12"/>
        <v>0.25637080510735344</v>
      </c>
      <c r="N53" s="109"/>
      <c r="O53" s="41"/>
      <c r="P53" s="37">
        <f>SUM(P50:P52)</f>
        <v>60132.324999999997</v>
      </c>
      <c r="Q53" s="109"/>
      <c r="R53" s="248">
        <f t="shared" si="5"/>
        <v>-5095.0550000000076</v>
      </c>
      <c r="S53" s="125">
        <f t="shared" si="6"/>
        <v>-7.8112213000123679E-2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2896600</v>
      </c>
      <c r="F54" s="43">
        <v>3.5999999999999999E-3</v>
      </c>
      <c r="G54" s="44">
        <f t="shared" ref="G54:G62" si="13">E54*F54</f>
        <v>10427.76</v>
      </c>
      <c r="H54" s="39">
        <f>F$17*(1+O$77)</f>
        <v>2903320</v>
      </c>
      <c r="I54" s="43">
        <v>3.5999999999999999E-3</v>
      </c>
      <c r="J54" s="44">
        <f>$E54*I54</f>
        <v>10427.76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10451.951999999999</v>
      </c>
      <c r="Q54" s="17"/>
      <c r="R54" s="173">
        <f>P54-J54</f>
        <v>24.191999999999098</v>
      </c>
      <c r="S54" s="126">
        <f t="shared" si="6"/>
        <v>2.3199613339776803E-3</v>
      </c>
      <c r="T54" s="363"/>
    </row>
    <row r="55" spans="1:360" x14ac:dyDescent="0.25">
      <c r="B55" s="42" t="s">
        <v>26</v>
      </c>
      <c r="C55" s="15"/>
      <c r="D55" s="99" t="s">
        <v>58</v>
      </c>
      <c r="E55" s="137">
        <f>E54</f>
        <v>2896600</v>
      </c>
      <c r="F55" s="43">
        <v>1.2999999999999999E-3</v>
      </c>
      <c r="G55" s="44">
        <f t="shared" si="13"/>
        <v>3765.58</v>
      </c>
      <c r="H55" s="39">
        <f>F$17*(1+O$77)</f>
        <v>2903320</v>
      </c>
      <c r="I55" s="43">
        <v>1.2999999999999999E-3</v>
      </c>
      <c r="J55" s="44">
        <f>$E55*I55</f>
        <v>3765.58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3774.3159999999998</v>
      </c>
      <c r="Q55" s="17"/>
      <c r="R55" s="173">
        <f t="shared" si="5"/>
        <v>8.7359999999998763</v>
      </c>
      <c r="S55" s="126">
        <f t="shared" si="6"/>
        <v>2.3199613339777341E-3</v>
      </c>
      <c r="T55" s="36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43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63"/>
    </row>
    <row r="57" spans="1:360" x14ac:dyDescent="0.25">
      <c r="B57" s="15" t="s">
        <v>28</v>
      </c>
      <c r="C57" s="15"/>
      <c r="D57" s="99" t="s">
        <v>58</v>
      </c>
      <c r="E57" s="137">
        <f>F17</f>
        <v>2800000</v>
      </c>
      <c r="F57" s="43">
        <v>7.0000000000000001E-3</v>
      </c>
      <c r="G57" s="44">
        <f t="shared" si="13"/>
        <v>19600</v>
      </c>
      <c r="H57" s="17"/>
      <c r="I57" s="43">
        <v>7.0000000000000001E-3</v>
      </c>
      <c r="J57" s="44">
        <f t="shared" si="14"/>
        <v>19600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19600</v>
      </c>
      <c r="Q57" s="17"/>
      <c r="R57" s="173">
        <f t="shared" si="5"/>
        <v>0</v>
      </c>
      <c r="S57" s="126">
        <f t="shared" si="6"/>
        <v>0</v>
      </c>
      <c r="T57" s="36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1853824</v>
      </c>
      <c r="F58" s="46">
        <f>Residential!F55</f>
        <v>8.6999999999999994E-2</v>
      </c>
      <c r="G58" s="44">
        <f t="shared" si="13"/>
        <v>161282.68799999999</v>
      </c>
      <c r="H58" s="136">
        <f>0.64*$F$17+H48*0.64</f>
        <v>1858124.8</v>
      </c>
      <c r="I58" s="46">
        <f>F58</f>
        <v>8.6999999999999994E-2</v>
      </c>
      <c r="J58" s="44">
        <f>$E58*I58</f>
        <v>161282.68799999999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161656.85759999999</v>
      </c>
      <c r="Q58" s="17"/>
      <c r="R58" s="174">
        <f t="shared" si="5"/>
        <v>374.16959999999381</v>
      </c>
      <c r="S58" s="126">
        <f t="shared" si="6"/>
        <v>2.3199613339777289E-3</v>
      </c>
      <c r="T58" s="36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521388</v>
      </c>
      <c r="F59" s="46">
        <f>Residential!F56</f>
        <v>0.13200000000000001</v>
      </c>
      <c r="G59" s="44">
        <f t="shared" si="13"/>
        <v>68823.216</v>
      </c>
      <c r="H59" s="136">
        <f>0.18*$F$17+H48*0.18</f>
        <v>522597.6</v>
      </c>
      <c r="I59" s="46">
        <f t="shared" ref="I59:I62" si="16">F59</f>
        <v>0.13200000000000001</v>
      </c>
      <c r="J59" s="44">
        <f>$E59*I59</f>
        <v>68823.216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68982.883199999997</v>
      </c>
      <c r="Q59" s="17"/>
      <c r="R59" s="174">
        <f t="shared" si="5"/>
        <v>159.66719999999623</v>
      </c>
      <c r="S59" s="126">
        <f t="shared" si="6"/>
        <v>2.3199613339777124E-3</v>
      </c>
      <c r="T59" s="36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521388</v>
      </c>
      <c r="F60" s="46">
        <f>Residential!F57</f>
        <v>0.18</v>
      </c>
      <c r="G60" s="44">
        <f t="shared" si="13"/>
        <v>93849.84</v>
      </c>
      <c r="H60" s="136">
        <f>0.18*$F$17+H48*0.18</f>
        <v>522597.6</v>
      </c>
      <c r="I60" s="46">
        <f t="shared" si="16"/>
        <v>0.18</v>
      </c>
      <c r="J60" s="44">
        <f>$E60*I60</f>
        <v>93849.84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94067.567999999999</v>
      </c>
      <c r="Q60" s="17"/>
      <c r="R60" s="174">
        <f t="shared" si="5"/>
        <v>217.72800000000279</v>
      </c>
      <c r="S60" s="126">
        <f t="shared" si="6"/>
        <v>2.319961333977797E-3</v>
      </c>
      <c r="T60" s="363"/>
    </row>
    <row r="61" spans="1:360" s="51" customFormat="1" x14ac:dyDescent="0.2">
      <c r="B61" s="48" t="s">
        <v>136</v>
      </c>
      <c r="C61" s="49"/>
      <c r="D61" s="102" t="s">
        <v>58</v>
      </c>
      <c r="E61" s="138">
        <f>F17</f>
        <v>2800000</v>
      </c>
      <c r="F61" s="43">
        <v>1.1000000000000001E-3</v>
      </c>
      <c r="G61" s="44">
        <f t="shared" si="13"/>
        <v>3080</v>
      </c>
      <c r="H61" s="110"/>
      <c r="I61" s="43">
        <v>1.1000000000000001E-3</v>
      </c>
      <c r="J61" s="44">
        <f t="shared" si="14"/>
        <v>3080</v>
      </c>
      <c r="K61" s="17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3080</v>
      </c>
      <c r="Q61" s="110"/>
      <c r="R61" s="174">
        <f t="shared" si="5"/>
        <v>0</v>
      </c>
      <c r="S61" s="126">
        <f t="shared" si="6"/>
        <v>0</v>
      </c>
      <c r="T61" s="364"/>
      <c r="U61" s="367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64"/>
      <c r="U62" s="367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6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412746.63400000002</v>
      </c>
      <c r="H64" s="57"/>
      <c r="I64" s="56"/>
      <c r="J64" s="58">
        <f>SUM(J54:J61,J53)</f>
        <v>426056.71400000004</v>
      </c>
      <c r="K64" s="57"/>
      <c r="L64" s="249">
        <f>J64-G64</f>
        <v>13310.080000000016</v>
      </c>
      <c r="M64" s="128">
        <f>IF((G64)=0,"",(L64/G64))</f>
        <v>3.2247579758579004E-2</v>
      </c>
      <c r="N64" s="57"/>
      <c r="O64" s="56"/>
      <c r="P64" s="58">
        <f>SUM(P54:P61,P53)</f>
        <v>421746.15179999993</v>
      </c>
      <c r="Q64" s="57"/>
      <c r="R64" s="249">
        <f>P64-J64</f>
        <v>-4310.5622000001022</v>
      </c>
      <c r="S64" s="128">
        <f>IF((J64)=0,"",(R64/J64))</f>
        <v>-1.0117343673640833E-2</v>
      </c>
      <c r="T64" s="365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53657.062420000002</v>
      </c>
      <c r="H65" s="61"/>
      <c r="I65" s="60">
        <v>0.13</v>
      </c>
      <c r="J65" s="62">
        <f>J64*I65</f>
        <v>55387.372820000004</v>
      </c>
      <c r="K65" s="61"/>
      <c r="L65" s="176">
        <f>J65-G65</f>
        <v>1730.3104000000021</v>
      </c>
      <c r="M65" s="129">
        <f>IF((G65)=0,"",(L65/G65))</f>
        <v>3.2247579758579004E-2</v>
      </c>
      <c r="N65" s="61"/>
      <c r="O65" s="60">
        <v>0.13</v>
      </c>
      <c r="P65" s="62">
        <f>P64*O65</f>
        <v>54826.99973399999</v>
      </c>
      <c r="Q65" s="61"/>
      <c r="R65" s="176">
        <f t="shared" si="5"/>
        <v>-560.37308600001415</v>
      </c>
      <c r="S65" s="129">
        <f t="shared" ref="S65:S67" si="19">IF((J65)=0,"",(R65/J65))</f>
        <v>-1.0117343673640849E-2</v>
      </c>
      <c r="T65" s="366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466403.69642000005</v>
      </c>
      <c r="H66" s="61"/>
      <c r="I66" s="64"/>
      <c r="J66" s="62">
        <f>J64+J65</f>
        <v>481444.08682000003</v>
      </c>
      <c r="K66" s="61"/>
      <c r="L66" s="176">
        <f>J66-G66</f>
        <v>15040.390399999975</v>
      </c>
      <c r="M66" s="129">
        <f>IF((G66)=0,"",(L66/G66))</f>
        <v>3.2247579758578906E-2</v>
      </c>
      <c r="N66" s="61"/>
      <c r="O66" s="64"/>
      <c r="P66" s="62">
        <f>P64+P65</f>
        <v>476573.15153399995</v>
      </c>
      <c r="Q66" s="61"/>
      <c r="R66" s="176">
        <f t="shared" si="5"/>
        <v>-4870.9352860000799</v>
      </c>
      <c r="S66" s="129">
        <f t="shared" si="19"/>
        <v>-1.011734367364076E-2</v>
      </c>
      <c r="T66" s="366"/>
    </row>
    <row r="67" spans="1:360" ht="15" customHeight="1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6"/>
    </row>
    <row r="68" spans="1:360" ht="15.75" customHeight="1" thickBot="1" x14ac:dyDescent="0.3">
      <c r="B68" s="407" t="s">
        <v>36</v>
      </c>
      <c r="C68" s="407"/>
      <c r="D68" s="407"/>
      <c r="E68" s="105"/>
      <c r="F68" s="66"/>
      <c r="G68" s="67">
        <f>G66+G67</f>
        <v>466403.69642000005</v>
      </c>
      <c r="H68" s="57"/>
      <c r="I68" s="66"/>
      <c r="J68" s="67">
        <f>J66+J67</f>
        <v>481444.08682000003</v>
      </c>
      <c r="K68" s="57"/>
      <c r="L68" s="250">
        <f>J68-G68</f>
        <v>15040.390399999975</v>
      </c>
      <c r="M68" s="131">
        <f>IF((G68)=0,"",(L68/G68))</f>
        <v>3.2247579758578906E-2</v>
      </c>
      <c r="N68" s="57"/>
      <c r="O68" s="66"/>
      <c r="P68" s="67">
        <f>P66+P67</f>
        <v>476573.15153399995</v>
      </c>
      <c r="Q68" s="57"/>
      <c r="R68" s="250">
        <f t="shared" si="5"/>
        <v>-4870.9352860000799</v>
      </c>
      <c r="S68" s="131">
        <f>IF((J68)=0,"",(R68/J68))</f>
        <v>-1.011734367364076E-2</v>
      </c>
      <c r="T68" s="365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251"/>
      <c r="M69" s="127"/>
      <c r="N69" s="110"/>
      <c r="O69" s="85"/>
      <c r="P69" s="86"/>
      <c r="Q69" s="110"/>
      <c r="R69" s="251"/>
      <c r="S69" s="127"/>
      <c r="T69" s="364"/>
      <c r="U69" s="36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88790.89</v>
      </c>
      <c r="H70" s="74"/>
      <c r="I70" s="73"/>
      <c r="J70" s="75">
        <f>SUM(J61:J62,J53,J54:J57)</f>
        <v>102100.97</v>
      </c>
      <c r="K70" s="74"/>
      <c r="L70" s="252">
        <f>J70-G70</f>
        <v>13310.080000000002</v>
      </c>
      <c r="M70" s="128">
        <f>IF((G70)=0,"",(L70/G70))</f>
        <v>0.14990366691898235</v>
      </c>
      <c r="N70" s="74"/>
      <c r="O70" s="73"/>
      <c r="P70" s="75">
        <f>SUM(P61:P62,P53,P54:P57)</f>
        <v>97038.843000000008</v>
      </c>
      <c r="Q70" s="74"/>
      <c r="R70" s="252">
        <f t="shared" si="5"/>
        <v>-5062.1269999999931</v>
      </c>
      <c r="S70" s="128">
        <f>IF((J70)=0,"",(R70/J70))</f>
        <v>-4.9579617118231036E-2</v>
      </c>
      <c r="T70" s="370"/>
      <c r="U70" s="36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11542.815700000001</v>
      </c>
      <c r="H71" s="78"/>
      <c r="I71" s="77">
        <v>0.13</v>
      </c>
      <c r="J71" s="79">
        <f>J70*I71</f>
        <v>13273.126100000001</v>
      </c>
      <c r="K71" s="78"/>
      <c r="L71" s="180">
        <f>J71-G71</f>
        <v>1730.3104000000003</v>
      </c>
      <c r="M71" s="129">
        <f>IF((G71)=0,"",(L71/G71))</f>
        <v>0.14990366691898235</v>
      </c>
      <c r="N71" s="78"/>
      <c r="O71" s="77">
        <v>0.13</v>
      </c>
      <c r="P71" s="79">
        <f>P70*O71</f>
        <v>12615.049590000002</v>
      </c>
      <c r="Q71" s="78"/>
      <c r="R71" s="180">
        <f t="shared" si="5"/>
        <v>-658.07650999999896</v>
      </c>
      <c r="S71" s="129">
        <f t="shared" ref="S71:S74" si="20">IF((J71)=0,"",(R71/J71))</f>
        <v>-4.9579617118231015E-2</v>
      </c>
      <c r="T71" s="371"/>
      <c r="U71" s="36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100333.70570000001</v>
      </c>
      <c r="H72" s="78"/>
      <c r="I72" s="81"/>
      <c r="J72" s="79">
        <f>J70+J71</f>
        <v>115374.0961</v>
      </c>
      <c r="K72" s="78"/>
      <c r="L72" s="180">
        <f>J72-G72</f>
        <v>15040.390399999989</v>
      </c>
      <c r="M72" s="129">
        <f>IF((G72)=0,"",(L72/G72))</f>
        <v>0.14990366691898221</v>
      </c>
      <c r="N72" s="78"/>
      <c r="O72" s="81"/>
      <c r="P72" s="79">
        <f>P70+P71</f>
        <v>109653.89259</v>
      </c>
      <c r="Q72" s="78"/>
      <c r="R72" s="180">
        <f t="shared" si="5"/>
        <v>-5720.2035099999921</v>
      </c>
      <c r="S72" s="129">
        <f t="shared" si="20"/>
        <v>-4.9579617118231036E-2</v>
      </c>
      <c r="T72" s="371"/>
      <c r="U72" s="36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371"/>
      <c r="U73" s="367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">
      <c r="B74" s="403" t="s">
        <v>38</v>
      </c>
      <c r="C74" s="403"/>
      <c r="D74" s="403"/>
      <c r="E74" s="108"/>
      <c r="F74" s="83"/>
      <c r="G74" s="84">
        <f>SUM(G72:G73)</f>
        <v>100333.70570000001</v>
      </c>
      <c r="H74" s="74"/>
      <c r="I74" s="83"/>
      <c r="J74" s="84">
        <f>SUM(J72:J73)</f>
        <v>115374.0961</v>
      </c>
      <c r="K74" s="74"/>
      <c r="L74" s="253">
        <f>J74-G74</f>
        <v>15040.390399999989</v>
      </c>
      <c r="M74" s="132">
        <f>IF((G74)=0,"",(L74/G74))</f>
        <v>0.14990366691898221</v>
      </c>
      <c r="N74" s="74"/>
      <c r="O74" s="83"/>
      <c r="P74" s="84">
        <f>SUM(P72:P73)</f>
        <v>109653.89259</v>
      </c>
      <c r="Q74" s="74"/>
      <c r="R74" s="253">
        <f t="shared" si="5"/>
        <v>-5720.2035099999921</v>
      </c>
      <c r="S74" s="132">
        <f t="shared" si="20"/>
        <v>-4.9579617118231036E-2</v>
      </c>
      <c r="T74" s="370"/>
      <c r="U74" s="367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364"/>
      <c r="U75" s="367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369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369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369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369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369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369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369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369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1:D49 D69 D54:D63 D75 D23:D39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4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2"/>
  <sheetViews>
    <sheetView view="pageBreakPreview" topLeftCell="B15" zoomScale="70" zoomScaleNormal="70" zoomScaleSheetLayoutView="70" workbookViewId="0">
      <selection activeCell="W26" sqref="W26"/>
    </sheetView>
  </sheetViews>
  <sheetFormatPr defaultRowHeight="15" outlineLevelRow="1" outlineLevelCol="1" x14ac:dyDescent="0.25"/>
  <cols>
    <col min="1" max="1" width="11.7109375" style="2" hidden="1" customWidth="1" outlineLevel="1"/>
    <col min="2" max="2" width="65.42578125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2.42578125" style="2" customWidth="1"/>
    <col min="8" max="8" width="2.5703125" style="2" customWidth="1"/>
    <col min="9" max="10" width="13.5703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21" width="9.140625" style="93"/>
    <col min="22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8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78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60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36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8"/>
      <c r="F18" s="9">
        <v>150</v>
      </c>
      <c r="U18" s="36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36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39.7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36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36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36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[4]Rates!$A$141</f>
        <v>Fix_USL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7.01</v>
      </c>
      <c r="G23" s="18">
        <f t="shared" ref="G23:G38" si="0">E23*F23</f>
        <v>7.01</v>
      </c>
      <c r="H23" s="38"/>
      <c r="I23" s="114">
        <f>IF($A23&lt;&gt;"",VLOOKUP($A23,[4]Rates!$A$1:$R$65536,14,FALSE),0)</f>
        <v>7.73</v>
      </c>
      <c r="J23" s="18">
        <f>$E23*I23</f>
        <v>7.73</v>
      </c>
      <c r="K23" s="38"/>
      <c r="L23" s="167">
        <f>J23-G23</f>
        <v>0.72000000000000064</v>
      </c>
      <c r="M23" s="123">
        <f>IF((G23)=0,"",(L23/G23))</f>
        <v>0.10271041369472192</v>
      </c>
      <c r="N23" s="38"/>
      <c r="O23" s="114">
        <f>IF($A23&lt;&gt;"",VLOOKUP($A23,[4]Rates!$A$1:$R$65536,15,FALSE),0)</f>
        <v>8.83</v>
      </c>
      <c r="P23" s="18">
        <f>$E23*O23</f>
        <v>8.83</v>
      </c>
      <c r="Q23" s="38"/>
      <c r="R23" s="167">
        <f>P23-J23</f>
        <v>1.0999999999999996</v>
      </c>
      <c r="S23" s="123">
        <f>IF((J23)=0,"",(R23/J23))</f>
        <v>0.14230271668822764</v>
      </c>
      <c r="T23" s="38"/>
      <c r="U23" s="36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1" si="2">J24-G24</f>
        <v>0</v>
      </c>
      <c r="M24" s="123" t="str">
        <f t="shared" ref="M24:M47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3" si="5">P24-J24</f>
        <v>0</v>
      </c>
      <c r="S24" s="123" t="str">
        <f t="shared" ref="S24:S61" si="6">IF((J24)=0,"",(R24/J24))</f>
        <v/>
      </c>
      <c r="T24" s="38"/>
      <c r="U24" s="36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[4]Rates!$A$143</f>
        <v>PPE_USL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0.11</v>
      </c>
      <c r="G25" s="309">
        <f t="shared" si="0"/>
        <v>0.11</v>
      </c>
      <c r="H25" s="310"/>
      <c r="I25" s="314">
        <f>IF($A25&lt;&gt;"",VLOOKUP($A25,[4]Rates!$A$1:$R$65536,14,FALSE),0)</f>
        <v>0.11</v>
      </c>
      <c r="J25" s="309">
        <f t="shared" si="1"/>
        <v>0.11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-0.11</v>
      </c>
      <c r="S25" s="312">
        <f t="shared" si="6"/>
        <v>-1</v>
      </c>
      <c r="T25" s="310"/>
      <c r="U25" s="368"/>
    </row>
    <row r="26" spans="1:360" s="277" customFormat="1" x14ac:dyDescent="0.25">
      <c r="A26" s="303" t="str">
        <f>[4]Rates!$A$144</f>
        <v>ICMF_USL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0.04</v>
      </c>
      <c r="G26" s="309">
        <f t="shared" si="0"/>
        <v>0.04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-0.04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  <c r="U26" s="368"/>
    </row>
    <row r="27" spans="1:360" x14ac:dyDescent="0.25">
      <c r="A27" s="139" t="s">
        <v>148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2.02</v>
      </c>
      <c r="J27" s="18">
        <f t="shared" si="1"/>
        <v>2.02</v>
      </c>
      <c r="K27" s="38"/>
      <c r="L27" s="167">
        <f t="shared" si="2"/>
        <v>2.02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-2.02</v>
      </c>
      <c r="S27" s="123">
        <f t="shared" si="6"/>
        <v>-1</v>
      </c>
      <c r="T27" s="38"/>
      <c r="U27" s="36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36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[4]Rates!$A$146</f>
        <v>Var_USL</v>
      </c>
      <c r="B29" s="15" t="s">
        <v>14</v>
      </c>
      <c r="C29" s="15"/>
      <c r="D29" s="99" t="s">
        <v>58</v>
      </c>
      <c r="E29" s="17">
        <f>$F$18</f>
        <v>150</v>
      </c>
      <c r="F29" s="16">
        <f>IF($A29&lt;&gt;"",VLOOKUP($A29,[4]Rates!$A$1:$R$65536,12,FALSE),0)</f>
        <v>1.5900000000000001E-2</v>
      </c>
      <c r="G29" s="18">
        <f t="shared" si="0"/>
        <v>2.3850000000000002</v>
      </c>
      <c r="H29" s="38"/>
      <c r="I29" s="16">
        <f>IF($A29&lt;&gt;"",VLOOKUP($A29,[4]Rates!$A$1:$R$65536,14,FALSE),0)</f>
        <v>1.7500000000000002E-2</v>
      </c>
      <c r="J29" s="18">
        <f t="shared" si="1"/>
        <v>2.6250000000000004</v>
      </c>
      <c r="K29" s="38"/>
      <c r="L29" s="167">
        <f t="shared" si="2"/>
        <v>0.24000000000000021</v>
      </c>
      <c r="M29" s="123">
        <f t="shared" si="3"/>
        <v>0.10062893081761014</v>
      </c>
      <c r="N29" s="38"/>
      <c r="O29" s="16">
        <f>IF($A29&lt;&gt;"",VLOOKUP($A29,[4]Rates!$A$1:$R$65536,15,FALSE),0)</f>
        <v>0.02</v>
      </c>
      <c r="P29" s="18">
        <f t="shared" si="4"/>
        <v>3</v>
      </c>
      <c r="Q29" s="38"/>
      <c r="R29" s="167">
        <f t="shared" si="5"/>
        <v>0.37499999999999956</v>
      </c>
      <c r="S29" s="123">
        <f t="shared" si="6"/>
        <v>0.14285714285714265</v>
      </c>
      <c r="T29" s="38"/>
      <c r="U29" s="36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7">
        <f t="shared" ref="E30" si="7">$F$18</f>
        <v>150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36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149</v>
      </c>
      <c r="B31" s="22" t="s">
        <v>142</v>
      </c>
      <c r="C31" s="15"/>
      <c r="D31" s="99" t="s">
        <v>58</v>
      </c>
      <c r="E31" s="17">
        <f>$F$18</f>
        <v>150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4.4000000000000003E-3</v>
      </c>
      <c r="J31" s="18">
        <f t="shared" si="1"/>
        <v>0.66</v>
      </c>
      <c r="K31" s="38"/>
      <c r="L31" s="167">
        <f t="shared" si="2"/>
        <v>0.66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-0.66</v>
      </c>
      <c r="S31" s="123">
        <f t="shared" si="6"/>
        <v>-1</v>
      </c>
      <c r="T31" s="38"/>
      <c r="U31" s="36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[4]Rates!$A$152</f>
        <v>ICMV_USL</v>
      </c>
      <c r="B32" s="304" t="s">
        <v>72</v>
      </c>
      <c r="C32" s="305"/>
      <c r="D32" s="306" t="s">
        <v>58</v>
      </c>
      <c r="E32" s="315">
        <f t="shared" ref="E32:E35" si="8">$F$18</f>
        <v>150</v>
      </c>
      <c r="F32" s="308">
        <f>IF($A32&lt;&gt;"",VLOOKUP($A32,[4]Rates!$A$1:$R$65536,12,FALSE),0)</f>
        <v>1E-4</v>
      </c>
      <c r="G32" s="309">
        <f t="shared" si="0"/>
        <v>1.5000000000000001E-2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-1.5000000000000001E-2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  <c r="U32" s="368"/>
    </row>
    <row r="33" spans="1:360" x14ac:dyDescent="0.25">
      <c r="A33" s="139" t="str">
        <f>[4]Rates!$A157</f>
        <v>2RAL16_USL</v>
      </c>
      <c r="B33" s="23" t="str">
        <f>[4]Rates!$B157</f>
        <v xml:space="preserve">Disposition of Deferral/Variance Accounts - Group 2 Accounts (2016) </v>
      </c>
      <c r="C33" s="15"/>
      <c r="D33" s="99" t="s">
        <v>58</v>
      </c>
      <c r="E33" s="17">
        <f t="shared" si="8"/>
        <v>150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6">
        <f>IF($A33&lt;&gt;"",VLOOKUP($A33,[4]Rates!$A$1:$R$65536,15,FALSE),0)</f>
        <v>2.0000000000000001E-4</v>
      </c>
      <c r="P33" s="18">
        <f t="shared" si="4"/>
        <v>3.0000000000000002E-2</v>
      </c>
      <c r="Q33" s="38"/>
      <c r="R33" s="167">
        <f t="shared" si="5"/>
        <v>3.0000000000000002E-2</v>
      </c>
      <c r="S33" s="123" t="str">
        <f t="shared" si="6"/>
        <v/>
      </c>
      <c r="T33" s="38"/>
      <c r="U33" s="36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[4]Rates!$A158</f>
        <v>LRVA16_USL</v>
      </c>
      <c r="B34" s="23" t="str">
        <f>[4]Rates!$B158</f>
        <v>Lost Revenue Adjustment Mechanism Variance Account (LRAMVA) (2016)</v>
      </c>
      <c r="C34" s="15"/>
      <c r="D34" s="99" t="s">
        <v>58</v>
      </c>
      <c r="E34" s="17">
        <f t="shared" si="8"/>
        <v>150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-1E-3</v>
      </c>
      <c r="J34" s="18">
        <f t="shared" si="1"/>
        <v>-0.15</v>
      </c>
      <c r="K34" s="38"/>
      <c r="L34" s="167">
        <f t="shared" si="2"/>
        <v>-0.15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0.15</v>
      </c>
      <c r="S34" s="123">
        <f t="shared" si="6"/>
        <v>-1</v>
      </c>
      <c r="T34" s="38"/>
      <c r="U34" s="36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[4]Rates!$A159</f>
        <v>PPE16_USL</v>
      </c>
      <c r="B35" s="23" t="str">
        <f>[4]Rates!$B159</f>
        <v>Account 1575 (2016)</v>
      </c>
      <c r="C35" s="15"/>
      <c r="D35" s="99" t="s">
        <v>58</v>
      </c>
      <c r="E35" s="17">
        <f t="shared" si="8"/>
        <v>150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-1.1999999999999999E-3</v>
      </c>
      <c r="J35" s="18">
        <f t="shared" si="1"/>
        <v>-0.18</v>
      </c>
      <c r="K35" s="38"/>
      <c r="L35" s="167">
        <f t="shared" si="2"/>
        <v>-0.18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0.18</v>
      </c>
      <c r="S35" s="123">
        <f t="shared" si="6"/>
        <v>-1</v>
      </c>
      <c r="T35" s="38"/>
      <c r="U35" s="36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[4]Rates!$A160</f>
        <v>SG16_USL</v>
      </c>
      <c r="B36" s="23" t="str">
        <f>[4]Rates!$B160</f>
        <v>Smart Grid True-up (2016)</v>
      </c>
      <c r="C36" s="15"/>
      <c r="D36" s="99" t="s">
        <v>57</v>
      </c>
      <c r="E36" s="17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</v>
      </c>
      <c r="J36" s="18">
        <f t="shared" si="1"/>
        <v>-0.1</v>
      </c>
      <c r="K36" s="38"/>
      <c r="L36" s="167">
        <f t="shared" si="2"/>
        <v>-0.1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</v>
      </c>
      <c r="S36" s="123">
        <f t="shared" si="6"/>
        <v>-1</v>
      </c>
      <c r="T36" s="38"/>
      <c r="U36" s="36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/>
      <c r="B37" s="23"/>
      <c r="C37" s="15"/>
      <c r="D37" s="99"/>
      <c r="E37" s="17"/>
      <c r="F37" s="16">
        <f>IF($A37&lt;&gt;"",VLOOKUP($A37,[4]Rates!$A$1:$R$65536,12,FALSE),0)</f>
        <v>0</v>
      </c>
      <c r="G37" s="18">
        <f t="shared" si="0"/>
        <v>0</v>
      </c>
      <c r="H37" s="38"/>
      <c r="I37" s="16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6">
        <f>IF($A37&lt;&gt;"",VLOOKUP($A37,[4]Rates!$A$1:$R$65536,15,FALSE),0)</f>
        <v>0</v>
      </c>
      <c r="P37" s="18">
        <f t="shared" si="4"/>
        <v>0</v>
      </c>
      <c r="Q37" s="38"/>
      <c r="R37" s="167">
        <f t="shared" si="5"/>
        <v>0</v>
      </c>
      <c r="S37" s="123" t="str">
        <f t="shared" si="6"/>
        <v/>
      </c>
      <c r="T37" s="38"/>
      <c r="U37" s="36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x14ac:dyDescent="0.25">
      <c r="A38" s="139"/>
      <c r="B38" s="23"/>
      <c r="C38" s="15"/>
      <c r="D38" s="99"/>
      <c r="E38" s="17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36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9.56</v>
      </c>
      <c r="H39" s="38"/>
      <c r="I39" s="26"/>
      <c r="J39" s="28">
        <f>SUM(J23:J38)</f>
        <v>12.715000000000002</v>
      </c>
      <c r="K39" s="38"/>
      <c r="L39" s="168">
        <f t="shared" si="2"/>
        <v>3.1550000000000011</v>
      </c>
      <c r="M39" s="124">
        <f>IF((G39)=0,"",(L39/G39))</f>
        <v>0.33002092050209214</v>
      </c>
      <c r="N39" s="38"/>
      <c r="O39" s="26"/>
      <c r="P39" s="28">
        <f>SUM(P23:P38)</f>
        <v>11.86</v>
      </c>
      <c r="Q39" s="38"/>
      <c r="R39" s="168">
        <f t="shared" si="5"/>
        <v>-0.8550000000000022</v>
      </c>
      <c r="S39" s="124">
        <f t="shared" si="6"/>
        <v>-6.724341329138829E-2</v>
      </c>
      <c r="T39" s="38"/>
      <c r="U39" s="93"/>
    </row>
    <row r="40" spans="1:360" s="277" customFormat="1" x14ac:dyDescent="0.25">
      <c r="A40" s="303" t="str">
        <f>[4]Rates!$A$150</f>
        <v>RAL14_USL</v>
      </c>
      <c r="B40" s="302"/>
      <c r="C40" s="305"/>
      <c r="D40" s="319" t="s">
        <v>58</v>
      </c>
      <c r="E40" s="336">
        <f>$F$18</f>
        <v>150</v>
      </c>
      <c r="F40" s="308"/>
      <c r="G40" s="309">
        <f t="shared" ref="G40:G46" si="9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  <c r="U40" s="368"/>
    </row>
    <row r="41" spans="1:360" x14ac:dyDescent="0.25">
      <c r="A41" s="139" t="str">
        <f>[4]Rates!$A154</f>
        <v>RAL16_USL</v>
      </c>
      <c r="B41" s="30" t="str">
        <f>[4]Rates!$B154</f>
        <v xml:space="preserve">Disposition of Deferral/Variance Accounts (2016) </v>
      </c>
      <c r="C41" s="15"/>
      <c r="D41" s="99" t="s">
        <v>58</v>
      </c>
      <c r="E41" s="17">
        <f t="shared" ref="E41:E46" si="10">$F$18</f>
        <v>150</v>
      </c>
      <c r="F41" s="16">
        <f>IF($A41&lt;&gt;"",VLOOKUP($A41,[4]Rates!$A$1:$R$65536,12,FALSE),0)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8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8" si="12">$E41*O41</f>
        <v>4.4999999999999998E-2</v>
      </c>
      <c r="Q41" s="21"/>
      <c r="R41" s="167">
        <f t="shared" si="5"/>
        <v>4.4999999999999998E-2</v>
      </c>
      <c r="S41" s="123" t="str">
        <f t="shared" si="6"/>
        <v/>
      </c>
      <c r="T41" s="244"/>
      <c r="U41" s="36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[4]Rates!$A155</f>
        <v>RALP16_USL</v>
      </c>
      <c r="B42" s="30" t="str">
        <f>[4]Rates!$B155</f>
        <v xml:space="preserve">Disposition of Deferral/Variance Accounts - Power (2016) </v>
      </c>
      <c r="C42" s="15"/>
      <c r="D42" s="99" t="s">
        <v>58</v>
      </c>
      <c r="E42" s="17">
        <f t="shared" si="10"/>
        <v>150</v>
      </c>
      <c r="F42" s="16">
        <f>IF($A42&lt;&gt;"",VLOOKUP($A42,[4]Rates!$A$1:$R$65536,12,FALSE),0)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-0.38999999999999996</v>
      </c>
      <c r="K42" s="21"/>
      <c r="L42" s="167">
        <f t="shared" si="2"/>
        <v>-0.38999999999999996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0.38999999999999996</v>
      </c>
      <c r="S42" s="123">
        <f t="shared" si="6"/>
        <v>-1</v>
      </c>
      <c r="T42" s="244"/>
      <c r="U42" s="36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7"/>
      <c r="F43" s="16">
        <f>IF($A43&lt;&gt;"",VLOOKUP($A43,[4]Rates!$A$1:$R$65536,12,FALSE),0)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44"/>
      <c r="U43" s="36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/>
      <c r="B44" s="30"/>
      <c r="C44" s="15"/>
      <c r="D44" s="99"/>
      <c r="E44" s="17"/>
      <c r="F44" s="16">
        <f>IF($A44&lt;&gt;"",VLOOKUP($A44,[4]Rates!$A$1:$R$65536,12,FALSE),0)</f>
        <v>0</v>
      </c>
      <c r="G44" s="18"/>
      <c r="H44" s="244"/>
      <c r="I44" s="16">
        <f>IF($A44&lt;&gt;"",VLOOKUP($A44,[4]Rates!$A$1:$R$65536,14,FALSE),0)</f>
        <v>0</v>
      </c>
      <c r="J44" s="18"/>
      <c r="K44" s="244"/>
      <c r="L44" s="167"/>
      <c r="M44" s="123"/>
      <c r="N44" s="244"/>
      <c r="O44" s="16">
        <f>IF($A44&lt;&gt;"",VLOOKUP($A44,[4]Rates!$A$1:$R$65536,15,FALSE),0)</f>
        <v>0</v>
      </c>
      <c r="P44" s="18"/>
      <c r="Q44" s="244"/>
      <c r="R44" s="167"/>
      <c r="S44" s="123"/>
      <c r="T44" s="244"/>
      <c r="U44" s="36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7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/>
      <c r="N45" s="244"/>
      <c r="O45" s="16">
        <f>IF($A45&lt;&gt;"",VLOOKUP($A45,[4]Rates!$A$1:$R$65536,15,FALSE),0)</f>
        <v>0</v>
      </c>
      <c r="P45" s="18"/>
      <c r="Q45" s="244"/>
      <c r="R45" s="167"/>
      <c r="S45" s="123"/>
      <c r="T45" s="244"/>
      <c r="U45" s="36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 t="str">
        <f>[4]Rates!$A$147</f>
        <v>LV_USL</v>
      </c>
      <c r="B46" s="31" t="s">
        <v>18</v>
      </c>
      <c r="C46" s="15"/>
      <c r="D46" s="99" t="s">
        <v>58</v>
      </c>
      <c r="E46" s="17">
        <f t="shared" si="10"/>
        <v>150</v>
      </c>
      <c r="F46" s="16">
        <f>IF($A46&lt;&gt;"",VLOOKUP($A46,[4]Rates!$A$1:$R$65536,12,FALSE),0)</f>
        <v>2.9999999999999997E-4</v>
      </c>
      <c r="G46" s="18">
        <f t="shared" si="9"/>
        <v>4.4999999999999998E-2</v>
      </c>
      <c r="H46" s="38"/>
      <c r="I46" s="16">
        <f>IF($A46&lt;&gt;"",VLOOKUP($A46,[4]Rates!$A$1:$R$65536,14,FALSE),0)</f>
        <v>2.9999999999999997E-4</v>
      </c>
      <c r="J46" s="18">
        <f t="shared" si="11"/>
        <v>4.4999999999999998E-2</v>
      </c>
      <c r="K46" s="38"/>
      <c r="L46" s="167">
        <f t="shared" si="2"/>
        <v>0</v>
      </c>
      <c r="M46" s="123">
        <f t="shared" si="3"/>
        <v>0</v>
      </c>
      <c r="N46" s="38"/>
      <c r="O46" s="16">
        <f>IF($A46&lt;&gt;"",VLOOKUP($A46,[4]Rates!$A$1:$R$65536,15,FALSE),0)</f>
        <v>5.0000000000000001E-4</v>
      </c>
      <c r="P46" s="18">
        <f t="shared" si="12"/>
        <v>7.4999999999999997E-2</v>
      </c>
      <c r="Q46" s="38"/>
      <c r="R46" s="167">
        <f t="shared" si="5"/>
        <v>0.03</v>
      </c>
      <c r="S46" s="123">
        <f t="shared" si="6"/>
        <v>0.66666666666666663</v>
      </c>
      <c r="T46" s="38"/>
      <c r="U46" s="36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1" t="s">
        <v>19</v>
      </c>
      <c r="C47" s="15"/>
      <c r="D47" s="99"/>
      <c r="E47" s="338">
        <f>$F$18*(1+$F$76)-$F$18</f>
        <v>5.1749999999999829</v>
      </c>
      <c r="F47" s="32"/>
      <c r="G47" s="18">
        <f>E47*F47</f>
        <v>0</v>
      </c>
      <c r="H47" s="90">
        <f>$F$18*(1+$O$76)-$F$18</f>
        <v>5.5349999999999966</v>
      </c>
      <c r="I47" s="32"/>
      <c r="J47" s="18">
        <f>$H47*I47</f>
        <v>0</v>
      </c>
      <c r="K47" s="38"/>
      <c r="L47" s="169">
        <f t="shared" si="2"/>
        <v>0</v>
      </c>
      <c r="M47" s="123" t="str">
        <f t="shared" si="3"/>
        <v/>
      </c>
      <c r="N47" s="38"/>
      <c r="O47" s="32"/>
      <c r="P47" s="18">
        <f>$H47*O47</f>
        <v>0</v>
      </c>
      <c r="Q47" s="38"/>
      <c r="R47" s="169">
        <f t="shared" si="5"/>
        <v>0</v>
      </c>
      <c r="S47" s="123" t="str">
        <f t="shared" si="6"/>
        <v/>
      </c>
      <c r="T47" s="38"/>
      <c r="U47" s="36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/>
      <c r="C48" s="15"/>
      <c r="D48" s="99"/>
      <c r="E48" s="17"/>
      <c r="F48" s="32"/>
      <c r="G48" s="18"/>
      <c r="H48" s="38"/>
      <c r="I48" s="32"/>
      <c r="J48" s="18">
        <f t="shared" si="11"/>
        <v>0</v>
      </c>
      <c r="K48" s="38"/>
      <c r="L48" s="169">
        <f t="shared" si="2"/>
        <v>0</v>
      </c>
      <c r="M48" s="123"/>
      <c r="N48" s="38"/>
      <c r="O48" s="32"/>
      <c r="P48" s="18">
        <f t="shared" si="12"/>
        <v>0</v>
      </c>
      <c r="Q48" s="38"/>
      <c r="R48" s="169">
        <f t="shared" si="5"/>
        <v>0</v>
      </c>
      <c r="S48" s="123" t="str">
        <f t="shared" si="6"/>
        <v/>
      </c>
      <c r="T48" s="38"/>
      <c r="U48" s="36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3" t="s">
        <v>21</v>
      </c>
      <c r="C49" s="34"/>
      <c r="D49" s="35"/>
      <c r="E49" s="36"/>
      <c r="F49" s="35"/>
      <c r="G49" s="37">
        <f>SUM(G40:G48)+G39</f>
        <v>9.6050000000000004</v>
      </c>
      <c r="H49" s="38"/>
      <c r="I49" s="35"/>
      <c r="J49" s="37">
        <f>SUM(J40:J48)+J39</f>
        <v>12.370000000000001</v>
      </c>
      <c r="K49" s="38"/>
      <c r="L49" s="170">
        <f t="shared" si="2"/>
        <v>2.7650000000000006</v>
      </c>
      <c r="M49" s="125">
        <f>IF((G49)=0,"",(L49/G49))</f>
        <v>0.28787090057261849</v>
      </c>
      <c r="N49" s="38"/>
      <c r="O49" s="35"/>
      <c r="P49" s="37">
        <f>SUM(P40:P48)+P39</f>
        <v>11.979999999999999</v>
      </c>
      <c r="Q49" s="38"/>
      <c r="R49" s="170">
        <f t="shared" si="5"/>
        <v>-0.39000000000000234</v>
      </c>
      <c r="S49" s="125">
        <f t="shared" si="6"/>
        <v>-3.1527890056588709E-2</v>
      </c>
      <c r="T49" s="38"/>
      <c r="U49" s="36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 t="str">
        <f>[4]Rates!$A$164</f>
        <v>TN_USL</v>
      </c>
      <c r="B50" s="19" t="s">
        <v>22</v>
      </c>
      <c r="C50" s="19"/>
      <c r="D50" s="101" t="s">
        <v>58</v>
      </c>
      <c r="E50" s="45">
        <f>F18*(1+F76)</f>
        <v>155.17499999999998</v>
      </c>
      <c r="F50" s="20">
        <f>IF($A50&lt;&gt;"",VLOOKUP($A50,[4]Rates!$A$1:$R$65536,12,FALSE),0)</f>
        <v>7.1999999999999998E-3</v>
      </c>
      <c r="G50" s="18">
        <f>E50*F50</f>
        <v>1.1172599999999999</v>
      </c>
      <c r="H50" s="39">
        <f>F18*(1+O76)</f>
        <v>155.535</v>
      </c>
      <c r="I50" s="20">
        <f>IF($A50&lt;&gt;"",VLOOKUP($A50,[4]Rates!$A$1:$R$65536,14,FALSE),0)</f>
        <v>7.1999999999999998E-3</v>
      </c>
      <c r="J50" s="18">
        <f>$E50*I50</f>
        <v>1.1172599999999999</v>
      </c>
      <c r="K50" s="38"/>
      <c r="L50" s="171">
        <f>J50-G50</f>
        <v>0</v>
      </c>
      <c r="M50" s="123">
        <f t="shared" ref="M50:M61" si="13">IF((G50)=0,"",(L50/G50))</f>
        <v>0</v>
      </c>
      <c r="N50" s="38"/>
      <c r="O50" s="20">
        <f>IF($A50&lt;&gt;"",VLOOKUP($A50,[4]Rates!$A$1:$R$65536,15,FALSE),0)</f>
        <v>6.8999999999999999E-3</v>
      </c>
      <c r="P50" s="18">
        <f>$H50*O50</f>
        <v>1.0731914999999999</v>
      </c>
      <c r="Q50" s="38"/>
      <c r="R50" s="171">
        <f t="shared" si="5"/>
        <v>-4.4068500000000066E-2</v>
      </c>
      <c r="S50" s="123">
        <f t="shared" si="6"/>
        <v>-3.9443370388271372E-2</v>
      </c>
      <c r="T50" s="38"/>
      <c r="U50" s="369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[4]Rates!$A$165</f>
        <v>TC_USL</v>
      </c>
      <c r="B51" s="40" t="s">
        <v>23</v>
      </c>
      <c r="C51" s="19"/>
      <c r="D51" s="101" t="s">
        <v>58</v>
      </c>
      <c r="E51" s="45">
        <f>E50</f>
        <v>155.17499999999998</v>
      </c>
      <c r="F51" s="20">
        <f>IF($A51&lt;&gt;"",VLOOKUP($A51,[4]Rates!$A$1:$R$65536,12,FALSE),0)</f>
        <v>3.3999999999999998E-3</v>
      </c>
      <c r="G51" s="18">
        <f>E51*F51</f>
        <v>0.52759499999999993</v>
      </c>
      <c r="H51" s="39">
        <f>H50</f>
        <v>155.535</v>
      </c>
      <c r="I51" s="20">
        <f>IF($A51&lt;&gt;"",VLOOKUP($A51,[4]Rates!$A$1:$R$65536,14,FALSE),0)</f>
        <v>3.3999999999999998E-3</v>
      </c>
      <c r="J51" s="18">
        <f>$E51*I51</f>
        <v>0.52759499999999993</v>
      </c>
      <c r="K51" s="38"/>
      <c r="L51" s="171">
        <f t="shared" si="2"/>
        <v>0</v>
      </c>
      <c r="M51" s="123">
        <f t="shared" si="13"/>
        <v>0</v>
      </c>
      <c r="N51" s="38"/>
      <c r="O51" s="20">
        <f>IF($A51&lt;&gt;"",VLOOKUP($A51,[4]Rates!$A$1:$R$65536,15,FALSE),0)</f>
        <v>3.5000000000000001E-3</v>
      </c>
      <c r="P51" s="18">
        <f>$H51*O51</f>
        <v>0.54437250000000004</v>
      </c>
      <c r="Q51" s="38"/>
      <c r="R51" s="171">
        <f t="shared" si="5"/>
        <v>1.6777500000000112E-2</v>
      </c>
      <c r="S51" s="123">
        <f t="shared" si="6"/>
        <v>3.1799960196742035E-2</v>
      </c>
      <c r="T51" s="38"/>
    </row>
    <row r="52" spans="1:360" x14ac:dyDescent="0.25">
      <c r="B52" s="33" t="s">
        <v>24</v>
      </c>
      <c r="C52" s="25"/>
      <c r="D52" s="41"/>
      <c r="E52" s="36"/>
      <c r="F52" s="41"/>
      <c r="G52" s="37">
        <f>SUM(G49:G51)</f>
        <v>11.249855</v>
      </c>
      <c r="H52" s="109"/>
      <c r="I52" s="41"/>
      <c r="J52" s="37">
        <f>SUM(J49:J51)</f>
        <v>14.014855000000001</v>
      </c>
      <c r="K52" s="109"/>
      <c r="L52" s="172">
        <f t="shared" si="2"/>
        <v>2.7650000000000006</v>
      </c>
      <c r="M52" s="125">
        <f t="shared" si="13"/>
        <v>0.24578094562107694</v>
      </c>
      <c r="N52" s="109"/>
      <c r="O52" s="41"/>
      <c r="P52" s="37">
        <f>SUM(P49:P51)</f>
        <v>13.597563999999998</v>
      </c>
      <c r="Q52" s="109"/>
      <c r="R52" s="172">
        <f t="shared" si="5"/>
        <v>-0.4172910000000023</v>
      </c>
      <c r="S52" s="125">
        <f t="shared" si="6"/>
        <v>-2.9774906697215369E-2</v>
      </c>
      <c r="T52" s="109"/>
    </row>
    <row r="53" spans="1:360" x14ac:dyDescent="0.25">
      <c r="B53" s="42" t="s">
        <v>25</v>
      </c>
      <c r="C53" s="15"/>
      <c r="D53" s="99" t="s">
        <v>58</v>
      </c>
      <c r="E53" s="45">
        <f>E51</f>
        <v>155.17499999999998</v>
      </c>
      <c r="F53" s="43">
        <v>3.5999999999999999E-3</v>
      </c>
      <c r="G53" s="44">
        <f t="shared" ref="G53:G61" si="14">E53*F53</f>
        <v>0.55862999999999996</v>
      </c>
      <c r="H53" s="39">
        <f>H51</f>
        <v>155.535</v>
      </c>
      <c r="I53" s="43">
        <v>3.5999999999999999E-3</v>
      </c>
      <c r="J53" s="44">
        <f>$E53*I53</f>
        <v>0.55862999999999996</v>
      </c>
      <c r="K53" s="17"/>
      <c r="L53" s="173">
        <f t="shared" si="2"/>
        <v>0</v>
      </c>
      <c r="M53" s="126">
        <f t="shared" si="13"/>
        <v>0</v>
      </c>
      <c r="N53" s="17"/>
      <c r="O53" s="43">
        <v>3.5999999999999999E-3</v>
      </c>
      <c r="P53" s="44">
        <f>$H53*O53</f>
        <v>0.55992599999999992</v>
      </c>
      <c r="Q53" s="17"/>
      <c r="R53" s="173">
        <f>P53-J53</f>
        <v>1.2959999999999638E-3</v>
      </c>
      <c r="S53" s="126">
        <f t="shared" si="6"/>
        <v>2.3199613339777024E-3</v>
      </c>
      <c r="T53" s="363"/>
    </row>
    <row r="54" spans="1:360" x14ac:dyDescent="0.25">
      <c r="B54" s="42" t="s">
        <v>26</v>
      </c>
      <c r="C54" s="15"/>
      <c r="D54" s="99" t="s">
        <v>58</v>
      </c>
      <c r="E54" s="45">
        <f>E51</f>
        <v>155.17499999999998</v>
      </c>
      <c r="F54" s="43">
        <v>1.2999999999999999E-3</v>
      </c>
      <c r="G54" s="44">
        <f t="shared" si="14"/>
        <v>0.20172749999999998</v>
      </c>
      <c r="H54" s="39">
        <f>H51</f>
        <v>155.535</v>
      </c>
      <c r="I54" s="43">
        <v>1.2999999999999999E-3</v>
      </c>
      <c r="J54" s="44">
        <f>$E54*I54</f>
        <v>0.20172749999999998</v>
      </c>
      <c r="K54" s="17"/>
      <c r="L54" s="173">
        <f t="shared" si="2"/>
        <v>0</v>
      </c>
      <c r="M54" s="126">
        <f t="shared" si="13"/>
        <v>0</v>
      </c>
      <c r="N54" s="17"/>
      <c r="O54" s="43">
        <v>1.2999999999999999E-3</v>
      </c>
      <c r="P54" s="44">
        <f>$H54*O54</f>
        <v>0.20219549999999997</v>
      </c>
      <c r="Q54" s="17"/>
      <c r="R54" s="173">
        <f t="shared" si="5"/>
        <v>4.679999999999962E-4</v>
      </c>
      <c r="S54" s="126">
        <f t="shared" si="6"/>
        <v>2.3199613339777484E-3</v>
      </c>
      <c r="T54" s="363"/>
    </row>
    <row r="55" spans="1:360" x14ac:dyDescent="0.25">
      <c r="B55" s="15" t="s">
        <v>27</v>
      </c>
      <c r="C55" s="15"/>
      <c r="D55" s="99" t="s">
        <v>57</v>
      </c>
      <c r="E55" s="17">
        <v>1</v>
      </c>
      <c r="F55" s="134">
        <v>0.25</v>
      </c>
      <c r="G55" s="44">
        <f t="shared" si="14"/>
        <v>0.25</v>
      </c>
      <c r="H55" s="17"/>
      <c r="I55" s="43">
        <v>0.25</v>
      </c>
      <c r="J55" s="44">
        <f t="shared" ref="J55:J61" si="15">$E55*I55</f>
        <v>0.25</v>
      </c>
      <c r="K55" s="17"/>
      <c r="L55" s="173">
        <f t="shared" si="2"/>
        <v>0</v>
      </c>
      <c r="M55" s="126">
        <f t="shared" si="13"/>
        <v>0</v>
      </c>
      <c r="N55" s="17"/>
      <c r="O55" s="43">
        <v>0.25</v>
      </c>
      <c r="P55" s="44">
        <f t="shared" ref="P55:P61" si="16">$E55*O55</f>
        <v>0.25</v>
      </c>
      <c r="Q55" s="17"/>
      <c r="R55" s="173">
        <f t="shared" si="5"/>
        <v>0</v>
      </c>
      <c r="S55" s="126">
        <f t="shared" si="6"/>
        <v>0</v>
      </c>
      <c r="T55" s="363"/>
    </row>
    <row r="56" spans="1:360" x14ac:dyDescent="0.25">
      <c r="B56" s="15" t="s">
        <v>28</v>
      </c>
      <c r="C56" s="15"/>
      <c r="D56" s="99" t="s">
        <v>58</v>
      </c>
      <c r="E56" s="45">
        <f>F18</f>
        <v>150</v>
      </c>
      <c r="F56" s="43">
        <v>7.0000000000000001E-3</v>
      </c>
      <c r="G56" s="44">
        <f t="shared" si="14"/>
        <v>1.05</v>
      </c>
      <c r="H56" s="17"/>
      <c r="I56" s="43">
        <v>7.0000000000000001E-3</v>
      </c>
      <c r="J56" s="44">
        <f t="shared" si="15"/>
        <v>1.05</v>
      </c>
      <c r="K56" s="17"/>
      <c r="L56" s="173">
        <f t="shared" si="2"/>
        <v>0</v>
      </c>
      <c r="M56" s="126">
        <f t="shared" si="13"/>
        <v>0</v>
      </c>
      <c r="N56" s="17"/>
      <c r="O56" s="43">
        <v>7.0000000000000001E-3</v>
      </c>
      <c r="P56" s="44">
        <f t="shared" si="16"/>
        <v>1.05</v>
      </c>
      <c r="Q56" s="17"/>
      <c r="R56" s="173">
        <f t="shared" si="5"/>
        <v>0</v>
      </c>
      <c r="S56" s="126">
        <f t="shared" si="6"/>
        <v>0</v>
      </c>
      <c r="T56" s="363"/>
    </row>
    <row r="57" spans="1:360" x14ac:dyDescent="0.25">
      <c r="B57" s="31" t="s">
        <v>29</v>
      </c>
      <c r="C57" s="15"/>
      <c r="D57" s="99" t="s">
        <v>58</v>
      </c>
      <c r="E57" s="45">
        <f>0.64*$F$18+E47*0.64</f>
        <v>99.311999999999983</v>
      </c>
      <c r="F57" s="46">
        <f>Residential!F55</f>
        <v>8.6999999999999994E-2</v>
      </c>
      <c r="G57" s="44">
        <f t="shared" si="14"/>
        <v>8.6401439999999976</v>
      </c>
      <c r="H57" s="39">
        <f>0.64*$F$18+H47*0.64</f>
        <v>99.542400000000001</v>
      </c>
      <c r="I57" s="46">
        <f>F57</f>
        <v>8.6999999999999994E-2</v>
      </c>
      <c r="J57" s="44">
        <f>$E57*I57</f>
        <v>8.6401439999999976</v>
      </c>
      <c r="K57" s="17"/>
      <c r="L57" s="174">
        <f t="shared" si="2"/>
        <v>0</v>
      </c>
      <c r="M57" s="126">
        <f t="shared" si="13"/>
        <v>0</v>
      </c>
      <c r="N57" s="17"/>
      <c r="O57" s="46">
        <f>I57</f>
        <v>8.6999999999999994E-2</v>
      </c>
      <c r="P57" s="44">
        <f>$H57*O57</f>
        <v>8.6601888000000002</v>
      </c>
      <c r="Q57" s="17"/>
      <c r="R57" s="174">
        <f t="shared" si="5"/>
        <v>2.0044800000002638E-2</v>
      </c>
      <c r="S57" s="126">
        <f t="shared" si="6"/>
        <v>2.3199613339780732E-3</v>
      </c>
      <c r="T57" s="363"/>
    </row>
    <row r="58" spans="1:360" x14ac:dyDescent="0.25">
      <c r="B58" s="31" t="s">
        <v>30</v>
      </c>
      <c r="C58" s="15"/>
      <c r="D58" s="99" t="s">
        <v>58</v>
      </c>
      <c r="E58" s="45">
        <f>0.18*$F$18+E47*0.18</f>
        <v>27.931499999999996</v>
      </c>
      <c r="F58" s="46">
        <f>Residential!F56</f>
        <v>0.13200000000000001</v>
      </c>
      <c r="G58" s="44">
        <f t="shared" si="14"/>
        <v>3.6869579999999997</v>
      </c>
      <c r="H58" s="39">
        <f>0.18*$F$18+H47*0.18</f>
        <v>27.996299999999998</v>
      </c>
      <c r="I58" s="46">
        <f t="shared" ref="I58:I61" si="17">F58</f>
        <v>0.13200000000000001</v>
      </c>
      <c r="J58" s="44">
        <f>$E58*I58</f>
        <v>3.6869579999999997</v>
      </c>
      <c r="K58" s="17"/>
      <c r="L58" s="174">
        <f t="shared" si="2"/>
        <v>0</v>
      </c>
      <c r="M58" s="126">
        <f t="shared" si="13"/>
        <v>0</v>
      </c>
      <c r="N58" s="17"/>
      <c r="O58" s="46">
        <f t="shared" ref="O58:O61" si="18">I58</f>
        <v>0.13200000000000001</v>
      </c>
      <c r="P58" s="44">
        <f t="shared" ref="P58:P59" si="19">$H58*O58</f>
        <v>3.6955116000000001</v>
      </c>
      <c r="Q58" s="17"/>
      <c r="R58" s="174">
        <f t="shared" si="5"/>
        <v>8.5536000000003831E-3</v>
      </c>
      <c r="S58" s="126">
        <f t="shared" si="6"/>
        <v>2.3199613339778711E-3</v>
      </c>
      <c r="T58" s="363"/>
    </row>
    <row r="59" spans="1:360" x14ac:dyDescent="0.25">
      <c r="B59" s="7" t="s">
        <v>31</v>
      </c>
      <c r="C59" s="15"/>
      <c r="D59" s="99" t="s">
        <v>58</v>
      </c>
      <c r="E59" s="45">
        <f>0.18*$F$18+E47*0.18</f>
        <v>27.931499999999996</v>
      </c>
      <c r="F59" s="46">
        <f>Residential!F57</f>
        <v>0.18</v>
      </c>
      <c r="G59" s="44">
        <f t="shared" si="14"/>
        <v>5.0276699999999988</v>
      </c>
      <c r="H59" s="39">
        <f>0.18*$F$18+H47*0.18</f>
        <v>27.996299999999998</v>
      </c>
      <c r="I59" s="46">
        <f t="shared" si="17"/>
        <v>0.18</v>
      </c>
      <c r="J59" s="44">
        <f>$E59*I59</f>
        <v>5.0276699999999988</v>
      </c>
      <c r="K59" s="17"/>
      <c r="L59" s="174">
        <f t="shared" si="2"/>
        <v>0</v>
      </c>
      <c r="M59" s="126">
        <f t="shared" si="13"/>
        <v>0</v>
      </c>
      <c r="N59" s="17"/>
      <c r="O59" s="46">
        <f t="shared" si="18"/>
        <v>0.18</v>
      </c>
      <c r="P59" s="44">
        <f t="shared" si="19"/>
        <v>5.0393339999999993</v>
      </c>
      <c r="Q59" s="17"/>
      <c r="R59" s="174">
        <f t="shared" si="5"/>
        <v>1.1664000000000563E-2</v>
      </c>
      <c r="S59" s="126">
        <f t="shared" si="6"/>
        <v>2.3199613339778794E-3</v>
      </c>
      <c r="T59" s="363"/>
    </row>
    <row r="60" spans="1:360" s="51" customFormat="1" x14ac:dyDescent="0.2">
      <c r="B60" s="48" t="s">
        <v>136</v>
      </c>
      <c r="C60" s="49"/>
      <c r="D60" s="102" t="s">
        <v>58</v>
      </c>
      <c r="E60" s="340">
        <f>F18</f>
        <v>150</v>
      </c>
      <c r="F60" s="43">
        <v>1.1000000000000001E-3</v>
      </c>
      <c r="G60" s="44">
        <f t="shared" si="14"/>
        <v>0.16500000000000001</v>
      </c>
      <c r="H60" s="110"/>
      <c r="I60" s="43">
        <v>1.1000000000000001E-3</v>
      </c>
      <c r="J60" s="44">
        <f t="shared" si="15"/>
        <v>0.16500000000000001</v>
      </c>
      <c r="K60" s="17"/>
      <c r="L60" s="173">
        <f t="shared" si="2"/>
        <v>0</v>
      </c>
      <c r="M60" s="126">
        <f t="shared" si="13"/>
        <v>0</v>
      </c>
      <c r="N60" s="110"/>
      <c r="O60" s="46">
        <f t="shared" si="18"/>
        <v>1.1000000000000001E-3</v>
      </c>
      <c r="P60" s="44">
        <f t="shared" si="16"/>
        <v>0.16500000000000001</v>
      </c>
      <c r="Q60" s="110"/>
      <c r="R60" s="174">
        <f t="shared" si="5"/>
        <v>0</v>
      </c>
      <c r="S60" s="126">
        <f t="shared" si="6"/>
        <v>0</v>
      </c>
      <c r="T60" s="364"/>
      <c r="U60" s="36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</row>
    <row r="61" spans="1:360" s="51" customFormat="1" ht="15.75" thickBot="1" x14ac:dyDescent="0.25">
      <c r="B61" s="48"/>
      <c r="C61" s="49"/>
      <c r="D61" s="102"/>
      <c r="E61" s="50"/>
      <c r="F61" s="46"/>
      <c r="G61" s="44">
        <f t="shared" si="14"/>
        <v>0</v>
      </c>
      <c r="H61" s="110"/>
      <c r="I61" s="46">
        <f t="shared" si="17"/>
        <v>0</v>
      </c>
      <c r="J61" s="44">
        <f t="shared" si="15"/>
        <v>0</v>
      </c>
      <c r="K61" s="110"/>
      <c r="L61" s="174">
        <f t="shared" si="2"/>
        <v>0</v>
      </c>
      <c r="M61" s="126" t="str">
        <f t="shared" si="13"/>
        <v/>
      </c>
      <c r="N61" s="110"/>
      <c r="O61" s="46">
        <f t="shared" si="18"/>
        <v>0</v>
      </c>
      <c r="P61" s="44">
        <f t="shared" si="16"/>
        <v>0</v>
      </c>
      <c r="Q61" s="110"/>
      <c r="R61" s="174">
        <f t="shared" si="5"/>
        <v>0</v>
      </c>
      <c r="S61" s="126" t="str">
        <f t="shared" si="6"/>
        <v/>
      </c>
      <c r="T61" s="364"/>
      <c r="U61" s="367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ht="15.75" thickBot="1" x14ac:dyDescent="0.3">
      <c r="B62" s="52"/>
      <c r="C62" s="53"/>
      <c r="D62" s="103"/>
      <c r="E62" s="54"/>
      <c r="F62" s="85"/>
      <c r="G62" s="86"/>
      <c r="H62" s="17"/>
      <c r="I62" s="85"/>
      <c r="J62" s="86"/>
      <c r="K62" s="17"/>
      <c r="L62" s="175"/>
      <c r="M62" s="127"/>
      <c r="N62" s="17"/>
      <c r="O62" s="85"/>
      <c r="P62" s="86"/>
      <c r="Q62" s="17"/>
      <c r="R62" s="175"/>
      <c r="S62" s="127"/>
      <c r="T62" s="363"/>
    </row>
    <row r="63" spans="1:360" x14ac:dyDescent="0.25">
      <c r="B63" s="55" t="s">
        <v>32</v>
      </c>
      <c r="C63" s="15"/>
      <c r="D63" s="15"/>
      <c r="E63" s="104"/>
      <c r="F63" s="56"/>
      <c r="G63" s="58">
        <f>SUM(G53:G60,G52)</f>
        <v>30.829984499999998</v>
      </c>
      <c r="H63" s="57"/>
      <c r="I63" s="56"/>
      <c r="J63" s="58">
        <f>SUM(J53:J60,J52)</f>
        <v>33.594984499999995</v>
      </c>
      <c r="K63" s="57"/>
      <c r="L63" s="176">
        <f>J63-G63</f>
        <v>2.764999999999997</v>
      </c>
      <c r="M63" s="128">
        <f>IF((G63)=0,"",(L63/G63))</f>
        <v>8.9685416481477542E-2</v>
      </c>
      <c r="N63" s="57"/>
      <c r="O63" s="56"/>
      <c r="P63" s="58">
        <f>SUM(P53:P60,P52)</f>
        <v>33.219719900000001</v>
      </c>
      <c r="Q63" s="57"/>
      <c r="R63" s="176">
        <f>P63-J63</f>
        <v>-0.37526459999999418</v>
      </c>
      <c r="S63" s="128">
        <f>IF((J63)=0,"",(R63/J63))</f>
        <v>-1.1170256679237172E-2</v>
      </c>
      <c r="T63" s="365"/>
    </row>
    <row r="64" spans="1:360" x14ac:dyDescent="0.25">
      <c r="B64" s="59" t="s">
        <v>33</v>
      </c>
      <c r="C64" s="15"/>
      <c r="D64" s="15"/>
      <c r="E64" s="21"/>
      <c r="F64" s="60">
        <v>0.13</v>
      </c>
      <c r="G64" s="62">
        <f>G63*F64</f>
        <v>4.0078979849999996</v>
      </c>
      <c r="H64" s="61"/>
      <c r="I64" s="60">
        <v>0.13</v>
      </c>
      <c r="J64" s="62">
        <f>J63*I64</f>
        <v>4.3673479849999994</v>
      </c>
      <c r="K64" s="61"/>
      <c r="L64" s="176">
        <f>J64-G64</f>
        <v>0.35944999999999983</v>
      </c>
      <c r="M64" s="129">
        <f>IF((G64)=0,"",(L64/G64))</f>
        <v>8.9685416481477598E-2</v>
      </c>
      <c r="N64" s="61"/>
      <c r="O64" s="60">
        <v>0.13</v>
      </c>
      <c r="P64" s="62">
        <f>P63*O64</f>
        <v>4.3185635869999999</v>
      </c>
      <c r="Q64" s="61"/>
      <c r="R64" s="176">
        <f t="shared" si="5"/>
        <v>-4.8784397999999563E-2</v>
      </c>
      <c r="S64" s="129">
        <f t="shared" ref="S64:S66" si="20">IF((J64)=0,"",(R64/J64))</f>
        <v>-1.1170256679237245E-2</v>
      </c>
      <c r="T64" s="366"/>
    </row>
    <row r="65" spans="1:360" x14ac:dyDescent="0.25">
      <c r="B65" s="63" t="s">
        <v>34</v>
      </c>
      <c r="C65" s="15"/>
      <c r="D65" s="15"/>
      <c r="E65" s="21"/>
      <c r="F65" s="64"/>
      <c r="G65" s="62">
        <f>G63+G64</f>
        <v>34.837882484999994</v>
      </c>
      <c r="H65" s="61"/>
      <c r="I65" s="64"/>
      <c r="J65" s="62">
        <f>J63+J64</f>
        <v>37.962332484999997</v>
      </c>
      <c r="K65" s="61"/>
      <c r="L65" s="176">
        <f>J65-G65</f>
        <v>3.1244500000000031</v>
      </c>
      <c r="M65" s="129">
        <f>IF((G65)=0,"",(L65/G65))</f>
        <v>8.9685416481477737E-2</v>
      </c>
      <c r="N65" s="61"/>
      <c r="O65" s="64"/>
      <c r="P65" s="62">
        <f>P63+P64</f>
        <v>37.538283487000001</v>
      </c>
      <c r="Q65" s="61"/>
      <c r="R65" s="176">
        <f t="shared" si="5"/>
        <v>-0.4240489979999964</v>
      </c>
      <c r="S65" s="129">
        <f t="shared" si="20"/>
        <v>-1.1170256679237248E-2</v>
      </c>
      <c r="T65" s="366"/>
    </row>
    <row r="66" spans="1:360" x14ac:dyDescent="0.25">
      <c r="B66" s="406" t="s">
        <v>35</v>
      </c>
      <c r="C66" s="406"/>
      <c r="D66" s="406"/>
      <c r="E66" s="21"/>
      <c r="F66" s="64"/>
      <c r="G66" s="65"/>
      <c r="H66" s="61"/>
      <c r="I66" s="64"/>
      <c r="J66" s="65"/>
      <c r="K66" s="61"/>
      <c r="L66" s="177">
        <f>J66-G66</f>
        <v>0</v>
      </c>
      <c r="M66" s="130" t="str">
        <f>IF((G66)=0,"",(L66/G66))</f>
        <v/>
      </c>
      <c r="N66" s="61"/>
      <c r="O66" s="64"/>
      <c r="P66" s="65"/>
      <c r="Q66" s="61"/>
      <c r="R66" s="177">
        <f t="shared" si="5"/>
        <v>0</v>
      </c>
      <c r="S66" s="130" t="str">
        <f t="shared" si="20"/>
        <v/>
      </c>
      <c r="T66" s="366"/>
    </row>
    <row r="67" spans="1:360" ht="15.75" thickBot="1" x14ac:dyDescent="0.3">
      <c r="B67" s="407" t="s">
        <v>36</v>
      </c>
      <c r="C67" s="407"/>
      <c r="D67" s="407"/>
      <c r="E67" s="105"/>
      <c r="F67" s="66"/>
      <c r="G67" s="67">
        <f>G65+G66</f>
        <v>34.837882484999994</v>
      </c>
      <c r="H67" s="57"/>
      <c r="I67" s="66"/>
      <c r="J67" s="67">
        <f>J65+J66</f>
        <v>37.962332484999997</v>
      </c>
      <c r="K67" s="57"/>
      <c r="L67" s="178">
        <f>J67-G67</f>
        <v>3.1244500000000031</v>
      </c>
      <c r="M67" s="131">
        <f>IF((G67)=0,"",(L67/G67))</f>
        <v>8.9685416481477737E-2</v>
      </c>
      <c r="N67" s="57"/>
      <c r="O67" s="66"/>
      <c r="P67" s="67">
        <f>P65+P66</f>
        <v>37.538283487000001</v>
      </c>
      <c r="Q67" s="57"/>
      <c r="R67" s="178">
        <f t="shared" si="5"/>
        <v>-0.4240489979999964</v>
      </c>
      <c r="S67" s="131">
        <f>IF((J67)=0,"",(R67/J67))</f>
        <v>-1.1170256679237248E-2</v>
      </c>
      <c r="T67" s="365"/>
    </row>
    <row r="68" spans="1:360" s="51" customFormat="1" ht="15.75" thickBot="1" x14ac:dyDescent="0.25">
      <c r="B68" s="68"/>
      <c r="C68" s="69"/>
      <c r="D68" s="70"/>
      <c r="E68" s="71"/>
      <c r="F68" s="85"/>
      <c r="G68" s="86"/>
      <c r="H68" s="110"/>
      <c r="I68" s="85"/>
      <c r="J68" s="86"/>
      <c r="K68" s="110"/>
      <c r="L68" s="179"/>
      <c r="M68" s="127"/>
      <c r="N68" s="110"/>
      <c r="O68" s="85"/>
      <c r="P68" s="86"/>
      <c r="Q68" s="110"/>
      <c r="R68" s="179"/>
      <c r="S68" s="127"/>
      <c r="T68" s="364"/>
      <c r="U68" s="36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72" t="s">
        <v>37</v>
      </c>
      <c r="C69" s="49"/>
      <c r="D69" s="49"/>
      <c r="E69" s="106"/>
      <c r="F69" s="73"/>
      <c r="G69" s="75">
        <f>SUM(G60:G61,G52,G53:G56)</f>
        <v>13.475212500000001</v>
      </c>
      <c r="H69" s="74"/>
      <c r="I69" s="73"/>
      <c r="J69" s="75">
        <f>SUM(J60:J61,J52,J53:J56)</f>
        <v>16.240212500000002</v>
      </c>
      <c r="K69" s="74"/>
      <c r="L69" s="180">
        <f>J69-G69</f>
        <v>2.7650000000000006</v>
      </c>
      <c r="M69" s="128">
        <f>IF((G69)=0,"",(L69/G69))</f>
        <v>0.20519156933517749</v>
      </c>
      <c r="N69" s="74"/>
      <c r="O69" s="73"/>
      <c r="P69" s="75">
        <f>SUM(P60:P61,P52,P53:P56)</f>
        <v>15.824685499999999</v>
      </c>
      <c r="Q69" s="74"/>
      <c r="R69" s="180">
        <f t="shared" si="5"/>
        <v>-0.41552700000000264</v>
      </c>
      <c r="S69" s="128">
        <f>IF((J69)=0,"",(R69/J69))</f>
        <v>-2.5586303134888327E-2</v>
      </c>
      <c r="T69" s="370"/>
      <c r="U69" s="36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6" t="s">
        <v>33</v>
      </c>
      <c r="C70" s="49"/>
      <c r="D70" s="49"/>
      <c r="E70" s="106"/>
      <c r="F70" s="77">
        <v>0.13</v>
      </c>
      <c r="G70" s="79">
        <f>G69*F70</f>
        <v>1.7517776250000003</v>
      </c>
      <c r="H70" s="78"/>
      <c r="I70" s="77">
        <v>0.13</v>
      </c>
      <c r="J70" s="79">
        <f>J69*I70</f>
        <v>2.1112276250000002</v>
      </c>
      <c r="K70" s="78"/>
      <c r="L70" s="180">
        <f>J70-G70</f>
        <v>0.35944999999999983</v>
      </c>
      <c r="M70" s="129">
        <f>IF((G70)=0,"",(L70/G70))</f>
        <v>0.20519156933517732</v>
      </c>
      <c r="N70" s="78"/>
      <c r="O70" s="77">
        <v>0.13</v>
      </c>
      <c r="P70" s="79">
        <f>P69*O70</f>
        <v>2.057209115</v>
      </c>
      <c r="Q70" s="78"/>
      <c r="R70" s="180">
        <f t="shared" si="5"/>
        <v>-5.4018510000000131E-2</v>
      </c>
      <c r="S70" s="129">
        <f t="shared" ref="S70:S73" si="21">IF((J70)=0,"",(R70/J70))</f>
        <v>-2.5586303134888227E-2</v>
      </c>
      <c r="T70" s="371"/>
      <c r="U70" s="36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80" t="s">
        <v>34</v>
      </c>
      <c r="C71" s="49"/>
      <c r="D71" s="49"/>
      <c r="E71" s="107"/>
      <c r="F71" s="81"/>
      <c r="G71" s="79">
        <f>G69+G70</f>
        <v>15.226990125000002</v>
      </c>
      <c r="H71" s="78"/>
      <c r="I71" s="81"/>
      <c r="J71" s="79">
        <f>J69+J70</f>
        <v>18.351440125000003</v>
      </c>
      <c r="K71" s="78"/>
      <c r="L71" s="180">
        <f>J71-G71</f>
        <v>3.1244500000000013</v>
      </c>
      <c r="M71" s="129">
        <f>IF((G71)=0,"",(L71/G71))</f>
        <v>0.20519156933517751</v>
      </c>
      <c r="N71" s="78"/>
      <c r="O71" s="81"/>
      <c r="P71" s="79">
        <f>P69+P70</f>
        <v>17.881894615</v>
      </c>
      <c r="Q71" s="78"/>
      <c r="R71" s="180">
        <f t="shared" si="5"/>
        <v>-0.46954551000000322</v>
      </c>
      <c r="S71" s="129">
        <f t="shared" si="21"/>
        <v>-2.5586303134888338E-2</v>
      </c>
      <c r="T71" s="371"/>
      <c r="U71" s="36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408" t="s">
        <v>35</v>
      </c>
      <c r="C72" s="408"/>
      <c r="D72" s="408"/>
      <c r="E72" s="107"/>
      <c r="F72" s="81"/>
      <c r="G72" s="82"/>
      <c r="H72" s="78"/>
      <c r="I72" s="81"/>
      <c r="J72" s="82"/>
      <c r="K72" s="78"/>
      <c r="L72" s="181">
        <f>J72-G72</f>
        <v>0</v>
      </c>
      <c r="M72" s="130" t="str">
        <f>IF((G72)=0,"",(L72/G72))</f>
        <v/>
      </c>
      <c r="N72" s="78"/>
      <c r="O72" s="81"/>
      <c r="P72" s="82"/>
      <c r="Q72" s="78"/>
      <c r="R72" s="181">
        <f t="shared" si="5"/>
        <v>0</v>
      </c>
      <c r="S72" s="130" t="str">
        <f t="shared" si="21"/>
        <v/>
      </c>
      <c r="T72" s="371"/>
      <c r="U72" s="36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3.5" hidden="1" customHeight="1" outlineLevel="1" thickBot="1" x14ac:dyDescent="0.2">
      <c r="B73" s="403" t="s">
        <v>38</v>
      </c>
      <c r="C73" s="403"/>
      <c r="D73" s="403"/>
      <c r="E73" s="108"/>
      <c r="F73" s="83"/>
      <c r="G73" s="84">
        <f>SUM(G71:G72)</f>
        <v>15.226990125000002</v>
      </c>
      <c r="H73" s="74"/>
      <c r="I73" s="83"/>
      <c r="J73" s="84">
        <f>SUM(J71:J72)</f>
        <v>18.351440125000003</v>
      </c>
      <c r="K73" s="74"/>
      <c r="L73" s="182">
        <f>J73-G73</f>
        <v>3.1244500000000013</v>
      </c>
      <c r="M73" s="132">
        <f>IF((G73)=0,"",(L73/G73))</f>
        <v>0.20519156933517751</v>
      </c>
      <c r="N73" s="74"/>
      <c r="O73" s="83"/>
      <c r="P73" s="84">
        <f>SUM(P71:P72)</f>
        <v>17.881894615</v>
      </c>
      <c r="Q73" s="74"/>
      <c r="R73" s="182">
        <f t="shared" si="5"/>
        <v>-0.46954551000000322</v>
      </c>
      <c r="S73" s="132">
        <f t="shared" si="21"/>
        <v>-2.5586303134888338E-2</v>
      </c>
      <c r="T73" s="370"/>
      <c r="U73" s="367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5.75" hidden="1" outlineLevel="1" thickBot="1" x14ac:dyDescent="0.25">
      <c r="B74" s="68"/>
      <c r="C74" s="69"/>
      <c r="D74" s="70"/>
      <c r="E74" s="71"/>
      <c r="F74" s="85"/>
      <c r="G74" s="91"/>
      <c r="H74" s="110"/>
      <c r="I74" s="85"/>
      <c r="J74" s="91"/>
      <c r="K74" s="110"/>
      <c r="L74" s="175"/>
      <c r="M74" s="133"/>
      <c r="N74" s="110"/>
      <c r="O74" s="85"/>
      <c r="P74" s="91"/>
      <c r="Q74" s="110"/>
      <c r="R74" s="175"/>
      <c r="S74" s="133"/>
      <c r="T74" s="364"/>
      <c r="U74" s="367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collapsed="1" x14ac:dyDescent="0.25">
      <c r="J75" s="47"/>
      <c r="P75" s="47"/>
    </row>
    <row r="76" spans="1:360" x14ac:dyDescent="0.25">
      <c r="B76" s="8" t="s">
        <v>39</v>
      </c>
      <c r="F76" s="87">
        <v>3.4500000000000003E-2</v>
      </c>
      <c r="I76" s="87">
        <v>3.4500000000000003E-2</v>
      </c>
      <c r="O76" s="87">
        <v>3.6900000000000002E-2</v>
      </c>
    </row>
    <row r="78" spans="1:360" x14ac:dyDescent="0.25">
      <c r="A78" s="88"/>
      <c r="B78" s="88" t="s">
        <v>112</v>
      </c>
    </row>
    <row r="80" spans="1:360" x14ac:dyDescent="0.25">
      <c r="B80" s="2" t="s">
        <v>41</v>
      </c>
    </row>
    <row r="81" spans="1:360" x14ac:dyDescent="0.25">
      <c r="B81" s="2" t="s">
        <v>42</v>
      </c>
    </row>
    <row r="83" spans="1:360" x14ac:dyDescent="0.25">
      <c r="A83" s="7"/>
      <c r="B83" s="7" t="s">
        <v>43</v>
      </c>
      <c r="M83" s="2"/>
      <c r="S83" s="2"/>
      <c r="U83" s="369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</row>
    <row r="84" spans="1:360" x14ac:dyDescent="0.25">
      <c r="A84" s="7"/>
      <c r="B84" s="7" t="s">
        <v>44</v>
      </c>
      <c r="M84" s="2"/>
      <c r="S84" s="2"/>
      <c r="U84" s="369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6" spans="1:360" x14ac:dyDescent="0.25">
      <c r="B86" s="2" t="s">
        <v>113</v>
      </c>
      <c r="M86" s="2"/>
      <c r="S86" s="2"/>
      <c r="U86" s="369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B87" s="2" t="s">
        <v>114</v>
      </c>
      <c r="M87" s="2"/>
      <c r="S87" s="2"/>
      <c r="U87" s="369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B88" s="2" t="s">
        <v>115</v>
      </c>
      <c r="M88" s="2"/>
      <c r="S88" s="2"/>
      <c r="U88" s="369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B89" s="2" t="s">
        <v>48</v>
      </c>
      <c r="M89" s="2"/>
      <c r="S89" s="2"/>
      <c r="U89" s="369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B90" s="2" t="s">
        <v>49</v>
      </c>
      <c r="M90" s="2"/>
      <c r="S90" s="2"/>
      <c r="U90" s="369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2" spans="1:360" x14ac:dyDescent="0.25">
      <c r="A92" s="89"/>
      <c r="B92" s="2" t="s">
        <v>50</v>
      </c>
      <c r="M92" s="2"/>
      <c r="S92" s="2"/>
      <c r="U92" s="369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</row>
  </sheetData>
  <mergeCells count="14">
    <mergeCell ref="O20:P20"/>
    <mergeCell ref="R20:S20"/>
    <mergeCell ref="B73:D73"/>
    <mergeCell ref="D21:D22"/>
    <mergeCell ref="B66:D66"/>
    <mergeCell ref="B67:D67"/>
    <mergeCell ref="B72:D72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50:D51 D40:D48 D68 D53:D62 D74 D23:D38">
      <formula1>"Monthly, per kWh, per kW"</formula1>
    </dataValidation>
  </dataValidations>
  <pageMargins left="0.7" right="0.7" top="0.75" bottom="0.75" header="0.3" footer="0.3"/>
  <pageSetup scale="47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V93"/>
  <sheetViews>
    <sheetView view="pageBreakPreview" topLeftCell="A13" zoomScale="70" zoomScaleNormal="70" zoomScaleSheetLayoutView="70" workbookViewId="0">
      <selection activeCell="A36" sqref="A36:B36"/>
    </sheetView>
  </sheetViews>
  <sheetFormatPr defaultRowHeight="15" outlineLevelRow="1" outlineLevelCol="1" x14ac:dyDescent="0.25"/>
  <cols>
    <col min="1" max="1" width="13.5703125" style="2" customWidth="1" outlineLevel="1"/>
    <col min="2" max="2" width="66.28515625" style="2" customWidth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5.28515625" style="2" customWidth="1"/>
    <col min="8" max="8" width="1.42578125" style="2" customWidth="1"/>
    <col min="9" max="9" width="13.5703125" style="2" customWidth="1"/>
    <col min="10" max="10" width="16.42578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79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61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x14ac:dyDescent="0.25">
      <c r="B17" s="7"/>
      <c r="D17" s="8" t="s">
        <v>4</v>
      </c>
      <c r="E17" s="8"/>
      <c r="F17" s="9">
        <v>180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[4]Rates!$A$169</f>
        <v>Fix_SE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3.41</v>
      </c>
      <c r="G23" s="18">
        <f t="shared" ref="G23:G38" si="0">E23*F23</f>
        <v>3.41</v>
      </c>
      <c r="H23" s="38"/>
      <c r="I23" s="114">
        <f>IF($A23&lt;&gt;"",VLOOKUP($A23,[4]Rates!$A$1:$R$65536,14,FALSE),0)</f>
        <v>3.76</v>
      </c>
      <c r="J23" s="18">
        <f>$E23*I23</f>
        <v>3.76</v>
      </c>
      <c r="K23" s="38"/>
      <c r="L23" s="167">
        <f>J23-G23</f>
        <v>0.34999999999999964</v>
      </c>
      <c r="M23" s="123">
        <f>IF((G23)=0,"",(L23/G23))</f>
        <v>0.10263929618768318</v>
      </c>
      <c r="N23" s="38"/>
      <c r="O23" s="114">
        <f>IF($A23&lt;&gt;"",VLOOKUP($A23,[4]Rates!$A$1:$R$65536,15,FALSE),0)</f>
        <v>4.3</v>
      </c>
      <c r="P23" s="18">
        <f>$E23*O23</f>
        <v>4.3</v>
      </c>
      <c r="Q23" s="38"/>
      <c r="R23" s="167">
        <f>P23-J23</f>
        <v>0.54</v>
      </c>
      <c r="S23" s="123">
        <f>IF((J23)=0,"",(R23/J23))</f>
        <v>0.14361702127659576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[4]Rates!$A$171</f>
        <v>PPE_SE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0.09</v>
      </c>
      <c r="G25" s="309">
        <f t="shared" si="0"/>
        <v>0.09</v>
      </c>
      <c r="H25" s="310"/>
      <c r="I25" s="314">
        <f>IF($A25&lt;&gt;"",VLOOKUP($A25,[4]Rates!$A$1:$R$65536,14,FALSE),0)</f>
        <v>0.09</v>
      </c>
      <c r="J25" s="309">
        <f t="shared" si="1"/>
        <v>0.09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-0.09</v>
      </c>
      <c r="S25" s="312">
        <f t="shared" si="6"/>
        <v>-1</v>
      </c>
      <c r="T25" s="310"/>
    </row>
    <row r="26" spans="1:360" s="277" customFormat="1" x14ac:dyDescent="0.25">
      <c r="A26" s="303" t="str">
        <f>[4]Rates!$A$172</f>
        <v>ICMF_SE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0.02</v>
      </c>
      <c r="G26" s="309">
        <f t="shared" si="0"/>
        <v>0.02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-0.02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150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1</v>
      </c>
      <c r="J27" s="18">
        <f t="shared" si="1"/>
        <v>1</v>
      </c>
      <c r="K27" s="38"/>
      <c r="L27" s="167">
        <f t="shared" si="2"/>
        <v>1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-1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[4]Rates!$A$174</f>
        <v>Var_SE</v>
      </c>
      <c r="B29" s="15" t="s">
        <v>14</v>
      </c>
      <c r="C29" s="15"/>
      <c r="D29" s="99" t="s">
        <v>59</v>
      </c>
      <c r="E29" s="135">
        <f>$F$18</f>
        <v>1</v>
      </c>
      <c r="F29" s="16">
        <f>IF($A29&lt;&gt;"",VLOOKUP($A29,[4]Rates!$A$1:$R$65536,12,FALSE),0)</f>
        <v>8.0172000000000008</v>
      </c>
      <c r="G29" s="18">
        <f t="shared" si="0"/>
        <v>8.0172000000000008</v>
      </c>
      <c r="H29" s="38"/>
      <c r="I29" s="16">
        <f>IF($A29&lt;&gt;"",VLOOKUP($A29,[4]Rates!$A$1:$R$65536,14,FALSE),0)</f>
        <v>8.8369</v>
      </c>
      <c r="J29" s="18">
        <f t="shared" si="1"/>
        <v>8.8369</v>
      </c>
      <c r="K29" s="38"/>
      <c r="L29" s="167">
        <f t="shared" si="2"/>
        <v>0.81969999999999921</v>
      </c>
      <c r="M29" s="123">
        <f t="shared" si="3"/>
        <v>0.10224267824178006</v>
      </c>
      <c r="N29" s="38"/>
      <c r="O29" s="16">
        <f>IF($A29&lt;&gt;"",VLOOKUP($A29,[4]Rates!$A$1:$R$65536,15,FALSE),0)</f>
        <v>10.1037</v>
      </c>
      <c r="P29" s="18">
        <f t="shared" si="4"/>
        <v>10.1037</v>
      </c>
      <c r="Q29" s="38"/>
      <c r="R29" s="167">
        <f t="shared" si="5"/>
        <v>1.2667999999999999</v>
      </c>
      <c r="S29" s="123">
        <f t="shared" si="6"/>
        <v>0.14335343842297638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1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151</v>
      </c>
      <c r="B31" s="22" t="s">
        <v>142</v>
      </c>
      <c r="C31" s="15"/>
      <c r="D31" s="99" t="s">
        <v>59</v>
      </c>
      <c r="E31" s="135">
        <f t="shared" si="7"/>
        <v>1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2.2822</v>
      </c>
      <c r="J31" s="18">
        <f t="shared" si="1"/>
        <v>2.2822</v>
      </c>
      <c r="K31" s="38"/>
      <c r="L31" s="167">
        <f t="shared" si="2"/>
        <v>2.2822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-2.2822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[4]Rates!$A$180</f>
        <v>ICMV_SE</v>
      </c>
      <c r="B32" s="313" t="s">
        <v>72</v>
      </c>
      <c r="C32" s="305"/>
      <c r="D32" s="306" t="s">
        <v>59</v>
      </c>
      <c r="E32" s="316">
        <f t="shared" si="7"/>
        <v>1</v>
      </c>
      <c r="F32" s="308">
        <f>IF($A32&lt;&gt;"",VLOOKUP($A32,[4]Rates!$A$1:$R$65536,12,FALSE),0)</f>
        <v>4.1599999999999998E-2</v>
      </c>
      <c r="G32" s="309">
        <f t="shared" si="0"/>
        <v>4.1599999999999998E-2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-4.1599999999999998E-2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[4]Rates!$A185</f>
        <v>2RAL16_SE</v>
      </c>
      <c r="B33" s="23" t="str">
        <f>[4]Rates!$B185</f>
        <v xml:space="preserve">Disposition of Deferral/Variance Accounts - Group 2 Accounts (2016) </v>
      </c>
      <c r="C33" s="15"/>
      <c r="D33" s="99" t="s">
        <v>59</v>
      </c>
      <c r="E33" s="135">
        <f t="shared" si="7"/>
        <v>1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>IF((G33)=0,"",(L33/G33))</f>
        <v/>
      </c>
      <c r="N33" s="38"/>
      <c r="O33" s="16">
        <f>IF($A33&lt;&gt;"",VLOOKUP($A33,[4]Rates!$A$1:$R$65536,15,FALSE),0)</f>
        <v>6.59E-2</v>
      </c>
      <c r="P33" s="18">
        <f t="shared" si="4"/>
        <v>6.59E-2</v>
      </c>
      <c r="Q33" s="38"/>
      <c r="R33" s="167">
        <f t="shared" si="5"/>
        <v>6.59E-2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[4]Rates!$A186</f>
        <v>LRVA16_SE</v>
      </c>
      <c r="B34" s="23" t="str">
        <f>[4]Rates!$B186</f>
        <v>Lost Revenue Adjustment Mechanism Variance Account (LRAMVA) (2016)</v>
      </c>
      <c r="C34" s="15"/>
      <c r="D34" s="99" t="s">
        <v>59</v>
      </c>
      <c r="E34" s="135">
        <f t="shared" si="7"/>
        <v>1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-0.67120000000000002</v>
      </c>
      <c r="J34" s="18">
        <f t="shared" si="1"/>
        <v>-0.67120000000000002</v>
      </c>
      <c r="K34" s="38"/>
      <c r="L34" s="167">
        <f t="shared" si="2"/>
        <v>-0.67120000000000002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0.67120000000000002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[4]Rates!$A187</f>
        <v>PPE16_SE</v>
      </c>
      <c r="B35" s="23" t="str">
        <f>[4]Rates!$B187</f>
        <v>Account 1575 (2016)</v>
      </c>
      <c r="C35" s="15"/>
      <c r="D35" s="99" t="s">
        <v>59</v>
      </c>
      <c r="E35" s="135">
        <f t="shared" si="7"/>
        <v>1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-0.45739999999999997</v>
      </c>
      <c r="J35" s="18">
        <f t="shared" si="1"/>
        <v>-0.45739999999999997</v>
      </c>
      <c r="K35" s="38"/>
      <c r="L35" s="167">
        <f t="shared" si="2"/>
        <v>-0.45739999999999997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0.45739999999999997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[4]Rates!$A188</f>
        <v>SG16_SE</v>
      </c>
      <c r="B36" s="23" t="str">
        <f>[4]Rates!$B188</f>
        <v>Smart Grid True-up (2016)</v>
      </c>
      <c r="C36" s="15"/>
      <c r="D36" s="99" t="s">
        <v>57</v>
      </c>
      <c r="E36" s="135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-0.04</v>
      </c>
      <c r="J36" s="18">
        <f t="shared" si="1"/>
        <v>-0.04</v>
      </c>
      <c r="K36" s="38"/>
      <c r="L36" s="167">
        <f t="shared" si="2"/>
        <v>-0.04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0.04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/>
      <c r="B37" s="23"/>
      <c r="C37" s="15"/>
      <c r="D37" s="99"/>
      <c r="E37" s="135"/>
      <c r="F37" s="16">
        <f>IF($A37&lt;&gt;"",VLOOKUP($A37,[4]Rates!$A$1:$R$65536,12,FALSE),0)</f>
        <v>0</v>
      </c>
      <c r="G37" s="18">
        <f t="shared" si="0"/>
        <v>0</v>
      </c>
      <c r="H37" s="38"/>
      <c r="I37" s="16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6">
        <f>IF($A37&lt;&gt;"",VLOOKUP($A37,[4]Rates!$A$1:$R$65536,15,FALSE),0)</f>
        <v>0</v>
      </c>
      <c r="P37" s="18">
        <f t="shared" si="4"/>
        <v>0</v>
      </c>
      <c r="Q37" s="38"/>
      <c r="R37" s="167">
        <f t="shared" si="5"/>
        <v>0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40"/>
      <c r="B39" s="24" t="s">
        <v>17</v>
      </c>
      <c r="C39" s="25"/>
      <c r="D39" s="100"/>
      <c r="E39" s="27"/>
      <c r="F39" s="26"/>
      <c r="G39" s="28">
        <f>SUM(G23:G38)</f>
        <v>11.578800000000001</v>
      </c>
      <c r="H39" s="38"/>
      <c r="I39" s="26"/>
      <c r="J39" s="28">
        <f>SUM(J23:J38)</f>
        <v>14.8005</v>
      </c>
      <c r="K39" s="38"/>
      <c r="L39" s="168">
        <f t="shared" si="2"/>
        <v>3.2216999999999985</v>
      </c>
      <c r="M39" s="124">
        <f>IF((G39)=0,"",(L39/G39))</f>
        <v>0.27824126852523562</v>
      </c>
      <c r="N39" s="38"/>
      <c r="O39" s="26"/>
      <c r="P39" s="28">
        <f>SUM(P23:P38)</f>
        <v>14.4696</v>
      </c>
      <c r="Q39" s="38"/>
      <c r="R39" s="168">
        <f t="shared" si="5"/>
        <v>-0.33089999999999975</v>
      </c>
      <c r="S39" s="124">
        <f t="shared" si="6"/>
        <v>-2.2357352792135386E-2</v>
      </c>
      <c r="T39" s="38"/>
    </row>
    <row r="40" spans="1:360" s="277" customFormat="1" x14ac:dyDescent="0.25">
      <c r="A40" s="303" t="str">
        <f>[4]Rates!$A$178</f>
        <v>RAL14_SE</v>
      </c>
      <c r="B40" s="302"/>
      <c r="C40" s="305"/>
      <c r="D40" s="319" t="s">
        <v>59</v>
      </c>
      <c r="E40" s="335">
        <f>$F$18</f>
        <v>1</v>
      </c>
      <c r="F40" s="308"/>
      <c r="G40" s="309">
        <f t="shared" ref="G40:G49" si="8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60" x14ac:dyDescent="0.25">
      <c r="A41" s="139" t="str">
        <f>[4]Rates!$A182</f>
        <v>RAL16_SE</v>
      </c>
      <c r="B41" s="30" t="str">
        <f>[4]Rates!$B182</f>
        <v xml:space="preserve">Disposition of Deferral/Variance Accounts (2016) </v>
      </c>
      <c r="C41" s="15"/>
      <c r="D41" s="99" t="s">
        <v>59</v>
      </c>
      <c r="E41" s="135">
        <f t="shared" ref="E41:E47" si="9">$F$18</f>
        <v>1</v>
      </c>
      <c r="F41" s="16">
        <f>IF($A41&lt;&gt;"",VLOOKUP($A41,[4]Rates!$A$1:$R$65536,12,FALSE),0)</f>
        <v>0</v>
      </c>
      <c r="G41" s="18">
        <f t="shared" si="8"/>
        <v>0</v>
      </c>
      <c r="H41" s="21"/>
      <c r="I41" s="16">
        <f>IF($A41&lt;&gt;"",VLOOKUP($A41,[4]Rates!$A$1:$R$65536,14,FALSE),0)</f>
        <v>0</v>
      </c>
      <c r="J41" s="18">
        <f t="shared" ref="J41:J47" si="10">$E41*I41</f>
        <v>0</v>
      </c>
      <c r="K41" s="21"/>
      <c r="L41" s="167">
        <f t="shared" si="2"/>
        <v>0</v>
      </c>
      <c r="M41" s="123" t="str">
        <f>IF((G41)=0,"",(L41/G41))</f>
        <v/>
      </c>
      <c r="N41" s="21"/>
      <c r="O41" s="16">
        <f>IF($A41&lt;&gt;"",VLOOKUP($A41,[4]Rates!$A$1:$R$65536,15,FALSE),0)</f>
        <v>0.121</v>
      </c>
      <c r="P41" s="18">
        <f t="shared" ref="P41:P49" si="11">$E41*O41</f>
        <v>0.121</v>
      </c>
      <c r="Q41" s="21"/>
      <c r="R41" s="167">
        <f t="shared" si="5"/>
        <v>0.121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[4]Rates!$A183</f>
        <v>RALP16_SE</v>
      </c>
      <c r="B42" s="30" t="str">
        <f>[4]Rates!$B183</f>
        <v xml:space="preserve">Disposition of Deferral/Variance Accounts - Power (2016) </v>
      </c>
      <c r="C42" s="15"/>
      <c r="D42" s="99" t="s">
        <v>59</v>
      </c>
      <c r="E42" s="135">
        <f t="shared" si="9"/>
        <v>1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-1.0139</v>
      </c>
      <c r="J42" s="18">
        <f t="shared" si="10"/>
        <v>-1.0139</v>
      </c>
      <c r="K42" s="21"/>
      <c r="L42" s="167">
        <f t="shared" si="2"/>
        <v>-1.0139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1"/>
        <v>0</v>
      </c>
      <c r="Q42" s="21"/>
      <c r="R42" s="167">
        <f t="shared" si="5"/>
        <v>1.0139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s="277" customFormat="1" x14ac:dyDescent="0.25">
      <c r="A43" s="303"/>
      <c r="B43" s="302"/>
      <c r="C43" s="305"/>
      <c r="D43" s="306"/>
      <c r="E43" s="316"/>
      <c r="F43" s="308">
        <f>IF($A43&lt;&gt;"",VLOOKUP($A43,[4]Rates!$A$1:$R$65536,12,FALSE),0)</f>
        <v>0</v>
      </c>
      <c r="G43" s="309">
        <f t="shared" si="8"/>
        <v>0</v>
      </c>
      <c r="H43" s="317"/>
      <c r="I43" s="308">
        <f>IF($A43&lt;&gt;"",VLOOKUP($A43,[4]Rates!$A$1:$R$65536,14,FALSE),0)</f>
        <v>0</v>
      </c>
      <c r="J43" s="309">
        <f t="shared" si="10"/>
        <v>0</v>
      </c>
      <c r="K43" s="317"/>
      <c r="L43" s="311">
        <f t="shared" si="2"/>
        <v>0</v>
      </c>
      <c r="M43" s="312" t="str">
        <f t="shared" si="3"/>
        <v/>
      </c>
      <c r="N43" s="317"/>
      <c r="O43" s="308">
        <f>IF($A43&lt;&gt;"",VLOOKUP($A43,[4]Rates!$A$1:$R$65536,15,FALSE),0)</f>
        <v>0</v>
      </c>
      <c r="P43" s="309">
        <f t="shared" si="11"/>
        <v>0</v>
      </c>
      <c r="Q43" s="317"/>
      <c r="R43" s="311">
        <f t="shared" si="5"/>
        <v>0</v>
      </c>
      <c r="S43" s="312" t="str">
        <f t="shared" si="6"/>
        <v/>
      </c>
      <c r="T43" s="317"/>
    </row>
    <row r="44" spans="1:360" x14ac:dyDescent="0.25">
      <c r="A44" s="139"/>
      <c r="B44" s="30"/>
      <c r="C44" s="15"/>
      <c r="D44" s="99"/>
      <c r="E44" s="135"/>
      <c r="F44" s="16">
        <f>IF($A44&lt;&gt;"",VLOOKUP($A44,[4]Rates!$A$1:$R$65536,12,FALSE),0)</f>
        <v>0</v>
      </c>
      <c r="G44" s="18"/>
      <c r="H44" s="244"/>
      <c r="I44" s="16">
        <f>IF($A44&lt;&gt;"",VLOOKUP($A44,[4]Rates!$A$1:$R$65536,14,FALSE),0)</f>
        <v>0</v>
      </c>
      <c r="J44" s="18">
        <f t="shared" ref="J44" si="12">$E44*I44</f>
        <v>0</v>
      </c>
      <c r="K44" s="21"/>
      <c r="L44" s="167">
        <f t="shared" ref="L44" si="13">J44-G44</f>
        <v>0</v>
      </c>
      <c r="M44" s="123" t="str">
        <f t="shared" si="3"/>
        <v/>
      </c>
      <c r="N44" s="244"/>
      <c r="O44" s="16">
        <f>IF($A44&lt;&gt;"",VLOOKUP($A44,[4]Rates!$A$1:$R$65536,15,FALSE),0)</f>
        <v>0</v>
      </c>
      <c r="P44" s="18">
        <f t="shared" ref="P44:P45" si="14">$E44*O44</f>
        <v>0</v>
      </c>
      <c r="Q44" s="21"/>
      <c r="R44" s="167">
        <f t="shared" ref="R44:R45" si="15">P44-J44</f>
        <v>0</v>
      </c>
      <c r="S44" s="123" t="str">
        <f t="shared" ref="S44:S45" si="16">IF((J44)=0,"",(R44/J44))</f>
        <v/>
      </c>
      <c r="T44" s="2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 t="str">
        <f t="shared" si="3"/>
        <v/>
      </c>
      <c r="N45" s="244"/>
      <c r="O45" s="16">
        <f>IF($A45&lt;&gt;"",VLOOKUP($A45,[4]Rates!$A$1:$R$65536,15,FALSE),0)</f>
        <v>0</v>
      </c>
      <c r="P45" s="18">
        <f t="shared" si="14"/>
        <v>0</v>
      </c>
      <c r="Q45" s="21"/>
      <c r="R45" s="167">
        <f t="shared" si="15"/>
        <v>0</v>
      </c>
      <c r="S45" s="123" t="str">
        <f t="shared" si="16"/>
        <v/>
      </c>
      <c r="T45" s="2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/>
      <c r="K46" s="244"/>
      <c r="L46" s="167"/>
      <c r="M46" s="123" t="str">
        <f t="shared" si="3"/>
        <v/>
      </c>
      <c r="N46" s="244"/>
      <c r="O46" s="16">
        <f>IF($A46&lt;&gt;"",VLOOKUP($A46,[4]Rates!$A$1:$R$65536,15,FALSE),0)</f>
        <v>0</v>
      </c>
      <c r="P46" s="18"/>
      <c r="Q46" s="244"/>
      <c r="R46" s="167"/>
      <c r="S46" s="123"/>
      <c r="T46" s="24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[4]Rates!$A$175</f>
        <v>LV_SE</v>
      </c>
      <c r="B47" s="31" t="s">
        <v>18</v>
      </c>
      <c r="C47" s="15"/>
      <c r="D47" s="99" t="s">
        <v>59</v>
      </c>
      <c r="E47" s="135">
        <f t="shared" si="9"/>
        <v>1</v>
      </c>
      <c r="F47" s="16">
        <f>IF($A47&lt;&gt;"",VLOOKUP($A47,[4]Rates!$A$1:$R$65536,12,FALSE),0)</f>
        <v>0.1031</v>
      </c>
      <c r="G47" s="18">
        <f t="shared" si="8"/>
        <v>0.1031</v>
      </c>
      <c r="H47" s="38"/>
      <c r="I47" s="16">
        <f>IF($A47&lt;&gt;"",VLOOKUP($A47,[4]Rates!$A$1:$R$65536,14,FALSE),0)</f>
        <v>0.1031</v>
      </c>
      <c r="J47" s="18">
        <f t="shared" si="10"/>
        <v>0.1031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0.11700000000000001</v>
      </c>
      <c r="P47" s="18">
        <f t="shared" si="11"/>
        <v>0.11700000000000001</v>
      </c>
      <c r="Q47" s="38"/>
      <c r="R47" s="167">
        <f t="shared" si="5"/>
        <v>1.390000000000001E-2</v>
      </c>
      <c r="S47" s="123">
        <f t="shared" si="6"/>
        <v>0.13482056256062086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8">
        <f>$F$17*(1+$F$77)-$F$17</f>
        <v>6.210000000000008</v>
      </c>
      <c r="F48" s="32"/>
      <c r="G48" s="18">
        <f>E48*F48</f>
        <v>0</v>
      </c>
      <c r="H48" s="90">
        <f>$F$17*(1+$O$77)-$F$17</f>
        <v>6.6419999999999959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11.681900000000001</v>
      </c>
      <c r="H50" s="38"/>
      <c r="I50" s="35"/>
      <c r="J50" s="37">
        <f>SUM(J40:J49)+J39</f>
        <v>13.889699999999999</v>
      </c>
      <c r="K50" s="38"/>
      <c r="L50" s="170">
        <f t="shared" si="2"/>
        <v>2.2077999999999989</v>
      </c>
      <c r="M50" s="125">
        <f>IF((G50)=0,"",(L50/G50))</f>
        <v>0.18899322884119868</v>
      </c>
      <c r="N50" s="38"/>
      <c r="O50" s="35"/>
      <c r="P50" s="37">
        <f>SUM(P40:P49)+P39</f>
        <v>14.707599999999999</v>
      </c>
      <c r="Q50" s="38"/>
      <c r="R50" s="170">
        <f t="shared" si="5"/>
        <v>0.81789999999999985</v>
      </c>
      <c r="S50" s="125">
        <f t="shared" si="6"/>
        <v>5.8885361094912048E-2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[4]Rates!$A$192</f>
        <v>TN_SE</v>
      </c>
      <c r="B51" s="19" t="s">
        <v>22</v>
      </c>
      <c r="C51" s="19"/>
      <c r="D51" s="101" t="s">
        <v>59</v>
      </c>
      <c r="E51" s="45">
        <f>F18</f>
        <v>1</v>
      </c>
      <c r="F51" s="20">
        <f>IF($A51&lt;&gt;"",VLOOKUP($A51,[4]Rates!$A$1:$R$65536,12,FALSE),0)</f>
        <v>2.2561</v>
      </c>
      <c r="G51" s="18">
        <f>E51*F51</f>
        <v>2.2561</v>
      </c>
      <c r="H51" s="39">
        <v>1</v>
      </c>
      <c r="I51" s="20">
        <f>IF($A51&lt;&gt;"",VLOOKUP($A51,[4]Rates!$A$1:$R$65536,14,FALSE),0)</f>
        <v>2.2561</v>
      </c>
      <c r="J51" s="18">
        <f>$E51*I51</f>
        <v>2.2561</v>
      </c>
      <c r="K51" s="38"/>
      <c r="L51" s="171">
        <f>J51-G51</f>
        <v>0</v>
      </c>
      <c r="M51" s="123">
        <f t="shared" ref="M51:M62" si="17">IF((G51)=0,"",(L51/G51))</f>
        <v>0</v>
      </c>
      <c r="N51" s="38"/>
      <c r="O51" s="20">
        <f>IF($A51&lt;&gt;"",VLOOKUP($A51,[4]Rates!$A$1:$R$65536,15,FALSE),0)</f>
        <v>2.2743000000000002</v>
      </c>
      <c r="P51" s="18">
        <f>$H51*O51</f>
        <v>2.2743000000000002</v>
      </c>
      <c r="Q51" s="38"/>
      <c r="R51" s="171">
        <f t="shared" si="5"/>
        <v>1.8200000000000216E-2</v>
      </c>
      <c r="S51" s="123">
        <f t="shared" si="6"/>
        <v>8.0670183059262518E-3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[4]Rates!$A$193</f>
        <v>TC_SE</v>
      </c>
      <c r="B52" s="40" t="s">
        <v>23</v>
      </c>
      <c r="C52" s="19"/>
      <c r="D52" s="101" t="s">
        <v>59</v>
      </c>
      <c r="E52" s="45">
        <f>E51</f>
        <v>1</v>
      </c>
      <c r="F52" s="20">
        <f>IF($A52&lt;&gt;"",VLOOKUP($A52,[4]Rates!$A$1:$R$65536,12,FALSE),0)</f>
        <v>0.8629</v>
      </c>
      <c r="G52" s="18">
        <f>E52*F52</f>
        <v>0.8629</v>
      </c>
      <c r="H52" s="39">
        <v>1</v>
      </c>
      <c r="I52" s="20">
        <f>IF($A52&lt;&gt;"",VLOOKUP($A52,[4]Rates!$A$1:$R$65536,14,FALSE),0)</f>
        <v>0.8629</v>
      </c>
      <c r="J52" s="18">
        <f>$E52*I52</f>
        <v>0.8629</v>
      </c>
      <c r="K52" s="38"/>
      <c r="L52" s="171">
        <f t="shared" si="2"/>
        <v>0</v>
      </c>
      <c r="M52" s="123">
        <f t="shared" si="17"/>
        <v>0</v>
      </c>
      <c r="N52" s="38"/>
      <c r="O52" s="20">
        <f>IF($A52&lt;&gt;"",VLOOKUP($A52,[4]Rates!$A$1:$R$65536,15,FALSE),0)</f>
        <v>0.93359999999999999</v>
      </c>
      <c r="P52" s="18">
        <f>$H52*O52</f>
        <v>0.93359999999999999</v>
      </c>
      <c r="Q52" s="38"/>
      <c r="R52" s="171">
        <f t="shared" si="5"/>
        <v>7.0699999999999985E-2</v>
      </c>
      <c r="S52" s="123">
        <f t="shared" si="6"/>
        <v>8.193301657202455E-2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14.8009</v>
      </c>
      <c r="H53" s="17"/>
      <c r="I53" s="41"/>
      <c r="J53" s="37">
        <f>SUM(J50:J52)</f>
        <v>17.008700000000001</v>
      </c>
      <c r="K53" s="109"/>
      <c r="L53" s="172">
        <f t="shared" si="2"/>
        <v>2.2078000000000007</v>
      </c>
      <c r="M53" s="125">
        <f t="shared" si="17"/>
        <v>0.14916660473349597</v>
      </c>
      <c r="N53" s="109"/>
      <c r="O53" s="41"/>
      <c r="P53" s="37">
        <f>SUM(P50:P52)</f>
        <v>17.915499999999998</v>
      </c>
      <c r="Q53" s="109"/>
      <c r="R53" s="172">
        <f t="shared" si="5"/>
        <v>0.90679999999999694</v>
      </c>
      <c r="S53" s="125">
        <f t="shared" si="6"/>
        <v>5.3313892302174586E-2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186.21</v>
      </c>
      <c r="F54" s="43">
        <v>3.5999999999999999E-3</v>
      </c>
      <c r="G54" s="44">
        <f t="shared" ref="G54:G62" si="18">E54*F54</f>
        <v>0.67035600000000006</v>
      </c>
      <c r="H54" s="39">
        <f>F$17*(1+O$77)</f>
        <v>186.642</v>
      </c>
      <c r="I54" s="43">
        <v>3.5999999999999999E-3</v>
      </c>
      <c r="J54" s="44">
        <f>$E54*I54</f>
        <v>0.67035600000000006</v>
      </c>
      <c r="K54" s="17"/>
      <c r="L54" s="173">
        <f>J54-G54</f>
        <v>0</v>
      </c>
      <c r="M54" s="126">
        <f t="shared" si="17"/>
        <v>0</v>
      </c>
      <c r="N54" s="17"/>
      <c r="O54" s="43">
        <v>3.5999999999999999E-3</v>
      </c>
      <c r="P54" s="44">
        <f>$H54*O54</f>
        <v>0.67191119999999993</v>
      </c>
      <c r="Q54" s="17"/>
      <c r="R54" s="173">
        <f>P54-J54</f>
        <v>1.5551999999998678E-3</v>
      </c>
      <c r="S54" s="126">
        <f t="shared" si="6"/>
        <v>2.3199613339775697E-3</v>
      </c>
      <c r="T54" s="17"/>
    </row>
    <row r="55" spans="1:360" x14ac:dyDescent="0.25">
      <c r="B55" s="42" t="s">
        <v>26</v>
      </c>
      <c r="C55" s="15"/>
      <c r="D55" s="99" t="s">
        <v>58</v>
      </c>
      <c r="E55" s="137">
        <f>E54</f>
        <v>186.21</v>
      </c>
      <c r="F55" s="43">
        <v>1.2999999999999999E-3</v>
      </c>
      <c r="G55" s="44">
        <f t="shared" si="18"/>
        <v>0.24207300000000001</v>
      </c>
      <c r="H55" s="39">
        <f>F$17*(1+O$77)</f>
        <v>186.642</v>
      </c>
      <c r="I55" s="43">
        <v>1.2999999999999999E-3</v>
      </c>
      <c r="J55" s="44">
        <f>$E55*I55</f>
        <v>0.24207300000000001</v>
      </c>
      <c r="K55" s="17"/>
      <c r="L55" s="173">
        <f t="shared" si="2"/>
        <v>0</v>
      </c>
      <c r="M55" s="126">
        <f t="shared" si="17"/>
        <v>0</v>
      </c>
      <c r="N55" s="17"/>
      <c r="O55" s="43">
        <v>1.2999999999999999E-3</v>
      </c>
      <c r="P55" s="44">
        <f>$H55*O55</f>
        <v>0.24263459999999998</v>
      </c>
      <c r="Q55" s="17"/>
      <c r="R55" s="173">
        <f t="shared" si="5"/>
        <v>5.6159999999996768E-4</v>
      </c>
      <c r="S55" s="126">
        <f t="shared" si="6"/>
        <v>2.3199613339776335E-3</v>
      </c>
      <c r="T55" s="17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8"/>
        <v>0.25</v>
      </c>
      <c r="H56" s="17"/>
      <c r="I56" s="43">
        <v>0.25</v>
      </c>
      <c r="J56" s="44">
        <f t="shared" ref="J56:J62" si="19">$E56*I56</f>
        <v>0.25</v>
      </c>
      <c r="K56" s="17"/>
      <c r="L56" s="173">
        <f t="shared" si="2"/>
        <v>0</v>
      </c>
      <c r="M56" s="126">
        <f t="shared" si="17"/>
        <v>0</v>
      </c>
      <c r="N56" s="17"/>
      <c r="O56" s="43">
        <v>0.25</v>
      </c>
      <c r="P56" s="44">
        <f t="shared" ref="P56:P62" si="20">$E56*O56</f>
        <v>0.25</v>
      </c>
      <c r="Q56" s="17"/>
      <c r="R56" s="173">
        <f t="shared" si="5"/>
        <v>0</v>
      </c>
      <c r="S56" s="126">
        <f t="shared" si="6"/>
        <v>0</v>
      </c>
      <c r="T56" s="17"/>
    </row>
    <row r="57" spans="1:360" x14ac:dyDescent="0.25">
      <c r="B57" s="15" t="s">
        <v>28</v>
      </c>
      <c r="C57" s="15"/>
      <c r="D57" s="99" t="s">
        <v>58</v>
      </c>
      <c r="E57" s="137">
        <f>F17</f>
        <v>180</v>
      </c>
      <c r="F57" s="43">
        <v>7.0000000000000001E-3</v>
      </c>
      <c r="G57" s="44">
        <f t="shared" si="18"/>
        <v>1.26</v>
      </c>
      <c r="H57" s="17"/>
      <c r="I57" s="43">
        <v>7.0000000000000001E-3</v>
      </c>
      <c r="J57" s="44">
        <f t="shared" si="19"/>
        <v>1.26</v>
      </c>
      <c r="K57" s="17"/>
      <c r="L57" s="173">
        <f t="shared" si="2"/>
        <v>0</v>
      </c>
      <c r="M57" s="126">
        <f t="shared" si="17"/>
        <v>0</v>
      </c>
      <c r="N57" s="17"/>
      <c r="O57" s="43">
        <v>7.0000000000000001E-3</v>
      </c>
      <c r="P57" s="44">
        <f t="shared" si="20"/>
        <v>1.26</v>
      </c>
      <c r="Q57" s="17"/>
      <c r="R57" s="173">
        <f t="shared" si="5"/>
        <v>0</v>
      </c>
      <c r="S57" s="126">
        <f t="shared" si="6"/>
        <v>0</v>
      </c>
      <c r="T57" s="17"/>
    </row>
    <row r="58" spans="1:360" x14ac:dyDescent="0.25">
      <c r="B58" s="31" t="s">
        <v>29</v>
      </c>
      <c r="C58" s="15"/>
      <c r="D58" s="99" t="s">
        <v>58</v>
      </c>
      <c r="E58" s="341">
        <f>0.64*$F$17+E48*0.64</f>
        <v>119.17440000000001</v>
      </c>
      <c r="F58" s="46">
        <f>Residential!F55</f>
        <v>8.6999999999999994E-2</v>
      </c>
      <c r="G58" s="44">
        <f t="shared" si="18"/>
        <v>10.3681728</v>
      </c>
      <c r="H58" s="284">
        <f>0.64*$F$17+H48*0.64</f>
        <v>119.45088</v>
      </c>
      <c r="I58" s="46">
        <f>F58</f>
        <v>8.6999999999999994E-2</v>
      </c>
      <c r="J58" s="44">
        <f>$E58*I58</f>
        <v>10.3681728</v>
      </c>
      <c r="K58" s="17"/>
      <c r="L58" s="174">
        <f t="shared" si="2"/>
        <v>0</v>
      </c>
      <c r="M58" s="126">
        <f t="shared" si="17"/>
        <v>0</v>
      </c>
      <c r="N58" s="17"/>
      <c r="O58" s="46">
        <f>I58</f>
        <v>8.6999999999999994E-2</v>
      </c>
      <c r="P58" s="44">
        <f>$H58*O58</f>
        <v>10.392226559999999</v>
      </c>
      <c r="Q58" s="17"/>
      <c r="R58" s="174">
        <f t="shared" si="5"/>
        <v>2.4053759999999258E-2</v>
      </c>
      <c r="S58" s="126">
        <f t="shared" si="6"/>
        <v>2.3199613339776955E-3</v>
      </c>
      <c r="T58" s="17"/>
    </row>
    <row r="59" spans="1:360" x14ac:dyDescent="0.25">
      <c r="B59" s="31" t="s">
        <v>30</v>
      </c>
      <c r="C59" s="15"/>
      <c r="D59" s="99" t="s">
        <v>58</v>
      </c>
      <c r="E59" s="341">
        <f>0.18*$F$17+E48*0.18</f>
        <v>33.517800000000001</v>
      </c>
      <c r="F59" s="46">
        <f>Residential!F56</f>
        <v>0.13200000000000001</v>
      </c>
      <c r="G59" s="44">
        <f t="shared" si="18"/>
        <v>4.4243496000000002</v>
      </c>
      <c r="H59" s="284">
        <f>0.18*$F$17+H48*0.18</f>
        <v>33.595559999999999</v>
      </c>
      <c r="I59" s="46">
        <f t="shared" ref="I59:I62" si="21">F59</f>
        <v>0.13200000000000001</v>
      </c>
      <c r="J59" s="44">
        <f>$E59*I59</f>
        <v>4.4243496000000002</v>
      </c>
      <c r="K59" s="17"/>
      <c r="L59" s="174">
        <f t="shared" si="2"/>
        <v>0</v>
      </c>
      <c r="M59" s="126">
        <f t="shared" si="17"/>
        <v>0</v>
      </c>
      <c r="N59" s="17"/>
      <c r="O59" s="46">
        <f t="shared" ref="O59:O62" si="22">I59</f>
        <v>0.13200000000000001</v>
      </c>
      <c r="P59" s="44">
        <f t="shared" ref="P59:P60" si="23">$H59*O59</f>
        <v>4.4346139200000003</v>
      </c>
      <c r="Q59" s="17"/>
      <c r="R59" s="174">
        <f t="shared" si="5"/>
        <v>1.0264320000000104E-2</v>
      </c>
      <c r="S59" s="126">
        <f t="shared" si="6"/>
        <v>2.3199613339777905E-3</v>
      </c>
      <c r="T59" s="17"/>
    </row>
    <row r="60" spans="1:360" x14ac:dyDescent="0.25">
      <c r="B60" s="7" t="s">
        <v>31</v>
      </c>
      <c r="C60" s="15"/>
      <c r="D60" s="99" t="s">
        <v>58</v>
      </c>
      <c r="E60" s="341">
        <f>0.18*$F$17+E48*0.18</f>
        <v>33.517800000000001</v>
      </c>
      <c r="F60" s="46">
        <f>Residential!F57</f>
        <v>0.18</v>
      </c>
      <c r="G60" s="44">
        <f t="shared" si="18"/>
        <v>6.0332039999999996</v>
      </c>
      <c r="H60" s="284">
        <f>0.18*$F$17+H48*0.18</f>
        <v>33.595559999999999</v>
      </c>
      <c r="I60" s="46">
        <f t="shared" si="21"/>
        <v>0.18</v>
      </c>
      <c r="J60" s="44">
        <f>$E60*I60</f>
        <v>6.0332039999999996</v>
      </c>
      <c r="K60" s="17"/>
      <c r="L60" s="174">
        <f t="shared" si="2"/>
        <v>0</v>
      </c>
      <c r="M60" s="126">
        <f t="shared" si="17"/>
        <v>0</v>
      </c>
      <c r="N60" s="17"/>
      <c r="O60" s="46">
        <f t="shared" si="22"/>
        <v>0.18</v>
      </c>
      <c r="P60" s="44">
        <f t="shared" si="23"/>
        <v>6.0472007999999997</v>
      </c>
      <c r="Q60" s="17"/>
      <c r="R60" s="174">
        <f t="shared" si="5"/>
        <v>1.3996800000000142E-2</v>
      </c>
      <c r="S60" s="126">
        <f t="shared" si="6"/>
        <v>2.3199613339777909E-3</v>
      </c>
      <c r="T60" s="17"/>
    </row>
    <row r="61" spans="1:360" s="51" customFormat="1" x14ac:dyDescent="0.2">
      <c r="B61" s="48" t="s">
        <v>136</v>
      </c>
      <c r="C61" s="49"/>
      <c r="D61" s="102" t="s">
        <v>58</v>
      </c>
      <c r="E61" s="342">
        <f>F17</f>
        <v>180</v>
      </c>
      <c r="F61" s="43">
        <v>1.1000000000000001E-3</v>
      </c>
      <c r="G61" s="44">
        <f t="shared" si="18"/>
        <v>0.19800000000000001</v>
      </c>
      <c r="H61" s="110"/>
      <c r="I61" s="43">
        <v>1.1000000000000001E-3</v>
      </c>
      <c r="J61" s="44">
        <f t="shared" si="19"/>
        <v>0.19800000000000001</v>
      </c>
      <c r="K61" s="17"/>
      <c r="L61" s="173">
        <f t="shared" si="2"/>
        <v>0</v>
      </c>
      <c r="M61" s="126">
        <f t="shared" si="17"/>
        <v>0</v>
      </c>
      <c r="N61" s="110"/>
      <c r="O61" s="46">
        <f t="shared" si="22"/>
        <v>1.1000000000000001E-3</v>
      </c>
      <c r="P61" s="44">
        <f t="shared" si="20"/>
        <v>0.19800000000000001</v>
      </c>
      <c r="Q61" s="110"/>
      <c r="R61" s="174">
        <f t="shared" si="5"/>
        <v>0</v>
      </c>
      <c r="S61" s="126">
        <f t="shared" si="6"/>
        <v>0</v>
      </c>
      <c r="T61" s="110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8"/>
        <v>0</v>
      </c>
      <c r="H62" s="110"/>
      <c r="I62" s="46">
        <f t="shared" si="21"/>
        <v>0</v>
      </c>
      <c r="J62" s="44">
        <f t="shared" si="19"/>
        <v>0</v>
      </c>
      <c r="K62" s="110"/>
      <c r="L62" s="174">
        <f t="shared" si="2"/>
        <v>0</v>
      </c>
      <c r="M62" s="126" t="str">
        <f t="shared" si="17"/>
        <v/>
      </c>
      <c r="N62" s="110"/>
      <c r="O62" s="46">
        <f t="shared" si="22"/>
        <v>0</v>
      </c>
      <c r="P62" s="44">
        <f t="shared" si="20"/>
        <v>0</v>
      </c>
      <c r="Q62" s="110"/>
      <c r="R62" s="174">
        <f t="shared" si="5"/>
        <v>0</v>
      </c>
      <c r="S62" s="126" t="str">
        <f t="shared" si="6"/>
        <v/>
      </c>
      <c r="T62" s="110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17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38.247055400000001</v>
      </c>
      <c r="H64" s="57"/>
      <c r="I64" s="56"/>
      <c r="J64" s="58">
        <f>SUM(J54:J61,J53)</f>
        <v>40.4548554</v>
      </c>
      <c r="K64" s="57"/>
      <c r="L64" s="249">
        <f>J64-G64</f>
        <v>2.2077999999999989</v>
      </c>
      <c r="M64" s="128">
        <f>IF((G64)=0,"",(L64/G64))</f>
        <v>5.7724705259270724E-2</v>
      </c>
      <c r="N64" s="57"/>
      <c r="O64" s="56"/>
      <c r="P64" s="58">
        <f>SUM(P54:P61,P53)</f>
        <v>41.412087079999992</v>
      </c>
      <c r="Q64" s="57"/>
      <c r="R64" s="249">
        <f>P64-J64</f>
        <v>0.95723167999999248</v>
      </c>
      <c r="S64" s="128">
        <f>IF((J64)=0,"",(R64/J64))</f>
        <v>2.3661725410591691E-2</v>
      </c>
      <c r="T64" s="57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4.9721172020000006</v>
      </c>
      <c r="H65" s="61"/>
      <c r="I65" s="60">
        <v>0.13</v>
      </c>
      <c r="J65" s="62">
        <f>J64*I65</f>
        <v>5.2591312019999998</v>
      </c>
      <c r="K65" s="61"/>
      <c r="L65" s="176">
        <f>J65-G65</f>
        <v>0.28701399999999921</v>
      </c>
      <c r="M65" s="129">
        <f>IF((G65)=0,"",(L65/G65))</f>
        <v>5.7724705259270592E-2</v>
      </c>
      <c r="N65" s="61"/>
      <c r="O65" s="60">
        <v>0.13</v>
      </c>
      <c r="P65" s="62">
        <f>P64*O65</f>
        <v>5.3835713203999989</v>
      </c>
      <c r="Q65" s="61"/>
      <c r="R65" s="176">
        <f t="shared" si="5"/>
        <v>0.12444011839999902</v>
      </c>
      <c r="S65" s="129">
        <f t="shared" ref="S65:S67" si="24">IF((J65)=0,"",(R65/J65))</f>
        <v>2.3661725410591691E-2</v>
      </c>
      <c r="T65" s="61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43.219172602</v>
      </c>
      <c r="H66" s="61"/>
      <c r="I66" s="64"/>
      <c r="J66" s="62">
        <f>J64+J65</f>
        <v>45.713986601999999</v>
      </c>
      <c r="K66" s="61"/>
      <c r="L66" s="176">
        <f>J66-G66</f>
        <v>2.4948139999999981</v>
      </c>
      <c r="M66" s="129">
        <f>IF((G66)=0,"",(L66/G66))</f>
        <v>5.772470525927071E-2</v>
      </c>
      <c r="N66" s="61"/>
      <c r="O66" s="64"/>
      <c r="P66" s="62">
        <f>P64+P65</f>
        <v>46.795658400399994</v>
      </c>
      <c r="Q66" s="61"/>
      <c r="R66" s="176">
        <f t="shared" si="5"/>
        <v>1.0816717983999951</v>
      </c>
      <c r="S66" s="129">
        <f t="shared" si="24"/>
        <v>2.366172541059177E-2</v>
      </c>
      <c r="T66" s="61"/>
    </row>
    <row r="67" spans="1:360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24"/>
        <v/>
      </c>
      <c r="T67" s="61"/>
    </row>
    <row r="68" spans="1:360" ht="15.75" thickBot="1" x14ac:dyDescent="0.3">
      <c r="B68" s="407" t="s">
        <v>36</v>
      </c>
      <c r="C68" s="407"/>
      <c r="D68" s="407"/>
      <c r="E68" s="105"/>
      <c r="F68" s="66"/>
      <c r="G68" s="67">
        <f>G66+G67</f>
        <v>43.219172602</v>
      </c>
      <c r="H68" s="57"/>
      <c r="I68" s="66"/>
      <c r="J68" s="67">
        <f>J66+J67</f>
        <v>45.713986601999999</v>
      </c>
      <c r="K68" s="57"/>
      <c r="L68" s="250">
        <f>J68-G68</f>
        <v>2.4948139999999981</v>
      </c>
      <c r="M68" s="131">
        <f>IF((G68)=0,"",(L68/G68))</f>
        <v>5.772470525927071E-2</v>
      </c>
      <c r="N68" s="57"/>
      <c r="O68" s="66"/>
      <c r="P68" s="67">
        <f>P66+P67</f>
        <v>46.795658400399994</v>
      </c>
      <c r="Q68" s="57"/>
      <c r="R68" s="250">
        <f t="shared" si="5"/>
        <v>1.0816717983999951</v>
      </c>
      <c r="S68" s="131">
        <f>IF((J68)=0,"",(R68/J68))</f>
        <v>2.366172541059177E-2</v>
      </c>
      <c r="T68" s="57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251"/>
      <c r="M69" s="127"/>
      <c r="N69" s="110"/>
      <c r="O69" s="85"/>
      <c r="P69" s="86"/>
      <c r="Q69" s="110"/>
      <c r="R69" s="251"/>
      <c r="S69" s="127"/>
      <c r="T69" s="110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17.421329000000004</v>
      </c>
      <c r="H70" s="74"/>
      <c r="I70" s="73"/>
      <c r="J70" s="75">
        <f>SUM(J61:J62,J53,J54:J57)</f>
        <v>19.629129000000006</v>
      </c>
      <c r="K70" s="74"/>
      <c r="L70" s="252">
        <f>J70-G70</f>
        <v>2.2078000000000024</v>
      </c>
      <c r="M70" s="128">
        <f>IF((G70)=0,"",(L70/G70))</f>
        <v>0.12672971160810992</v>
      </c>
      <c r="N70" s="74"/>
      <c r="O70" s="73"/>
      <c r="P70" s="75">
        <f>SUM(P61:P62,P53,P54:P57)</f>
        <v>20.538045799999999</v>
      </c>
      <c r="Q70" s="74"/>
      <c r="R70" s="252">
        <f t="shared" si="5"/>
        <v>0.90891679999999297</v>
      </c>
      <c r="S70" s="128">
        <f>IF((J70)=0,"",(R70/J70))</f>
        <v>4.6304489618464104E-2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2.2647727700000004</v>
      </c>
      <c r="H71" s="78"/>
      <c r="I71" s="77">
        <v>0.13</v>
      </c>
      <c r="J71" s="79">
        <f>J70*I71</f>
        <v>2.551786770000001</v>
      </c>
      <c r="K71" s="78"/>
      <c r="L71" s="180">
        <f>J71-G71</f>
        <v>0.28701400000000055</v>
      </c>
      <c r="M71" s="129">
        <f>IF((G71)=0,"",(L71/G71))</f>
        <v>0.12672971160811003</v>
      </c>
      <c r="N71" s="78"/>
      <c r="O71" s="77">
        <v>0.13</v>
      </c>
      <c r="P71" s="79">
        <f>P70*O71</f>
        <v>2.6699459540000001</v>
      </c>
      <c r="Q71" s="78"/>
      <c r="R71" s="180">
        <f t="shared" si="5"/>
        <v>0.11815918399999914</v>
      </c>
      <c r="S71" s="129">
        <f t="shared" ref="S71:S74" si="25">IF((J71)=0,"",(R71/J71))</f>
        <v>4.6304489618464124E-2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19.686101770000004</v>
      </c>
      <c r="H72" s="78"/>
      <c r="I72" s="81"/>
      <c r="J72" s="79">
        <f>J70+J71</f>
        <v>22.180915770000006</v>
      </c>
      <c r="K72" s="78"/>
      <c r="L72" s="180">
        <f>J72-G72</f>
        <v>2.4948140000000016</v>
      </c>
      <c r="M72" s="129">
        <f>IF((G72)=0,"",(L72/G72))</f>
        <v>0.12672971160810986</v>
      </c>
      <c r="N72" s="78"/>
      <c r="O72" s="81"/>
      <c r="P72" s="79">
        <f>P70+P71</f>
        <v>23.207991753999998</v>
      </c>
      <c r="Q72" s="78"/>
      <c r="R72" s="180">
        <f t="shared" si="5"/>
        <v>1.0270759839999926</v>
      </c>
      <c r="S72" s="129">
        <f t="shared" si="25"/>
        <v>4.6304489618464131E-2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5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">
      <c r="B74" s="403" t="s">
        <v>38</v>
      </c>
      <c r="C74" s="403"/>
      <c r="D74" s="403"/>
      <c r="E74" s="108"/>
      <c r="F74" s="83"/>
      <c r="G74" s="84">
        <f>SUM(G72:G73)</f>
        <v>19.686101770000004</v>
      </c>
      <c r="H74" s="74"/>
      <c r="I74" s="83"/>
      <c r="J74" s="84">
        <f>SUM(J72:J73)</f>
        <v>22.180915770000006</v>
      </c>
      <c r="K74" s="74"/>
      <c r="L74" s="253">
        <f>J74-G74</f>
        <v>2.4948140000000016</v>
      </c>
      <c r="M74" s="132">
        <f>IF((G74)=0,"",(L74/G74))</f>
        <v>0.12672971160810986</v>
      </c>
      <c r="N74" s="74"/>
      <c r="O74" s="83"/>
      <c r="P74" s="84">
        <f>SUM(P72:P73)</f>
        <v>23.207991753999998</v>
      </c>
      <c r="Q74" s="74"/>
      <c r="R74" s="253">
        <f t="shared" si="5"/>
        <v>1.0270759839999926</v>
      </c>
      <c r="S74" s="132">
        <f t="shared" si="25"/>
        <v>4.6304489618464131E-2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46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U93"/>
  <sheetViews>
    <sheetView tabSelected="1" view="pageBreakPreview" topLeftCell="B1" zoomScale="70" zoomScaleNormal="55" zoomScaleSheetLayoutView="70" workbookViewId="0">
      <selection activeCell="G19" sqref="G19"/>
    </sheetView>
  </sheetViews>
  <sheetFormatPr defaultRowHeight="15" outlineLevelRow="1" outlineLevelCol="1" x14ac:dyDescent="0.25"/>
  <cols>
    <col min="1" max="1" width="14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5.28515625" style="2" customWidth="1"/>
    <col min="8" max="8" width="1.42578125" style="2" customWidth="1"/>
    <col min="9" max="9" width="13.5703125" style="2" customWidth="1"/>
    <col min="10" max="10" width="16.42578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59" width="9.140625" style="29"/>
    <col min="360" max="16384" width="9.140625" style="2"/>
  </cols>
  <sheetData>
    <row r="1" spans="1:359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161">
        <v>1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</row>
    <row r="2" spans="1:359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</row>
    <row r="3" spans="1:359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</row>
    <row r="4" spans="1:359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</row>
    <row r="5" spans="1:359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</row>
    <row r="6" spans="1:359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</row>
    <row r="7" spans="1:359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</row>
    <row r="8" spans="1:359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</row>
    <row r="9" spans="1:359" ht="16.5" customHeight="1" x14ac:dyDescent="0.25">
      <c r="J9"/>
      <c r="K9"/>
      <c r="L9" s="162"/>
      <c r="M9" s="118"/>
      <c r="P9"/>
      <c r="Q9"/>
      <c r="R9" s="162"/>
      <c r="S9" s="118"/>
    </row>
    <row r="10" spans="1:359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59" ht="20.25" x14ac:dyDescent="0.3">
      <c r="B11" s="397" t="s">
        <v>80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59" ht="16.5" customHeight="1" x14ac:dyDescent="0.25">
      <c r="J12"/>
      <c r="K12"/>
      <c r="L12" s="162"/>
      <c r="M12" s="118"/>
      <c r="P12"/>
      <c r="Q12"/>
      <c r="R12" s="162"/>
      <c r="S12" s="118"/>
    </row>
    <row r="13" spans="1:359" ht="16.5" customHeight="1" x14ac:dyDescent="0.25">
      <c r="J13"/>
      <c r="K13"/>
      <c r="L13" s="162"/>
      <c r="M13" s="118"/>
      <c r="P13"/>
      <c r="Q13"/>
      <c r="R13" s="162"/>
      <c r="S13" s="118"/>
    </row>
    <row r="14" spans="1:359" ht="16.5" customHeight="1" x14ac:dyDescent="0.25">
      <c r="B14" s="3" t="s">
        <v>1</v>
      </c>
      <c r="D14" s="398" t="s">
        <v>62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59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59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59" x14ac:dyDescent="0.25">
      <c r="B17" s="7"/>
      <c r="D17" s="8" t="s">
        <v>4</v>
      </c>
      <c r="E17" s="8"/>
      <c r="F17" s="9">
        <v>280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</row>
    <row r="18" spans="1:359" x14ac:dyDescent="0.25">
      <c r="B18" s="7"/>
      <c r="D18" s="8" t="s">
        <v>56</v>
      </c>
      <c r="E18" s="8"/>
      <c r="F18" s="9">
        <v>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</row>
    <row r="19" spans="1:359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</row>
    <row r="20" spans="1:359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</row>
    <row r="21" spans="1:359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</row>
    <row r="22" spans="1:359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</row>
    <row r="23" spans="1:359" x14ac:dyDescent="0.25">
      <c r="A23" s="139" t="str">
        <f>[4]Rates!$A$197</f>
        <v>Fix_SL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1.26</v>
      </c>
      <c r="G23" s="18">
        <f t="shared" ref="G23:G38" si="0">E23*F23</f>
        <v>1.26</v>
      </c>
      <c r="H23" s="38"/>
      <c r="I23" s="114">
        <f>IF($A23&lt;&gt;"",VLOOKUP($A23,[4]Rates!$A$1:$R$65536,14,FALSE),0)</f>
        <v>1.2</v>
      </c>
      <c r="J23" s="18">
        <f>$E23*I23</f>
        <v>1.2</v>
      </c>
      <c r="K23" s="38"/>
      <c r="L23" s="167">
        <f>J23-G23</f>
        <v>-6.0000000000000053E-2</v>
      </c>
      <c r="M23" s="123">
        <f>IF((G23)=0,"",(L23/G23))</f>
        <v>-4.7619047619047658E-2</v>
      </c>
      <c r="N23" s="38"/>
      <c r="O23" s="114">
        <f>IF($A23&lt;&gt;"",VLOOKUP($A23,[4]Rates!$A$1:$R$65536,15,FALSE),0)</f>
        <v>1.22</v>
      </c>
      <c r="P23" s="18">
        <f>$E23*O23</f>
        <v>1.22</v>
      </c>
      <c r="Q23" s="38"/>
      <c r="R23" s="167">
        <f>P23-J23</f>
        <v>2.0000000000000018E-2</v>
      </c>
      <c r="S23" s="123">
        <f>IF((J23)=0,"",(R23/J23))</f>
        <v>1.6666666666666684E-2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</row>
    <row r="24" spans="1:359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</row>
    <row r="25" spans="1:359" s="277" customFormat="1" x14ac:dyDescent="0.25">
      <c r="A25" s="303" t="str">
        <f>[4]Rates!$A$199</f>
        <v>PPE_SL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0.02</v>
      </c>
      <c r="G25" s="309">
        <f t="shared" si="0"/>
        <v>0.02</v>
      </c>
      <c r="H25" s="310"/>
      <c r="I25" s="314">
        <f>IF($A25&lt;&gt;"",VLOOKUP($A25,[4]Rates!$A$1:$R$65536,14,FALSE),0)</f>
        <v>0.02</v>
      </c>
      <c r="J25" s="309">
        <f t="shared" si="1"/>
        <v>0.02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-0.02</v>
      </c>
      <c r="S25" s="312">
        <f t="shared" si="6"/>
        <v>-1</v>
      </c>
      <c r="T25" s="310"/>
    </row>
    <row r="26" spans="1:359" s="277" customFormat="1" x14ac:dyDescent="0.25">
      <c r="A26" s="303" t="str">
        <f>[4]Rates!$A$200</f>
        <v>ICMF_SL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0.01</v>
      </c>
      <c r="G26" s="309">
        <f t="shared" si="0"/>
        <v>0.01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-0.01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59" x14ac:dyDescent="0.25">
      <c r="A27" s="139" t="s">
        <v>152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-0.21</v>
      </c>
      <c r="J27" s="18">
        <f t="shared" si="1"/>
        <v>-0.21</v>
      </c>
      <c r="K27" s="38"/>
      <c r="L27" s="167">
        <f t="shared" si="2"/>
        <v>-0.21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0.21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</row>
    <row r="28" spans="1:359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</row>
    <row r="29" spans="1:359" x14ac:dyDescent="0.25">
      <c r="A29" s="139" t="str">
        <f>[4]Rates!$A$202</f>
        <v>Var_SL</v>
      </c>
      <c r="B29" s="15" t="s">
        <v>14</v>
      </c>
      <c r="C29" s="15"/>
      <c r="D29" s="99" t="s">
        <v>59</v>
      </c>
      <c r="E29" s="135">
        <f>$F$18</f>
        <v>1</v>
      </c>
      <c r="F29" s="16">
        <f>IF($A29&lt;&gt;"",VLOOKUP($A29,[4]Rates!$A$1:$R$65536,12,FALSE),0)</f>
        <v>6.6546000000000003</v>
      </c>
      <c r="G29" s="18">
        <f t="shared" si="0"/>
        <v>6.6546000000000003</v>
      </c>
      <c r="H29" s="38"/>
      <c r="I29" s="16">
        <f>IF($A29&lt;&gt;"",VLOOKUP($A29,[4]Rates!$A$1:$R$65536,14,FALSE),0)</f>
        <v>6.34</v>
      </c>
      <c r="J29" s="18">
        <f t="shared" si="1"/>
        <v>6.34</v>
      </c>
      <c r="K29" s="38"/>
      <c r="L29" s="167">
        <f t="shared" si="2"/>
        <v>-0.31460000000000043</v>
      </c>
      <c r="M29" s="123">
        <f t="shared" si="3"/>
        <v>-4.7275568779490941E-2</v>
      </c>
      <c r="N29" s="38"/>
      <c r="O29" s="16">
        <f>IF($A29&lt;&gt;"",VLOOKUP($A29,[4]Rates!$A$1:$R$65536,15,FALSE),0)</f>
        <v>6.4316000000000004</v>
      </c>
      <c r="P29" s="18">
        <f t="shared" si="4"/>
        <v>6.4316000000000004</v>
      </c>
      <c r="Q29" s="38"/>
      <c r="R29" s="167">
        <f t="shared" si="5"/>
        <v>9.160000000000057E-2</v>
      </c>
      <c r="S29" s="123">
        <f t="shared" si="6"/>
        <v>1.4447949526813971E-2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</row>
    <row r="30" spans="1:359" x14ac:dyDescent="0.25">
      <c r="A30" s="139"/>
      <c r="B30" s="15" t="s">
        <v>15</v>
      </c>
      <c r="C30" s="15"/>
      <c r="D30" s="99" t="s">
        <v>59</v>
      </c>
      <c r="E30" s="135">
        <f t="shared" ref="E30:E36" si="7">$F$18</f>
        <v>1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</row>
    <row r="31" spans="1:359" x14ac:dyDescent="0.25">
      <c r="A31" s="139" t="s">
        <v>153</v>
      </c>
      <c r="B31" s="22" t="s">
        <v>142</v>
      </c>
      <c r="C31" s="15"/>
      <c r="D31" s="99" t="s">
        <v>59</v>
      </c>
      <c r="E31" s="135">
        <f t="shared" si="7"/>
        <v>1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-0.79300000000000004</v>
      </c>
      <c r="J31" s="18">
        <f t="shared" si="1"/>
        <v>-0.79300000000000004</v>
      </c>
      <c r="K31" s="38"/>
      <c r="L31" s="167">
        <f t="shared" si="2"/>
        <v>-0.79300000000000004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0.79300000000000004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</row>
    <row r="32" spans="1:359" s="277" customFormat="1" x14ac:dyDescent="0.25">
      <c r="A32" s="303" t="str">
        <f>[4]Rates!$A$208</f>
        <v>ICMV_SL</v>
      </c>
      <c r="B32" s="304" t="s">
        <v>72</v>
      </c>
      <c r="C32" s="305"/>
      <c r="D32" s="306" t="s">
        <v>59</v>
      </c>
      <c r="E32" s="316">
        <f t="shared" si="7"/>
        <v>1</v>
      </c>
      <c r="F32" s="308">
        <f>IF($A32&lt;&gt;"",VLOOKUP($A32,[4]Rates!$A$1:$R$65536,12,FALSE),0)</f>
        <v>3.4500000000000003E-2</v>
      </c>
      <c r="G32" s="309">
        <f t="shared" si="0"/>
        <v>3.4500000000000003E-2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-3.4500000000000003E-2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59" x14ac:dyDescent="0.25">
      <c r="A33" s="139" t="str">
        <f>[4]Rates!$A213</f>
        <v>2RAL16_SL</v>
      </c>
      <c r="B33" s="23" t="str">
        <f>[4]Rates!$B213</f>
        <v xml:space="preserve">Disposition of Deferral/Variance Accounts - Group 2 Accounts (2016) </v>
      </c>
      <c r="C33" s="15"/>
      <c r="D33" s="99" t="s">
        <v>59</v>
      </c>
      <c r="E33" s="135">
        <f t="shared" si="7"/>
        <v>1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0.48630000000000001</v>
      </c>
      <c r="J33" s="18">
        <f t="shared" si="1"/>
        <v>0.48630000000000001</v>
      </c>
      <c r="K33" s="38"/>
      <c r="L33" s="167">
        <f t="shared" si="2"/>
        <v>0.48630000000000001</v>
      </c>
      <c r="M33" s="123" t="str">
        <f t="shared" si="3"/>
        <v/>
      </c>
      <c r="N33" s="38"/>
      <c r="O33" s="16">
        <f>IF($A33&lt;&gt;"",VLOOKUP($A33,[4]Rates!$A$1:$R$65536,15,FALSE),0)</f>
        <v>0</v>
      </c>
      <c r="P33" s="18">
        <f t="shared" si="4"/>
        <v>0</v>
      </c>
      <c r="Q33" s="38"/>
      <c r="R33" s="167">
        <f t="shared" si="5"/>
        <v>-0.48630000000000001</v>
      </c>
      <c r="S33" s="123">
        <f t="shared" si="6"/>
        <v>-1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</row>
    <row r="34" spans="1:359" x14ac:dyDescent="0.25">
      <c r="A34" s="139" t="str">
        <f>[4]Rates!$A214</f>
        <v>LRVA16_SL</v>
      </c>
      <c r="B34" s="23" t="str">
        <f>[4]Rates!$B214</f>
        <v>Lost Revenue Adjustment Mechanism Variance Account (LRAMVA) (2016)</v>
      </c>
      <c r="C34" s="15"/>
      <c r="D34" s="99" t="s">
        <v>59</v>
      </c>
      <c r="E34" s="135">
        <f t="shared" si="7"/>
        <v>1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-0.58209999999999995</v>
      </c>
      <c r="J34" s="18">
        <f t="shared" si="1"/>
        <v>-0.58209999999999995</v>
      </c>
      <c r="K34" s="38"/>
      <c r="L34" s="167">
        <f t="shared" si="2"/>
        <v>-0.58209999999999995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0.58209999999999995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</row>
    <row r="35" spans="1:359" x14ac:dyDescent="0.25">
      <c r="A35" s="139" t="str">
        <f>[4]Rates!$A215</f>
        <v>PPE16_SL</v>
      </c>
      <c r="B35" s="23" t="str">
        <f>[4]Rates!$B215</f>
        <v>Account 1575 (2016)</v>
      </c>
      <c r="C35" s="15"/>
      <c r="D35" s="99" t="s">
        <v>59</v>
      </c>
      <c r="E35" s="135">
        <f t="shared" si="7"/>
        <v>1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-0.42199999999999999</v>
      </c>
      <c r="J35" s="18">
        <f t="shared" si="1"/>
        <v>-0.42199999999999999</v>
      </c>
      <c r="K35" s="38"/>
      <c r="L35" s="167">
        <f t="shared" si="2"/>
        <v>-0.42199999999999999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0.42199999999999999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</row>
    <row r="36" spans="1:359" x14ac:dyDescent="0.25">
      <c r="A36" s="139"/>
      <c r="B36" s="23"/>
      <c r="C36" s="15"/>
      <c r="D36" s="99" t="s">
        <v>57</v>
      </c>
      <c r="E36" s="135">
        <f t="shared" si="7"/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6">
        <f>IF($A36&lt;&gt;"",VLOOKUP($A36,[4]Rates!$A$1:$R$65536,14,FALSE),0)</f>
        <v>0</v>
      </c>
      <c r="J36" s="18">
        <f t="shared" si="1"/>
        <v>0</v>
      </c>
      <c r="K36" s="38"/>
      <c r="L36" s="167">
        <f t="shared" si="2"/>
        <v>0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</v>
      </c>
      <c r="S36" s="123" t="str">
        <f t="shared" si="6"/>
        <v/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</row>
    <row r="37" spans="1:359" x14ac:dyDescent="0.25">
      <c r="A37" s="139" t="s">
        <v>163</v>
      </c>
      <c r="B37" s="23" t="s">
        <v>162</v>
      </c>
      <c r="C37" s="15"/>
      <c r="D37" s="99" t="s">
        <v>57</v>
      </c>
      <c r="E37" s="135">
        <v>1</v>
      </c>
      <c r="F37" s="16">
        <f>IF($A37&lt;&gt;"",VLOOKUP($A37,[4]Rates!$A$1:$R$65536,12,FALSE),0)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-0.01</v>
      </c>
      <c r="J37" s="18">
        <f t="shared" si="1"/>
        <v>-0.01</v>
      </c>
      <c r="K37" s="38"/>
      <c r="L37" s="167">
        <f t="shared" si="2"/>
        <v>-0.01</v>
      </c>
      <c r="M37" s="123" t="str">
        <f t="shared" si="3"/>
        <v/>
      </c>
      <c r="N37" s="38"/>
      <c r="O37" s="16">
        <f>IF($A37&lt;&gt;"",VLOOKUP($A37,[4]Rates!$A$1:$R$65536,15,FALSE),0)</f>
        <v>0</v>
      </c>
      <c r="P37" s="18">
        <f t="shared" si="4"/>
        <v>0</v>
      </c>
      <c r="Q37" s="38"/>
      <c r="R37" s="167">
        <f t="shared" si="5"/>
        <v>0.01</v>
      </c>
      <c r="S37" s="123">
        <f t="shared" si="6"/>
        <v>-1</v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</row>
    <row r="38" spans="1:359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</row>
    <row r="39" spans="1:359" s="29" customFormat="1" x14ac:dyDescent="0.25">
      <c r="A39" s="140"/>
      <c r="B39" s="24" t="s">
        <v>17</v>
      </c>
      <c r="C39" s="25"/>
      <c r="D39" s="100"/>
      <c r="E39" s="27"/>
      <c r="F39" s="26"/>
      <c r="G39" s="28">
        <f>SUM(G23:G38)</f>
        <v>7.9791000000000007</v>
      </c>
      <c r="H39" s="38"/>
      <c r="I39" s="26"/>
      <c r="J39" s="28">
        <f>SUM(J23:J38)</f>
        <v>6.0292000000000003</v>
      </c>
      <c r="K39" s="38"/>
      <c r="L39" s="168">
        <f t="shared" si="2"/>
        <v>-1.9499000000000004</v>
      </c>
      <c r="M39" s="124">
        <f>IF((G39)=0,"",(L39/G39))</f>
        <v>-0.2443759321226705</v>
      </c>
      <c r="N39" s="38"/>
      <c r="O39" s="26"/>
      <c r="P39" s="28">
        <f>SUM(P23:P38)</f>
        <v>7.6516000000000002</v>
      </c>
      <c r="Q39" s="38"/>
      <c r="R39" s="168">
        <f t="shared" si="5"/>
        <v>1.6223999999999998</v>
      </c>
      <c r="S39" s="124">
        <f t="shared" si="6"/>
        <v>0.2690904265905924</v>
      </c>
      <c r="T39" s="38"/>
    </row>
    <row r="40" spans="1:359" s="277" customFormat="1" x14ac:dyDescent="0.25">
      <c r="A40" s="303" t="str">
        <f>[4]Rates!$A$206</f>
        <v>RAL14_SL</v>
      </c>
      <c r="B40" s="302"/>
      <c r="C40" s="305"/>
      <c r="D40" s="319" t="s">
        <v>59</v>
      </c>
      <c r="E40" s="335">
        <f>$F$18</f>
        <v>1</v>
      </c>
      <c r="F40" s="308"/>
      <c r="G40" s="309">
        <f t="shared" ref="G40:G49" si="8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59" x14ac:dyDescent="0.25">
      <c r="A41" s="139" t="str">
        <f>[4]Rates!$A210</f>
        <v>RAL16_SL</v>
      </c>
      <c r="B41" s="30" t="str">
        <f>[4]Rates!$B210</f>
        <v xml:space="preserve">Disposition of Deferral/Variance Accounts (2016) </v>
      </c>
      <c r="C41" s="15"/>
      <c r="D41" s="99" t="s">
        <v>59</v>
      </c>
      <c r="E41" s="135">
        <f t="shared" ref="E41:E47" si="9">$F$18</f>
        <v>1</v>
      </c>
      <c r="F41" s="16">
        <f>IF($A41&lt;&gt;"",VLOOKUP($A41,[4]Rates!$A$1:$R$65536,12,FALSE),0)</f>
        <v>0</v>
      </c>
      <c r="G41" s="18">
        <f t="shared" si="8"/>
        <v>0</v>
      </c>
      <c r="H41" s="21"/>
      <c r="I41" s="16">
        <f>IF($A41&lt;&gt;"",VLOOKUP($A41,[4]Rates!$A$1:$R$65536,14,FALSE),0)</f>
        <v>0.8931</v>
      </c>
      <c r="J41" s="18">
        <f t="shared" ref="J41:J47" si="10">$E41*I41</f>
        <v>0.8931</v>
      </c>
      <c r="K41" s="21"/>
      <c r="L41" s="167">
        <f t="shared" si="2"/>
        <v>0.8931</v>
      </c>
      <c r="M41" s="123" t="str">
        <f t="shared" si="3"/>
        <v/>
      </c>
      <c r="N41" s="21"/>
      <c r="O41" s="16">
        <f>IF($A41&lt;&gt;"",VLOOKUP($A41,[4]Rates!$A$1:$R$65536,15,FALSE),0)</f>
        <v>0</v>
      </c>
      <c r="P41" s="18">
        <f t="shared" ref="P41:P49" si="11">$E41*O41</f>
        <v>0</v>
      </c>
      <c r="Q41" s="21"/>
      <c r="R41" s="167">
        <f t="shared" si="5"/>
        <v>-0.8931</v>
      </c>
      <c r="S41" s="123">
        <f t="shared" si="6"/>
        <v>-1</v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</row>
    <row r="42" spans="1:359" x14ac:dyDescent="0.25">
      <c r="A42" s="139" t="str">
        <f>[4]Rates!$A211</f>
        <v>RALP16_SL</v>
      </c>
      <c r="B42" s="30" t="str">
        <f>[4]Rates!$B211</f>
        <v xml:space="preserve">Disposition of Deferral/Variance Accounts - Power (2016) </v>
      </c>
      <c r="C42" s="15"/>
      <c r="D42" s="99" t="s">
        <v>59</v>
      </c>
      <c r="E42" s="135">
        <f t="shared" si="9"/>
        <v>1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-0.93540000000000001</v>
      </c>
      <c r="J42" s="18">
        <f t="shared" si="10"/>
        <v>-0.93540000000000001</v>
      </c>
      <c r="K42" s="21"/>
      <c r="L42" s="167">
        <f t="shared" si="2"/>
        <v>-0.93540000000000001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1"/>
        <v>0</v>
      </c>
      <c r="Q42" s="21"/>
      <c r="R42" s="167">
        <f t="shared" si="5"/>
        <v>0.93540000000000001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</row>
    <row r="43" spans="1:359" x14ac:dyDescent="0.25">
      <c r="A43" s="139" t="str">
        <f>[4]Rates!$A212</f>
        <v>GA16_SL</v>
      </c>
      <c r="B43" s="30" t="str">
        <f>[4]Rates!$B212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1</v>
      </c>
      <c r="F43" s="16">
        <f>IF($A43&lt;&gt;"",VLOOKUP($A43,[4]Rates!$A$1:$R$65536,12,FALSE),0)</f>
        <v>0</v>
      </c>
      <c r="G43" s="18">
        <f t="shared" si="8"/>
        <v>0</v>
      </c>
      <c r="H43" s="21"/>
      <c r="I43" s="16">
        <f>IF($A43&lt;&gt;"",VLOOKUP($A43,[4]Rates!$A$1:$R$65536,14,FALSE),0)</f>
        <v>3.2993000000000001</v>
      </c>
      <c r="J43" s="18">
        <f t="shared" si="10"/>
        <v>3.2993000000000001</v>
      </c>
      <c r="K43" s="21"/>
      <c r="L43" s="167">
        <f t="shared" si="2"/>
        <v>3.2993000000000001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1"/>
        <v>0</v>
      </c>
      <c r="Q43" s="21"/>
      <c r="R43" s="167">
        <f t="shared" si="5"/>
        <v>-3.2993000000000001</v>
      </c>
      <c r="S43" s="123">
        <f t="shared" si="6"/>
        <v>-1</v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</row>
    <row r="44" spans="1:359" x14ac:dyDescent="0.25">
      <c r="A44" s="139" t="str">
        <f>[4]Rates!$A$207</f>
        <v>GA14_SL</v>
      </c>
      <c r="B44" s="30" t="str">
        <f>[4]Rates!$B$207</f>
        <v xml:space="preserve">Disposition of Global Adjustment Sub-Account (2014) </v>
      </c>
      <c r="C44" s="15"/>
      <c r="D44" s="99" t="s">
        <v>59</v>
      </c>
      <c r="E44" s="135">
        <v>1</v>
      </c>
      <c r="F44" s="16">
        <f>IF($A44&lt;&gt;"",VLOOKUP($A44,[4]Rates!$A$1:$R$65536,12,FALSE),0)</f>
        <v>-6.5299999999999997E-2</v>
      </c>
      <c r="G44" s="18">
        <f t="shared" si="8"/>
        <v>-6.5299999999999997E-2</v>
      </c>
      <c r="H44" s="244"/>
      <c r="I44" s="16">
        <f>IF($A44&lt;&gt;"",VLOOKUP($A44,[4]Rates!$A$1:$R$65536,14,FALSE),0)</f>
        <v>0</v>
      </c>
      <c r="J44" s="18">
        <f t="shared" ref="J44:J46" si="12">$E44*I44</f>
        <v>0</v>
      </c>
      <c r="K44" s="21"/>
      <c r="L44" s="167">
        <f t="shared" ref="L44:L46" si="13">J44-G44</f>
        <v>6.5299999999999997E-2</v>
      </c>
      <c r="M44" s="123">
        <f t="shared" ref="M44:M46" si="14">IF((G44)=0,"",(L44/G44))</f>
        <v>-1</v>
      </c>
      <c r="N44" s="21"/>
      <c r="O44" s="16">
        <f>IF($A44&lt;&gt;"",VLOOKUP($A44,[4]Rates!$A$1:$R$65536,15,FALSE),0)</f>
        <v>0</v>
      </c>
      <c r="P44" s="18">
        <f t="shared" ref="P44:P46" si="15">$E44*O44</f>
        <v>0</v>
      </c>
      <c r="Q44" s="21"/>
      <c r="R44" s="167">
        <f t="shared" ref="R44:R46" si="16">P44-J44</f>
        <v>0</v>
      </c>
      <c r="S44" s="123" t="str">
        <f t="shared" ref="S44:S46" si="17">IF((J44)=0,"",(R44/J44))</f>
        <v/>
      </c>
      <c r="T44" s="2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</row>
    <row r="45" spans="1:359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>
        <f t="shared" si="12"/>
        <v>0</v>
      </c>
      <c r="K45" s="21"/>
      <c r="L45" s="167">
        <f t="shared" si="13"/>
        <v>0</v>
      </c>
      <c r="M45" s="123" t="str">
        <f t="shared" si="14"/>
        <v/>
      </c>
      <c r="N45" s="21"/>
      <c r="O45" s="16">
        <f>IF($A45&lt;&gt;"",VLOOKUP($A45,[4]Rates!$A$1:$R$65536,15,FALSE),0)</f>
        <v>0</v>
      </c>
      <c r="P45" s="18">
        <f t="shared" si="15"/>
        <v>0</v>
      </c>
      <c r="Q45" s="21"/>
      <c r="R45" s="167">
        <f t="shared" si="16"/>
        <v>0</v>
      </c>
      <c r="S45" s="123" t="str">
        <f t="shared" si="17"/>
        <v/>
      </c>
      <c r="T45" s="2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</row>
    <row r="46" spans="1:359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>
        <f t="shared" si="12"/>
        <v>0</v>
      </c>
      <c r="K46" s="21"/>
      <c r="L46" s="167">
        <f t="shared" si="13"/>
        <v>0</v>
      </c>
      <c r="M46" s="123" t="str">
        <f t="shared" si="14"/>
        <v/>
      </c>
      <c r="N46" s="21"/>
      <c r="O46" s="16">
        <f>IF($A46&lt;&gt;"",VLOOKUP($A46,[4]Rates!$A$1:$R$65536,15,FALSE),0)</f>
        <v>0</v>
      </c>
      <c r="P46" s="18">
        <f t="shared" si="15"/>
        <v>0</v>
      </c>
      <c r="Q46" s="21"/>
      <c r="R46" s="167">
        <f t="shared" si="16"/>
        <v>0</v>
      </c>
      <c r="S46" s="123" t="str">
        <f t="shared" si="17"/>
        <v/>
      </c>
      <c r="T46" s="2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</row>
    <row r="47" spans="1:359" x14ac:dyDescent="0.25">
      <c r="A47" s="139" t="str">
        <f>[4]Rates!$A$203</f>
        <v>LV_SL</v>
      </c>
      <c r="B47" s="31" t="s">
        <v>18</v>
      </c>
      <c r="C47" s="15"/>
      <c r="D47" s="99" t="s">
        <v>59</v>
      </c>
      <c r="E47" s="135">
        <f t="shared" si="9"/>
        <v>1</v>
      </c>
      <c r="F47" s="16">
        <f>IF($A47&lt;&gt;"",VLOOKUP($A47,[4]Rates!$A$1:$R$65536,12,FALSE),0)</f>
        <v>9.1700000000000004E-2</v>
      </c>
      <c r="G47" s="18">
        <f t="shared" si="8"/>
        <v>9.1700000000000004E-2</v>
      </c>
      <c r="H47" s="38"/>
      <c r="I47" s="16">
        <f>IF($A47&lt;&gt;"",VLOOKUP($A47,[4]Rates!$A$1:$R$65536,14,FALSE),0)</f>
        <v>9.1700000000000004E-2</v>
      </c>
      <c r="J47" s="18">
        <f t="shared" si="10"/>
        <v>9.1700000000000004E-2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0.1288</v>
      </c>
      <c r="P47" s="18">
        <f t="shared" si="11"/>
        <v>0.1288</v>
      </c>
      <c r="Q47" s="38"/>
      <c r="R47" s="167">
        <f t="shared" si="5"/>
        <v>3.7099999999999994E-2</v>
      </c>
      <c r="S47" s="123">
        <f t="shared" si="6"/>
        <v>0.40458015267175562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</row>
    <row r="48" spans="1:359" x14ac:dyDescent="0.25">
      <c r="A48" s="139"/>
      <c r="B48" s="31" t="s">
        <v>19</v>
      </c>
      <c r="C48" s="15"/>
      <c r="D48" s="99"/>
      <c r="E48" s="338">
        <f>$F$17*(1+$F$77)-$F$17</f>
        <v>9.6599999999999682</v>
      </c>
      <c r="F48" s="32"/>
      <c r="G48" s="18">
        <f>E48*F48</f>
        <v>0</v>
      </c>
      <c r="H48" s="90">
        <f>$F$17*(1+$O$77)-$F$17</f>
        <v>10.331999999999994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</row>
    <row r="49" spans="1:359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</row>
    <row r="50" spans="1:359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8.0055000000000014</v>
      </c>
      <c r="H50" s="38"/>
      <c r="I50" s="35"/>
      <c r="J50" s="37">
        <f>SUM(J40:J49)+J39</f>
        <v>9.3779000000000003</v>
      </c>
      <c r="K50" s="38"/>
      <c r="L50" s="170">
        <f t="shared" si="2"/>
        <v>1.372399999999999</v>
      </c>
      <c r="M50" s="125">
        <f>IF((G50)=0,"",(L50/G50))</f>
        <v>0.17143214040347246</v>
      </c>
      <c r="N50" s="38"/>
      <c r="O50" s="35"/>
      <c r="P50" s="37">
        <f>SUM(P40:P49)+P39</f>
        <v>7.7804000000000002</v>
      </c>
      <c r="Q50" s="38"/>
      <c r="R50" s="170">
        <f t="shared" si="5"/>
        <v>-1.5975000000000001</v>
      </c>
      <c r="S50" s="125">
        <f t="shared" si="6"/>
        <v>-0.1703473059000416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</row>
    <row r="51" spans="1:359" x14ac:dyDescent="0.25">
      <c r="A51" s="139" t="str">
        <f>[4]Rates!$A$220</f>
        <v>TN_SL</v>
      </c>
      <c r="B51" s="19" t="s">
        <v>22</v>
      </c>
      <c r="C51" s="19"/>
      <c r="D51" s="101" t="s">
        <v>59</v>
      </c>
      <c r="E51" s="45">
        <f>F18</f>
        <v>1</v>
      </c>
      <c r="F51" s="20">
        <f>IF($A51&lt;&gt;"",VLOOKUP($A51,[4]Rates!$A$1:$R$65536,12,FALSE),0)</f>
        <v>2.2202999999999999</v>
      </c>
      <c r="G51" s="18">
        <f>E51*F51</f>
        <v>2.2202999999999999</v>
      </c>
      <c r="H51" s="39">
        <f>E51</f>
        <v>1</v>
      </c>
      <c r="I51" s="20">
        <f>IF($A51&lt;&gt;"",VLOOKUP($A51,[4]Rates!$A$1:$R$65536,14,FALSE),0)</f>
        <v>2.2202999999999999</v>
      </c>
      <c r="J51" s="18">
        <f>$E51*I51</f>
        <v>2.2202999999999999</v>
      </c>
      <c r="K51" s="38"/>
      <c r="L51" s="171">
        <f>J51-G51</f>
        <v>0</v>
      </c>
      <c r="M51" s="123">
        <f t="shared" ref="M51:M62" si="18">IF((G51)=0,"",(L51/G51))</f>
        <v>0</v>
      </c>
      <c r="N51" s="38"/>
      <c r="O51" s="20">
        <f>IF($A51&lt;&gt;"",VLOOKUP($A51,[4]Rates!$A$1:$R$65536,15,FALSE),0)</f>
        <v>2.9430999999999998</v>
      </c>
      <c r="P51" s="18">
        <f>$H51*O51</f>
        <v>2.9430999999999998</v>
      </c>
      <c r="Q51" s="38"/>
      <c r="R51" s="171">
        <f t="shared" si="5"/>
        <v>0.72279999999999989</v>
      </c>
      <c r="S51" s="123">
        <f t="shared" si="6"/>
        <v>0.32554159347835876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</row>
    <row r="52" spans="1:359" x14ac:dyDescent="0.25">
      <c r="A52" s="139" t="str">
        <f>[4]Rates!$A$221</f>
        <v>TC_SL</v>
      </c>
      <c r="B52" s="40" t="s">
        <v>23</v>
      </c>
      <c r="C52" s="19"/>
      <c r="D52" s="101" t="s">
        <v>59</v>
      </c>
      <c r="E52" s="45">
        <f>E51</f>
        <v>1</v>
      </c>
      <c r="F52" s="20">
        <f>IF($A52&lt;&gt;"",VLOOKUP($A52,[4]Rates!$A$1:$R$65536,12,FALSE),0)</f>
        <v>0.95030000000000003</v>
      </c>
      <c r="G52" s="18">
        <f>E52*F52</f>
        <v>0.95030000000000003</v>
      </c>
      <c r="H52" s="39">
        <f>E52</f>
        <v>1</v>
      </c>
      <c r="I52" s="20">
        <f>IF($A52&lt;&gt;"",VLOOKUP($A52,[4]Rates!$A$1:$R$65536,14,FALSE),0)</f>
        <v>0.95030000000000003</v>
      </c>
      <c r="J52" s="18">
        <f>$E52*I52</f>
        <v>0.95030000000000003</v>
      </c>
      <c r="K52" s="38"/>
      <c r="L52" s="171">
        <f t="shared" si="2"/>
        <v>0</v>
      </c>
      <c r="M52" s="123">
        <f t="shared" si="18"/>
        <v>0</v>
      </c>
      <c r="N52" s="38"/>
      <c r="O52" s="20">
        <f>IF($A52&lt;&gt;"",VLOOKUP($A52,[4]Rates!$A$1:$R$65536,15,FALSE),0)</f>
        <v>1.3520000000000001</v>
      </c>
      <c r="P52" s="18">
        <f>$H52*O52</f>
        <v>1.3520000000000001</v>
      </c>
      <c r="Q52" s="38"/>
      <c r="R52" s="171">
        <f t="shared" si="5"/>
        <v>0.40170000000000006</v>
      </c>
      <c r="S52" s="123">
        <f t="shared" si="6"/>
        <v>0.42270861833105339</v>
      </c>
      <c r="T52" s="38"/>
    </row>
    <row r="53" spans="1:359" x14ac:dyDescent="0.25">
      <c r="B53" s="33" t="s">
        <v>24</v>
      </c>
      <c r="C53" s="25"/>
      <c r="D53" s="41"/>
      <c r="E53" s="36"/>
      <c r="F53" s="41"/>
      <c r="G53" s="37">
        <f>SUM(G50:G52)</f>
        <v>11.176100000000002</v>
      </c>
      <c r="H53" s="17"/>
      <c r="I53" s="41"/>
      <c r="J53" s="37">
        <f>SUM(J50:J52)</f>
        <v>12.548500000000001</v>
      </c>
      <c r="K53" s="109"/>
      <c r="L53" s="172">
        <f>J53-G53</f>
        <v>1.372399999999999</v>
      </c>
      <c r="M53" s="125">
        <f>IF((G53)=0,"",(L53/G53))</f>
        <v>0.1227977559255911</v>
      </c>
      <c r="N53" s="109"/>
      <c r="O53" s="41"/>
      <c r="P53" s="37">
        <f>SUM(P50:P52)</f>
        <v>12.0755</v>
      </c>
      <c r="Q53" s="109"/>
      <c r="R53" s="172">
        <f t="shared" si="5"/>
        <v>-0.47300000000000075</v>
      </c>
      <c r="S53" s="125">
        <f t="shared" si="6"/>
        <v>-3.7693748256763818E-2</v>
      </c>
      <c r="T53" s="109"/>
    </row>
    <row r="54" spans="1:359" x14ac:dyDescent="0.25">
      <c r="B54" s="42" t="s">
        <v>25</v>
      </c>
      <c r="C54" s="15"/>
      <c r="D54" s="99" t="s">
        <v>58</v>
      </c>
      <c r="E54" s="341">
        <f>F17+E48</f>
        <v>289.65999999999997</v>
      </c>
      <c r="F54" s="43">
        <v>3.5999999999999999E-3</v>
      </c>
      <c r="G54" s="44">
        <f t="shared" ref="G54:G62" si="19">E54*F54</f>
        <v>1.0427759999999999</v>
      </c>
      <c r="H54" s="285">
        <f>F$17*(1+O$77)</f>
        <v>290.33199999999999</v>
      </c>
      <c r="I54" s="43">
        <v>3.5999999999999999E-3</v>
      </c>
      <c r="J54" s="44">
        <f>$E54*I54</f>
        <v>1.0427759999999999</v>
      </c>
      <c r="K54" s="17"/>
      <c r="L54" s="173">
        <f>J54-G54</f>
        <v>0</v>
      </c>
      <c r="M54" s="126">
        <f t="shared" si="18"/>
        <v>0</v>
      </c>
      <c r="N54" s="17"/>
      <c r="O54" s="43">
        <v>3.5999999999999999E-3</v>
      </c>
      <c r="P54" s="44">
        <f>$H54*O54</f>
        <v>1.0451952</v>
      </c>
      <c r="Q54" s="17"/>
      <c r="R54" s="173">
        <f>P54-J54</f>
        <v>2.4192000000000657E-3</v>
      </c>
      <c r="S54" s="126">
        <f t="shared" si="6"/>
        <v>2.3199613339778304E-3</v>
      </c>
      <c r="T54" s="17"/>
    </row>
    <row r="55" spans="1:359" x14ac:dyDescent="0.25">
      <c r="B55" s="42" t="s">
        <v>26</v>
      </c>
      <c r="C55" s="15"/>
      <c r="D55" s="99" t="s">
        <v>58</v>
      </c>
      <c r="E55" s="341">
        <f>E54</f>
        <v>289.65999999999997</v>
      </c>
      <c r="F55" s="43">
        <v>1.2999999999999999E-3</v>
      </c>
      <c r="G55" s="44">
        <f t="shared" si="19"/>
        <v>0.37655799999999995</v>
      </c>
      <c r="H55" s="285">
        <f>F$17*(1+O$77)</f>
        <v>290.33199999999999</v>
      </c>
      <c r="I55" s="43">
        <v>1.2999999999999999E-3</v>
      </c>
      <c r="J55" s="44">
        <f>$E55*I55</f>
        <v>0.37655799999999995</v>
      </c>
      <c r="K55" s="17"/>
      <c r="L55" s="173">
        <f t="shared" si="2"/>
        <v>0</v>
      </c>
      <c r="M55" s="126">
        <f t="shared" si="18"/>
        <v>0</v>
      </c>
      <c r="N55" s="17"/>
      <c r="O55" s="43">
        <v>1.2999999999999999E-3</v>
      </c>
      <c r="P55" s="44">
        <f>$H55*O55</f>
        <v>0.37743159999999998</v>
      </c>
      <c r="Q55" s="17"/>
      <c r="R55" s="173">
        <f t="shared" si="5"/>
        <v>8.7360000000002991E-4</v>
      </c>
      <c r="S55" s="126">
        <f t="shared" si="6"/>
        <v>2.3199613339778468E-3</v>
      </c>
      <c r="T55" s="17"/>
    </row>
    <row r="56" spans="1:359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9"/>
        <v>0.25</v>
      </c>
      <c r="H56" s="17"/>
      <c r="I56" s="43">
        <v>0.25</v>
      </c>
      <c r="J56" s="44">
        <f t="shared" ref="J56:J62" si="20">$E56*I56</f>
        <v>0.25</v>
      </c>
      <c r="K56" s="17"/>
      <c r="L56" s="173">
        <f t="shared" si="2"/>
        <v>0</v>
      </c>
      <c r="M56" s="126">
        <f t="shared" si="18"/>
        <v>0</v>
      </c>
      <c r="N56" s="17"/>
      <c r="O56" s="43">
        <v>0.25</v>
      </c>
      <c r="P56" s="44">
        <f t="shared" ref="P56:P62" si="21">$E56*O56</f>
        <v>0.25</v>
      </c>
      <c r="Q56" s="17"/>
      <c r="R56" s="173">
        <f t="shared" si="5"/>
        <v>0</v>
      </c>
      <c r="S56" s="126">
        <f t="shared" si="6"/>
        <v>0</v>
      </c>
      <c r="T56" s="17"/>
    </row>
    <row r="57" spans="1:359" x14ac:dyDescent="0.25">
      <c r="B57" s="15" t="s">
        <v>28</v>
      </c>
      <c r="C57" s="15"/>
      <c r="D57" s="99" t="s">
        <v>58</v>
      </c>
      <c r="E57" s="137">
        <f>F17</f>
        <v>280</v>
      </c>
      <c r="F57" s="43">
        <v>7.0000000000000001E-3</v>
      </c>
      <c r="G57" s="44">
        <f t="shared" si="19"/>
        <v>1.96</v>
      </c>
      <c r="H57" s="17"/>
      <c r="I57" s="43">
        <v>7.0000000000000001E-3</v>
      </c>
      <c r="J57" s="44">
        <f t="shared" si="20"/>
        <v>1.96</v>
      </c>
      <c r="K57" s="17"/>
      <c r="L57" s="173">
        <f t="shared" si="2"/>
        <v>0</v>
      </c>
      <c r="M57" s="126">
        <f t="shared" si="18"/>
        <v>0</v>
      </c>
      <c r="N57" s="17"/>
      <c r="O57" s="43">
        <v>7.0000000000000001E-3</v>
      </c>
      <c r="P57" s="44">
        <f t="shared" si="21"/>
        <v>1.96</v>
      </c>
      <c r="Q57" s="17"/>
      <c r="R57" s="173">
        <f t="shared" si="5"/>
        <v>0</v>
      </c>
      <c r="S57" s="126">
        <f t="shared" si="6"/>
        <v>0</v>
      </c>
      <c r="T57" s="17"/>
    </row>
    <row r="58" spans="1:359" x14ac:dyDescent="0.25">
      <c r="B58" s="31" t="s">
        <v>29</v>
      </c>
      <c r="C58" s="15"/>
      <c r="D58" s="99" t="s">
        <v>58</v>
      </c>
      <c r="E58" s="341">
        <f>0.64*$F$17+0.64*E48</f>
        <v>185.38239999999999</v>
      </c>
      <c r="F58" s="46">
        <f>Residential!F55</f>
        <v>8.6999999999999994E-2</v>
      </c>
      <c r="G58" s="44">
        <f t="shared" si="19"/>
        <v>16.128268799999997</v>
      </c>
      <c r="H58" s="285">
        <f>0.64*$F$17+0.64*H48</f>
        <v>185.81248000000002</v>
      </c>
      <c r="I58" s="46">
        <f>F58</f>
        <v>8.6999999999999994E-2</v>
      </c>
      <c r="J58" s="44">
        <f>$E58*I58</f>
        <v>16.128268799999997</v>
      </c>
      <c r="K58" s="17"/>
      <c r="L58" s="174">
        <f t="shared" si="2"/>
        <v>0</v>
      </c>
      <c r="M58" s="126">
        <f t="shared" si="18"/>
        <v>0</v>
      </c>
      <c r="N58" s="17"/>
      <c r="O58" s="46">
        <f>I58</f>
        <v>8.6999999999999994E-2</v>
      </c>
      <c r="P58" s="44">
        <f>$H58*O58</f>
        <v>16.165685760000002</v>
      </c>
      <c r="Q58" s="17"/>
      <c r="R58" s="174">
        <f t="shared" si="5"/>
        <v>3.7416960000005162E-2</v>
      </c>
      <c r="S58" s="126">
        <f t="shared" si="6"/>
        <v>2.3199613339780875E-3</v>
      </c>
      <c r="T58" s="17"/>
    </row>
    <row r="59" spans="1:359" x14ac:dyDescent="0.25">
      <c r="B59" s="31" t="s">
        <v>30</v>
      </c>
      <c r="C59" s="15"/>
      <c r="D59" s="99" t="s">
        <v>58</v>
      </c>
      <c r="E59" s="341">
        <f>0.18*$F$17+0.18*E48</f>
        <v>52.138799999999989</v>
      </c>
      <c r="F59" s="46">
        <f>Residential!F56</f>
        <v>0.13200000000000001</v>
      </c>
      <c r="G59" s="44">
        <f t="shared" si="19"/>
        <v>6.8823215999999992</v>
      </c>
      <c r="H59" s="285">
        <f>0.18*$F$17+0.18*H48</f>
        <v>52.25976</v>
      </c>
      <c r="I59" s="46">
        <f t="shared" ref="I59:I62" si="22">F59</f>
        <v>0.13200000000000001</v>
      </c>
      <c r="J59" s="44">
        <f>$E59*I59</f>
        <v>6.8823215999999992</v>
      </c>
      <c r="K59" s="17"/>
      <c r="L59" s="174">
        <f t="shared" si="2"/>
        <v>0</v>
      </c>
      <c r="M59" s="126">
        <f t="shared" si="18"/>
        <v>0</v>
      </c>
      <c r="N59" s="17"/>
      <c r="O59" s="46">
        <f t="shared" ref="O59:O62" si="23">I59</f>
        <v>0.13200000000000001</v>
      </c>
      <c r="P59" s="44">
        <f>$H59*O59</f>
        <v>6.8982883200000007</v>
      </c>
      <c r="Q59" s="17"/>
      <c r="R59" s="174">
        <f t="shared" si="5"/>
        <v>1.5966720000001544E-2</v>
      </c>
      <c r="S59" s="126">
        <f t="shared" si="6"/>
        <v>2.3199613339779917E-3</v>
      </c>
      <c r="T59" s="17"/>
    </row>
    <row r="60" spans="1:359" x14ac:dyDescent="0.25">
      <c r="B60" s="7" t="s">
        <v>31</v>
      </c>
      <c r="C60" s="15"/>
      <c r="D60" s="99" t="s">
        <v>58</v>
      </c>
      <c r="E60" s="341">
        <f>0.18*$F$17+0.18*E48</f>
        <v>52.138799999999989</v>
      </c>
      <c r="F60" s="46">
        <f>Residential!F57</f>
        <v>0.18</v>
      </c>
      <c r="G60" s="44">
        <f t="shared" si="19"/>
        <v>9.3849839999999976</v>
      </c>
      <c r="H60" s="285">
        <f>0.18*$F$17+0.18*H48</f>
        <v>52.25976</v>
      </c>
      <c r="I60" s="46">
        <f t="shared" si="22"/>
        <v>0.18</v>
      </c>
      <c r="J60" s="44">
        <f>$E60*I60</f>
        <v>9.3849839999999976</v>
      </c>
      <c r="K60" s="17"/>
      <c r="L60" s="174">
        <f t="shared" si="2"/>
        <v>0</v>
      </c>
      <c r="M60" s="126">
        <f t="shared" si="18"/>
        <v>0</v>
      </c>
      <c r="N60" s="17"/>
      <c r="O60" s="46">
        <f t="shared" si="23"/>
        <v>0.18</v>
      </c>
      <c r="P60" s="44">
        <f>$H60*O60</f>
        <v>9.4067568000000001</v>
      </c>
      <c r="Q60" s="17"/>
      <c r="R60" s="174">
        <f t="shared" si="5"/>
        <v>2.177280000000259E-2</v>
      </c>
      <c r="S60" s="126">
        <f t="shared" si="6"/>
        <v>2.3199613339780437E-3</v>
      </c>
      <c r="T60" s="17"/>
    </row>
    <row r="61" spans="1:359" s="51" customFormat="1" x14ac:dyDescent="0.2">
      <c r="B61" s="48" t="s">
        <v>136</v>
      </c>
      <c r="C61" s="49"/>
      <c r="D61" s="102" t="s">
        <v>58</v>
      </c>
      <c r="E61" s="138">
        <f>F17</f>
        <v>280</v>
      </c>
      <c r="F61" s="43">
        <v>1.1000000000000001E-3</v>
      </c>
      <c r="G61" s="44">
        <f t="shared" si="19"/>
        <v>0.308</v>
      </c>
      <c r="H61" s="110"/>
      <c r="I61" s="43">
        <v>1.1000000000000001E-3</v>
      </c>
      <c r="J61" s="44">
        <f t="shared" si="20"/>
        <v>0.308</v>
      </c>
      <c r="K61" s="17"/>
      <c r="L61" s="173">
        <f t="shared" si="2"/>
        <v>0</v>
      </c>
      <c r="M61" s="126">
        <f t="shared" si="18"/>
        <v>0</v>
      </c>
      <c r="N61" s="110"/>
      <c r="O61" s="46">
        <f t="shared" si="23"/>
        <v>1.1000000000000001E-3</v>
      </c>
      <c r="P61" s="44">
        <f t="shared" si="21"/>
        <v>0.308</v>
      </c>
      <c r="Q61" s="110"/>
      <c r="R61" s="174">
        <f t="shared" si="5"/>
        <v>0</v>
      </c>
      <c r="S61" s="126">
        <f t="shared" si="6"/>
        <v>0</v>
      </c>
      <c r="T61" s="110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</row>
    <row r="62" spans="1:359" s="51" customFormat="1" ht="15.75" thickBot="1" x14ac:dyDescent="0.25">
      <c r="B62" s="48"/>
      <c r="C62" s="49"/>
      <c r="D62" s="102"/>
      <c r="E62" s="138"/>
      <c r="F62" s="46"/>
      <c r="G62" s="44">
        <f t="shared" si="19"/>
        <v>0</v>
      </c>
      <c r="H62" s="110"/>
      <c r="I62" s="46">
        <f t="shared" si="22"/>
        <v>0</v>
      </c>
      <c r="J62" s="44">
        <f t="shared" si="20"/>
        <v>0</v>
      </c>
      <c r="K62" s="110"/>
      <c r="L62" s="174">
        <f t="shared" si="2"/>
        <v>0</v>
      </c>
      <c r="M62" s="126" t="str">
        <f t="shared" si="18"/>
        <v/>
      </c>
      <c r="N62" s="110"/>
      <c r="O62" s="46">
        <f t="shared" si="23"/>
        <v>0</v>
      </c>
      <c r="P62" s="44">
        <f t="shared" si="21"/>
        <v>0</v>
      </c>
      <c r="Q62" s="110"/>
      <c r="R62" s="174">
        <f t="shared" si="5"/>
        <v>0</v>
      </c>
      <c r="S62" s="126" t="str">
        <f t="shared" si="6"/>
        <v/>
      </c>
      <c r="T62" s="110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</row>
    <row r="63" spans="1:359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17"/>
    </row>
    <row r="64" spans="1:359" x14ac:dyDescent="0.25">
      <c r="B64" s="55" t="s">
        <v>32</v>
      </c>
      <c r="C64" s="15"/>
      <c r="D64" s="15"/>
      <c r="E64" s="104"/>
      <c r="F64" s="56"/>
      <c r="G64" s="58">
        <f>SUM(G54:G61,G53)</f>
        <v>47.509008399999999</v>
      </c>
      <c r="H64" s="57"/>
      <c r="I64" s="56"/>
      <c r="J64" s="58">
        <f>SUM(J54:J61,J53)</f>
        <v>48.881408399999998</v>
      </c>
      <c r="K64" s="57"/>
      <c r="L64" s="249">
        <f>J64-G64</f>
        <v>1.372399999999999</v>
      </c>
      <c r="M64" s="128">
        <f>IF((G64)=0,"",(L64/G64))</f>
        <v>2.8887153115155294E-2</v>
      </c>
      <c r="N64" s="57"/>
      <c r="O64" s="56"/>
      <c r="P64" s="58">
        <f>SUM(P54:P61,P53)</f>
        <v>48.48685768</v>
      </c>
      <c r="Q64" s="57"/>
      <c r="R64" s="249">
        <f>P64-J64</f>
        <v>-0.39455071999999802</v>
      </c>
      <c r="S64" s="128">
        <f>IF((J64)=0,"",(R64/J64))</f>
        <v>-8.0715906704520828E-3</v>
      </c>
      <c r="T64" s="57"/>
    </row>
    <row r="65" spans="1:359" x14ac:dyDescent="0.25">
      <c r="B65" s="59" t="s">
        <v>33</v>
      </c>
      <c r="C65" s="15"/>
      <c r="D65" s="15"/>
      <c r="E65" s="21"/>
      <c r="F65" s="60">
        <v>0.13</v>
      </c>
      <c r="G65" s="62">
        <f>G64*F65</f>
        <v>6.1761710919999997</v>
      </c>
      <c r="H65" s="61"/>
      <c r="I65" s="60">
        <v>0.13</v>
      </c>
      <c r="J65" s="62">
        <f>J64*I65</f>
        <v>6.3545830920000004</v>
      </c>
      <c r="K65" s="61"/>
      <c r="L65" s="176">
        <f>J65-G65</f>
        <v>0.17841200000000068</v>
      </c>
      <c r="M65" s="129">
        <f>IF((G65)=0,"",(L65/G65))</f>
        <v>2.8887153115155426E-2</v>
      </c>
      <c r="N65" s="61"/>
      <c r="O65" s="60">
        <v>0.13</v>
      </c>
      <c r="P65" s="62">
        <f>P64*O65</f>
        <v>6.3032914984000001</v>
      </c>
      <c r="Q65" s="61"/>
      <c r="R65" s="176">
        <f t="shared" si="5"/>
        <v>-5.129159360000024E-2</v>
      </c>
      <c r="S65" s="129">
        <f t="shared" ref="S65:S67" si="24">IF((J65)=0,"",(R65/J65))</f>
        <v>-8.0715906704521591E-3</v>
      </c>
      <c r="T65" s="61"/>
    </row>
    <row r="66" spans="1:359" x14ac:dyDescent="0.25">
      <c r="B66" s="63" t="s">
        <v>34</v>
      </c>
      <c r="C66" s="15"/>
      <c r="D66" s="15"/>
      <c r="E66" s="21"/>
      <c r="F66" s="64"/>
      <c r="G66" s="62">
        <f>G64+G65</f>
        <v>53.685179491999996</v>
      </c>
      <c r="H66" s="61"/>
      <c r="I66" s="64"/>
      <c r="J66" s="62">
        <f>J64+J65</f>
        <v>55.235991491999997</v>
      </c>
      <c r="K66" s="61"/>
      <c r="L66" s="176">
        <f>J66-G66</f>
        <v>1.5508120000000005</v>
      </c>
      <c r="M66" s="129">
        <f>IF((G66)=0,"",(L66/G66))</f>
        <v>2.8887153115155325E-2</v>
      </c>
      <c r="N66" s="61"/>
      <c r="O66" s="64"/>
      <c r="P66" s="62">
        <f>P64+P65</f>
        <v>54.7901491784</v>
      </c>
      <c r="Q66" s="61"/>
      <c r="R66" s="176">
        <f t="shared" si="5"/>
        <v>-0.44584231359999649</v>
      </c>
      <c r="S66" s="129">
        <f t="shared" si="24"/>
        <v>-8.0715906704520585E-3</v>
      </c>
      <c r="T66" s="61"/>
    </row>
    <row r="67" spans="1:359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24"/>
        <v/>
      </c>
      <c r="T67" s="61"/>
    </row>
    <row r="68" spans="1:359" ht="15.75" thickBot="1" x14ac:dyDescent="0.3">
      <c r="B68" s="407" t="s">
        <v>36</v>
      </c>
      <c r="C68" s="407"/>
      <c r="D68" s="407"/>
      <c r="E68" s="105"/>
      <c r="F68" s="66"/>
      <c r="G68" s="67">
        <f>G66+G67</f>
        <v>53.685179491999996</v>
      </c>
      <c r="H68" s="57"/>
      <c r="I68" s="66"/>
      <c r="J68" s="67">
        <f>J66+J67</f>
        <v>55.235991491999997</v>
      </c>
      <c r="K68" s="57"/>
      <c r="L68" s="250">
        <f>J68-G68</f>
        <v>1.5508120000000005</v>
      </c>
      <c r="M68" s="131">
        <f>IF((G68)=0,"",(L68/G68))</f>
        <v>2.8887153115155325E-2</v>
      </c>
      <c r="N68" s="57"/>
      <c r="O68" s="66"/>
      <c r="P68" s="67">
        <f>P66+P67</f>
        <v>54.7901491784</v>
      </c>
      <c r="Q68" s="57"/>
      <c r="R68" s="250">
        <f t="shared" si="5"/>
        <v>-0.44584231359999649</v>
      </c>
      <c r="S68" s="131">
        <f>IF((J68)=0,"",(R68/J68))</f>
        <v>-8.0715906704520585E-3</v>
      </c>
      <c r="T68" s="57"/>
    </row>
    <row r="69" spans="1:359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251"/>
      <c r="M69" s="127"/>
      <c r="N69" s="110"/>
      <c r="O69" s="85"/>
      <c r="P69" s="86"/>
      <c r="Q69" s="110"/>
      <c r="R69" s="251"/>
      <c r="S69" s="127"/>
      <c r="T69" s="110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</row>
    <row r="70" spans="1:359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15.113434000000002</v>
      </c>
      <c r="H70" s="74"/>
      <c r="I70" s="73"/>
      <c r="J70" s="75">
        <f>SUM(J61:J62,J53,J54:J57)</f>
        <v>16.485834000000001</v>
      </c>
      <c r="K70" s="74"/>
      <c r="L70" s="252">
        <f>J70-G70</f>
        <v>1.372399999999999</v>
      </c>
      <c r="M70" s="128">
        <f>IF((G70)=0,"",(L70/G70))</f>
        <v>9.0806629386809029E-2</v>
      </c>
      <c r="N70" s="74"/>
      <c r="O70" s="73"/>
      <c r="P70" s="75">
        <f>SUM(P61:P62,P53,P54:P57)</f>
        <v>16.016126799999999</v>
      </c>
      <c r="Q70" s="74"/>
      <c r="R70" s="252">
        <f t="shared" si="5"/>
        <v>-0.46970720000000199</v>
      </c>
      <c r="S70" s="128">
        <f>IF((J70)=0,"",(R70/J70))</f>
        <v>-2.8491564333354442E-2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</row>
    <row r="71" spans="1:359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1.9647464200000002</v>
      </c>
      <c r="H71" s="78"/>
      <c r="I71" s="77">
        <v>0.13</v>
      </c>
      <c r="J71" s="79">
        <f>J70*I71</f>
        <v>2.1431584200000002</v>
      </c>
      <c r="K71" s="78"/>
      <c r="L71" s="180">
        <f>J71-G71</f>
        <v>0.17841200000000002</v>
      </c>
      <c r="M71" s="129">
        <f>IF((G71)=0,"",(L71/G71))</f>
        <v>9.0806629386809112E-2</v>
      </c>
      <c r="N71" s="78"/>
      <c r="O71" s="77">
        <v>0.13</v>
      </c>
      <c r="P71" s="79">
        <f>P70*O71</f>
        <v>2.082096484</v>
      </c>
      <c r="Q71" s="78"/>
      <c r="R71" s="180">
        <f t="shared" si="5"/>
        <v>-6.1061936000000205E-2</v>
      </c>
      <c r="S71" s="129">
        <f t="shared" ref="S71:S74" si="25">IF((J71)=0,"",(R71/J71))</f>
        <v>-2.8491564333354414E-2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</row>
    <row r="72" spans="1:359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17.078180420000002</v>
      </c>
      <c r="H72" s="78"/>
      <c r="I72" s="81"/>
      <c r="J72" s="79">
        <f>J70+J71</f>
        <v>18.628992419999999</v>
      </c>
      <c r="K72" s="78"/>
      <c r="L72" s="180">
        <f>J72-G72</f>
        <v>1.550811999999997</v>
      </c>
      <c r="M72" s="129">
        <f>IF((G72)=0,"",(L72/G72))</f>
        <v>9.0806629386808918E-2</v>
      </c>
      <c r="N72" s="78"/>
      <c r="O72" s="81"/>
      <c r="P72" s="79">
        <f>P70+P71</f>
        <v>18.098223283999999</v>
      </c>
      <c r="Q72" s="78"/>
      <c r="R72" s="180">
        <f t="shared" si="5"/>
        <v>-0.53076913599999997</v>
      </c>
      <c r="S72" s="129">
        <f t="shared" si="25"/>
        <v>-2.849156433335432E-2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</row>
    <row r="73" spans="1:359" s="51" customFormat="1" ht="12.75" hidden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5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</row>
    <row r="74" spans="1:359" s="51" customFormat="1" ht="12.75" hidden="1" outlineLevel="1" x14ac:dyDescent="0.2">
      <c r="B74" s="403" t="s">
        <v>38</v>
      </c>
      <c r="C74" s="403"/>
      <c r="D74" s="403"/>
      <c r="E74" s="108"/>
      <c r="F74" s="83"/>
      <c r="G74" s="84">
        <f>SUM(G72:G73)</f>
        <v>17.078180420000002</v>
      </c>
      <c r="H74" s="74"/>
      <c r="I74" s="83"/>
      <c r="J74" s="84">
        <f>SUM(J72:J73)</f>
        <v>18.628992419999999</v>
      </c>
      <c r="K74" s="74"/>
      <c r="L74" s="253">
        <f>J74-G74</f>
        <v>1.550811999999997</v>
      </c>
      <c r="M74" s="132">
        <f>IF((G74)=0,"",(L74/G74))</f>
        <v>9.0806629386808918E-2</v>
      </c>
      <c r="N74" s="74"/>
      <c r="O74" s="83"/>
      <c r="P74" s="84">
        <f>SUM(P72:P73)</f>
        <v>18.098223283999999</v>
      </c>
      <c r="Q74" s="74"/>
      <c r="R74" s="253">
        <f t="shared" si="5"/>
        <v>-0.53076913599999997</v>
      </c>
      <c r="S74" s="132">
        <f t="shared" si="25"/>
        <v>-2.849156433335432E-2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</row>
    <row r="75" spans="1:359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</row>
    <row r="76" spans="1:359" collapsed="1" x14ac:dyDescent="0.25">
      <c r="J76" s="47"/>
      <c r="P76" s="47"/>
    </row>
    <row r="77" spans="1:359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59" x14ac:dyDescent="0.25">
      <c r="A79" s="88" t="s">
        <v>40</v>
      </c>
    </row>
    <row r="81" spans="1:359" x14ac:dyDescent="0.25">
      <c r="A81" s="2" t="s">
        <v>41</v>
      </c>
    </row>
    <row r="82" spans="1:359" x14ac:dyDescent="0.25">
      <c r="A82" s="2" t="s">
        <v>42</v>
      </c>
    </row>
    <row r="84" spans="1:359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</row>
    <row r="85" spans="1:359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</row>
    <row r="87" spans="1:359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</row>
    <row r="88" spans="1:359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</row>
    <row r="89" spans="1:359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</row>
    <row r="90" spans="1:359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</row>
    <row r="91" spans="1:359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</row>
    <row r="93" spans="1:359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31496062992125984" right="0.31496062992125984" top="0.55118110236220474" bottom="0.35433070866141736" header="0.31496062992125984" footer="0.31496062992125984"/>
  <pageSetup scale="56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67"/>
  <sheetViews>
    <sheetView view="pageBreakPreview" topLeftCell="A50" zoomScale="85" zoomScaleNormal="70" zoomScaleSheetLayoutView="85" workbookViewId="0">
      <selection activeCell="L51" sqref="L51"/>
    </sheetView>
  </sheetViews>
  <sheetFormatPr defaultRowHeight="16.5" outlineLevelRow="1" outlineLevelCol="1" x14ac:dyDescent="0.3"/>
  <cols>
    <col min="1" max="1" width="11.28515625" style="222" customWidth="1"/>
    <col min="2" max="2" width="37.140625" style="202" customWidth="1"/>
    <col min="3" max="3" width="17.5703125" style="202" customWidth="1"/>
    <col min="4" max="4" width="20.85546875" style="202" customWidth="1"/>
    <col min="5" max="5" width="16.42578125" style="202" hidden="1" customWidth="1" outlineLevel="1"/>
    <col min="6" max="6" width="20.42578125" style="202" customWidth="1" collapsed="1"/>
    <col min="7" max="7" width="20.42578125" style="202" customWidth="1"/>
    <col min="8" max="10" width="13.28515625" style="202" customWidth="1"/>
    <col min="11" max="11" width="3.140625" style="202" customWidth="1"/>
    <col min="12" max="187" width="9.140625" style="202"/>
    <col min="188" max="188" width="11.28515625" style="202" customWidth="1"/>
    <col min="189" max="189" width="27.140625" style="202" customWidth="1"/>
    <col min="190" max="190" width="13.7109375" style="202" customWidth="1"/>
    <col min="191" max="191" width="14.140625" style="202" customWidth="1"/>
    <col min="192" max="196" width="13.42578125" style="202" customWidth="1"/>
    <col min="197" max="197" width="9.140625" style="202"/>
    <col min="198" max="201" width="13.42578125" style="202" customWidth="1"/>
    <col min="202" max="202" width="9.140625" style="202"/>
    <col min="203" max="206" width="13.42578125" style="202" customWidth="1"/>
    <col min="207" max="207" width="9.140625" style="202"/>
    <col min="208" max="211" width="13.42578125" style="202" customWidth="1"/>
    <col min="212" max="212" width="9.140625" style="202"/>
    <col min="213" max="216" width="13.42578125" style="202" customWidth="1"/>
    <col min="217" max="443" width="9.140625" style="202"/>
    <col min="444" max="444" width="11.28515625" style="202" customWidth="1"/>
    <col min="445" max="445" width="27.140625" style="202" customWidth="1"/>
    <col min="446" max="446" width="13.7109375" style="202" customWidth="1"/>
    <col min="447" max="447" width="14.140625" style="202" customWidth="1"/>
    <col min="448" max="452" width="13.42578125" style="202" customWidth="1"/>
    <col min="453" max="453" width="9.140625" style="202"/>
    <col min="454" max="457" width="13.42578125" style="202" customWidth="1"/>
    <col min="458" max="458" width="9.140625" style="202"/>
    <col min="459" max="462" width="13.42578125" style="202" customWidth="1"/>
    <col min="463" max="463" width="9.140625" style="202"/>
    <col min="464" max="467" width="13.42578125" style="202" customWidth="1"/>
    <col min="468" max="468" width="9.140625" style="202"/>
    <col min="469" max="472" width="13.42578125" style="202" customWidth="1"/>
    <col min="473" max="699" width="9.140625" style="202"/>
    <col min="700" max="700" width="11.28515625" style="202" customWidth="1"/>
    <col min="701" max="701" width="27.140625" style="202" customWidth="1"/>
    <col min="702" max="702" width="13.7109375" style="202" customWidth="1"/>
    <col min="703" max="703" width="14.140625" style="202" customWidth="1"/>
    <col min="704" max="708" width="13.42578125" style="202" customWidth="1"/>
    <col min="709" max="709" width="9.140625" style="202"/>
    <col min="710" max="713" width="13.42578125" style="202" customWidth="1"/>
    <col min="714" max="714" width="9.140625" style="202"/>
    <col min="715" max="718" width="13.42578125" style="202" customWidth="1"/>
    <col min="719" max="719" width="9.140625" style="202"/>
    <col min="720" max="723" width="13.42578125" style="202" customWidth="1"/>
    <col min="724" max="724" width="9.140625" style="202"/>
    <col min="725" max="728" width="13.42578125" style="202" customWidth="1"/>
    <col min="729" max="955" width="9.140625" style="202"/>
    <col min="956" max="956" width="11.28515625" style="202" customWidth="1"/>
    <col min="957" max="957" width="27.140625" style="202" customWidth="1"/>
    <col min="958" max="958" width="13.7109375" style="202" customWidth="1"/>
    <col min="959" max="959" width="14.140625" style="202" customWidth="1"/>
    <col min="960" max="964" width="13.42578125" style="202" customWidth="1"/>
    <col min="965" max="965" width="9.140625" style="202"/>
    <col min="966" max="969" width="13.42578125" style="202" customWidth="1"/>
    <col min="970" max="970" width="9.140625" style="202"/>
    <col min="971" max="974" width="13.42578125" style="202" customWidth="1"/>
    <col min="975" max="975" width="9.140625" style="202"/>
    <col min="976" max="979" width="13.42578125" style="202" customWidth="1"/>
    <col min="980" max="980" width="9.140625" style="202"/>
    <col min="981" max="984" width="13.42578125" style="202" customWidth="1"/>
    <col min="985" max="1211" width="9.140625" style="202"/>
    <col min="1212" max="1212" width="11.28515625" style="202" customWidth="1"/>
    <col min="1213" max="1213" width="27.140625" style="202" customWidth="1"/>
    <col min="1214" max="1214" width="13.7109375" style="202" customWidth="1"/>
    <col min="1215" max="1215" width="14.140625" style="202" customWidth="1"/>
    <col min="1216" max="1220" width="13.42578125" style="202" customWidth="1"/>
    <col min="1221" max="1221" width="9.140625" style="202"/>
    <col min="1222" max="1225" width="13.42578125" style="202" customWidth="1"/>
    <col min="1226" max="1226" width="9.140625" style="202"/>
    <col min="1227" max="1230" width="13.42578125" style="202" customWidth="1"/>
    <col min="1231" max="1231" width="9.140625" style="202"/>
    <col min="1232" max="1235" width="13.42578125" style="202" customWidth="1"/>
    <col min="1236" max="1236" width="9.140625" style="202"/>
    <col min="1237" max="1240" width="13.42578125" style="202" customWidth="1"/>
    <col min="1241" max="1467" width="9.140625" style="202"/>
    <col min="1468" max="1468" width="11.28515625" style="202" customWidth="1"/>
    <col min="1469" max="1469" width="27.140625" style="202" customWidth="1"/>
    <col min="1470" max="1470" width="13.7109375" style="202" customWidth="1"/>
    <col min="1471" max="1471" width="14.140625" style="202" customWidth="1"/>
    <col min="1472" max="1476" width="13.42578125" style="202" customWidth="1"/>
    <col min="1477" max="1477" width="9.140625" style="202"/>
    <col min="1478" max="1481" width="13.42578125" style="202" customWidth="1"/>
    <col min="1482" max="1482" width="9.140625" style="202"/>
    <col min="1483" max="1486" width="13.42578125" style="202" customWidth="1"/>
    <col min="1487" max="1487" width="9.140625" style="202"/>
    <col min="1488" max="1491" width="13.42578125" style="202" customWidth="1"/>
    <col min="1492" max="1492" width="9.140625" style="202"/>
    <col min="1493" max="1496" width="13.42578125" style="202" customWidth="1"/>
    <col min="1497" max="1723" width="9.140625" style="202"/>
    <col min="1724" max="1724" width="11.28515625" style="202" customWidth="1"/>
    <col min="1725" max="1725" width="27.140625" style="202" customWidth="1"/>
    <col min="1726" max="1726" width="13.7109375" style="202" customWidth="1"/>
    <col min="1727" max="1727" width="14.140625" style="202" customWidth="1"/>
    <col min="1728" max="1732" width="13.42578125" style="202" customWidth="1"/>
    <col min="1733" max="1733" width="9.140625" style="202"/>
    <col min="1734" max="1737" width="13.42578125" style="202" customWidth="1"/>
    <col min="1738" max="1738" width="9.140625" style="202"/>
    <col min="1739" max="1742" width="13.42578125" style="202" customWidth="1"/>
    <col min="1743" max="1743" width="9.140625" style="202"/>
    <col min="1744" max="1747" width="13.42578125" style="202" customWidth="1"/>
    <col min="1748" max="1748" width="9.140625" style="202"/>
    <col min="1749" max="1752" width="13.42578125" style="202" customWidth="1"/>
    <col min="1753" max="1979" width="9.140625" style="202"/>
    <col min="1980" max="1980" width="11.28515625" style="202" customWidth="1"/>
    <col min="1981" max="1981" width="27.140625" style="202" customWidth="1"/>
    <col min="1982" max="1982" width="13.7109375" style="202" customWidth="1"/>
    <col min="1983" max="1983" width="14.140625" style="202" customWidth="1"/>
    <col min="1984" max="1988" width="13.42578125" style="202" customWidth="1"/>
    <col min="1989" max="1989" width="9.140625" style="202"/>
    <col min="1990" max="1993" width="13.42578125" style="202" customWidth="1"/>
    <col min="1994" max="1994" width="9.140625" style="202"/>
    <col min="1995" max="1998" width="13.42578125" style="202" customWidth="1"/>
    <col min="1999" max="1999" width="9.140625" style="202"/>
    <col min="2000" max="2003" width="13.42578125" style="202" customWidth="1"/>
    <col min="2004" max="2004" width="9.140625" style="202"/>
    <col min="2005" max="2008" width="13.42578125" style="202" customWidth="1"/>
    <col min="2009" max="2235" width="9.140625" style="202"/>
    <col min="2236" max="2236" width="11.28515625" style="202" customWidth="1"/>
    <col min="2237" max="2237" width="27.140625" style="202" customWidth="1"/>
    <col min="2238" max="2238" width="13.7109375" style="202" customWidth="1"/>
    <col min="2239" max="2239" width="14.140625" style="202" customWidth="1"/>
    <col min="2240" max="2244" width="13.42578125" style="202" customWidth="1"/>
    <col min="2245" max="2245" width="9.140625" style="202"/>
    <col min="2246" max="2249" width="13.42578125" style="202" customWidth="1"/>
    <col min="2250" max="2250" width="9.140625" style="202"/>
    <col min="2251" max="2254" width="13.42578125" style="202" customWidth="1"/>
    <col min="2255" max="2255" width="9.140625" style="202"/>
    <col min="2256" max="2259" width="13.42578125" style="202" customWidth="1"/>
    <col min="2260" max="2260" width="9.140625" style="202"/>
    <col min="2261" max="2264" width="13.42578125" style="202" customWidth="1"/>
    <col min="2265" max="2491" width="9.140625" style="202"/>
    <col min="2492" max="2492" width="11.28515625" style="202" customWidth="1"/>
    <col min="2493" max="2493" width="27.140625" style="202" customWidth="1"/>
    <col min="2494" max="2494" width="13.7109375" style="202" customWidth="1"/>
    <col min="2495" max="2495" width="14.140625" style="202" customWidth="1"/>
    <col min="2496" max="2500" width="13.42578125" style="202" customWidth="1"/>
    <col min="2501" max="2501" width="9.140625" style="202"/>
    <col min="2502" max="2505" width="13.42578125" style="202" customWidth="1"/>
    <col min="2506" max="2506" width="9.140625" style="202"/>
    <col min="2507" max="2510" width="13.42578125" style="202" customWidth="1"/>
    <col min="2511" max="2511" width="9.140625" style="202"/>
    <col min="2512" max="2515" width="13.42578125" style="202" customWidth="1"/>
    <col min="2516" max="2516" width="9.140625" style="202"/>
    <col min="2517" max="2520" width="13.42578125" style="202" customWidth="1"/>
    <col min="2521" max="2747" width="9.140625" style="202"/>
    <col min="2748" max="2748" width="11.28515625" style="202" customWidth="1"/>
    <col min="2749" max="2749" width="27.140625" style="202" customWidth="1"/>
    <col min="2750" max="2750" width="13.7109375" style="202" customWidth="1"/>
    <col min="2751" max="2751" width="14.140625" style="202" customWidth="1"/>
    <col min="2752" max="2756" width="13.42578125" style="202" customWidth="1"/>
    <col min="2757" max="2757" width="9.140625" style="202"/>
    <col min="2758" max="2761" width="13.42578125" style="202" customWidth="1"/>
    <col min="2762" max="2762" width="9.140625" style="202"/>
    <col min="2763" max="2766" width="13.42578125" style="202" customWidth="1"/>
    <col min="2767" max="2767" width="9.140625" style="202"/>
    <col min="2768" max="2771" width="13.42578125" style="202" customWidth="1"/>
    <col min="2772" max="2772" width="9.140625" style="202"/>
    <col min="2773" max="2776" width="13.42578125" style="202" customWidth="1"/>
    <col min="2777" max="3003" width="9.140625" style="202"/>
    <col min="3004" max="3004" width="11.28515625" style="202" customWidth="1"/>
    <col min="3005" max="3005" width="27.140625" style="202" customWidth="1"/>
    <col min="3006" max="3006" width="13.7109375" style="202" customWidth="1"/>
    <col min="3007" max="3007" width="14.140625" style="202" customWidth="1"/>
    <col min="3008" max="3012" width="13.42578125" style="202" customWidth="1"/>
    <col min="3013" max="3013" width="9.140625" style="202"/>
    <col min="3014" max="3017" width="13.42578125" style="202" customWidth="1"/>
    <col min="3018" max="3018" width="9.140625" style="202"/>
    <col min="3019" max="3022" width="13.42578125" style="202" customWidth="1"/>
    <col min="3023" max="3023" width="9.140625" style="202"/>
    <col min="3024" max="3027" width="13.42578125" style="202" customWidth="1"/>
    <col min="3028" max="3028" width="9.140625" style="202"/>
    <col min="3029" max="3032" width="13.42578125" style="202" customWidth="1"/>
    <col min="3033" max="3259" width="9.140625" style="202"/>
    <col min="3260" max="3260" width="11.28515625" style="202" customWidth="1"/>
    <col min="3261" max="3261" width="27.140625" style="202" customWidth="1"/>
    <col min="3262" max="3262" width="13.7109375" style="202" customWidth="1"/>
    <col min="3263" max="3263" width="14.140625" style="202" customWidth="1"/>
    <col min="3264" max="3268" width="13.42578125" style="202" customWidth="1"/>
    <col min="3269" max="3269" width="9.140625" style="202"/>
    <col min="3270" max="3273" width="13.42578125" style="202" customWidth="1"/>
    <col min="3274" max="3274" width="9.140625" style="202"/>
    <col min="3275" max="3278" width="13.42578125" style="202" customWidth="1"/>
    <col min="3279" max="3279" width="9.140625" style="202"/>
    <col min="3280" max="3283" width="13.42578125" style="202" customWidth="1"/>
    <col min="3284" max="3284" width="9.140625" style="202"/>
    <col min="3285" max="3288" width="13.42578125" style="202" customWidth="1"/>
    <col min="3289" max="3515" width="9.140625" style="202"/>
    <col min="3516" max="3516" width="11.28515625" style="202" customWidth="1"/>
    <col min="3517" max="3517" width="27.140625" style="202" customWidth="1"/>
    <col min="3518" max="3518" width="13.7109375" style="202" customWidth="1"/>
    <col min="3519" max="3519" width="14.140625" style="202" customWidth="1"/>
    <col min="3520" max="3524" width="13.42578125" style="202" customWidth="1"/>
    <col min="3525" max="3525" width="9.140625" style="202"/>
    <col min="3526" max="3529" width="13.42578125" style="202" customWidth="1"/>
    <col min="3530" max="3530" width="9.140625" style="202"/>
    <col min="3531" max="3534" width="13.42578125" style="202" customWidth="1"/>
    <col min="3535" max="3535" width="9.140625" style="202"/>
    <col min="3536" max="3539" width="13.42578125" style="202" customWidth="1"/>
    <col min="3540" max="3540" width="9.140625" style="202"/>
    <col min="3541" max="3544" width="13.42578125" style="202" customWidth="1"/>
    <col min="3545" max="3771" width="9.140625" style="202"/>
    <col min="3772" max="3772" width="11.28515625" style="202" customWidth="1"/>
    <col min="3773" max="3773" width="27.140625" style="202" customWidth="1"/>
    <col min="3774" max="3774" width="13.7109375" style="202" customWidth="1"/>
    <col min="3775" max="3775" width="14.140625" style="202" customWidth="1"/>
    <col min="3776" max="3780" width="13.42578125" style="202" customWidth="1"/>
    <col min="3781" max="3781" width="9.140625" style="202"/>
    <col min="3782" max="3785" width="13.42578125" style="202" customWidth="1"/>
    <col min="3786" max="3786" width="9.140625" style="202"/>
    <col min="3787" max="3790" width="13.42578125" style="202" customWidth="1"/>
    <col min="3791" max="3791" width="9.140625" style="202"/>
    <col min="3792" max="3795" width="13.42578125" style="202" customWidth="1"/>
    <col min="3796" max="3796" width="9.140625" style="202"/>
    <col min="3797" max="3800" width="13.42578125" style="202" customWidth="1"/>
    <col min="3801" max="4027" width="9.140625" style="202"/>
    <col min="4028" max="4028" width="11.28515625" style="202" customWidth="1"/>
    <col min="4029" max="4029" width="27.140625" style="202" customWidth="1"/>
    <col min="4030" max="4030" width="13.7109375" style="202" customWidth="1"/>
    <col min="4031" max="4031" width="14.140625" style="202" customWidth="1"/>
    <col min="4032" max="4036" width="13.42578125" style="202" customWidth="1"/>
    <col min="4037" max="4037" width="9.140625" style="202"/>
    <col min="4038" max="4041" width="13.42578125" style="202" customWidth="1"/>
    <col min="4042" max="4042" width="9.140625" style="202"/>
    <col min="4043" max="4046" width="13.42578125" style="202" customWidth="1"/>
    <col min="4047" max="4047" width="9.140625" style="202"/>
    <col min="4048" max="4051" width="13.42578125" style="202" customWidth="1"/>
    <col min="4052" max="4052" width="9.140625" style="202"/>
    <col min="4053" max="4056" width="13.42578125" style="202" customWidth="1"/>
    <col min="4057" max="4283" width="9.140625" style="202"/>
    <col min="4284" max="4284" width="11.28515625" style="202" customWidth="1"/>
    <col min="4285" max="4285" width="27.140625" style="202" customWidth="1"/>
    <col min="4286" max="4286" width="13.7109375" style="202" customWidth="1"/>
    <col min="4287" max="4287" width="14.140625" style="202" customWidth="1"/>
    <col min="4288" max="4292" width="13.42578125" style="202" customWidth="1"/>
    <col min="4293" max="4293" width="9.140625" style="202"/>
    <col min="4294" max="4297" width="13.42578125" style="202" customWidth="1"/>
    <col min="4298" max="4298" width="9.140625" style="202"/>
    <col min="4299" max="4302" width="13.42578125" style="202" customWidth="1"/>
    <col min="4303" max="4303" width="9.140625" style="202"/>
    <col min="4304" max="4307" width="13.42578125" style="202" customWidth="1"/>
    <col min="4308" max="4308" width="9.140625" style="202"/>
    <col min="4309" max="4312" width="13.42578125" style="202" customWidth="1"/>
    <col min="4313" max="4539" width="9.140625" style="202"/>
    <col min="4540" max="4540" width="11.28515625" style="202" customWidth="1"/>
    <col min="4541" max="4541" width="27.140625" style="202" customWidth="1"/>
    <col min="4542" max="4542" width="13.7109375" style="202" customWidth="1"/>
    <col min="4543" max="4543" width="14.140625" style="202" customWidth="1"/>
    <col min="4544" max="4548" width="13.42578125" style="202" customWidth="1"/>
    <col min="4549" max="4549" width="9.140625" style="202"/>
    <col min="4550" max="4553" width="13.42578125" style="202" customWidth="1"/>
    <col min="4554" max="4554" width="9.140625" style="202"/>
    <col min="4555" max="4558" width="13.42578125" style="202" customWidth="1"/>
    <col min="4559" max="4559" width="9.140625" style="202"/>
    <col min="4560" max="4563" width="13.42578125" style="202" customWidth="1"/>
    <col min="4564" max="4564" width="9.140625" style="202"/>
    <col min="4565" max="4568" width="13.42578125" style="202" customWidth="1"/>
    <col min="4569" max="4795" width="9.140625" style="202"/>
    <col min="4796" max="4796" width="11.28515625" style="202" customWidth="1"/>
    <col min="4797" max="4797" width="27.140625" style="202" customWidth="1"/>
    <col min="4798" max="4798" width="13.7109375" style="202" customWidth="1"/>
    <col min="4799" max="4799" width="14.140625" style="202" customWidth="1"/>
    <col min="4800" max="4804" width="13.42578125" style="202" customWidth="1"/>
    <col min="4805" max="4805" width="9.140625" style="202"/>
    <col min="4806" max="4809" width="13.42578125" style="202" customWidth="1"/>
    <col min="4810" max="4810" width="9.140625" style="202"/>
    <col min="4811" max="4814" width="13.42578125" style="202" customWidth="1"/>
    <col min="4815" max="4815" width="9.140625" style="202"/>
    <col min="4816" max="4819" width="13.42578125" style="202" customWidth="1"/>
    <col min="4820" max="4820" width="9.140625" style="202"/>
    <col min="4821" max="4824" width="13.42578125" style="202" customWidth="1"/>
    <col min="4825" max="5051" width="9.140625" style="202"/>
    <col min="5052" max="5052" width="11.28515625" style="202" customWidth="1"/>
    <col min="5053" max="5053" width="27.140625" style="202" customWidth="1"/>
    <col min="5054" max="5054" width="13.7109375" style="202" customWidth="1"/>
    <col min="5055" max="5055" width="14.140625" style="202" customWidth="1"/>
    <col min="5056" max="5060" width="13.42578125" style="202" customWidth="1"/>
    <col min="5061" max="5061" width="9.140625" style="202"/>
    <col min="5062" max="5065" width="13.42578125" style="202" customWidth="1"/>
    <col min="5066" max="5066" width="9.140625" style="202"/>
    <col min="5067" max="5070" width="13.42578125" style="202" customWidth="1"/>
    <col min="5071" max="5071" width="9.140625" style="202"/>
    <col min="5072" max="5075" width="13.42578125" style="202" customWidth="1"/>
    <col min="5076" max="5076" width="9.140625" style="202"/>
    <col min="5077" max="5080" width="13.42578125" style="202" customWidth="1"/>
    <col min="5081" max="5307" width="9.140625" style="202"/>
    <col min="5308" max="5308" width="11.28515625" style="202" customWidth="1"/>
    <col min="5309" max="5309" width="27.140625" style="202" customWidth="1"/>
    <col min="5310" max="5310" width="13.7109375" style="202" customWidth="1"/>
    <col min="5311" max="5311" width="14.140625" style="202" customWidth="1"/>
    <col min="5312" max="5316" width="13.42578125" style="202" customWidth="1"/>
    <col min="5317" max="5317" width="9.140625" style="202"/>
    <col min="5318" max="5321" width="13.42578125" style="202" customWidth="1"/>
    <col min="5322" max="5322" width="9.140625" style="202"/>
    <col min="5323" max="5326" width="13.42578125" style="202" customWidth="1"/>
    <col min="5327" max="5327" width="9.140625" style="202"/>
    <col min="5328" max="5331" width="13.42578125" style="202" customWidth="1"/>
    <col min="5332" max="5332" width="9.140625" style="202"/>
    <col min="5333" max="5336" width="13.42578125" style="202" customWidth="1"/>
    <col min="5337" max="5563" width="9.140625" style="202"/>
    <col min="5564" max="5564" width="11.28515625" style="202" customWidth="1"/>
    <col min="5565" max="5565" width="27.140625" style="202" customWidth="1"/>
    <col min="5566" max="5566" width="13.7109375" style="202" customWidth="1"/>
    <col min="5567" max="5567" width="14.140625" style="202" customWidth="1"/>
    <col min="5568" max="5572" width="13.42578125" style="202" customWidth="1"/>
    <col min="5573" max="5573" width="9.140625" style="202"/>
    <col min="5574" max="5577" width="13.42578125" style="202" customWidth="1"/>
    <col min="5578" max="5578" width="9.140625" style="202"/>
    <col min="5579" max="5582" width="13.42578125" style="202" customWidth="1"/>
    <col min="5583" max="5583" width="9.140625" style="202"/>
    <col min="5584" max="5587" width="13.42578125" style="202" customWidth="1"/>
    <col min="5588" max="5588" width="9.140625" style="202"/>
    <col min="5589" max="5592" width="13.42578125" style="202" customWidth="1"/>
    <col min="5593" max="5819" width="9.140625" style="202"/>
    <col min="5820" max="5820" width="11.28515625" style="202" customWidth="1"/>
    <col min="5821" max="5821" width="27.140625" style="202" customWidth="1"/>
    <col min="5822" max="5822" width="13.7109375" style="202" customWidth="1"/>
    <col min="5823" max="5823" width="14.140625" style="202" customWidth="1"/>
    <col min="5824" max="5828" width="13.42578125" style="202" customWidth="1"/>
    <col min="5829" max="5829" width="9.140625" style="202"/>
    <col min="5830" max="5833" width="13.42578125" style="202" customWidth="1"/>
    <col min="5834" max="5834" width="9.140625" style="202"/>
    <col min="5835" max="5838" width="13.42578125" style="202" customWidth="1"/>
    <col min="5839" max="5839" width="9.140625" style="202"/>
    <col min="5840" max="5843" width="13.42578125" style="202" customWidth="1"/>
    <col min="5844" max="5844" width="9.140625" style="202"/>
    <col min="5845" max="5848" width="13.42578125" style="202" customWidth="1"/>
    <col min="5849" max="6075" width="9.140625" style="202"/>
    <col min="6076" max="6076" width="11.28515625" style="202" customWidth="1"/>
    <col min="6077" max="6077" width="27.140625" style="202" customWidth="1"/>
    <col min="6078" max="6078" width="13.7109375" style="202" customWidth="1"/>
    <col min="6079" max="6079" width="14.140625" style="202" customWidth="1"/>
    <col min="6080" max="6084" width="13.42578125" style="202" customWidth="1"/>
    <col min="6085" max="6085" width="9.140625" style="202"/>
    <col min="6086" max="6089" width="13.42578125" style="202" customWidth="1"/>
    <col min="6090" max="6090" width="9.140625" style="202"/>
    <col min="6091" max="6094" width="13.42578125" style="202" customWidth="1"/>
    <col min="6095" max="6095" width="9.140625" style="202"/>
    <col min="6096" max="6099" width="13.42578125" style="202" customWidth="1"/>
    <col min="6100" max="6100" width="9.140625" style="202"/>
    <col min="6101" max="6104" width="13.42578125" style="202" customWidth="1"/>
    <col min="6105" max="6331" width="9.140625" style="202"/>
    <col min="6332" max="6332" width="11.28515625" style="202" customWidth="1"/>
    <col min="6333" max="6333" width="27.140625" style="202" customWidth="1"/>
    <col min="6334" max="6334" width="13.7109375" style="202" customWidth="1"/>
    <col min="6335" max="6335" width="14.140625" style="202" customWidth="1"/>
    <col min="6336" max="6340" width="13.42578125" style="202" customWidth="1"/>
    <col min="6341" max="6341" width="9.140625" style="202"/>
    <col min="6342" max="6345" width="13.42578125" style="202" customWidth="1"/>
    <col min="6346" max="6346" width="9.140625" style="202"/>
    <col min="6347" max="6350" width="13.42578125" style="202" customWidth="1"/>
    <col min="6351" max="6351" width="9.140625" style="202"/>
    <col min="6352" max="6355" width="13.42578125" style="202" customWidth="1"/>
    <col min="6356" max="6356" width="9.140625" style="202"/>
    <col min="6357" max="6360" width="13.42578125" style="202" customWidth="1"/>
    <col min="6361" max="6587" width="9.140625" style="202"/>
    <col min="6588" max="6588" width="11.28515625" style="202" customWidth="1"/>
    <col min="6589" max="6589" width="27.140625" style="202" customWidth="1"/>
    <col min="6590" max="6590" width="13.7109375" style="202" customWidth="1"/>
    <col min="6591" max="6591" width="14.140625" style="202" customWidth="1"/>
    <col min="6592" max="6596" width="13.42578125" style="202" customWidth="1"/>
    <col min="6597" max="6597" width="9.140625" style="202"/>
    <col min="6598" max="6601" width="13.42578125" style="202" customWidth="1"/>
    <col min="6602" max="6602" width="9.140625" style="202"/>
    <col min="6603" max="6606" width="13.42578125" style="202" customWidth="1"/>
    <col min="6607" max="6607" width="9.140625" style="202"/>
    <col min="6608" max="6611" width="13.42578125" style="202" customWidth="1"/>
    <col min="6612" max="6612" width="9.140625" style="202"/>
    <col min="6613" max="6616" width="13.42578125" style="202" customWidth="1"/>
    <col min="6617" max="6843" width="9.140625" style="202"/>
    <col min="6844" max="6844" width="11.28515625" style="202" customWidth="1"/>
    <col min="6845" max="6845" width="27.140625" style="202" customWidth="1"/>
    <col min="6846" max="6846" width="13.7109375" style="202" customWidth="1"/>
    <col min="6847" max="6847" width="14.140625" style="202" customWidth="1"/>
    <col min="6848" max="6852" width="13.42578125" style="202" customWidth="1"/>
    <col min="6853" max="6853" width="9.140625" style="202"/>
    <col min="6854" max="6857" width="13.42578125" style="202" customWidth="1"/>
    <col min="6858" max="6858" width="9.140625" style="202"/>
    <col min="6859" max="6862" width="13.42578125" style="202" customWidth="1"/>
    <col min="6863" max="6863" width="9.140625" style="202"/>
    <col min="6864" max="6867" width="13.42578125" style="202" customWidth="1"/>
    <col min="6868" max="6868" width="9.140625" style="202"/>
    <col min="6869" max="6872" width="13.42578125" style="202" customWidth="1"/>
    <col min="6873" max="7099" width="9.140625" style="202"/>
    <col min="7100" max="7100" width="11.28515625" style="202" customWidth="1"/>
    <col min="7101" max="7101" width="27.140625" style="202" customWidth="1"/>
    <col min="7102" max="7102" width="13.7109375" style="202" customWidth="1"/>
    <col min="7103" max="7103" width="14.140625" style="202" customWidth="1"/>
    <col min="7104" max="7108" width="13.42578125" style="202" customWidth="1"/>
    <col min="7109" max="7109" width="9.140625" style="202"/>
    <col min="7110" max="7113" width="13.42578125" style="202" customWidth="1"/>
    <col min="7114" max="7114" width="9.140625" style="202"/>
    <col min="7115" max="7118" width="13.42578125" style="202" customWidth="1"/>
    <col min="7119" max="7119" width="9.140625" style="202"/>
    <col min="7120" max="7123" width="13.42578125" style="202" customWidth="1"/>
    <col min="7124" max="7124" width="9.140625" style="202"/>
    <col min="7125" max="7128" width="13.42578125" style="202" customWidth="1"/>
    <col min="7129" max="7355" width="9.140625" style="202"/>
    <col min="7356" max="7356" width="11.28515625" style="202" customWidth="1"/>
    <col min="7357" max="7357" width="27.140625" style="202" customWidth="1"/>
    <col min="7358" max="7358" width="13.7109375" style="202" customWidth="1"/>
    <col min="7359" max="7359" width="14.140625" style="202" customWidth="1"/>
    <col min="7360" max="7364" width="13.42578125" style="202" customWidth="1"/>
    <col min="7365" max="7365" width="9.140625" style="202"/>
    <col min="7366" max="7369" width="13.42578125" style="202" customWidth="1"/>
    <col min="7370" max="7370" width="9.140625" style="202"/>
    <col min="7371" max="7374" width="13.42578125" style="202" customWidth="1"/>
    <col min="7375" max="7375" width="9.140625" style="202"/>
    <col min="7376" max="7379" width="13.42578125" style="202" customWidth="1"/>
    <col min="7380" max="7380" width="9.140625" style="202"/>
    <col min="7381" max="7384" width="13.42578125" style="202" customWidth="1"/>
    <col min="7385" max="7611" width="9.140625" style="202"/>
    <col min="7612" max="7612" width="11.28515625" style="202" customWidth="1"/>
    <col min="7613" max="7613" width="27.140625" style="202" customWidth="1"/>
    <col min="7614" max="7614" width="13.7109375" style="202" customWidth="1"/>
    <col min="7615" max="7615" width="14.140625" style="202" customWidth="1"/>
    <col min="7616" max="7620" width="13.42578125" style="202" customWidth="1"/>
    <col min="7621" max="7621" width="9.140625" style="202"/>
    <col min="7622" max="7625" width="13.42578125" style="202" customWidth="1"/>
    <col min="7626" max="7626" width="9.140625" style="202"/>
    <col min="7627" max="7630" width="13.42578125" style="202" customWidth="1"/>
    <col min="7631" max="7631" width="9.140625" style="202"/>
    <col min="7632" max="7635" width="13.42578125" style="202" customWidth="1"/>
    <col min="7636" max="7636" width="9.140625" style="202"/>
    <col min="7637" max="7640" width="13.42578125" style="202" customWidth="1"/>
    <col min="7641" max="7867" width="9.140625" style="202"/>
    <col min="7868" max="7868" width="11.28515625" style="202" customWidth="1"/>
    <col min="7869" max="7869" width="27.140625" style="202" customWidth="1"/>
    <col min="7870" max="7870" width="13.7109375" style="202" customWidth="1"/>
    <col min="7871" max="7871" width="14.140625" style="202" customWidth="1"/>
    <col min="7872" max="7876" width="13.42578125" style="202" customWidth="1"/>
    <col min="7877" max="7877" width="9.140625" style="202"/>
    <col min="7878" max="7881" width="13.42578125" style="202" customWidth="1"/>
    <col min="7882" max="7882" width="9.140625" style="202"/>
    <col min="7883" max="7886" width="13.42578125" style="202" customWidth="1"/>
    <col min="7887" max="7887" width="9.140625" style="202"/>
    <col min="7888" max="7891" width="13.42578125" style="202" customWidth="1"/>
    <col min="7892" max="7892" width="9.140625" style="202"/>
    <col min="7893" max="7896" width="13.42578125" style="202" customWidth="1"/>
    <col min="7897" max="8123" width="9.140625" style="202"/>
    <col min="8124" max="8124" width="11.28515625" style="202" customWidth="1"/>
    <col min="8125" max="8125" width="27.140625" style="202" customWidth="1"/>
    <col min="8126" max="8126" width="13.7109375" style="202" customWidth="1"/>
    <col min="8127" max="8127" width="14.140625" style="202" customWidth="1"/>
    <col min="8128" max="8132" width="13.42578125" style="202" customWidth="1"/>
    <col min="8133" max="8133" width="9.140625" style="202"/>
    <col min="8134" max="8137" width="13.42578125" style="202" customWidth="1"/>
    <col min="8138" max="8138" width="9.140625" style="202"/>
    <col min="8139" max="8142" width="13.42578125" style="202" customWidth="1"/>
    <col min="8143" max="8143" width="9.140625" style="202"/>
    <col min="8144" max="8147" width="13.42578125" style="202" customWidth="1"/>
    <col min="8148" max="8148" width="9.140625" style="202"/>
    <col min="8149" max="8152" width="13.42578125" style="202" customWidth="1"/>
    <col min="8153" max="8379" width="9.140625" style="202"/>
    <col min="8380" max="8380" width="11.28515625" style="202" customWidth="1"/>
    <col min="8381" max="8381" width="27.140625" style="202" customWidth="1"/>
    <col min="8382" max="8382" width="13.7109375" style="202" customWidth="1"/>
    <col min="8383" max="8383" width="14.140625" style="202" customWidth="1"/>
    <col min="8384" max="8388" width="13.42578125" style="202" customWidth="1"/>
    <col min="8389" max="8389" width="9.140625" style="202"/>
    <col min="8390" max="8393" width="13.42578125" style="202" customWidth="1"/>
    <col min="8394" max="8394" width="9.140625" style="202"/>
    <col min="8395" max="8398" width="13.42578125" style="202" customWidth="1"/>
    <col min="8399" max="8399" width="9.140625" style="202"/>
    <col min="8400" max="8403" width="13.42578125" style="202" customWidth="1"/>
    <col min="8404" max="8404" width="9.140625" style="202"/>
    <col min="8405" max="8408" width="13.42578125" style="202" customWidth="1"/>
    <col min="8409" max="8635" width="9.140625" style="202"/>
    <col min="8636" max="8636" width="11.28515625" style="202" customWidth="1"/>
    <col min="8637" max="8637" width="27.140625" style="202" customWidth="1"/>
    <col min="8638" max="8638" width="13.7109375" style="202" customWidth="1"/>
    <col min="8639" max="8639" width="14.140625" style="202" customWidth="1"/>
    <col min="8640" max="8644" width="13.42578125" style="202" customWidth="1"/>
    <col min="8645" max="8645" width="9.140625" style="202"/>
    <col min="8646" max="8649" width="13.42578125" style="202" customWidth="1"/>
    <col min="8650" max="8650" width="9.140625" style="202"/>
    <col min="8651" max="8654" width="13.42578125" style="202" customWidth="1"/>
    <col min="8655" max="8655" width="9.140625" style="202"/>
    <col min="8656" max="8659" width="13.42578125" style="202" customWidth="1"/>
    <col min="8660" max="8660" width="9.140625" style="202"/>
    <col min="8661" max="8664" width="13.42578125" style="202" customWidth="1"/>
    <col min="8665" max="8891" width="9.140625" style="202"/>
    <col min="8892" max="8892" width="11.28515625" style="202" customWidth="1"/>
    <col min="8893" max="8893" width="27.140625" style="202" customWidth="1"/>
    <col min="8894" max="8894" width="13.7109375" style="202" customWidth="1"/>
    <col min="8895" max="8895" width="14.140625" style="202" customWidth="1"/>
    <col min="8896" max="8900" width="13.42578125" style="202" customWidth="1"/>
    <col min="8901" max="8901" width="9.140625" style="202"/>
    <col min="8902" max="8905" width="13.42578125" style="202" customWidth="1"/>
    <col min="8906" max="8906" width="9.140625" style="202"/>
    <col min="8907" max="8910" width="13.42578125" style="202" customWidth="1"/>
    <col min="8911" max="8911" width="9.140625" style="202"/>
    <col min="8912" max="8915" width="13.42578125" style="202" customWidth="1"/>
    <col min="8916" max="8916" width="9.140625" style="202"/>
    <col min="8917" max="8920" width="13.42578125" style="202" customWidth="1"/>
    <col min="8921" max="9147" width="9.140625" style="202"/>
    <col min="9148" max="9148" width="11.28515625" style="202" customWidth="1"/>
    <col min="9149" max="9149" width="27.140625" style="202" customWidth="1"/>
    <col min="9150" max="9150" width="13.7109375" style="202" customWidth="1"/>
    <col min="9151" max="9151" width="14.140625" style="202" customWidth="1"/>
    <col min="9152" max="9156" width="13.42578125" style="202" customWidth="1"/>
    <col min="9157" max="9157" width="9.140625" style="202"/>
    <col min="9158" max="9161" width="13.42578125" style="202" customWidth="1"/>
    <col min="9162" max="9162" width="9.140625" style="202"/>
    <col min="9163" max="9166" width="13.42578125" style="202" customWidth="1"/>
    <col min="9167" max="9167" width="9.140625" style="202"/>
    <col min="9168" max="9171" width="13.42578125" style="202" customWidth="1"/>
    <col min="9172" max="9172" width="9.140625" style="202"/>
    <col min="9173" max="9176" width="13.42578125" style="202" customWidth="1"/>
    <col min="9177" max="9403" width="9.140625" style="202"/>
    <col min="9404" max="9404" width="11.28515625" style="202" customWidth="1"/>
    <col min="9405" max="9405" width="27.140625" style="202" customWidth="1"/>
    <col min="9406" max="9406" width="13.7109375" style="202" customWidth="1"/>
    <col min="9407" max="9407" width="14.140625" style="202" customWidth="1"/>
    <col min="9408" max="9412" width="13.42578125" style="202" customWidth="1"/>
    <col min="9413" max="9413" width="9.140625" style="202"/>
    <col min="9414" max="9417" width="13.42578125" style="202" customWidth="1"/>
    <col min="9418" max="9418" width="9.140625" style="202"/>
    <col min="9419" max="9422" width="13.42578125" style="202" customWidth="1"/>
    <col min="9423" max="9423" width="9.140625" style="202"/>
    <col min="9424" max="9427" width="13.42578125" style="202" customWidth="1"/>
    <col min="9428" max="9428" width="9.140625" style="202"/>
    <col min="9429" max="9432" width="13.42578125" style="202" customWidth="1"/>
    <col min="9433" max="9659" width="9.140625" style="202"/>
    <col min="9660" max="9660" width="11.28515625" style="202" customWidth="1"/>
    <col min="9661" max="9661" width="27.140625" style="202" customWidth="1"/>
    <col min="9662" max="9662" width="13.7109375" style="202" customWidth="1"/>
    <col min="9663" max="9663" width="14.140625" style="202" customWidth="1"/>
    <col min="9664" max="9668" width="13.42578125" style="202" customWidth="1"/>
    <col min="9669" max="9669" width="9.140625" style="202"/>
    <col min="9670" max="9673" width="13.42578125" style="202" customWidth="1"/>
    <col min="9674" max="9674" width="9.140625" style="202"/>
    <col min="9675" max="9678" width="13.42578125" style="202" customWidth="1"/>
    <col min="9679" max="9679" width="9.140625" style="202"/>
    <col min="9680" max="9683" width="13.42578125" style="202" customWidth="1"/>
    <col min="9684" max="9684" width="9.140625" style="202"/>
    <col min="9685" max="9688" width="13.42578125" style="202" customWidth="1"/>
    <col min="9689" max="9915" width="9.140625" style="202"/>
    <col min="9916" max="9916" width="11.28515625" style="202" customWidth="1"/>
    <col min="9917" max="9917" width="27.140625" style="202" customWidth="1"/>
    <col min="9918" max="9918" width="13.7109375" style="202" customWidth="1"/>
    <col min="9919" max="9919" width="14.140625" style="202" customWidth="1"/>
    <col min="9920" max="9924" width="13.42578125" style="202" customWidth="1"/>
    <col min="9925" max="9925" width="9.140625" style="202"/>
    <col min="9926" max="9929" width="13.42578125" style="202" customWidth="1"/>
    <col min="9930" max="9930" width="9.140625" style="202"/>
    <col min="9931" max="9934" width="13.42578125" style="202" customWidth="1"/>
    <col min="9935" max="9935" width="9.140625" style="202"/>
    <col min="9936" max="9939" width="13.42578125" style="202" customWidth="1"/>
    <col min="9940" max="9940" width="9.140625" style="202"/>
    <col min="9941" max="9944" width="13.42578125" style="202" customWidth="1"/>
    <col min="9945" max="10171" width="9.140625" style="202"/>
    <col min="10172" max="10172" width="11.28515625" style="202" customWidth="1"/>
    <col min="10173" max="10173" width="27.140625" style="202" customWidth="1"/>
    <col min="10174" max="10174" width="13.7109375" style="202" customWidth="1"/>
    <col min="10175" max="10175" width="14.140625" style="202" customWidth="1"/>
    <col min="10176" max="10180" width="13.42578125" style="202" customWidth="1"/>
    <col min="10181" max="10181" width="9.140625" style="202"/>
    <col min="10182" max="10185" width="13.42578125" style="202" customWidth="1"/>
    <col min="10186" max="10186" width="9.140625" style="202"/>
    <col min="10187" max="10190" width="13.42578125" style="202" customWidth="1"/>
    <col min="10191" max="10191" width="9.140625" style="202"/>
    <col min="10192" max="10195" width="13.42578125" style="202" customWidth="1"/>
    <col min="10196" max="10196" width="9.140625" style="202"/>
    <col min="10197" max="10200" width="13.42578125" style="202" customWidth="1"/>
    <col min="10201" max="10427" width="9.140625" style="202"/>
    <col min="10428" max="10428" width="11.28515625" style="202" customWidth="1"/>
    <col min="10429" max="10429" width="27.140625" style="202" customWidth="1"/>
    <col min="10430" max="10430" width="13.7109375" style="202" customWidth="1"/>
    <col min="10431" max="10431" width="14.140625" style="202" customWidth="1"/>
    <col min="10432" max="10436" width="13.42578125" style="202" customWidth="1"/>
    <col min="10437" max="10437" width="9.140625" style="202"/>
    <col min="10438" max="10441" width="13.42578125" style="202" customWidth="1"/>
    <col min="10442" max="10442" width="9.140625" style="202"/>
    <col min="10443" max="10446" width="13.42578125" style="202" customWidth="1"/>
    <col min="10447" max="10447" width="9.140625" style="202"/>
    <col min="10448" max="10451" width="13.42578125" style="202" customWidth="1"/>
    <col min="10452" max="10452" width="9.140625" style="202"/>
    <col min="10453" max="10456" width="13.42578125" style="202" customWidth="1"/>
    <col min="10457" max="10683" width="9.140625" style="202"/>
    <col min="10684" max="10684" width="11.28515625" style="202" customWidth="1"/>
    <col min="10685" max="10685" width="27.140625" style="202" customWidth="1"/>
    <col min="10686" max="10686" width="13.7109375" style="202" customWidth="1"/>
    <col min="10687" max="10687" width="14.140625" style="202" customWidth="1"/>
    <col min="10688" max="10692" width="13.42578125" style="202" customWidth="1"/>
    <col min="10693" max="10693" width="9.140625" style="202"/>
    <col min="10694" max="10697" width="13.42578125" style="202" customWidth="1"/>
    <col min="10698" max="10698" width="9.140625" style="202"/>
    <col min="10699" max="10702" width="13.42578125" style="202" customWidth="1"/>
    <col min="10703" max="10703" width="9.140625" style="202"/>
    <col min="10704" max="10707" width="13.42578125" style="202" customWidth="1"/>
    <col min="10708" max="10708" width="9.140625" style="202"/>
    <col min="10709" max="10712" width="13.42578125" style="202" customWidth="1"/>
    <col min="10713" max="10939" width="9.140625" style="202"/>
    <col min="10940" max="10940" width="11.28515625" style="202" customWidth="1"/>
    <col min="10941" max="10941" width="27.140625" style="202" customWidth="1"/>
    <col min="10942" max="10942" width="13.7109375" style="202" customWidth="1"/>
    <col min="10943" max="10943" width="14.140625" style="202" customWidth="1"/>
    <col min="10944" max="10948" width="13.42578125" style="202" customWidth="1"/>
    <col min="10949" max="10949" width="9.140625" style="202"/>
    <col min="10950" max="10953" width="13.42578125" style="202" customWidth="1"/>
    <col min="10954" max="10954" width="9.140625" style="202"/>
    <col min="10955" max="10958" width="13.42578125" style="202" customWidth="1"/>
    <col min="10959" max="10959" width="9.140625" style="202"/>
    <col min="10960" max="10963" width="13.42578125" style="202" customWidth="1"/>
    <col min="10964" max="10964" width="9.140625" style="202"/>
    <col min="10965" max="10968" width="13.42578125" style="202" customWidth="1"/>
    <col min="10969" max="11195" width="9.140625" style="202"/>
    <col min="11196" max="11196" width="11.28515625" style="202" customWidth="1"/>
    <col min="11197" max="11197" width="27.140625" style="202" customWidth="1"/>
    <col min="11198" max="11198" width="13.7109375" style="202" customWidth="1"/>
    <col min="11199" max="11199" width="14.140625" style="202" customWidth="1"/>
    <col min="11200" max="11204" width="13.42578125" style="202" customWidth="1"/>
    <col min="11205" max="11205" width="9.140625" style="202"/>
    <col min="11206" max="11209" width="13.42578125" style="202" customWidth="1"/>
    <col min="11210" max="11210" width="9.140625" style="202"/>
    <col min="11211" max="11214" width="13.42578125" style="202" customWidth="1"/>
    <col min="11215" max="11215" width="9.140625" style="202"/>
    <col min="11216" max="11219" width="13.42578125" style="202" customWidth="1"/>
    <col min="11220" max="11220" width="9.140625" style="202"/>
    <col min="11221" max="11224" width="13.42578125" style="202" customWidth="1"/>
    <col min="11225" max="11451" width="9.140625" style="202"/>
    <col min="11452" max="11452" width="11.28515625" style="202" customWidth="1"/>
    <col min="11453" max="11453" width="27.140625" style="202" customWidth="1"/>
    <col min="11454" max="11454" width="13.7109375" style="202" customWidth="1"/>
    <col min="11455" max="11455" width="14.140625" style="202" customWidth="1"/>
    <col min="11456" max="11460" width="13.42578125" style="202" customWidth="1"/>
    <col min="11461" max="11461" width="9.140625" style="202"/>
    <col min="11462" max="11465" width="13.42578125" style="202" customWidth="1"/>
    <col min="11466" max="11466" width="9.140625" style="202"/>
    <col min="11467" max="11470" width="13.42578125" style="202" customWidth="1"/>
    <col min="11471" max="11471" width="9.140625" style="202"/>
    <col min="11472" max="11475" width="13.42578125" style="202" customWidth="1"/>
    <col min="11476" max="11476" width="9.140625" style="202"/>
    <col min="11477" max="11480" width="13.42578125" style="202" customWidth="1"/>
    <col min="11481" max="11707" width="9.140625" style="202"/>
    <col min="11708" max="11708" width="11.28515625" style="202" customWidth="1"/>
    <col min="11709" max="11709" width="27.140625" style="202" customWidth="1"/>
    <col min="11710" max="11710" width="13.7109375" style="202" customWidth="1"/>
    <col min="11711" max="11711" width="14.140625" style="202" customWidth="1"/>
    <col min="11712" max="11716" width="13.42578125" style="202" customWidth="1"/>
    <col min="11717" max="11717" width="9.140625" style="202"/>
    <col min="11718" max="11721" width="13.42578125" style="202" customWidth="1"/>
    <col min="11722" max="11722" width="9.140625" style="202"/>
    <col min="11723" max="11726" width="13.42578125" style="202" customWidth="1"/>
    <col min="11727" max="11727" width="9.140625" style="202"/>
    <col min="11728" max="11731" width="13.42578125" style="202" customWidth="1"/>
    <col min="11732" max="11732" width="9.140625" style="202"/>
    <col min="11733" max="11736" width="13.42578125" style="202" customWidth="1"/>
    <col min="11737" max="11963" width="9.140625" style="202"/>
    <col min="11964" max="11964" width="11.28515625" style="202" customWidth="1"/>
    <col min="11965" max="11965" width="27.140625" style="202" customWidth="1"/>
    <col min="11966" max="11966" width="13.7109375" style="202" customWidth="1"/>
    <col min="11967" max="11967" width="14.140625" style="202" customWidth="1"/>
    <col min="11968" max="11972" width="13.42578125" style="202" customWidth="1"/>
    <col min="11973" max="11973" width="9.140625" style="202"/>
    <col min="11974" max="11977" width="13.42578125" style="202" customWidth="1"/>
    <col min="11978" max="11978" width="9.140625" style="202"/>
    <col min="11979" max="11982" width="13.42578125" style="202" customWidth="1"/>
    <col min="11983" max="11983" width="9.140625" style="202"/>
    <col min="11984" max="11987" width="13.42578125" style="202" customWidth="1"/>
    <col min="11988" max="11988" width="9.140625" style="202"/>
    <col min="11989" max="11992" width="13.42578125" style="202" customWidth="1"/>
    <col min="11993" max="12219" width="9.140625" style="202"/>
    <col min="12220" max="12220" width="11.28515625" style="202" customWidth="1"/>
    <col min="12221" max="12221" width="27.140625" style="202" customWidth="1"/>
    <col min="12222" max="12222" width="13.7109375" style="202" customWidth="1"/>
    <col min="12223" max="12223" width="14.140625" style="202" customWidth="1"/>
    <col min="12224" max="12228" width="13.42578125" style="202" customWidth="1"/>
    <col min="12229" max="12229" width="9.140625" style="202"/>
    <col min="12230" max="12233" width="13.42578125" style="202" customWidth="1"/>
    <col min="12234" max="12234" width="9.140625" style="202"/>
    <col min="12235" max="12238" width="13.42578125" style="202" customWidth="1"/>
    <col min="12239" max="12239" width="9.140625" style="202"/>
    <col min="12240" max="12243" width="13.42578125" style="202" customWidth="1"/>
    <col min="12244" max="12244" width="9.140625" style="202"/>
    <col min="12245" max="12248" width="13.42578125" style="202" customWidth="1"/>
    <col min="12249" max="12475" width="9.140625" style="202"/>
    <col min="12476" max="12476" width="11.28515625" style="202" customWidth="1"/>
    <col min="12477" max="12477" width="27.140625" style="202" customWidth="1"/>
    <col min="12478" max="12478" width="13.7109375" style="202" customWidth="1"/>
    <col min="12479" max="12479" width="14.140625" style="202" customWidth="1"/>
    <col min="12480" max="12484" width="13.42578125" style="202" customWidth="1"/>
    <col min="12485" max="12485" width="9.140625" style="202"/>
    <col min="12486" max="12489" width="13.42578125" style="202" customWidth="1"/>
    <col min="12490" max="12490" width="9.140625" style="202"/>
    <col min="12491" max="12494" width="13.42578125" style="202" customWidth="1"/>
    <col min="12495" max="12495" width="9.140625" style="202"/>
    <col min="12496" max="12499" width="13.42578125" style="202" customWidth="1"/>
    <col min="12500" max="12500" width="9.140625" style="202"/>
    <col min="12501" max="12504" width="13.42578125" style="202" customWidth="1"/>
    <col min="12505" max="12731" width="9.140625" style="202"/>
    <col min="12732" max="12732" width="11.28515625" style="202" customWidth="1"/>
    <col min="12733" max="12733" width="27.140625" style="202" customWidth="1"/>
    <col min="12734" max="12734" width="13.7109375" style="202" customWidth="1"/>
    <col min="12735" max="12735" width="14.140625" style="202" customWidth="1"/>
    <col min="12736" max="12740" width="13.42578125" style="202" customWidth="1"/>
    <col min="12741" max="12741" width="9.140625" style="202"/>
    <col min="12742" max="12745" width="13.42578125" style="202" customWidth="1"/>
    <col min="12746" max="12746" width="9.140625" style="202"/>
    <col min="12747" max="12750" width="13.42578125" style="202" customWidth="1"/>
    <col min="12751" max="12751" width="9.140625" style="202"/>
    <col min="12752" max="12755" width="13.42578125" style="202" customWidth="1"/>
    <col min="12756" max="12756" width="9.140625" style="202"/>
    <col min="12757" max="12760" width="13.42578125" style="202" customWidth="1"/>
    <col min="12761" max="12987" width="9.140625" style="202"/>
    <col min="12988" max="12988" width="11.28515625" style="202" customWidth="1"/>
    <col min="12989" max="12989" width="27.140625" style="202" customWidth="1"/>
    <col min="12990" max="12990" width="13.7109375" style="202" customWidth="1"/>
    <col min="12991" max="12991" width="14.140625" style="202" customWidth="1"/>
    <col min="12992" max="12996" width="13.42578125" style="202" customWidth="1"/>
    <col min="12997" max="12997" width="9.140625" style="202"/>
    <col min="12998" max="13001" width="13.42578125" style="202" customWidth="1"/>
    <col min="13002" max="13002" width="9.140625" style="202"/>
    <col min="13003" max="13006" width="13.42578125" style="202" customWidth="1"/>
    <col min="13007" max="13007" width="9.140625" style="202"/>
    <col min="13008" max="13011" width="13.42578125" style="202" customWidth="1"/>
    <col min="13012" max="13012" width="9.140625" style="202"/>
    <col min="13013" max="13016" width="13.42578125" style="202" customWidth="1"/>
    <col min="13017" max="13243" width="9.140625" style="202"/>
    <col min="13244" max="13244" width="11.28515625" style="202" customWidth="1"/>
    <col min="13245" max="13245" width="27.140625" style="202" customWidth="1"/>
    <col min="13246" max="13246" width="13.7109375" style="202" customWidth="1"/>
    <col min="13247" max="13247" width="14.140625" style="202" customWidth="1"/>
    <col min="13248" max="13252" width="13.42578125" style="202" customWidth="1"/>
    <col min="13253" max="13253" width="9.140625" style="202"/>
    <col min="13254" max="13257" width="13.42578125" style="202" customWidth="1"/>
    <col min="13258" max="13258" width="9.140625" style="202"/>
    <col min="13259" max="13262" width="13.42578125" style="202" customWidth="1"/>
    <col min="13263" max="13263" width="9.140625" style="202"/>
    <col min="13264" max="13267" width="13.42578125" style="202" customWidth="1"/>
    <col min="13268" max="13268" width="9.140625" style="202"/>
    <col min="13269" max="13272" width="13.42578125" style="202" customWidth="1"/>
    <col min="13273" max="13499" width="9.140625" style="202"/>
    <col min="13500" max="13500" width="11.28515625" style="202" customWidth="1"/>
    <col min="13501" max="13501" width="27.140625" style="202" customWidth="1"/>
    <col min="13502" max="13502" width="13.7109375" style="202" customWidth="1"/>
    <col min="13503" max="13503" width="14.140625" style="202" customWidth="1"/>
    <col min="13504" max="13508" width="13.42578125" style="202" customWidth="1"/>
    <col min="13509" max="13509" width="9.140625" style="202"/>
    <col min="13510" max="13513" width="13.42578125" style="202" customWidth="1"/>
    <col min="13514" max="13514" width="9.140625" style="202"/>
    <col min="13515" max="13518" width="13.42578125" style="202" customWidth="1"/>
    <col min="13519" max="13519" width="9.140625" style="202"/>
    <col min="13520" max="13523" width="13.42578125" style="202" customWidth="1"/>
    <col min="13524" max="13524" width="9.140625" style="202"/>
    <col min="13525" max="13528" width="13.42578125" style="202" customWidth="1"/>
    <col min="13529" max="13755" width="9.140625" style="202"/>
    <col min="13756" max="13756" width="11.28515625" style="202" customWidth="1"/>
    <col min="13757" max="13757" width="27.140625" style="202" customWidth="1"/>
    <col min="13758" max="13758" width="13.7109375" style="202" customWidth="1"/>
    <col min="13759" max="13759" width="14.140625" style="202" customWidth="1"/>
    <col min="13760" max="13764" width="13.42578125" style="202" customWidth="1"/>
    <col min="13765" max="13765" width="9.140625" style="202"/>
    <col min="13766" max="13769" width="13.42578125" style="202" customWidth="1"/>
    <col min="13770" max="13770" width="9.140625" style="202"/>
    <col min="13771" max="13774" width="13.42578125" style="202" customWidth="1"/>
    <col min="13775" max="13775" width="9.140625" style="202"/>
    <col min="13776" max="13779" width="13.42578125" style="202" customWidth="1"/>
    <col min="13780" max="13780" width="9.140625" style="202"/>
    <col min="13781" max="13784" width="13.42578125" style="202" customWidth="1"/>
    <col min="13785" max="14011" width="9.140625" style="202"/>
    <col min="14012" max="14012" width="11.28515625" style="202" customWidth="1"/>
    <col min="14013" max="14013" width="27.140625" style="202" customWidth="1"/>
    <col min="14014" max="14014" width="13.7109375" style="202" customWidth="1"/>
    <col min="14015" max="14015" width="14.140625" style="202" customWidth="1"/>
    <col min="14016" max="14020" width="13.42578125" style="202" customWidth="1"/>
    <col min="14021" max="14021" width="9.140625" style="202"/>
    <col min="14022" max="14025" width="13.42578125" style="202" customWidth="1"/>
    <col min="14026" max="14026" width="9.140625" style="202"/>
    <col min="14027" max="14030" width="13.42578125" style="202" customWidth="1"/>
    <col min="14031" max="14031" width="9.140625" style="202"/>
    <col min="14032" max="14035" width="13.42578125" style="202" customWidth="1"/>
    <col min="14036" max="14036" width="9.140625" style="202"/>
    <col min="14037" max="14040" width="13.42578125" style="202" customWidth="1"/>
    <col min="14041" max="14267" width="9.140625" style="202"/>
    <col min="14268" max="14268" width="11.28515625" style="202" customWidth="1"/>
    <col min="14269" max="14269" width="27.140625" style="202" customWidth="1"/>
    <col min="14270" max="14270" width="13.7109375" style="202" customWidth="1"/>
    <col min="14271" max="14271" width="14.140625" style="202" customWidth="1"/>
    <col min="14272" max="14276" width="13.42578125" style="202" customWidth="1"/>
    <col min="14277" max="14277" width="9.140625" style="202"/>
    <col min="14278" max="14281" width="13.42578125" style="202" customWidth="1"/>
    <col min="14282" max="14282" width="9.140625" style="202"/>
    <col min="14283" max="14286" width="13.42578125" style="202" customWidth="1"/>
    <col min="14287" max="14287" width="9.140625" style="202"/>
    <col min="14288" max="14291" width="13.42578125" style="202" customWidth="1"/>
    <col min="14292" max="14292" width="9.140625" style="202"/>
    <col min="14293" max="14296" width="13.42578125" style="202" customWidth="1"/>
    <col min="14297" max="14523" width="9.140625" style="202"/>
    <col min="14524" max="14524" width="11.28515625" style="202" customWidth="1"/>
    <col min="14525" max="14525" width="27.140625" style="202" customWidth="1"/>
    <col min="14526" max="14526" width="13.7109375" style="202" customWidth="1"/>
    <col min="14527" max="14527" width="14.140625" style="202" customWidth="1"/>
    <col min="14528" max="14532" width="13.42578125" style="202" customWidth="1"/>
    <col min="14533" max="14533" width="9.140625" style="202"/>
    <col min="14534" max="14537" width="13.42578125" style="202" customWidth="1"/>
    <col min="14538" max="14538" width="9.140625" style="202"/>
    <col min="14539" max="14542" width="13.42578125" style="202" customWidth="1"/>
    <col min="14543" max="14543" width="9.140625" style="202"/>
    <col min="14544" max="14547" width="13.42578125" style="202" customWidth="1"/>
    <col min="14548" max="14548" width="9.140625" style="202"/>
    <col min="14549" max="14552" width="13.42578125" style="202" customWidth="1"/>
    <col min="14553" max="14779" width="9.140625" style="202"/>
    <col min="14780" max="14780" width="11.28515625" style="202" customWidth="1"/>
    <col min="14781" max="14781" width="27.140625" style="202" customWidth="1"/>
    <col min="14782" max="14782" width="13.7109375" style="202" customWidth="1"/>
    <col min="14783" max="14783" width="14.140625" style="202" customWidth="1"/>
    <col min="14784" max="14788" width="13.42578125" style="202" customWidth="1"/>
    <col min="14789" max="14789" width="9.140625" style="202"/>
    <col min="14790" max="14793" width="13.42578125" style="202" customWidth="1"/>
    <col min="14794" max="14794" width="9.140625" style="202"/>
    <col min="14795" max="14798" width="13.42578125" style="202" customWidth="1"/>
    <col min="14799" max="14799" width="9.140625" style="202"/>
    <col min="14800" max="14803" width="13.42578125" style="202" customWidth="1"/>
    <col min="14804" max="14804" width="9.140625" style="202"/>
    <col min="14805" max="14808" width="13.42578125" style="202" customWidth="1"/>
    <col min="14809" max="15035" width="9.140625" style="202"/>
    <col min="15036" max="15036" width="11.28515625" style="202" customWidth="1"/>
    <col min="15037" max="15037" width="27.140625" style="202" customWidth="1"/>
    <col min="15038" max="15038" width="13.7109375" style="202" customWidth="1"/>
    <col min="15039" max="15039" width="14.140625" style="202" customWidth="1"/>
    <col min="15040" max="15044" width="13.42578125" style="202" customWidth="1"/>
    <col min="15045" max="15045" width="9.140625" style="202"/>
    <col min="15046" max="15049" width="13.42578125" style="202" customWidth="1"/>
    <col min="15050" max="15050" width="9.140625" style="202"/>
    <col min="15051" max="15054" width="13.42578125" style="202" customWidth="1"/>
    <col min="15055" max="15055" width="9.140625" style="202"/>
    <col min="15056" max="15059" width="13.42578125" style="202" customWidth="1"/>
    <col min="15060" max="15060" width="9.140625" style="202"/>
    <col min="15061" max="15064" width="13.42578125" style="202" customWidth="1"/>
    <col min="15065" max="15291" width="9.140625" style="202"/>
    <col min="15292" max="15292" width="11.28515625" style="202" customWidth="1"/>
    <col min="15293" max="15293" width="27.140625" style="202" customWidth="1"/>
    <col min="15294" max="15294" width="13.7109375" style="202" customWidth="1"/>
    <col min="15295" max="15295" width="14.140625" style="202" customWidth="1"/>
    <col min="15296" max="15300" width="13.42578125" style="202" customWidth="1"/>
    <col min="15301" max="15301" width="9.140625" style="202"/>
    <col min="15302" max="15305" width="13.42578125" style="202" customWidth="1"/>
    <col min="15306" max="15306" width="9.140625" style="202"/>
    <col min="15307" max="15310" width="13.42578125" style="202" customWidth="1"/>
    <col min="15311" max="15311" width="9.140625" style="202"/>
    <col min="15312" max="15315" width="13.42578125" style="202" customWidth="1"/>
    <col min="15316" max="15316" width="9.140625" style="202"/>
    <col min="15317" max="15320" width="13.42578125" style="202" customWidth="1"/>
    <col min="15321" max="15547" width="9.140625" style="202"/>
    <col min="15548" max="15548" width="11.28515625" style="202" customWidth="1"/>
    <col min="15549" max="15549" width="27.140625" style="202" customWidth="1"/>
    <col min="15550" max="15550" width="13.7109375" style="202" customWidth="1"/>
    <col min="15551" max="15551" width="14.140625" style="202" customWidth="1"/>
    <col min="15552" max="15556" width="13.42578125" style="202" customWidth="1"/>
    <col min="15557" max="15557" width="9.140625" style="202"/>
    <col min="15558" max="15561" width="13.42578125" style="202" customWidth="1"/>
    <col min="15562" max="15562" width="9.140625" style="202"/>
    <col min="15563" max="15566" width="13.42578125" style="202" customWidth="1"/>
    <col min="15567" max="15567" width="9.140625" style="202"/>
    <col min="15568" max="15571" width="13.42578125" style="202" customWidth="1"/>
    <col min="15572" max="15572" width="9.140625" style="202"/>
    <col min="15573" max="15576" width="13.42578125" style="202" customWidth="1"/>
    <col min="15577" max="15803" width="9.140625" style="202"/>
    <col min="15804" max="15804" width="11.28515625" style="202" customWidth="1"/>
    <col min="15805" max="15805" width="27.140625" style="202" customWidth="1"/>
    <col min="15806" max="15806" width="13.7109375" style="202" customWidth="1"/>
    <col min="15807" max="15807" width="14.140625" style="202" customWidth="1"/>
    <col min="15808" max="15812" width="13.42578125" style="202" customWidth="1"/>
    <col min="15813" max="15813" width="9.140625" style="202"/>
    <col min="15814" max="15817" width="13.42578125" style="202" customWidth="1"/>
    <col min="15818" max="15818" width="9.140625" style="202"/>
    <col min="15819" max="15822" width="13.42578125" style="202" customWidth="1"/>
    <col min="15823" max="15823" width="9.140625" style="202"/>
    <col min="15824" max="15827" width="13.42578125" style="202" customWidth="1"/>
    <col min="15828" max="15828" width="9.140625" style="202"/>
    <col min="15829" max="15832" width="13.42578125" style="202" customWidth="1"/>
    <col min="15833" max="16059" width="9.140625" style="202"/>
    <col min="16060" max="16060" width="11.28515625" style="202" customWidth="1"/>
    <col min="16061" max="16061" width="27.140625" style="202" customWidth="1"/>
    <col min="16062" max="16062" width="13.7109375" style="202" customWidth="1"/>
    <col min="16063" max="16063" width="14.140625" style="202" customWidth="1"/>
    <col min="16064" max="16068" width="13.42578125" style="202" customWidth="1"/>
    <col min="16069" max="16069" width="9.140625" style="202"/>
    <col min="16070" max="16073" width="13.42578125" style="202" customWidth="1"/>
    <col min="16074" max="16074" width="9.140625" style="202"/>
    <col min="16075" max="16078" width="13.42578125" style="202" customWidth="1"/>
    <col min="16079" max="16079" width="9.140625" style="202"/>
    <col min="16080" max="16083" width="13.42578125" style="202" customWidth="1"/>
    <col min="16084" max="16084" width="9.140625" style="202"/>
    <col min="16085" max="16088" width="13.42578125" style="202" customWidth="1"/>
    <col min="16089" max="16384" width="9.140625" style="202"/>
  </cols>
  <sheetData>
    <row r="1" spans="1:11" ht="22.5" hidden="1" customHeight="1" outlineLevel="1" x14ac:dyDescent="0.3">
      <c r="A1" s="223"/>
      <c r="B1" s="201" t="s">
        <v>125</v>
      </c>
    </row>
    <row r="2" spans="1:11" ht="17.25" hidden="1" outlineLevel="1" thickBot="1" x14ac:dyDescent="0.35">
      <c r="A2" s="224" t="s">
        <v>93</v>
      </c>
      <c r="B2" s="201" t="s">
        <v>94</v>
      </c>
    </row>
    <row r="3" spans="1:11" ht="33" hidden="1" customHeight="1" outlineLevel="1" thickBot="1" x14ac:dyDescent="0.35">
      <c r="A3" s="224"/>
      <c r="F3" s="387" t="s">
        <v>95</v>
      </c>
      <c r="G3" s="389"/>
      <c r="I3" s="387" t="s">
        <v>96</v>
      </c>
      <c r="J3" s="389"/>
    </row>
    <row r="4" spans="1:11" ht="33" hidden="1" customHeight="1" outlineLevel="1" x14ac:dyDescent="0.3">
      <c r="A4" s="224"/>
      <c r="B4" s="390" t="s">
        <v>67</v>
      </c>
      <c r="C4" s="392" t="s">
        <v>98</v>
      </c>
      <c r="D4" s="225" t="s">
        <v>99</v>
      </c>
      <c r="E4" s="225"/>
      <c r="F4" s="394" t="s">
        <v>101</v>
      </c>
      <c r="G4" s="395"/>
      <c r="I4" s="390" t="s">
        <v>101</v>
      </c>
      <c r="J4" s="395"/>
    </row>
    <row r="5" spans="1:11" ht="17.25" hidden="1" outlineLevel="1" thickBot="1" x14ac:dyDescent="0.35">
      <c r="A5" s="224"/>
      <c r="B5" s="391"/>
      <c r="C5" s="393"/>
      <c r="D5" s="226" t="s">
        <v>102</v>
      </c>
      <c r="E5" s="226"/>
      <c r="F5" s="226" t="s">
        <v>65</v>
      </c>
      <c r="G5" s="227" t="s">
        <v>66</v>
      </c>
      <c r="I5" s="274" t="s">
        <v>65</v>
      </c>
      <c r="J5" s="227" t="s">
        <v>66</v>
      </c>
    </row>
    <row r="6" spans="1:11" hidden="1" outlineLevel="1" x14ac:dyDescent="0.3">
      <c r="A6" s="224"/>
      <c r="B6" s="203" t="s">
        <v>67</v>
      </c>
      <c r="C6" s="204" t="s">
        <v>63</v>
      </c>
      <c r="D6" s="228">
        <v>100</v>
      </c>
      <c r="E6" s="228"/>
      <c r="F6" s="229">
        <f>'100'!L$47</f>
        <v>5.9899999999999949</v>
      </c>
      <c r="G6" s="230">
        <f>'100'!M$47</f>
        <v>0.38506418936466819</v>
      </c>
      <c r="H6" s="272"/>
      <c r="I6" s="231">
        <f>'100'!R$47</f>
        <v>0.12684160000000588</v>
      </c>
      <c r="J6" s="230">
        <f>'100'!S$47</f>
        <v>5.8870553621285134E-3</v>
      </c>
      <c r="K6" s="272"/>
    </row>
    <row r="7" spans="1:11" hidden="1" outlineLevel="1" x14ac:dyDescent="0.3">
      <c r="A7" s="224"/>
      <c r="B7" s="209" t="s">
        <v>67</v>
      </c>
      <c r="C7" s="210" t="s">
        <v>63</v>
      </c>
      <c r="D7" s="232">
        <v>250</v>
      </c>
      <c r="E7" s="232"/>
      <c r="F7" s="233">
        <f>'250'!L$47</f>
        <v>5.7950000000000017</v>
      </c>
      <c r="G7" s="234">
        <f>'250'!M$47</f>
        <v>0.31675979058324266</v>
      </c>
      <c r="H7" s="272"/>
      <c r="I7" s="235">
        <f>'250'!R$47</f>
        <v>0.30210399999999993</v>
      </c>
      <c r="J7" s="234">
        <f>'250'!S$47</f>
        <v>1.2540837090829992E-2</v>
      </c>
      <c r="K7" s="272"/>
    </row>
    <row r="8" spans="1:11" hidden="1" outlineLevel="1" x14ac:dyDescent="0.3">
      <c r="A8" s="224"/>
      <c r="B8" s="209" t="s">
        <v>67</v>
      </c>
      <c r="C8" s="210" t="s">
        <v>63</v>
      </c>
      <c r="D8" s="232">
        <v>308.87099999999998</v>
      </c>
      <c r="E8" s="232"/>
      <c r="F8" s="233">
        <f>'10th Percentile'!L47</f>
        <v>5.7184676999999908</v>
      </c>
      <c r="G8" s="234">
        <f>'10th Percentile'!M47</f>
        <v>0.2952302991098073</v>
      </c>
      <c r="H8" s="272"/>
      <c r="I8" s="235">
        <f>'10th Percentile'!R47</f>
        <v>0.37088981833600343</v>
      </c>
      <c r="J8" s="234">
        <f>'10th Percentile'!S47</f>
        <v>1.4783564829611686E-2</v>
      </c>
      <c r="K8" s="272"/>
    </row>
    <row r="9" spans="1:11" hidden="1" outlineLevel="1" x14ac:dyDescent="0.3">
      <c r="A9" s="224"/>
      <c r="B9" s="209" t="s">
        <v>67</v>
      </c>
      <c r="C9" s="210" t="s">
        <v>63</v>
      </c>
      <c r="D9" s="238">
        <v>500</v>
      </c>
      <c r="E9" s="232"/>
      <c r="F9" s="233">
        <f>'500'!L$47</f>
        <v>5.4699999999999953</v>
      </c>
      <c r="G9" s="234">
        <f>'500'!M$47</f>
        <v>0.23929054509248757</v>
      </c>
      <c r="H9" s="272"/>
      <c r="I9" s="235">
        <f>'500'!R$47</f>
        <v>0.59420799999999829</v>
      </c>
      <c r="J9" s="234">
        <f>'500'!S$47</f>
        <v>2.0975077340585149E-2</v>
      </c>
      <c r="K9" s="272"/>
    </row>
    <row r="10" spans="1:11" hidden="1" outlineLevel="1" x14ac:dyDescent="0.3">
      <c r="A10" s="224"/>
      <c r="B10" s="209" t="s">
        <v>67</v>
      </c>
      <c r="C10" s="210" t="s">
        <v>63</v>
      </c>
      <c r="D10" s="238">
        <v>750</v>
      </c>
      <c r="E10" s="232"/>
      <c r="F10" s="233">
        <f>'Summary Tables'!G6</f>
        <v>5.144999999999996</v>
      </c>
      <c r="G10" s="234">
        <f>'Summary Tables'!I6</f>
        <v>0.18761035098633075</v>
      </c>
      <c r="I10" s="235">
        <f>'Summary Tables'!K6</f>
        <v>0.88631199999999666</v>
      </c>
      <c r="J10" s="234">
        <f>'Summary Tables'!L6</f>
        <v>2.7213479378768456E-2</v>
      </c>
    </row>
    <row r="11" spans="1:11" hidden="1" outlineLevel="1" x14ac:dyDescent="0.3">
      <c r="A11" s="224"/>
      <c r="B11" s="209" t="s">
        <v>67</v>
      </c>
      <c r="C11" s="210" t="s">
        <v>63</v>
      </c>
      <c r="D11" s="238">
        <v>1000</v>
      </c>
      <c r="E11" s="232"/>
      <c r="F11" s="233">
        <f>'1000'!L$47</f>
        <v>4.8199999999999967</v>
      </c>
      <c r="G11" s="234">
        <f>'1000'!M$47</f>
        <v>0.15067924452803</v>
      </c>
      <c r="I11" s="235">
        <f>'1000'!R$47</f>
        <v>1.1784159999999915</v>
      </c>
      <c r="J11" s="234">
        <f>'1000'!S$47</f>
        <v>3.201479659035069E-2</v>
      </c>
    </row>
    <row r="12" spans="1:11" hidden="1" outlineLevel="1" x14ac:dyDescent="0.3">
      <c r="A12" s="224"/>
      <c r="B12" s="209" t="s">
        <v>67</v>
      </c>
      <c r="C12" s="210" t="s">
        <v>63</v>
      </c>
      <c r="D12" s="238">
        <v>1500</v>
      </c>
      <c r="E12" s="232"/>
      <c r="F12" s="233">
        <f>'1500'!L$47</f>
        <v>4.1699999999999946</v>
      </c>
      <c r="G12" s="234">
        <f>'1500'!M$47</f>
        <v>0.10141612910443465</v>
      </c>
      <c r="I12" s="235">
        <f>'1500'!R$47</f>
        <v>1.7626239999999953</v>
      </c>
      <c r="J12" s="234">
        <f>'1500'!S$47</f>
        <v>3.8920572729207729E-2</v>
      </c>
    </row>
    <row r="13" spans="1:11" ht="17.25" hidden="1" outlineLevel="1" thickBot="1" x14ac:dyDescent="0.35">
      <c r="A13" s="224"/>
      <c r="B13" s="216" t="s">
        <v>67</v>
      </c>
      <c r="C13" s="217" t="s">
        <v>63</v>
      </c>
      <c r="D13" s="240">
        <v>2000</v>
      </c>
      <c r="E13" s="240"/>
      <c r="F13" s="241">
        <f>'2000'!L$47</f>
        <v>3.5199999999999889</v>
      </c>
      <c r="G13" s="242">
        <f>'2000'!M$47</f>
        <v>7.0053989335872036E-2</v>
      </c>
      <c r="I13" s="243">
        <f>'2000'!R$47</f>
        <v>2.3468319999999778</v>
      </c>
      <c r="J13" s="242">
        <f>'2000'!S$47</f>
        <v>4.3648218162231571E-2</v>
      </c>
    </row>
    <row r="14" spans="1:11" hidden="1" outlineLevel="1" x14ac:dyDescent="0.3">
      <c r="A14" s="224"/>
    </row>
    <row r="15" spans="1:11" hidden="1" outlineLevel="1" x14ac:dyDescent="0.3">
      <c r="A15" s="224" t="s">
        <v>106</v>
      </c>
      <c r="B15" s="201" t="s">
        <v>107</v>
      </c>
    </row>
    <row r="16" spans="1:11" ht="17.25" hidden="1" outlineLevel="1" thickBot="1" x14ac:dyDescent="0.35">
      <c r="A16" s="224"/>
      <c r="F16" s="374"/>
      <c r="G16" s="374"/>
    </row>
    <row r="17" spans="1:11" ht="33" hidden="1" customHeight="1" outlineLevel="1" x14ac:dyDescent="0.3">
      <c r="A17" s="224"/>
      <c r="B17" s="377" t="s">
        <v>97</v>
      </c>
      <c r="C17" s="379" t="s">
        <v>98</v>
      </c>
      <c r="D17" s="225" t="s">
        <v>99</v>
      </c>
      <c r="E17" s="225"/>
      <c r="F17" s="381" t="s">
        <v>108</v>
      </c>
      <c r="G17" s="373"/>
      <c r="I17" s="372" t="s">
        <v>108</v>
      </c>
      <c r="J17" s="373"/>
    </row>
    <row r="18" spans="1:11" ht="17.25" hidden="1" outlineLevel="1" thickBot="1" x14ac:dyDescent="0.35">
      <c r="A18" s="224"/>
      <c r="B18" s="378"/>
      <c r="C18" s="380"/>
      <c r="D18" s="226" t="s">
        <v>102</v>
      </c>
      <c r="E18" s="226"/>
      <c r="F18" s="226" t="s">
        <v>65</v>
      </c>
      <c r="G18" s="227" t="s">
        <v>66</v>
      </c>
      <c r="I18" s="274" t="s">
        <v>65</v>
      </c>
      <c r="J18" s="227" t="s">
        <v>66</v>
      </c>
    </row>
    <row r="19" spans="1:11" hidden="1" outlineLevel="1" x14ac:dyDescent="0.3">
      <c r="A19" s="224"/>
      <c r="B19" s="203" t="str">
        <f t="shared" ref="B19:D26" si="0">B6</f>
        <v>Residential</v>
      </c>
      <c r="C19" s="204" t="str">
        <f t="shared" si="0"/>
        <v>kWh</v>
      </c>
      <c r="D19" s="205">
        <f t="shared" si="0"/>
        <v>100</v>
      </c>
      <c r="E19" s="205"/>
      <c r="F19" s="206">
        <f>'100'!L$50</f>
        <v>5.9899999999999949</v>
      </c>
      <c r="G19" s="207">
        <f>'100'!M$50</f>
        <v>0.35770754965371904</v>
      </c>
      <c r="H19" s="272"/>
      <c r="I19" s="208">
        <f>'100'!R$50</f>
        <v>0.18144660000000457</v>
      </c>
      <c r="J19" s="207">
        <f>'100'!S$50</f>
        <v>7.9807532907866068E-3</v>
      </c>
      <c r="K19" s="272"/>
    </row>
    <row r="20" spans="1:11" hidden="1" outlineLevel="1" x14ac:dyDescent="0.3">
      <c r="A20" s="224"/>
      <c r="B20" s="209" t="str">
        <f t="shared" si="0"/>
        <v>Residential</v>
      </c>
      <c r="C20" s="210" t="str">
        <f t="shared" si="0"/>
        <v>kWh</v>
      </c>
      <c r="D20" s="211">
        <f t="shared" si="0"/>
        <v>250</v>
      </c>
      <c r="E20" s="211"/>
      <c r="F20" s="212">
        <f>'250'!L$50</f>
        <v>5.7950000000000017</v>
      </c>
      <c r="G20" s="213">
        <f>'250'!M$50</f>
        <v>0.27246473503509794</v>
      </c>
      <c r="H20" s="272"/>
      <c r="I20" s="214">
        <f>'250'!R$50</f>
        <v>0.43861649999999841</v>
      </c>
      <c r="J20" s="213">
        <f>'250'!S$50</f>
        <v>1.620675509164771E-2</v>
      </c>
      <c r="K20" s="272"/>
    </row>
    <row r="21" spans="1:11" hidden="1" outlineLevel="1" x14ac:dyDescent="0.3">
      <c r="A21" s="224"/>
      <c r="B21" s="209" t="str">
        <f t="shared" si="0"/>
        <v>Residential</v>
      </c>
      <c r="C21" s="210" t="str">
        <f t="shared" si="0"/>
        <v>kWh</v>
      </c>
      <c r="D21" s="211">
        <f t="shared" si="0"/>
        <v>308.87099999999998</v>
      </c>
      <c r="E21" s="211"/>
      <c r="F21" s="212">
        <f>'10th Percentile'!L50</f>
        <v>5.7184676999999908</v>
      </c>
      <c r="G21" s="213">
        <f>'10th Percentile'!M50</f>
        <v>0.24815348156077913</v>
      </c>
      <c r="H21" s="272"/>
      <c r="I21" s="214">
        <f>'10th Percentile'!R50</f>
        <v>0.53954882788600145</v>
      </c>
      <c r="J21" s="213">
        <f>'10th Percentile'!S50</f>
        <v>1.8758731239604108E-2</v>
      </c>
      <c r="K21" s="272"/>
    </row>
    <row r="22" spans="1:11" hidden="1" outlineLevel="1" x14ac:dyDescent="0.3">
      <c r="A22" s="224"/>
      <c r="B22" s="209" t="str">
        <f t="shared" si="0"/>
        <v>Residential</v>
      </c>
      <c r="C22" s="210" t="str">
        <f t="shared" si="0"/>
        <v>kWh</v>
      </c>
      <c r="D22" s="215">
        <f t="shared" si="0"/>
        <v>500</v>
      </c>
      <c r="E22" s="211"/>
      <c r="F22" s="212">
        <f>'500'!L$50</f>
        <v>5.4699999999999989</v>
      </c>
      <c r="G22" s="213">
        <f>'500'!M$50</f>
        <v>0.18988034934512973</v>
      </c>
      <c r="H22" s="272"/>
      <c r="I22" s="214">
        <f>'500'!R$50</f>
        <v>0.8672329999999917</v>
      </c>
      <c r="J22" s="213">
        <f>'500'!S$50</f>
        <v>2.5300272495621175E-2</v>
      </c>
      <c r="K22" s="272"/>
    </row>
    <row r="23" spans="1:11" hidden="1" outlineLevel="1" x14ac:dyDescent="0.3">
      <c r="A23" s="224"/>
      <c r="B23" s="209" t="str">
        <f t="shared" si="0"/>
        <v>Residential</v>
      </c>
      <c r="C23" s="210" t="str">
        <f t="shared" si="0"/>
        <v>kWh</v>
      </c>
      <c r="D23" s="215">
        <f t="shared" si="0"/>
        <v>750</v>
      </c>
      <c r="E23" s="211"/>
      <c r="F23" s="212">
        <f>'Summary Tables'!G18</f>
        <v>5.144999999999996</v>
      </c>
      <c r="G23" s="213">
        <f>'Summary Tables'!I18</f>
        <v>0.14155450925053206</v>
      </c>
      <c r="I23" s="214">
        <f>'Summary Tables'!K18</f>
        <v>1.2958495000000028</v>
      </c>
      <c r="J23" s="213">
        <f>'Summary Tables'!L18</f>
        <v>3.1231744344267856E-2</v>
      </c>
    </row>
    <row r="24" spans="1:11" hidden="1" outlineLevel="1" x14ac:dyDescent="0.3">
      <c r="A24" s="224"/>
      <c r="B24" s="209" t="str">
        <f t="shared" si="0"/>
        <v>Residential</v>
      </c>
      <c r="C24" s="210" t="str">
        <f t="shared" si="0"/>
        <v>kWh</v>
      </c>
      <c r="D24" s="215">
        <f t="shared" si="0"/>
        <v>1000</v>
      </c>
      <c r="E24" s="211"/>
      <c r="F24" s="212">
        <f>'1000'!L$50</f>
        <v>4.82</v>
      </c>
      <c r="G24" s="213">
        <f>'1000'!M$50</f>
        <v>0.10983194117929883</v>
      </c>
      <c r="I24" s="214">
        <f>'1000'!R$50</f>
        <v>1.7244659999999854</v>
      </c>
      <c r="J24" s="213">
        <f>'1000'!S$50</f>
        <v>3.5406177118966188E-2</v>
      </c>
    </row>
    <row r="25" spans="1:11" hidden="1" outlineLevel="1" x14ac:dyDescent="0.3">
      <c r="A25" s="224"/>
      <c r="B25" s="209" t="str">
        <f t="shared" si="0"/>
        <v>Residential</v>
      </c>
      <c r="C25" s="210" t="str">
        <f t="shared" si="0"/>
        <v>kWh</v>
      </c>
      <c r="D25" s="215">
        <f t="shared" si="0"/>
        <v>1500</v>
      </c>
      <c r="E25" s="211"/>
      <c r="F25" s="212">
        <f>'1500'!L$50</f>
        <v>4.1699999999999946</v>
      </c>
      <c r="G25" s="213">
        <f>'1500'!M$50</f>
        <v>7.0722503298475417E-2</v>
      </c>
      <c r="I25" s="214">
        <f>'1500'!R$50</f>
        <v>2.5816989999999933</v>
      </c>
      <c r="J25" s="213">
        <f>'1500'!S$50</f>
        <v>4.0893119896624232E-2</v>
      </c>
    </row>
    <row r="26" spans="1:11" ht="17.25" hidden="1" outlineLevel="1" thickBot="1" x14ac:dyDescent="0.35">
      <c r="A26" s="224"/>
      <c r="B26" s="216" t="str">
        <f t="shared" si="0"/>
        <v>Residential</v>
      </c>
      <c r="C26" s="217" t="str">
        <f t="shared" si="0"/>
        <v>kWh</v>
      </c>
      <c r="D26" s="218">
        <f t="shared" si="0"/>
        <v>2000</v>
      </c>
      <c r="E26" s="218"/>
      <c r="F26" s="219">
        <f>'2000'!L$50</f>
        <v>3.519999999999996</v>
      </c>
      <c r="G26" s="220">
        <f>'2000'!M$50</f>
        <v>4.7541573890815862E-2</v>
      </c>
      <c r="I26" s="221">
        <f>'2000'!R$50</f>
        <v>3.4389319999999657</v>
      </c>
      <c r="J26" s="220">
        <f>'2000'!S$50</f>
        <v>4.4338726201468712E-2</v>
      </c>
    </row>
    <row r="27" spans="1:11" hidden="1" outlineLevel="1" x14ac:dyDescent="0.3">
      <c r="A27" s="224"/>
    </row>
    <row r="28" spans="1:11" hidden="1" outlineLevel="1" x14ac:dyDescent="0.3">
      <c r="A28" s="224"/>
    </row>
    <row r="29" spans="1:11" hidden="1" outlineLevel="1" x14ac:dyDescent="0.3">
      <c r="A29" s="224" t="s">
        <v>109</v>
      </c>
      <c r="B29" s="201" t="s">
        <v>110</v>
      </c>
    </row>
    <row r="30" spans="1:11" ht="17.25" hidden="1" outlineLevel="1" thickBot="1" x14ac:dyDescent="0.35">
      <c r="F30" s="374">
        <v>2016</v>
      </c>
      <c r="G30" s="374"/>
      <c r="I30" s="409">
        <v>2017</v>
      </c>
      <c r="J30" s="409"/>
    </row>
    <row r="31" spans="1:11" ht="33" hidden="1" customHeight="1" outlineLevel="1" x14ac:dyDescent="0.3">
      <c r="B31" s="377" t="s">
        <v>97</v>
      </c>
      <c r="C31" s="379" t="s">
        <v>98</v>
      </c>
      <c r="D31" s="225" t="s">
        <v>99</v>
      </c>
      <c r="E31" s="225"/>
      <c r="F31" s="381" t="s">
        <v>111</v>
      </c>
      <c r="G31" s="373"/>
      <c r="I31" s="372" t="s">
        <v>111</v>
      </c>
      <c r="J31" s="373"/>
    </row>
    <row r="32" spans="1:11" ht="17.25" hidden="1" outlineLevel="1" thickBot="1" x14ac:dyDescent="0.35">
      <c r="B32" s="378"/>
      <c r="C32" s="380"/>
      <c r="D32" s="226" t="s">
        <v>102</v>
      </c>
      <c r="E32" s="226"/>
      <c r="F32" s="226" t="s">
        <v>65</v>
      </c>
      <c r="G32" s="227" t="s">
        <v>66</v>
      </c>
      <c r="I32" s="274" t="s">
        <v>65</v>
      </c>
      <c r="J32" s="227" t="s">
        <v>66</v>
      </c>
    </row>
    <row r="33" spans="1:10" hidden="1" outlineLevel="1" x14ac:dyDescent="0.3">
      <c r="B33" s="203" t="str">
        <f t="shared" ref="B33:D40" si="1">B19</f>
        <v>Residential</v>
      </c>
      <c r="C33" s="204" t="str">
        <f t="shared" si="1"/>
        <v>kWh</v>
      </c>
      <c r="D33" s="205">
        <f t="shared" si="1"/>
        <v>100</v>
      </c>
      <c r="E33" s="205"/>
      <c r="F33" s="206">
        <f>'100'!L$65</f>
        <v>6.7686999999999955</v>
      </c>
      <c r="G33" s="207">
        <f>'100'!M$65</f>
        <v>0.208011910366105</v>
      </c>
      <c r="I33" s="208">
        <f>'100'!R$65</f>
        <v>0.20636353800001217</v>
      </c>
      <c r="J33" s="207">
        <f>'100'!S$65</f>
        <v>5.2498232931536062E-3</v>
      </c>
    </row>
    <row r="34" spans="1:10" hidden="1" outlineLevel="1" x14ac:dyDescent="0.3">
      <c r="B34" s="209" t="str">
        <f t="shared" si="1"/>
        <v>Residential</v>
      </c>
      <c r="C34" s="210" t="str">
        <f t="shared" si="1"/>
        <v>kWh</v>
      </c>
      <c r="D34" s="211">
        <f t="shared" si="1"/>
        <v>250</v>
      </c>
      <c r="E34" s="211"/>
      <c r="F34" s="212">
        <f>'250'!L$65</f>
        <v>6.5483499999999992</v>
      </c>
      <c r="G34" s="213">
        <f>'250'!M$65</f>
        <v>0.11358052663340852</v>
      </c>
      <c r="I34" s="214">
        <f>'250'!R$65</f>
        <v>0.49895884499998999</v>
      </c>
      <c r="J34" s="213">
        <f>'250'!S$65</f>
        <v>7.7716832579231756E-3</v>
      </c>
    </row>
    <row r="35" spans="1:10" hidden="1" outlineLevel="1" x14ac:dyDescent="0.3">
      <c r="B35" s="209" t="str">
        <f t="shared" si="1"/>
        <v>Residential</v>
      </c>
      <c r="C35" s="210" t="str">
        <f t="shared" si="1"/>
        <v>kWh</v>
      </c>
      <c r="D35" s="211">
        <f t="shared" si="1"/>
        <v>308.87099999999998</v>
      </c>
      <c r="E35" s="211"/>
      <c r="F35" s="212">
        <f>'10th Percentile'!L65</f>
        <v>6.4618685009999979</v>
      </c>
      <c r="G35" s="213">
        <f>'10th Percentile'!M65</f>
        <v>9.5716745868944034E-2</v>
      </c>
      <c r="I35" s="214">
        <f>'10th Percentile'!R65</f>
        <v>0.61379470045596918</v>
      </c>
      <c r="J35" s="213">
        <f>'10th Percentile'!S65</f>
        <v>8.2976410710129071E-3</v>
      </c>
    </row>
    <row r="36" spans="1:10" hidden="1" outlineLevel="1" x14ac:dyDescent="0.3">
      <c r="A36" s="202"/>
      <c r="B36" s="209" t="str">
        <f t="shared" si="1"/>
        <v>Residential</v>
      </c>
      <c r="C36" s="210" t="str">
        <f t="shared" si="1"/>
        <v>kWh</v>
      </c>
      <c r="D36" s="211">
        <f t="shared" si="1"/>
        <v>500</v>
      </c>
      <c r="E36" s="211"/>
      <c r="F36" s="212">
        <f>'500'!L$65</f>
        <v>6.1811000000000007</v>
      </c>
      <c r="G36" s="213">
        <f>'500'!M$65</f>
        <v>6.2115229087096928E-2</v>
      </c>
      <c r="I36" s="214">
        <f>'500'!R$65</f>
        <v>0.98661769000000277</v>
      </c>
      <c r="J36" s="213">
        <f>'500'!S$65</f>
        <v>9.3348981430340684E-3</v>
      </c>
    </row>
    <row r="37" spans="1:10" hidden="1" outlineLevel="1" x14ac:dyDescent="0.3">
      <c r="A37" s="202"/>
      <c r="B37" s="209" t="str">
        <f t="shared" si="1"/>
        <v>Residential</v>
      </c>
      <c r="C37" s="210" t="str">
        <f t="shared" si="1"/>
        <v>kWh</v>
      </c>
      <c r="D37" s="211">
        <f t="shared" si="1"/>
        <v>750</v>
      </c>
      <c r="E37" s="211"/>
      <c r="F37" s="212">
        <f>'Summary Tables'!G31</f>
        <v>5.8138500000000022</v>
      </c>
      <c r="G37" s="213">
        <f>'Summary Tables'!I31</f>
        <v>4.1126043048775499E-2</v>
      </c>
      <c r="I37" s="214">
        <f>'Summary Tables'!K31</f>
        <v>1.4742765349999729</v>
      </c>
      <c r="J37" s="213">
        <f>'Summary Tables'!L31</f>
        <v>1.0016794088763109E-2</v>
      </c>
    </row>
    <row r="38" spans="1:10" hidden="1" outlineLevel="1" x14ac:dyDescent="0.3">
      <c r="A38" s="202"/>
      <c r="B38" s="209" t="str">
        <f t="shared" si="1"/>
        <v>Residential</v>
      </c>
      <c r="C38" s="210" t="str">
        <f t="shared" si="1"/>
        <v>kWh</v>
      </c>
      <c r="D38" s="211">
        <f t="shared" si="1"/>
        <v>1000</v>
      </c>
      <c r="E38" s="211"/>
      <c r="F38" s="212">
        <f>'1000'!L$65</f>
        <v>5.4465999999999894</v>
      </c>
      <c r="G38" s="213">
        <f>'1000'!M$65</f>
        <v>2.9726611385859501E-2</v>
      </c>
      <c r="I38" s="214">
        <f>'1000'!R$65</f>
        <v>1.9619353799999715</v>
      </c>
      <c r="J38" s="213">
        <f>'1000'!S$65</f>
        <v>1.0398787093862083E-2</v>
      </c>
    </row>
    <row r="39" spans="1:10" hidden="1" outlineLevel="1" x14ac:dyDescent="0.3">
      <c r="A39" s="202"/>
      <c r="B39" s="209" t="str">
        <f t="shared" si="1"/>
        <v>Residential</v>
      </c>
      <c r="C39" s="210" t="str">
        <f t="shared" si="1"/>
        <v>kWh</v>
      </c>
      <c r="D39" s="211">
        <f t="shared" si="1"/>
        <v>1500</v>
      </c>
      <c r="E39" s="211"/>
      <c r="F39" s="212">
        <f>'1500'!L$65</f>
        <v>4.712099999999964</v>
      </c>
      <c r="G39" s="213">
        <f>'1500'!M$65</f>
        <v>1.7693751458037119E-2</v>
      </c>
      <c r="I39" s="214">
        <f>'1500'!R$65</f>
        <v>2.937253069999997</v>
      </c>
      <c r="J39" s="213">
        <f>'1500'!S$65</f>
        <v>1.0837514272674979E-2</v>
      </c>
    </row>
    <row r="40" spans="1:10" ht="17.25" hidden="1" outlineLevel="1" thickBot="1" x14ac:dyDescent="0.35">
      <c r="A40" s="202"/>
      <c r="B40" s="216" t="str">
        <f t="shared" si="1"/>
        <v>Residential</v>
      </c>
      <c r="C40" s="217" t="str">
        <f t="shared" si="1"/>
        <v>kWh</v>
      </c>
      <c r="D40" s="218">
        <f t="shared" si="1"/>
        <v>2000</v>
      </c>
      <c r="E40" s="218"/>
      <c r="F40" s="219">
        <f>'2000'!L$65</f>
        <v>3.9776000000000522</v>
      </c>
      <c r="G40" s="220">
        <f>'2000'!M$65</f>
        <v>1.1383902179163626E-2</v>
      </c>
      <c r="I40" s="221">
        <f>'2000'!R$65</f>
        <v>3.9125707599999373</v>
      </c>
      <c r="J40" s="220">
        <f>'2000'!S$65</f>
        <v>1.1071748611639259E-2</v>
      </c>
    </row>
    <row r="41" spans="1:10" collapsed="1" x14ac:dyDescent="0.3"/>
    <row r="43" spans="1:10" ht="17.25" thickBot="1" x14ac:dyDescent="0.35">
      <c r="A43" s="202"/>
      <c r="B43" s="201" t="s">
        <v>92</v>
      </c>
    </row>
    <row r="44" spans="1:10" ht="33" x14ac:dyDescent="0.3">
      <c r="A44" s="202"/>
      <c r="B44" s="375" t="s">
        <v>97</v>
      </c>
      <c r="C44" s="266" t="s">
        <v>118</v>
      </c>
      <c r="D44" s="266" t="s">
        <v>124</v>
      </c>
      <c r="E44" s="266"/>
      <c r="F44" s="383" t="s">
        <v>117</v>
      </c>
      <c r="G44" s="385"/>
    </row>
    <row r="45" spans="1:10" ht="17.25" thickBot="1" x14ac:dyDescent="0.35">
      <c r="A45" s="202"/>
      <c r="B45" s="376"/>
      <c r="C45" s="267" t="s">
        <v>119</v>
      </c>
      <c r="D45" s="267" t="s">
        <v>120</v>
      </c>
      <c r="E45" s="267"/>
      <c r="F45" s="254">
        <v>2016</v>
      </c>
      <c r="G45" s="255">
        <v>2017</v>
      </c>
    </row>
    <row r="46" spans="1:10" x14ac:dyDescent="0.3">
      <c r="A46" s="202"/>
      <c r="B46" s="209" t="s">
        <v>67</v>
      </c>
      <c r="C46" s="263" t="s">
        <v>63</v>
      </c>
      <c r="D46" s="268">
        <v>100</v>
      </c>
      <c r="E46" s="268"/>
      <c r="F46" s="257">
        <f t="shared" ref="F46:F53" si="2">G6</f>
        <v>0.38506418936466819</v>
      </c>
      <c r="G46" s="258">
        <f t="shared" ref="G46:G53" si="3">J6</f>
        <v>5.8870553621285134E-3</v>
      </c>
    </row>
    <row r="47" spans="1:10" x14ac:dyDescent="0.3">
      <c r="A47" s="202"/>
      <c r="B47" s="209" t="s">
        <v>67</v>
      </c>
      <c r="C47" s="264" t="s">
        <v>63</v>
      </c>
      <c r="D47" s="269">
        <v>250</v>
      </c>
      <c r="E47" s="269"/>
      <c r="F47" s="259">
        <f t="shared" si="2"/>
        <v>0.31675979058324266</v>
      </c>
      <c r="G47" s="260">
        <f t="shared" si="3"/>
        <v>1.2540837090829992E-2</v>
      </c>
    </row>
    <row r="48" spans="1:10" x14ac:dyDescent="0.3">
      <c r="A48" s="202"/>
      <c r="B48" s="209" t="s">
        <v>135</v>
      </c>
      <c r="C48" s="264" t="s">
        <v>63</v>
      </c>
      <c r="D48" s="269">
        <f>D8</f>
        <v>308.87099999999998</v>
      </c>
      <c r="E48" s="269"/>
      <c r="F48" s="259">
        <f t="shared" si="2"/>
        <v>0.2952302991098073</v>
      </c>
      <c r="G48" s="260">
        <f t="shared" si="3"/>
        <v>1.4783564829611686E-2</v>
      </c>
    </row>
    <row r="49" spans="1:7" x14ac:dyDescent="0.3">
      <c r="A49" s="202"/>
      <c r="B49" s="209" t="s">
        <v>67</v>
      </c>
      <c r="C49" s="264" t="s">
        <v>63</v>
      </c>
      <c r="D49" s="269">
        <v>500</v>
      </c>
      <c r="E49" s="269"/>
      <c r="F49" s="259">
        <f t="shared" si="2"/>
        <v>0.23929054509248757</v>
      </c>
      <c r="G49" s="260">
        <f t="shared" si="3"/>
        <v>2.0975077340585149E-2</v>
      </c>
    </row>
    <row r="50" spans="1:7" x14ac:dyDescent="0.3">
      <c r="A50" s="202"/>
      <c r="B50" s="209" t="s">
        <v>67</v>
      </c>
      <c r="C50" s="264" t="s">
        <v>63</v>
      </c>
      <c r="D50" s="269">
        <v>750</v>
      </c>
      <c r="E50" s="269"/>
      <c r="F50" s="259">
        <f t="shared" si="2"/>
        <v>0.18761035098633075</v>
      </c>
      <c r="G50" s="260">
        <f t="shared" si="3"/>
        <v>2.7213479378768456E-2</v>
      </c>
    </row>
    <row r="51" spans="1:7" x14ac:dyDescent="0.3">
      <c r="A51" s="202"/>
      <c r="B51" s="209" t="s">
        <v>67</v>
      </c>
      <c r="C51" s="264" t="s">
        <v>63</v>
      </c>
      <c r="D51" s="269">
        <v>1000</v>
      </c>
      <c r="E51" s="269"/>
      <c r="F51" s="259">
        <f t="shared" si="2"/>
        <v>0.15067924452803</v>
      </c>
      <c r="G51" s="260">
        <f t="shared" si="3"/>
        <v>3.201479659035069E-2</v>
      </c>
    </row>
    <row r="52" spans="1:7" x14ac:dyDescent="0.3">
      <c r="A52" s="202"/>
      <c r="B52" s="209" t="s">
        <v>67</v>
      </c>
      <c r="C52" s="264" t="s">
        <v>63</v>
      </c>
      <c r="D52" s="269">
        <v>1500</v>
      </c>
      <c r="E52" s="269"/>
      <c r="F52" s="259">
        <f t="shared" si="2"/>
        <v>0.10141612910443465</v>
      </c>
      <c r="G52" s="260">
        <f t="shared" si="3"/>
        <v>3.8920572729207729E-2</v>
      </c>
    </row>
    <row r="53" spans="1:7" ht="17.25" thickBot="1" x14ac:dyDescent="0.35">
      <c r="A53" s="202"/>
      <c r="B53" s="209" t="s">
        <v>67</v>
      </c>
      <c r="C53" s="264" t="s">
        <v>63</v>
      </c>
      <c r="D53" s="269">
        <v>2000</v>
      </c>
      <c r="E53" s="269"/>
      <c r="F53" s="259">
        <f t="shared" si="2"/>
        <v>7.0053989335872036E-2</v>
      </c>
      <c r="G53" s="260">
        <f t="shared" si="3"/>
        <v>4.3648218162231571E-2</v>
      </c>
    </row>
    <row r="54" spans="1:7" ht="17.25" thickBot="1" x14ac:dyDescent="0.35">
      <c r="A54" s="202"/>
      <c r="B54" s="256" t="s">
        <v>116</v>
      </c>
      <c r="C54" s="265"/>
      <c r="D54" s="265"/>
      <c r="E54" s="265"/>
      <c r="F54" s="261">
        <f>AVERAGE(F46:F53)</f>
        <v>0.21826306726310915</v>
      </c>
      <c r="G54" s="262">
        <f t="shared" ref="G54" si="4">AVERAGE(G46:G53)</f>
        <v>2.4497950185464225E-2</v>
      </c>
    </row>
    <row r="56" spans="1:7" ht="17.25" thickBot="1" x14ac:dyDescent="0.35">
      <c r="A56" s="202"/>
    </row>
    <row r="57" spans="1:7" ht="33" x14ac:dyDescent="0.3">
      <c r="A57" s="202"/>
      <c r="B57" s="375" t="s">
        <v>97</v>
      </c>
      <c r="C57" s="266" t="s">
        <v>118</v>
      </c>
      <c r="D57" s="266" t="s">
        <v>124</v>
      </c>
      <c r="E57" s="266"/>
      <c r="F57" s="383" t="s">
        <v>110</v>
      </c>
      <c r="G57" s="385"/>
    </row>
    <row r="58" spans="1:7" ht="17.25" thickBot="1" x14ac:dyDescent="0.35">
      <c r="A58" s="202"/>
      <c r="B58" s="376"/>
      <c r="C58" s="267" t="s">
        <v>119</v>
      </c>
      <c r="D58" s="267" t="s">
        <v>120</v>
      </c>
      <c r="E58" s="267"/>
      <c r="F58" s="254">
        <v>2016</v>
      </c>
      <c r="G58" s="255">
        <v>2017</v>
      </c>
    </row>
    <row r="59" spans="1:7" x14ac:dyDescent="0.3">
      <c r="A59" s="202"/>
      <c r="B59" s="209" t="s">
        <v>67</v>
      </c>
      <c r="C59" s="263" t="s">
        <v>63</v>
      </c>
      <c r="D59" s="268">
        <v>100</v>
      </c>
      <c r="E59" s="268"/>
      <c r="F59" s="257">
        <f t="shared" ref="F59:F66" si="5">G33</f>
        <v>0.208011910366105</v>
      </c>
      <c r="G59" s="258">
        <f t="shared" ref="G59:G66" si="6">J33</f>
        <v>5.2498232931536062E-3</v>
      </c>
    </row>
    <row r="60" spans="1:7" x14ac:dyDescent="0.3">
      <c r="A60" s="202"/>
      <c r="B60" s="209" t="s">
        <v>67</v>
      </c>
      <c r="C60" s="264" t="s">
        <v>63</v>
      </c>
      <c r="D60" s="269">
        <v>250</v>
      </c>
      <c r="E60" s="269"/>
      <c r="F60" s="259">
        <f t="shared" si="5"/>
        <v>0.11358052663340852</v>
      </c>
      <c r="G60" s="260">
        <f t="shared" si="6"/>
        <v>7.7716832579231756E-3</v>
      </c>
    </row>
    <row r="61" spans="1:7" x14ac:dyDescent="0.3">
      <c r="A61" s="202"/>
      <c r="B61" s="321" t="s">
        <v>135</v>
      </c>
      <c r="C61" s="322" t="s">
        <v>63</v>
      </c>
      <c r="D61" s="323">
        <f>D8</f>
        <v>308.87099999999998</v>
      </c>
      <c r="E61" s="323"/>
      <c r="F61" s="324">
        <f t="shared" si="5"/>
        <v>9.5716745868944034E-2</v>
      </c>
      <c r="G61" s="325">
        <f t="shared" si="6"/>
        <v>8.2976410710129071E-3</v>
      </c>
    </row>
    <row r="62" spans="1:7" x14ac:dyDescent="0.3">
      <c r="A62" s="202"/>
      <c r="B62" s="209" t="s">
        <v>67</v>
      </c>
      <c r="C62" s="264" t="s">
        <v>63</v>
      </c>
      <c r="D62" s="269">
        <v>500</v>
      </c>
      <c r="E62" s="269"/>
      <c r="F62" s="259">
        <f t="shared" si="5"/>
        <v>6.2115229087096928E-2</v>
      </c>
      <c r="G62" s="260">
        <f t="shared" si="6"/>
        <v>9.3348981430340684E-3</v>
      </c>
    </row>
    <row r="63" spans="1:7" x14ac:dyDescent="0.3">
      <c r="A63" s="202"/>
      <c r="B63" s="209" t="s">
        <v>67</v>
      </c>
      <c r="C63" s="264" t="s">
        <v>63</v>
      </c>
      <c r="D63" s="269">
        <v>750</v>
      </c>
      <c r="E63" s="269"/>
      <c r="F63" s="259">
        <f t="shared" si="5"/>
        <v>4.1126043048775499E-2</v>
      </c>
      <c r="G63" s="260">
        <f t="shared" si="6"/>
        <v>1.0016794088763109E-2</v>
      </c>
    </row>
    <row r="64" spans="1:7" x14ac:dyDescent="0.3">
      <c r="A64" s="202"/>
      <c r="B64" s="209" t="s">
        <v>67</v>
      </c>
      <c r="C64" s="264" t="s">
        <v>63</v>
      </c>
      <c r="D64" s="269">
        <v>1000</v>
      </c>
      <c r="E64" s="269"/>
      <c r="F64" s="259">
        <f t="shared" si="5"/>
        <v>2.9726611385859501E-2</v>
      </c>
      <c r="G64" s="260">
        <f t="shared" si="6"/>
        <v>1.0398787093862083E-2</v>
      </c>
    </row>
    <row r="65" spans="1:7" x14ac:dyDescent="0.3">
      <c r="A65" s="202"/>
      <c r="B65" s="209" t="s">
        <v>67</v>
      </c>
      <c r="C65" s="264" t="s">
        <v>63</v>
      </c>
      <c r="D65" s="269">
        <v>1500</v>
      </c>
      <c r="E65" s="269"/>
      <c r="F65" s="259">
        <f t="shared" si="5"/>
        <v>1.7693751458037119E-2</v>
      </c>
      <c r="G65" s="260">
        <f t="shared" si="6"/>
        <v>1.0837514272674979E-2</v>
      </c>
    </row>
    <row r="66" spans="1:7" ht="17.25" thickBot="1" x14ac:dyDescent="0.35">
      <c r="A66" s="202"/>
      <c r="B66" s="209" t="s">
        <v>67</v>
      </c>
      <c r="C66" s="264" t="s">
        <v>63</v>
      </c>
      <c r="D66" s="269">
        <v>2000</v>
      </c>
      <c r="E66" s="269"/>
      <c r="F66" s="259">
        <f t="shared" si="5"/>
        <v>1.1383902179163626E-2</v>
      </c>
      <c r="G66" s="260">
        <f t="shared" si="6"/>
        <v>1.1071748611639259E-2</v>
      </c>
    </row>
    <row r="67" spans="1:7" ht="17.25" thickBot="1" x14ac:dyDescent="0.35">
      <c r="A67" s="202"/>
      <c r="B67" s="256" t="s">
        <v>116</v>
      </c>
      <c r="C67" s="265"/>
      <c r="D67" s="265"/>
      <c r="E67" s="265"/>
      <c r="F67" s="261">
        <f>AVERAGE(F59:F66)</f>
        <v>7.2419340003423774E-2</v>
      </c>
      <c r="G67" s="262">
        <f t="shared" ref="G67" si="7">AVERAGE(G59:G66)</f>
        <v>9.1223612290078984E-3</v>
      </c>
    </row>
  </sheetData>
  <mergeCells count="21">
    <mergeCell ref="B57:B58"/>
    <mergeCell ref="B44:B45"/>
    <mergeCell ref="F44:G44"/>
    <mergeCell ref="F57:G57"/>
    <mergeCell ref="F30:G30"/>
    <mergeCell ref="I30:J30"/>
    <mergeCell ref="B31:B32"/>
    <mergeCell ref="C31:C32"/>
    <mergeCell ref="F31:G31"/>
    <mergeCell ref="I31:J31"/>
    <mergeCell ref="F16:G16"/>
    <mergeCell ref="B17:B18"/>
    <mergeCell ref="C17:C18"/>
    <mergeCell ref="F17:G17"/>
    <mergeCell ref="I17:J17"/>
    <mergeCell ref="F3:G3"/>
    <mergeCell ref="I3:J3"/>
    <mergeCell ref="B4:B5"/>
    <mergeCell ref="C4:C5"/>
    <mergeCell ref="F4:G4"/>
    <mergeCell ref="I4:J4"/>
  </mergeCells>
  <conditionalFormatting sqref="G38:G40">
    <cfRule type="expression" dxfId="5" priority="5" stopIfTrue="1">
      <formula>ABS(G38)&gt;0.1</formula>
    </cfRule>
  </conditionalFormatting>
  <conditionalFormatting sqref="J34:J40">
    <cfRule type="expression" dxfId="4" priority="4" stopIfTrue="1">
      <formula>ABS(J34)&gt;0.1</formula>
    </cfRule>
  </conditionalFormatting>
  <pageMargins left="0.7" right="0.7" top="0.75" bottom="0.75" header="0.3" footer="0.3"/>
  <pageSetup scale="68" orientation="landscape" r:id="rId1"/>
  <rowBreaks count="1" manualBreakCount="1">
    <brk id="41" max="18" man="1"/>
  </rowBreaks>
  <colBreaks count="1" manualBreakCount="1">
    <brk id="10" min="41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16" zoomScale="60" zoomScaleNormal="70" workbookViewId="0">
      <selection activeCell="F19" sqref="F19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100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100</v>
      </c>
      <c r="F29" s="16">
        <f>IF(A29&lt;&gt;"",VLOOKUP(A29,[4]Rates!$A$1:$R$65536,12,FALSE),0)</f>
        <v>1.4E-2</v>
      </c>
      <c r="G29" s="18">
        <f t="shared" si="0"/>
        <v>1.4000000000000001</v>
      </c>
      <c r="H29" s="38"/>
      <c r="I29" s="16">
        <f>IF($A29&lt;&gt;"",VLOOKUP($A29,[4]Rates!$A$1:$R$65536,14,FALSE),0)</f>
        <v>1.54E-2</v>
      </c>
      <c r="J29" s="18">
        <f t="shared" si="1"/>
        <v>1.54</v>
      </c>
      <c r="K29" s="38"/>
      <c r="L29" s="167">
        <f t="shared" si="2"/>
        <v>0.1399999999999999</v>
      </c>
      <c r="M29" s="123">
        <f t="shared" si="3"/>
        <v>9.9999999999999922E-2</v>
      </c>
      <c r="N29" s="38"/>
      <c r="O29" s="16">
        <f>IF($A29&lt;&gt;"",VLOOKUP($A29,[4]Rates!$A$1:$R$65536,15,FALSE),0)</f>
        <v>1.32E-2</v>
      </c>
      <c r="P29" s="18">
        <f t="shared" si="4"/>
        <v>1.32</v>
      </c>
      <c r="Q29" s="38"/>
      <c r="R29" s="167">
        <f t="shared" si="5"/>
        <v>-0.21999999999999997</v>
      </c>
      <c r="S29" s="123">
        <f t="shared" si="6"/>
        <v>-0.14285714285714285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100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100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100</v>
      </c>
      <c r="F32" s="301">
        <f>IF(A32&lt;&gt;"",VLOOKUP(A32,[4]Rates!$A$1:$R$65536,12,FALSE),0)</f>
        <v>1E-4</v>
      </c>
      <c r="G32" s="296">
        <f t="shared" si="0"/>
        <v>0.01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-0.01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100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14.35</v>
      </c>
      <c r="H39" s="38"/>
      <c r="I39" s="26"/>
      <c r="J39" s="28">
        <f>SUM(J23:J38)</f>
        <v>20.599999999999994</v>
      </c>
      <c r="K39" s="38"/>
      <c r="L39" s="168">
        <f t="shared" si="2"/>
        <v>6.2499999999999947</v>
      </c>
      <c r="M39" s="124">
        <f>IF((G39)=0,"",(L39/G39))</f>
        <v>0.43554006968641079</v>
      </c>
      <c r="N39" s="38"/>
      <c r="O39" s="26"/>
      <c r="P39" s="28">
        <f>SUM(P23:P38)</f>
        <v>20.39</v>
      </c>
      <c r="Q39" s="38"/>
      <c r="R39" s="168">
        <f t="shared" si="5"/>
        <v>-0.20999999999999375</v>
      </c>
      <c r="S39" s="124">
        <f t="shared" si="6"/>
        <v>-1.0194174757281252E-2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100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100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0.03</v>
      </c>
      <c r="Q41" s="21"/>
      <c r="R41" s="167">
        <f t="shared" si="5"/>
        <v>0.03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100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-0.26</v>
      </c>
      <c r="K42" s="21"/>
      <c r="L42" s="167">
        <f t="shared" si="2"/>
        <v>-0.26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0.26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100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100</v>
      </c>
      <c r="F44" s="16">
        <f>IF(A44&lt;&gt;"",VLOOKUP(A44,[4]Rates!$A$1:$R$65536,12,FALSE),0)</f>
        <v>2.9999999999999997E-4</v>
      </c>
      <c r="G44" s="18">
        <f t="shared" si="9"/>
        <v>0.03</v>
      </c>
      <c r="H44" s="38"/>
      <c r="I44" s="16">
        <f>IF($A44&lt;&gt;"",VLOOKUP($A44,[4]Rates!$A$1:$R$65536,14,FALSE),0)</f>
        <v>2.9999999999999997E-4</v>
      </c>
      <c r="J44" s="18">
        <f t="shared" si="11"/>
        <v>0.03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0.05</v>
      </c>
      <c r="Q44" s="38"/>
      <c r="R44" s="167">
        <f t="shared" si="5"/>
        <v>2.0000000000000004E-2</v>
      </c>
      <c r="S44" s="123">
        <f t="shared" si="6"/>
        <v>0.66666666666666685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3.4500000000000028</v>
      </c>
      <c r="F45" s="32">
        <f>IF(ISBLANK(D16)=TRUE, 0, IF(D16="TOU", 0.64*$F$55+0.18*$F$56+0.18*$F$57, IF(AND(D16="non-TOU", E59&gt;0), F59,F58)))</f>
        <v>0.11183999999999999</v>
      </c>
      <c r="G45" s="18">
        <f>E45*F45</f>
        <v>0.3858480000000003</v>
      </c>
      <c r="H45" s="90">
        <f>$F$18*(1+$O$74)-$F$18</f>
        <v>3.6899999999999977</v>
      </c>
      <c r="I45" s="32">
        <f>0.64*$F$55+0.18*$F$56+0.18*$F$57</f>
        <v>0.11183999999999999</v>
      </c>
      <c r="J45" s="18">
        <f>$E45*I45</f>
        <v>0.3858480000000003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0.41268959999999971</v>
      </c>
      <c r="Q45" s="38"/>
      <c r="R45" s="169">
        <f t="shared" si="5"/>
        <v>2.684159999999941E-2</v>
      </c>
      <c r="S45" s="123">
        <f t="shared" si="6"/>
        <v>6.9565217391302767E-2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15.555848000000001</v>
      </c>
      <c r="H47" s="38"/>
      <c r="I47" s="35"/>
      <c r="J47" s="37">
        <f>SUM(J40:J46)+J39</f>
        <v>21.545847999999996</v>
      </c>
      <c r="K47" s="38"/>
      <c r="L47" s="170">
        <f t="shared" si="2"/>
        <v>5.9899999999999949</v>
      </c>
      <c r="M47" s="125">
        <f>IF((G47)=0,"",(L47/G47))</f>
        <v>0.38506418936466819</v>
      </c>
      <c r="N47" s="38"/>
      <c r="O47" s="35"/>
      <c r="P47" s="37">
        <f>SUM(P40:P46)+P39</f>
        <v>21.672689600000002</v>
      </c>
      <c r="Q47" s="38"/>
      <c r="R47" s="170">
        <f t="shared" si="5"/>
        <v>0.12684160000000588</v>
      </c>
      <c r="S47" s="125">
        <f>IF((J47)=0,"",(R47/J47))</f>
        <v>5.8870553621285134E-3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103.45</v>
      </c>
      <c r="F48" s="20">
        <f>IF(A48&lt;&gt;"",VLOOKUP(A48,[4]Rates!$A$1:$R$65536,12,FALSE),0)</f>
        <v>8.0000000000000002E-3</v>
      </c>
      <c r="G48" s="18">
        <f>E48*F48</f>
        <v>0.8276</v>
      </c>
      <c r="H48" s="39">
        <f>F18*(1+O74)</f>
        <v>103.69</v>
      </c>
      <c r="I48" s="20">
        <f>IF($A48&lt;&gt;"",VLOOKUP($A48,[4]Rates!$A$1:$R$65536,14,FALSE),0)</f>
        <v>8.0000000000000002E-3</v>
      </c>
      <c r="J48" s="18">
        <f>$E48*I48</f>
        <v>0.8276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0.85025800000000007</v>
      </c>
      <c r="Q48" s="38"/>
      <c r="R48" s="171">
        <f t="shared" si="5"/>
        <v>2.2658000000000067E-2</v>
      </c>
      <c r="S48" s="123">
        <f t="shared" si="6"/>
        <v>2.7377960367327293E-2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103.45</v>
      </c>
      <c r="F49" s="20">
        <f>IF(A49&lt;&gt;"",VLOOKUP(A49,[4]Rates!$A$1:$R$65536,12,FALSE),0)</f>
        <v>3.5000000000000001E-3</v>
      </c>
      <c r="G49" s="18">
        <f>E49*F49</f>
        <v>0.36207500000000004</v>
      </c>
      <c r="H49" s="39">
        <f>H48</f>
        <v>103.69</v>
      </c>
      <c r="I49" s="20">
        <f>IF($A49&lt;&gt;"",VLOOKUP($A49,[4]Rates!$A$1:$R$65536,14,FALSE),0)</f>
        <v>3.5000000000000001E-3</v>
      </c>
      <c r="J49" s="18">
        <f>$E49*I49</f>
        <v>0.36207500000000004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0.39402199999999998</v>
      </c>
      <c r="Q49" s="38"/>
      <c r="R49" s="171">
        <f t="shared" si="5"/>
        <v>3.1946999999999948E-2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16.745523000000002</v>
      </c>
      <c r="H50" s="109"/>
      <c r="I50" s="41"/>
      <c r="J50" s="37">
        <f>SUM(J47:J49)</f>
        <v>22.735522999999997</v>
      </c>
      <c r="K50" s="109"/>
      <c r="L50" s="172">
        <f t="shared" si="2"/>
        <v>5.9899999999999949</v>
      </c>
      <c r="M50" s="125">
        <f t="shared" si="13"/>
        <v>0.35770754965371904</v>
      </c>
      <c r="N50" s="109"/>
      <c r="O50" s="41"/>
      <c r="P50" s="37">
        <f>SUM(P47:P49)</f>
        <v>22.916969600000002</v>
      </c>
      <c r="Q50" s="109"/>
      <c r="R50" s="172">
        <f t="shared" si="5"/>
        <v>0.18144660000000457</v>
      </c>
      <c r="S50" s="125">
        <f t="shared" si="6"/>
        <v>7.9807532907866068E-3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103.45</v>
      </c>
      <c r="F51" s="43">
        <v>3.5999999999999999E-3</v>
      </c>
      <c r="G51" s="44">
        <f t="shared" ref="G51:G59" si="14">E51*F51</f>
        <v>0.37241999999999997</v>
      </c>
      <c r="H51" s="39">
        <f>H49</f>
        <v>103.69</v>
      </c>
      <c r="I51" s="43">
        <v>3.5999999999999999E-3</v>
      </c>
      <c r="J51" s="44">
        <f>$E51*I51</f>
        <v>0.37241999999999997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0.373284</v>
      </c>
      <c r="Q51" s="17"/>
      <c r="R51" s="173">
        <f>P51-J51</f>
        <v>8.6400000000003141E-4</v>
      </c>
      <c r="S51" s="126">
        <f t="shared" si="6"/>
        <v>2.3199613339778516E-3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103.45</v>
      </c>
      <c r="F52" s="43">
        <v>1.2999999999999999E-3</v>
      </c>
      <c r="G52" s="44">
        <f t="shared" si="14"/>
        <v>0.13448499999999999</v>
      </c>
      <c r="H52" s="39">
        <f>H49</f>
        <v>103.69</v>
      </c>
      <c r="I52" s="43">
        <v>1.2999999999999999E-3</v>
      </c>
      <c r="J52" s="44">
        <f>$E52*I52</f>
        <v>0.13448499999999999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0.134797</v>
      </c>
      <c r="Q52" s="17"/>
      <c r="R52" s="173">
        <f t="shared" si="5"/>
        <v>3.1200000000000672E-4</v>
      </c>
      <c r="S52" s="126">
        <f t="shared" si="6"/>
        <v>2.3199613339778169E-3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100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64</v>
      </c>
      <c r="F55" s="46">
        <v>8.6999999999999994E-2</v>
      </c>
      <c r="G55" s="44">
        <f t="shared" si="14"/>
        <v>5.5679999999999996</v>
      </c>
      <c r="H55" s="17"/>
      <c r="I55" s="46">
        <f>F55</f>
        <v>8.6999999999999994E-2</v>
      </c>
      <c r="J55" s="44">
        <f t="shared" si="15"/>
        <v>5.5679999999999996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5.5679999999999996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18</v>
      </c>
      <c r="F56" s="46">
        <v>0.13200000000000001</v>
      </c>
      <c r="G56" s="44">
        <f t="shared" si="14"/>
        <v>2.3760000000000003</v>
      </c>
      <c r="H56" s="17"/>
      <c r="I56" s="46">
        <f t="shared" ref="I56:I59" si="17">F56</f>
        <v>0.13200000000000001</v>
      </c>
      <c r="J56" s="44">
        <f t="shared" si="15"/>
        <v>2.3760000000000003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2.3760000000000003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18</v>
      </c>
      <c r="F57" s="46">
        <v>0.18</v>
      </c>
      <c r="G57" s="44">
        <f t="shared" si="14"/>
        <v>3.2399999999999998</v>
      </c>
      <c r="H57" s="17"/>
      <c r="I57" s="46">
        <f t="shared" si="17"/>
        <v>0.18</v>
      </c>
      <c r="J57" s="44">
        <f t="shared" si="15"/>
        <v>3.2399999999999998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3.2399999999999998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</v>
      </c>
      <c r="F58" s="43">
        <v>1.1000000000000001E-3</v>
      </c>
      <c r="G58" s="44">
        <f t="shared" si="14"/>
        <v>0.11</v>
      </c>
      <c r="H58" s="110"/>
      <c r="I58" s="43">
        <v>1.1000000000000001E-3</v>
      </c>
      <c r="J58" s="44">
        <f>$E58*I58</f>
        <v>0.11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0.11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28.796427999999999</v>
      </c>
      <c r="H61" s="57"/>
      <c r="I61" s="56"/>
      <c r="J61" s="58">
        <f>SUM(J51:J58,J50)</f>
        <v>34.786427999999994</v>
      </c>
      <c r="K61" s="57"/>
      <c r="L61" s="176">
        <f>J61-G61</f>
        <v>5.9899999999999949</v>
      </c>
      <c r="M61" s="128">
        <f>IF((G61)=0,"",(L61/G61))</f>
        <v>0.20801191036610497</v>
      </c>
      <c r="N61" s="57"/>
      <c r="O61" s="56"/>
      <c r="P61" s="58">
        <f>SUM(P51:P58,P50)</f>
        <v>34.969050600000003</v>
      </c>
      <c r="Q61" s="57"/>
      <c r="R61" s="176">
        <f>P61-J61</f>
        <v>0.18262260000000907</v>
      </c>
      <c r="S61" s="128">
        <f>IF((J61)=0,"",(R61/J61))</f>
        <v>5.2498232931535568E-3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3.7435356400000002</v>
      </c>
      <c r="H62" s="61"/>
      <c r="I62" s="60">
        <v>0.13</v>
      </c>
      <c r="J62" s="62">
        <f>J61*I62</f>
        <v>4.522235639999999</v>
      </c>
      <c r="K62" s="61"/>
      <c r="L62" s="176">
        <f>J62-G62</f>
        <v>0.77869999999999884</v>
      </c>
      <c r="M62" s="129">
        <f>IF((G62)=0,"",(L62/G62))</f>
        <v>0.20801191036610481</v>
      </c>
      <c r="N62" s="61"/>
      <c r="O62" s="60">
        <v>0.13</v>
      </c>
      <c r="P62" s="62">
        <f>P61*O62</f>
        <v>4.5459765780000003</v>
      </c>
      <c r="Q62" s="61"/>
      <c r="R62" s="176">
        <f t="shared" si="5"/>
        <v>2.3740938000001321E-2</v>
      </c>
      <c r="S62" s="129">
        <f t="shared" ref="S62:S64" si="19">IF((J62)=0,"",(R62/J62))</f>
        <v>5.2498232931535889E-3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32.539963639999996</v>
      </c>
      <c r="H63" s="61"/>
      <c r="I63" s="64"/>
      <c r="J63" s="62">
        <f>J61+J62</f>
        <v>39.308663639999992</v>
      </c>
      <c r="K63" s="61"/>
      <c r="L63" s="176">
        <f>J63-G63</f>
        <v>6.7686999999999955</v>
      </c>
      <c r="M63" s="129">
        <f>IF((G63)=0,"",(L63/G63))</f>
        <v>0.208011910366105</v>
      </c>
      <c r="N63" s="61"/>
      <c r="O63" s="64"/>
      <c r="P63" s="62">
        <f>P61+P62</f>
        <v>39.515027178000004</v>
      </c>
      <c r="Q63" s="61"/>
      <c r="R63" s="176">
        <f t="shared" si="5"/>
        <v>0.20636353800001217</v>
      </c>
      <c r="S63" s="129">
        <f t="shared" si="19"/>
        <v>5.2498232931536062E-3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32.539963639999996</v>
      </c>
      <c r="H65" s="57"/>
      <c r="I65" s="66"/>
      <c r="J65" s="67">
        <f>J63+J64</f>
        <v>39.308663639999992</v>
      </c>
      <c r="K65" s="57"/>
      <c r="L65" s="178">
        <f>J65-G65</f>
        <v>6.7686999999999955</v>
      </c>
      <c r="M65" s="131">
        <f>IF((G65)=0,"",(L65/G65))</f>
        <v>0.208011910366105</v>
      </c>
      <c r="N65" s="57"/>
      <c r="O65" s="66"/>
      <c r="P65" s="67">
        <f>P63+P64</f>
        <v>39.515027178000004</v>
      </c>
      <c r="Q65" s="57"/>
      <c r="R65" s="178">
        <f t="shared" si="5"/>
        <v>0.20636353800001217</v>
      </c>
      <c r="S65" s="131">
        <f>IF((J65)=0,"",(R65/J65))</f>
        <v>5.2498232931536062E-3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17.612428000000005</v>
      </c>
      <c r="H67" s="74"/>
      <c r="I67" s="73"/>
      <c r="J67" s="75">
        <f>SUM(J58:J59,J50,J51:J54)</f>
        <v>23.602428</v>
      </c>
      <c r="K67" s="74"/>
      <c r="L67" s="180">
        <f>J67-G67</f>
        <v>5.9899999999999949</v>
      </c>
      <c r="M67" s="128">
        <f>IF((G67)=0,"",(L67/G67))</f>
        <v>0.34010075158291597</v>
      </c>
      <c r="N67" s="74"/>
      <c r="O67" s="73"/>
      <c r="P67" s="75">
        <f>SUM(P58:P59,P50,P51:P54)</f>
        <v>23.785050600000002</v>
      </c>
      <c r="Q67" s="74"/>
      <c r="R67" s="180">
        <f t="shared" si="5"/>
        <v>0.18262260000000197</v>
      </c>
      <c r="S67" s="128">
        <f>IF((J67)=0,"",(R67/J67))</f>
        <v>7.7374497233929475E-3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2.2896156400000005</v>
      </c>
      <c r="H68" s="78"/>
      <c r="I68" s="77">
        <v>0.13</v>
      </c>
      <c r="J68" s="79">
        <f>J67*I68</f>
        <v>3.0683156400000002</v>
      </c>
      <c r="K68" s="78"/>
      <c r="L68" s="180">
        <f>J68-G68</f>
        <v>0.77869999999999973</v>
      </c>
      <c r="M68" s="129">
        <f>IF((G68)=0,"",(L68/G68))</f>
        <v>0.34010075158291614</v>
      </c>
      <c r="N68" s="78"/>
      <c r="O68" s="77">
        <v>0.13</v>
      </c>
      <c r="P68" s="79">
        <f>P67*O68</f>
        <v>3.0920565780000002</v>
      </c>
      <c r="Q68" s="78"/>
      <c r="R68" s="180">
        <f t="shared" si="5"/>
        <v>2.3740937999999989E-2</v>
      </c>
      <c r="S68" s="129">
        <f t="shared" ref="S68:S71" si="20">IF((J68)=0,"",(R68/J68))</f>
        <v>7.7374497233928608E-3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19.902043640000006</v>
      </c>
      <c r="H69" s="78"/>
      <c r="I69" s="81"/>
      <c r="J69" s="79">
        <f>J67+J68</f>
        <v>26.670743640000001</v>
      </c>
      <c r="K69" s="78"/>
      <c r="L69" s="180">
        <f>J69-G69</f>
        <v>6.7686999999999955</v>
      </c>
      <c r="M69" s="129">
        <f>IF((G69)=0,"",(L69/G69))</f>
        <v>0.34010075158291603</v>
      </c>
      <c r="N69" s="78"/>
      <c r="O69" s="81"/>
      <c r="P69" s="79">
        <f>P67+P68</f>
        <v>26.877107178000003</v>
      </c>
      <c r="Q69" s="78"/>
      <c r="R69" s="180">
        <f t="shared" si="5"/>
        <v>0.20636353800000151</v>
      </c>
      <c r="S69" s="129">
        <f t="shared" si="20"/>
        <v>7.7374497233929206E-3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-1.9902043640000007</v>
      </c>
      <c r="H70" s="78"/>
      <c r="I70" s="81"/>
      <c r="J70" s="82"/>
      <c r="K70" s="78"/>
      <c r="L70" s="181">
        <f>J70-G70</f>
        <v>1.9902043640000007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60"/>
      <c r="F71" s="83"/>
      <c r="G71" s="84">
        <f>SUM(G69:G70)</f>
        <v>17.911839276000006</v>
      </c>
      <c r="H71" s="74"/>
      <c r="I71" s="83"/>
      <c r="J71" s="84">
        <f>SUM(J69:J70)</f>
        <v>26.670743640000001</v>
      </c>
      <c r="K71" s="74"/>
      <c r="L71" s="182">
        <f>J71-G71</f>
        <v>8.7589043639999957</v>
      </c>
      <c r="M71" s="132">
        <f>IF((G71)=0,"",(L71/G71))</f>
        <v>0.48900083509212888</v>
      </c>
      <c r="N71" s="74"/>
      <c r="O71" s="83"/>
      <c r="P71" s="84">
        <f>SUM(P69:P70)</f>
        <v>26.877107178000003</v>
      </c>
      <c r="Q71" s="74"/>
      <c r="R71" s="182">
        <f t="shared" si="5"/>
        <v>0.20636353800000151</v>
      </c>
      <c r="S71" s="132">
        <f t="shared" si="20"/>
        <v>7.7374497233929206E-3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39" orientation="portrait" horizontalDpi="300" r:id="rId1"/>
  <colBreaks count="1" manualBreakCount="1">
    <brk id="19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16" zoomScale="70" zoomScaleNormal="70" zoomScaleSheetLayoutView="70" workbookViewId="0">
      <selection activeCell="F19" sqref="F19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250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250</v>
      </c>
      <c r="F29" s="16">
        <f>IF(A29&lt;&gt;"",VLOOKUP(A29,[4]Rates!$A$1:$R$65536,12,FALSE),0)</f>
        <v>1.4E-2</v>
      </c>
      <c r="G29" s="18">
        <f t="shared" si="0"/>
        <v>3.5</v>
      </c>
      <c r="H29" s="38"/>
      <c r="I29" s="16">
        <f>IF($A29&lt;&gt;"",VLOOKUP($A29,[4]Rates!$A$1:$R$65536,14,FALSE),0)</f>
        <v>1.54E-2</v>
      </c>
      <c r="J29" s="18">
        <f t="shared" si="1"/>
        <v>3.85</v>
      </c>
      <c r="K29" s="38"/>
      <c r="L29" s="167">
        <f t="shared" si="2"/>
        <v>0.35000000000000009</v>
      </c>
      <c r="M29" s="123">
        <f t="shared" si="3"/>
        <v>0.10000000000000002</v>
      </c>
      <c r="N29" s="38"/>
      <c r="O29" s="16">
        <f>IF($A29&lt;&gt;"",VLOOKUP($A29,[4]Rates!$A$1:$R$65536,15,FALSE),0)</f>
        <v>1.32E-2</v>
      </c>
      <c r="P29" s="18">
        <f t="shared" si="4"/>
        <v>3.3</v>
      </c>
      <c r="Q29" s="38"/>
      <c r="R29" s="167">
        <f t="shared" si="5"/>
        <v>-0.55000000000000027</v>
      </c>
      <c r="S29" s="123">
        <f t="shared" si="6"/>
        <v>-0.14285714285714293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250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250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250</v>
      </c>
      <c r="F32" s="301">
        <f>IF(A32&lt;&gt;"",VLOOKUP(A32,[4]Rates!$A$1:$R$65536,12,FALSE),0)</f>
        <v>1E-4</v>
      </c>
      <c r="G32" s="296">
        <f t="shared" si="0"/>
        <v>2.5000000000000001E-2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-2.5000000000000001E-2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250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16.464999999999996</v>
      </c>
      <c r="H39" s="38"/>
      <c r="I39" s="26"/>
      <c r="J39" s="28">
        <f>SUM(J23:J38)</f>
        <v>22.909999999999997</v>
      </c>
      <c r="K39" s="38"/>
      <c r="L39" s="168">
        <f t="shared" si="2"/>
        <v>6.4450000000000003</v>
      </c>
      <c r="M39" s="124">
        <f>IF((G39)=0,"",(L39/G39))</f>
        <v>0.39143638020042526</v>
      </c>
      <c r="N39" s="38"/>
      <c r="O39" s="26"/>
      <c r="P39" s="28">
        <f>SUM(P23:P38)</f>
        <v>22.37</v>
      </c>
      <c r="Q39" s="38"/>
      <c r="R39" s="168">
        <f t="shared" si="5"/>
        <v>-0.53999999999999559</v>
      </c>
      <c r="S39" s="124">
        <f t="shared" si="6"/>
        <v>-2.3570493234395272E-2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250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250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7.4999999999999997E-2</v>
      </c>
      <c r="Q41" s="21"/>
      <c r="R41" s="167">
        <f t="shared" si="5"/>
        <v>7.4999999999999997E-2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250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-0.65</v>
      </c>
      <c r="K42" s="21"/>
      <c r="L42" s="167">
        <f t="shared" si="2"/>
        <v>-0.65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0.65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250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250</v>
      </c>
      <c r="F44" s="16">
        <f>IF(A44&lt;&gt;"",VLOOKUP(A44,[4]Rates!$A$1:$R$65536,12,FALSE),0)</f>
        <v>2.9999999999999997E-4</v>
      </c>
      <c r="G44" s="18">
        <f t="shared" si="9"/>
        <v>7.4999999999999997E-2</v>
      </c>
      <c r="H44" s="38"/>
      <c r="I44" s="16">
        <f>IF($A44&lt;&gt;"",VLOOKUP($A44,[4]Rates!$A$1:$R$65536,14,FALSE),0)</f>
        <v>2.9999999999999997E-4</v>
      </c>
      <c r="J44" s="18">
        <f t="shared" si="11"/>
        <v>7.4999999999999997E-2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0.125</v>
      </c>
      <c r="Q44" s="38"/>
      <c r="R44" s="167">
        <f t="shared" si="5"/>
        <v>0.05</v>
      </c>
      <c r="S44" s="123">
        <f t="shared" si="6"/>
        <v>0.66666666666666674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8.625</v>
      </c>
      <c r="F45" s="32">
        <f>IF(ISBLANK(D16)=TRUE, 0, IF(D16="TOU", 0.64*$F$55+0.18*$F$56+0.18*$F$57, IF(AND(D16="non-TOU", E59&gt;0), F59,F58)))</f>
        <v>0.11183999999999999</v>
      </c>
      <c r="G45" s="18">
        <f>E45*F45</f>
        <v>0.96461999999999992</v>
      </c>
      <c r="H45" s="90">
        <f>$F$18*(1+$O$74)-$F$18</f>
        <v>9.2249999999999659</v>
      </c>
      <c r="I45" s="32">
        <f>0.64*$F$55+0.18*$F$56+0.18*$F$57</f>
        <v>0.11183999999999999</v>
      </c>
      <c r="J45" s="18">
        <f>$E45*I45</f>
        <v>0.96461999999999992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1.0317239999999961</v>
      </c>
      <c r="Q45" s="38"/>
      <c r="R45" s="169">
        <f t="shared" si="5"/>
        <v>6.7103999999996167E-2</v>
      </c>
      <c r="S45" s="123">
        <f t="shared" si="6"/>
        <v>6.956521739130038E-2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18.294619999999995</v>
      </c>
      <c r="H47" s="38"/>
      <c r="I47" s="35"/>
      <c r="J47" s="37">
        <f>SUM(J40:J46)+J39</f>
        <v>24.089619999999996</v>
      </c>
      <c r="K47" s="38"/>
      <c r="L47" s="170">
        <f t="shared" si="2"/>
        <v>5.7950000000000017</v>
      </c>
      <c r="M47" s="125">
        <f>IF((G47)=0,"",(L47/G47))</f>
        <v>0.31675979058324266</v>
      </c>
      <c r="N47" s="38"/>
      <c r="O47" s="35"/>
      <c r="P47" s="37">
        <f>SUM(P40:P46)+P39</f>
        <v>24.391723999999996</v>
      </c>
      <c r="Q47" s="38"/>
      <c r="R47" s="170">
        <f t="shared" si="5"/>
        <v>0.30210399999999993</v>
      </c>
      <c r="S47" s="125">
        <f>IF((J47)=0,"",(R47/J47))</f>
        <v>1.2540837090829992E-2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258.625</v>
      </c>
      <c r="F48" s="20">
        <f>IF(A48&lt;&gt;"",VLOOKUP(A48,[4]Rates!$A$1:$R$65536,12,FALSE),0)</f>
        <v>8.0000000000000002E-3</v>
      </c>
      <c r="G48" s="18">
        <f>E48*F48</f>
        <v>2.069</v>
      </c>
      <c r="H48" s="39">
        <f>F18*(1+O74)</f>
        <v>259.22499999999997</v>
      </c>
      <c r="I48" s="20">
        <f>IF($A48&lt;&gt;"",VLOOKUP($A48,[4]Rates!$A$1:$R$65536,14,FALSE),0)</f>
        <v>8.0000000000000002E-3</v>
      </c>
      <c r="J48" s="18">
        <f>$E48*I48</f>
        <v>2.069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2.125645</v>
      </c>
      <c r="Q48" s="38"/>
      <c r="R48" s="171">
        <f t="shared" si="5"/>
        <v>5.6645000000000056E-2</v>
      </c>
      <c r="S48" s="123">
        <f t="shared" si="6"/>
        <v>2.7377960367327238E-2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258.625</v>
      </c>
      <c r="F49" s="20">
        <f>IF(A49&lt;&gt;"",VLOOKUP(A49,[4]Rates!$A$1:$R$65536,12,FALSE),0)</f>
        <v>3.5000000000000001E-3</v>
      </c>
      <c r="G49" s="18">
        <f>E49*F49</f>
        <v>0.90518750000000003</v>
      </c>
      <c r="H49" s="39">
        <f>H48</f>
        <v>259.22499999999997</v>
      </c>
      <c r="I49" s="20">
        <f>IF($A49&lt;&gt;"",VLOOKUP($A49,[4]Rates!$A$1:$R$65536,14,FALSE),0)</f>
        <v>3.5000000000000001E-3</v>
      </c>
      <c r="J49" s="18">
        <f>$E49*I49</f>
        <v>0.90518750000000003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0.9850549999999999</v>
      </c>
      <c r="Q49" s="38"/>
      <c r="R49" s="171">
        <f t="shared" si="5"/>
        <v>7.9867499999999869E-2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21.268807499999994</v>
      </c>
      <c r="H50" s="109"/>
      <c r="I50" s="41"/>
      <c r="J50" s="37">
        <f>SUM(J47:J49)</f>
        <v>27.063807499999996</v>
      </c>
      <c r="K50" s="109"/>
      <c r="L50" s="172">
        <f t="shared" si="2"/>
        <v>5.7950000000000017</v>
      </c>
      <c r="M50" s="125">
        <f t="shared" si="13"/>
        <v>0.27246473503509794</v>
      </c>
      <c r="N50" s="109"/>
      <c r="O50" s="41"/>
      <c r="P50" s="37">
        <f>SUM(P47:P49)</f>
        <v>27.502423999999994</v>
      </c>
      <c r="Q50" s="109"/>
      <c r="R50" s="172">
        <f t="shared" si="5"/>
        <v>0.43861649999999841</v>
      </c>
      <c r="S50" s="125">
        <f t="shared" si="6"/>
        <v>1.620675509164771E-2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258.625</v>
      </c>
      <c r="F51" s="43">
        <v>3.5999999999999999E-3</v>
      </c>
      <c r="G51" s="44">
        <f t="shared" ref="G51:G59" si="14">E51*F51</f>
        <v>0.93104999999999993</v>
      </c>
      <c r="H51" s="39">
        <f>H49</f>
        <v>259.22499999999997</v>
      </c>
      <c r="I51" s="43">
        <v>3.5999999999999999E-3</v>
      </c>
      <c r="J51" s="44">
        <f>$E51*I51</f>
        <v>0.93104999999999993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0.93320999999999987</v>
      </c>
      <c r="Q51" s="17"/>
      <c r="R51" s="173">
        <f>P51-J51</f>
        <v>2.1599999999999397E-3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258.625</v>
      </c>
      <c r="F52" s="43">
        <v>1.2999999999999999E-3</v>
      </c>
      <c r="G52" s="44">
        <f t="shared" si="14"/>
        <v>0.33621249999999997</v>
      </c>
      <c r="H52" s="39">
        <f>H49</f>
        <v>259.22499999999997</v>
      </c>
      <c r="I52" s="43">
        <v>1.2999999999999999E-3</v>
      </c>
      <c r="J52" s="44">
        <f>$E52*I52</f>
        <v>0.33621249999999997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0.33699249999999992</v>
      </c>
      <c r="Q52" s="17"/>
      <c r="R52" s="173">
        <f t="shared" si="5"/>
        <v>7.799999999999474E-4</v>
      </c>
      <c r="S52" s="126">
        <f t="shared" si="6"/>
        <v>2.3199613339776109E-3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250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160</v>
      </c>
      <c r="F55" s="46">
        <v>8.6999999999999994E-2</v>
      </c>
      <c r="G55" s="44">
        <f t="shared" si="14"/>
        <v>13.919999999999998</v>
      </c>
      <c r="H55" s="17"/>
      <c r="I55" s="46">
        <f>F55</f>
        <v>8.6999999999999994E-2</v>
      </c>
      <c r="J55" s="44">
        <f t="shared" si="15"/>
        <v>13.919999999999998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13.919999999999998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45</v>
      </c>
      <c r="F56" s="46">
        <v>0.13200000000000001</v>
      </c>
      <c r="G56" s="44">
        <f t="shared" si="14"/>
        <v>5.94</v>
      </c>
      <c r="H56" s="17"/>
      <c r="I56" s="46">
        <f t="shared" ref="I56:I59" si="17">F56</f>
        <v>0.13200000000000001</v>
      </c>
      <c r="J56" s="44">
        <f t="shared" si="15"/>
        <v>5.94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5.94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45</v>
      </c>
      <c r="F57" s="46">
        <v>0.18</v>
      </c>
      <c r="G57" s="44">
        <f t="shared" si="14"/>
        <v>8.1</v>
      </c>
      <c r="H57" s="17"/>
      <c r="I57" s="46">
        <f t="shared" si="17"/>
        <v>0.18</v>
      </c>
      <c r="J57" s="44">
        <f t="shared" si="15"/>
        <v>8.1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8.1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250</v>
      </c>
      <c r="F58" s="43">
        <v>1.1000000000000001E-3</v>
      </c>
      <c r="G58" s="44">
        <f t="shared" si="14"/>
        <v>0.27500000000000002</v>
      </c>
      <c r="H58" s="110"/>
      <c r="I58" s="43">
        <v>1.1000000000000001E-3</v>
      </c>
      <c r="J58" s="44">
        <f>$E58*I58</f>
        <v>0.27500000000000002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0.27500000000000002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51.021069999999987</v>
      </c>
      <c r="H61" s="57"/>
      <c r="I61" s="56"/>
      <c r="J61" s="58">
        <f>SUM(J51:J58,J50)</f>
        <v>56.816069999999989</v>
      </c>
      <c r="K61" s="57"/>
      <c r="L61" s="176">
        <f>J61-G61</f>
        <v>5.7950000000000017</v>
      </c>
      <c r="M61" s="128">
        <f>IF((G61)=0,"",(L61/G61))</f>
        <v>0.11358052663340858</v>
      </c>
      <c r="N61" s="57"/>
      <c r="O61" s="56"/>
      <c r="P61" s="58">
        <f>SUM(P51:P58,P50)</f>
        <v>57.257626499999986</v>
      </c>
      <c r="Q61" s="57"/>
      <c r="R61" s="176">
        <f>P61-J61</f>
        <v>0.44155649999999724</v>
      </c>
      <c r="S61" s="128">
        <f>IF((J61)=0,"",(R61/J61))</f>
        <v>7.7716832579232831E-3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6.6327390999999984</v>
      </c>
      <c r="H62" s="61"/>
      <c r="I62" s="60">
        <v>0.13</v>
      </c>
      <c r="J62" s="62">
        <f>J61*I62</f>
        <v>7.3860890999999986</v>
      </c>
      <c r="K62" s="61"/>
      <c r="L62" s="176">
        <f>J62-G62</f>
        <v>0.75335000000000019</v>
      </c>
      <c r="M62" s="129">
        <f>IF((G62)=0,"",(L62/G62))</f>
        <v>0.11358052663340856</v>
      </c>
      <c r="N62" s="61"/>
      <c r="O62" s="60">
        <v>0.13</v>
      </c>
      <c r="P62" s="62">
        <f>P61*O62</f>
        <v>7.4434914449999985</v>
      </c>
      <c r="Q62" s="61"/>
      <c r="R62" s="176">
        <f t="shared" si="5"/>
        <v>5.7402344999999855E-2</v>
      </c>
      <c r="S62" s="129">
        <f t="shared" ref="S62:S64" si="19">IF((J62)=0,"",(R62/J62))</f>
        <v>7.7716832579233126E-3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57.653809099999989</v>
      </c>
      <c r="H63" s="61"/>
      <c r="I63" s="64"/>
      <c r="J63" s="62">
        <f>J61+J62</f>
        <v>64.202159099999989</v>
      </c>
      <c r="K63" s="61"/>
      <c r="L63" s="176">
        <f>J63-G63</f>
        <v>6.5483499999999992</v>
      </c>
      <c r="M63" s="129">
        <f>IF((G63)=0,"",(L63/G63))</f>
        <v>0.11358052663340852</v>
      </c>
      <c r="N63" s="61"/>
      <c r="O63" s="64"/>
      <c r="P63" s="62">
        <f>P61+P62</f>
        <v>64.701117944999979</v>
      </c>
      <c r="Q63" s="61"/>
      <c r="R63" s="176">
        <f t="shared" si="5"/>
        <v>0.49895884499998999</v>
      </c>
      <c r="S63" s="129">
        <f t="shared" si="19"/>
        <v>7.7716832579231756E-3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57.653809099999989</v>
      </c>
      <c r="H65" s="57"/>
      <c r="I65" s="66"/>
      <c r="J65" s="67">
        <f>J63+J64</f>
        <v>64.202159099999989</v>
      </c>
      <c r="K65" s="57"/>
      <c r="L65" s="178">
        <f>J65-G65</f>
        <v>6.5483499999999992</v>
      </c>
      <c r="M65" s="131">
        <f>IF((G65)=0,"",(L65/G65))</f>
        <v>0.11358052663340852</v>
      </c>
      <c r="N65" s="57"/>
      <c r="O65" s="66"/>
      <c r="P65" s="67">
        <f>P63+P64</f>
        <v>64.701117944999979</v>
      </c>
      <c r="Q65" s="57"/>
      <c r="R65" s="178">
        <f t="shared" si="5"/>
        <v>0.49895884499998999</v>
      </c>
      <c r="S65" s="131">
        <f>IF((J65)=0,"",(R65/J65))</f>
        <v>7.7716832579231756E-3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23.06106999999999</v>
      </c>
      <c r="H67" s="74"/>
      <c r="I67" s="73"/>
      <c r="J67" s="75">
        <f>SUM(J58:J59,J50,J51:J54)</f>
        <v>28.856069999999992</v>
      </c>
      <c r="K67" s="74"/>
      <c r="L67" s="180">
        <f>J67-G67</f>
        <v>5.7950000000000017</v>
      </c>
      <c r="M67" s="128">
        <f>IF((G67)=0,"",(L67/G67))</f>
        <v>0.25128929403535932</v>
      </c>
      <c r="N67" s="74"/>
      <c r="O67" s="73"/>
      <c r="P67" s="75">
        <f>SUM(P58:P59,P50,P51:P54)</f>
        <v>29.297626499999993</v>
      </c>
      <c r="Q67" s="74"/>
      <c r="R67" s="180">
        <f t="shared" si="5"/>
        <v>0.4415565000000008</v>
      </c>
      <c r="S67" s="128">
        <f>IF((J67)=0,"",(R67/J67))</f>
        <v>1.5302031773557554E-2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2.9979390999999986</v>
      </c>
      <c r="H68" s="78"/>
      <c r="I68" s="77">
        <v>0.13</v>
      </c>
      <c r="J68" s="79">
        <f>J67*I68</f>
        <v>3.7512890999999993</v>
      </c>
      <c r="K68" s="78"/>
      <c r="L68" s="180">
        <f>J68-G68</f>
        <v>0.75335000000000063</v>
      </c>
      <c r="M68" s="129">
        <f>IF((G68)=0,"",(L68/G68))</f>
        <v>0.25128929403535949</v>
      </c>
      <c r="N68" s="78"/>
      <c r="O68" s="77">
        <v>0.13</v>
      </c>
      <c r="P68" s="79">
        <f>P67*O68</f>
        <v>3.8086914449999991</v>
      </c>
      <c r="Q68" s="78"/>
      <c r="R68" s="180">
        <f t="shared" si="5"/>
        <v>5.7402344999999855E-2</v>
      </c>
      <c r="S68" s="129">
        <f t="shared" ref="S68:S71" si="20">IF((J68)=0,"",(R68/J68))</f>
        <v>1.5302031773557486E-2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26.05900909999999</v>
      </c>
      <c r="H69" s="78"/>
      <c r="I69" s="81"/>
      <c r="J69" s="79">
        <f>J67+J68</f>
        <v>32.607359099999989</v>
      </c>
      <c r="K69" s="78"/>
      <c r="L69" s="180">
        <f>J69-G69</f>
        <v>6.5483499999999992</v>
      </c>
      <c r="M69" s="129">
        <f>IF((G69)=0,"",(L69/G69))</f>
        <v>0.25128929403535921</v>
      </c>
      <c r="N69" s="78"/>
      <c r="O69" s="81"/>
      <c r="P69" s="79">
        <f>P67+P68</f>
        <v>33.106317944999994</v>
      </c>
      <c r="Q69" s="78"/>
      <c r="R69" s="180">
        <f t="shared" si="5"/>
        <v>0.4989588450000042</v>
      </c>
      <c r="S69" s="129">
        <f t="shared" si="20"/>
        <v>1.5302031773557656E-2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-2.605900909999999</v>
      </c>
      <c r="H70" s="78"/>
      <c r="I70" s="81"/>
      <c r="J70" s="82"/>
      <c r="K70" s="78"/>
      <c r="L70" s="181">
        <f>J70-G70</f>
        <v>2.605900909999999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60"/>
      <c r="F71" s="83"/>
      <c r="G71" s="84">
        <f>SUM(G69:G70)</f>
        <v>23.453108189999991</v>
      </c>
      <c r="H71" s="74"/>
      <c r="I71" s="83"/>
      <c r="J71" s="84">
        <f>SUM(J69:J70)</f>
        <v>32.607359099999989</v>
      </c>
      <c r="K71" s="74"/>
      <c r="L71" s="182">
        <f>J71-G71</f>
        <v>9.1542509099999982</v>
      </c>
      <c r="M71" s="132">
        <f>IF((G71)=0,"",(L71/G71))</f>
        <v>0.3903214378170658</v>
      </c>
      <c r="N71" s="74"/>
      <c r="O71" s="83"/>
      <c r="P71" s="84">
        <f>SUM(P69:P70)</f>
        <v>33.106317944999994</v>
      </c>
      <c r="Q71" s="74"/>
      <c r="R71" s="182">
        <f t="shared" si="5"/>
        <v>0.4989588450000042</v>
      </c>
      <c r="S71" s="132">
        <f t="shared" si="20"/>
        <v>1.5302031773557656E-2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pageSetup scale="39" orientation="portrait" horizontalDpi="300" r:id="rId1"/>
  <colBreaks count="1" manualBreakCount="1">
    <brk id="19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7" zoomScale="70" zoomScaleNormal="70" zoomScaleSheetLayoutView="70" workbookViewId="0">
      <selection activeCell="F19" sqref="F19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308.87099999999998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308.87099999999998</v>
      </c>
      <c r="F29" s="16">
        <f>IF(A29&lt;&gt;"",VLOOKUP(A29,[4]Rates!$A$1:$R$65536,12,FALSE),0)</f>
        <v>1.4E-2</v>
      </c>
      <c r="G29" s="18">
        <f t="shared" si="0"/>
        <v>4.3241939999999994</v>
      </c>
      <c r="H29" s="38"/>
      <c r="I29" s="16">
        <f>IF($A29&lt;&gt;"",VLOOKUP($A29,[4]Rates!$A$1:$R$65536,14,FALSE),0)</f>
        <v>1.54E-2</v>
      </c>
      <c r="J29" s="18">
        <f t="shared" si="1"/>
        <v>4.7566134</v>
      </c>
      <c r="K29" s="38"/>
      <c r="L29" s="167">
        <f t="shared" si="2"/>
        <v>0.43241940000000056</v>
      </c>
      <c r="M29" s="123">
        <f t="shared" si="3"/>
        <v>0.10000000000000014</v>
      </c>
      <c r="N29" s="38"/>
      <c r="O29" s="16">
        <f>IF($A29&lt;&gt;"",VLOOKUP($A29,[4]Rates!$A$1:$R$65536,15,FALSE),0)</f>
        <v>1.32E-2</v>
      </c>
      <c r="P29" s="18">
        <f t="shared" si="4"/>
        <v>4.0770971999999999</v>
      </c>
      <c r="Q29" s="38"/>
      <c r="R29" s="167">
        <f t="shared" si="5"/>
        <v>-0.67951620000000013</v>
      </c>
      <c r="S29" s="123">
        <f t="shared" si="6"/>
        <v>-0.14285714285714288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308.87099999999998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308.87099999999998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308.87099999999998</v>
      </c>
      <c r="F32" s="301">
        <f>IF(A32&lt;&gt;"",VLOOKUP(A32,[4]Rates!$A$1:$R$65536,12,FALSE),0)</f>
        <v>1E-4</v>
      </c>
      <c r="G32" s="296">
        <f t="shared" si="0"/>
        <v>3.0887100000000001E-2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-3.0887100000000001E-2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308.87099999999998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17.295081100000001</v>
      </c>
      <c r="H39" s="38"/>
      <c r="I39" s="26"/>
      <c r="J39" s="28">
        <f>SUM(J23:J38)</f>
        <v>23.816613399999994</v>
      </c>
      <c r="K39" s="38"/>
      <c r="L39" s="168">
        <f t="shared" si="2"/>
        <v>6.5215322999999934</v>
      </c>
      <c r="M39" s="124">
        <f>IF((G39)=0,"",(L39/G39))</f>
        <v>0.37707439833861162</v>
      </c>
      <c r="N39" s="38"/>
      <c r="O39" s="26"/>
      <c r="P39" s="28">
        <f>SUM(P23:P38)</f>
        <v>23.147097200000001</v>
      </c>
      <c r="Q39" s="38"/>
      <c r="R39" s="168">
        <f t="shared" si="5"/>
        <v>-0.66951619999999323</v>
      </c>
      <c r="S39" s="124">
        <f t="shared" si="6"/>
        <v>-2.8111309897652929E-2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308.87099999999998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308.87099999999998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9.2661299999999988E-2</v>
      </c>
      <c r="Q41" s="21"/>
      <c r="R41" s="167">
        <f t="shared" si="5"/>
        <v>9.2661299999999988E-2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308.87099999999998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-0.80306459999999991</v>
      </c>
      <c r="K42" s="21"/>
      <c r="L42" s="167">
        <f t="shared" si="2"/>
        <v>-0.80306459999999991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0.80306459999999991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308.87099999999998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308.87099999999998</v>
      </c>
      <c r="F44" s="16">
        <f>IF(A44&lt;&gt;"",VLOOKUP(A44,[4]Rates!$A$1:$R$65536,12,FALSE),0)</f>
        <v>2.9999999999999997E-4</v>
      </c>
      <c r="G44" s="18">
        <f t="shared" si="9"/>
        <v>9.2661299999999988E-2</v>
      </c>
      <c r="H44" s="38"/>
      <c r="I44" s="16">
        <f>IF($A44&lt;&gt;"",VLOOKUP($A44,[4]Rates!$A$1:$R$65536,14,FALSE),0)</f>
        <v>2.9999999999999997E-4</v>
      </c>
      <c r="J44" s="18">
        <f t="shared" si="11"/>
        <v>9.2661299999999988E-2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0.1544355</v>
      </c>
      <c r="Q44" s="38"/>
      <c r="R44" s="167">
        <f t="shared" si="5"/>
        <v>6.1774200000000015E-2</v>
      </c>
      <c r="S44" s="123">
        <f t="shared" si="6"/>
        <v>0.66666666666666696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10.656049499999995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1.1917725760799993</v>
      </c>
      <c r="H45" s="90">
        <f>$F$18*(1+$O$74)-$F$18</f>
        <v>11.397339899999963</v>
      </c>
      <c r="I45" s="32">
        <f>0.64*$F$55+0.18*$F$56+0.18*$F$57</f>
        <v>0.11183999999999999</v>
      </c>
      <c r="J45" s="18">
        <f>$E45*I45</f>
        <v>1.1917725760799993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1.2746784944159959</v>
      </c>
      <c r="Q45" s="38"/>
      <c r="R45" s="169">
        <f t="shared" si="5"/>
        <v>8.2905918335996587E-2</v>
      </c>
      <c r="S45" s="123">
        <f t="shared" si="6"/>
        <v>6.9565217391301518E-2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19.369514976080001</v>
      </c>
      <c r="H47" s="38"/>
      <c r="I47" s="35"/>
      <c r="J47" s="37">
        <f>SUM(J40:J46)+J39</f>
        <v>25.087982676079992</v>
      </c>
      <c r="K47" s="38"/>
      <c r="L47" s="170">
        <f t="shared" si="2"/>
        <v>5.7184676999999908</v>
      </c>
      <c r="M47" s="125">
        <f>IF((G47)=0,"",(L47/G47))</f>
        <v>0.2952302991098073</v>
      </c>
      <c r="N47" s="38"/>
      <c r="O47" s="35"/>
      <c r="P47" s="37">
        <f>SUM(P40:P46)+P39</f>
        <v>25.458872494415996</v>
      </c>
      <c r="Q47" s="38"/>
      <c r="R47" s="170">
        <f t="shared" si="5"/>
        <v>0.37088981833600343</v>
      </c>
      <c r="S47" s="125">
        <f>IF((J47)=0,"",(R47/J47))</f>
        <v>1.4783564829611686E-2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319.52704949999998</v>
      </c>
      <c r="F48" s="20">
        <f>IF(A48&lt;&gt;"",VLOOKUP(A48,[4]Rates!$A$1:$R$65536,12,FALSE),0)</f>
        <v>8.0000000000000002E-3</v>
      </c>
      <c r="G48" s="18">
        <f>E48*F48</f>
        <v>2.5562163959999999</v>
      </c>
      <c r="H48" s="39">
        <f>F18*(1+O74)</f>
        <v>320.26833989999994</v>
      </c>
      <c r="I48" s="20">
        <f>IF($A48&lt;&gt;"",VLOOKUP($A48,[4]Rates!$A$1:$R$65536,14,FALSE),0)</f>
        <v>8.0000000000000002E-3</v>
      </c>
      <c r="J48" s="18">
        <f>$E48*I48</f>
        <v>2.5562163959999999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2.6262003871799999</v>
      </c>
      <c r="Q48" s="38"/>
      <c r="R48" s="171">
        <f t="shared" si="5"/>
        <v>6.9983991179999983E-2</v>
      </c>
      <c r="S48" s="123">
        <f t="shared" si="6"/>
        <v>2.7377960367327207E-2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319.52704949999998</v>
      </c>
      <c r="F49" s="20">
        <f>IF(A49&lt;&gt;"",VLOOKUP(A49,[4]Rates!$A$1:$R$65536,12,FALSE),0)</f>
        <v>3.5000000000000001E-3</v>
      </c>
      <c r="G49" s="18">
        <f>E49*F49</f>
        <v>1.11834467325</v>
      </c>
      <c r="H49" s="39">
        <f>H48</f>
        <v>320.26833989999994</v>
      </c>
      <c r="I49" s="20">
        <f>IF($A49&lt;&gt;"",VLOOKUP($A49,[4]Rates!$A$1:$R$65536,14,FALSE),0)</f>
        <v>3.5000000000000001E-3</v>
      </c>
      <c r="J49" s="18">
        <f>$E49*I49</f>
        <v>1.11834467325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1.2170196916199998</v>
      </c>
      <c r="Q49" s="38"/>
      <c r="R49" s="171">
        <f t="shared" si="5"/>
        <v>9.8675018369999812E-2</v>
      </c>
      <c r="S49" s="123">
        <f t="shared" si="6"/>
        <v>8.8233100876889986E-2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23.044076045330002</v>
      </c>
      <c r="H50" s="109"/>
      <c r="I50" s="41"/>
      <c r="J50" s="37">
        <f>SUM(J47:J49)</f>
        <v>28.762543745329992</v>
      </c>
      <c r="K50" s="109"/>
      <c r="L50" s="172">
        <f t="shared" si="2"/>
        <v>5.7184676999999908</v>
      </c>
      <c r="M50" s="125">
        <f t="shared" si="13"/>
        <v>0.24815348156077913</v>
      </c>
      <c r="N50" s="109"/>
      <c r="O50" s="41"/>
      <c r="P50" s="37">
        <f>SUM(P47:P49)</f>
        <v>29.302092573215994</v>
      </c>
      <c r="Q50" s="109"/>
      <c r="R50" s="172">
        <f t="shared" si="5"/>
        <v>0.53954882788600145</v>
      </c>
      <c r="S50" s="125">
        <f t="shared" si="6"/>
        <v>1.8758731239604108E-2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319.52704949999998</v>
      </c>
      <c r="F51" s="43">
        <v>3.5999999999999999E-3</v>
      </c>
      <c r="G51" s="44">
        <f t="shared" ref="G51:G59" si="14">E51*F51</f>
        <v>1.1502973781999999</v>
      </c>
      <c r="H51" s="39">
        <f>H49</f>
        <v>320.26833989999994</v>
      </c>
      <c r="I51" s="43">
        <v>3.5999999999999999E-3</v>
      </c>
      <c r="J51" s="44">
        <f>$E51*I51</f>
        <v>1.1502973781999999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1.1529660236399997</v>
      </c>
      <c r="Q51" s="17"/>
      <c r="R51" s="173">
        <f>P51-J51</f>
        <v>2.6686454399997839E-3</v>
      </c>
      <c r="S51" s="126">
        <f t="shared" si="6"/>
        <v>2.3199613339775793E-3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319.52704949999998</v>
      </c>
      <c r="F52" s="43">
        <v>1.2999999999999999E-3</v>
      </c>
      <c r="G52" s="44">
        <f t="shared" si="14"/>
        <v>0.41538516434999995</v>
      </c>
      <c r="H52" s="39">
        <f>H49</f>
        <v>320.26833989999994</v>
      </c>
      <c r="I52" s="43">
        <v>1.2999999999999999E-3</v>
      </c>
      <c r="J52" s="44">
        <f>$E52*I52</f>
        <v>0.41538516434999995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0.41634884186999993</v>
      </c>
      <c r="Q52" s="17"/>
      <c r="R52" s="173">
        <f t="shared" si="5"/>
        <v>9.6367751999998363E-4</v>
      </c>
      <c r="S52" s="126">
        <f t="shared" si="6"/>
        <v>2.319961333977728E-3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308.87099999999998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197.67743999999999</v>
      </c>
      <c r="F55" s="46">
        <v>8.6999999999999994E-2</v>
      </c>
      <c r="G55" s="44">
        <f t="shared" si="14"/>
        <v>17.197937279999998</v>
      </c>
      <c r="H55" s="17"/>
      <c r="I55" s="46">
        <f>F55</f>
        <v>8.6999999999999994E-2</v>
      </c>
      <c r="J55" s="44">
        <f t="shared" si="15"/>
        <v>17.197937279999998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17.197937279999998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55.596779999999995</v>
      </c>
      <c r="F56" s="46">
        <v>0.13200000000000001</v>
      </c>
      <c r="G56" s="44">
        <f t="shared" si="14"/>
        <v>7.3387749599999994</v>
      </c>
      <c r="H56" s="17"/>
      <c r="I56" s="46">
        <f t="shared" ref="I56:I59" si="17">F56</f>
        <v>0.13200000000000001</v>
      </c>
      <c r="J56" s="44">
        <f t="shared" si="15"/>
        <v>7.3387749599999994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7.3387749599999994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55.596779999999995</v>
      </c>
      <c r="F57" s="46">
        <v>0.18</v>
      </c>
      <c r="G57" s="44">
        <f t="shared" si="14"/>
        <v>10.007420399999999</v>
      </c>
      <c r="H57" s="17"/>
      <c r="I57" s="46">
        <f t="shared" si="17"/>
        <v>0.18</v>
      </c>
      <c r="J57" s="44">
        <f t="shared" si="15"/>
        <v>10.007420399999999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10.007420399999999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308.87099999999998</v>
      </c>
      <c r="F58" s="43">
        <v>1.1000000000000001E-3</v>
      </c>
      <c r="G58" s="44">
        <f t="shared" si="14"/>
        <v>0.33975810000000001</v>
      </c>
      <c r="H58" s="110"/>
      <c r="I58" s="43">
        <v>1.1000000000000001E-3</v>
      </c>
      <c r="J58" s="44">
        <f>$E58*I58</f>
        <v>0.33975810000000001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0.33975810000000001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59.743649327879993</v>
      </c>
      <c r="H61" s="57"/>
      <c r="I61" s="56"/>
      <c r="J61" s="58">
        <f>SUM(J51:J58,J50)</f>
        <v>65.462117027879984</v>
      </c>
      <c r="K61" s="57"/>
      <c r="L61" s="176">
        <f>J61-G61</f>
        <v>5.7184676999999908</v>
      </c>
      <c r="M61" s="128">
        <f>IF((G61)=0,"",(L61/G61))</f>
        <v>9.5716745868943909E-2</v>
      </c>
      <c r="N61" s="57"/>
      <c r="O61" s="56"/>
      <c r="P61" s="58">
        <f>SUM(P51:P58,P50)</f>
        <v>66.00529817872598</v>
      </c>
      <c r="Q61" s="57"/>
      <c r="R61" s="176">
        <f>P61-J61</f>
        <v>0.54318115084599583</v>
      </c>
      <c r="S61" s="128">
        <f>IF((J61)=0,"",(R61/J61))</f>
        <v>8.2976410710129903E-3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7.7666744126243996</v>
      </c>
      <c r="H62" s="61"/>
      <c r="I62" s="60">
        <v>0.13</v>
      </c>
      <c r="J62" s="62">
        <f>J61*I62</f>
        <v>8.5100752136243987</v>
      </c>
      <c r="K62" s="61"/>
      <c r="L62" s="176">
        <f>J62-G62</f>
        <v>0.74340080099999906</v>
      </c>
      <c r="M62" s="129">
        <f>IF((G62)=0,"",(L62/G62))</f>
        <v>9.5716745868943937E-2</v>
      </c>
      <c r="N62" s="61"/>
      <c r="O62" s="60">
        <v>0.13</v>
      </c>
      <c r="P62" s="62">
        <f>P61*O62</f>
        <v>8.5806887632343773</v>
      </c>
      <c r="Q62" s="61"/>
      <c r="R62" s="176">
        <f t="shared" si="5"/>
        <v>7.0613549609978676E-2</v>
      </c>
      <c r="S62" s="129">
        <f t="shared" ref="S62:S64" si="19">IF((J62)=0,"",(R62/J62))</f>
        <v>8.2976410710128984E-3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67.51032374050439</v>
      </c>
      <c r="H63" s="61"/>
      <c r="I63" s="64"/>
      <c r="J63" s="62">
        <f>J61+J62</f>
        <v>73.972192241504388</v>
      </c>
      <c r="K63" s="61"/>
      <c r="L63" s="176">
        <f>J63-G63</f>
        <v>6.4618685009999979</v>
      </c>
      <c r="M63" s="129">
        <f>IF((G63)=0,"",(L63/G63))</f>
        <v>9.5716745868944034E-2</v>
      </c>
      <c r="N63" s="61"/>
      <c r="O63" s="64"/>
      <c r="P63" s="62">
        <f>P61+P62</f>
        <v>74.585986941960357</v>
      </c>
      <c r="Q63" s="61"/>
      <c r="R63" s="176">
        <f t="shared" si="5"/>
        <v>0.61379470045596918</v>
      </c>
      <c r="S63" s="129">
        <f t="shared" si="19"/>
        <v>8.2976410710129071E-3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67.51032374050439</v>
      </c>
      <c r="H65" s="57"/>
      <c r="I65" s="66"/>
      <c r="J65" s="67">
        <f>J63+J64</f>
        <v>73.972192241504388</v>
      </c>
      <c r="K65" s="57"/>
      <c r="L65" s="178">
        <f>J65-G65</f>
        <v>6.4618685009999979</v>
      </c>
      <c r="M65" s="131">
        <f>IF((G65)=0,"",(L65/G65))</f>
        <v>9.5716745868944034E-2</v>
      </c>
      <c r="N65" s="57"/>
      <c r="O65" s="66"/>
      <c r="P65" s="67">
        <f>P63+P64</f>
        <v>74.585986941960357</v>
      </c>
      <c r="Q65" s="57"/>
      <c r="R65" s="178">
        <f t="shared" si="5"/>
        <v>0.61379470045596918</v>
      </c>
      <c r="S65" s="131">
        <f>IF((J65)=0,"",(R65/J65))</f>
        <v>8.2976410710129071E-3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25.199516687880003</v>
      </c>
      <c r="H67" s="74"/>
      <c r="I67" s="73"/>
      <c r="J67" s="75">
        <f>SUM(J58:J59,J50,J51:J54)</f>
        <v>30.917984387879994</v>
      </c>
      <c r="K67" s="74"/>
      <c r="L67" s="180">
        <f>J67-G67</f>
        <v>5.7184676999999908</v>
      </c>
      <c r="M67" s="128">
        <f>IF((G67)=0,"",(L67/G67))</f>
        <v>0.22692767368631137</v>
      </c>
      <c r="N67" s="74"/>
      <c r="O67" s="73"/>
      <c r="P67" s="75">
        <f>SUM(P58:P59,P50,P51:P54)</f>
        <v>31.461165538725997</v>
      </c>
      <c r="Q67" s="74"/>
      <c r="R67" s="180">
        <f t="shared" si="5"/>
        <v>0.54318115084600294</v>
      </c>
      <c r="S67" s="128">
        <f>IF((J67)=0,"",(R67/J67))</f>
        <v>1.7568452847105152E-2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3.2759371694244006</v>
      </c>
      <c r="H68" s="78"/>
      <c r="I68" s="77">
        <v>0.13</v>
      </c>
      <c r="J68" s="79">
        <f>J67*I68</f>
        <v>4.0193379704243997</v>
      </c>
      <c r="K68" s="78"/>
      <c r="L68" s="180">
        <f>J68-G68</f>
        <v>0.74340080099999906</v>
      </c>
      <c r="M68" s="129">
        <f>IF((G68)=0,"",(L68/G68))</f>
        <v>0.22692767368631142</v>
      </c>
      <c r="N68" s="78"/>
      <c r="O68" s="77">
        <v>0.13</v>
      </c>
      <c r="P68" s="79">
        <f>P67*O68</f>
        <v>4.0899515200343801</v>
      </c>
      <c r="Q68" s="78"/>
      <c r="R68" s="180">
        <f t="shared" si="5"/>
        <v>7.0613549609980453E-2</v>
      </c>
      <c r="S68" s="129">
        <f t="shared" ref="S68:S71" si="20">IF((J68)=0,"",(R68/J68))</f>
        <v>1.7568452847105169E-2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28.475453857304402</v>
      </c>
      <c r="H69" s="78"/>
      <c r="I69" s="81"/>
      <c r="J69" s="79">
        <f>J67+J68</f>
        <v>34.937322358304392</v>
      </c>
      <c r="K69" s="78"/>
      <c r="L69" s="180">
        <f>J69-G69</f>
        <v>6.4618685009999908</v>
      </c>
      <c r="M69" s="129">
        <f>IF((G69)=0,"",(L69/G69))</f>
        <v>0.22692767368631142</v>
      </c>
      <c r="N69" s="78"/>
      <c r="O69" s="81"/>
      <c r="P69" s="79">
        <f>P67+P68</f>
        <v>35.551117058760376</v>
      </c>
      <c r="Q69" s="78"/>
      <c r="R69" s="180">
        <f t="shared" si="5"/>
        <v>0.61379470045598339</v>
      </c>
      <c r="S69" s="129">
        <f t="shared" si="20"/>
        <v>1.7568452847105155E-2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-2.8475453857304402</v>
      </c>
      <c r="H70" s="78"/>
      <c r="I70" s="81"/>
      <c r="J70" s="82"/>
      <c r="K70" s="78"/>
      <c r="L70" s="181">
        <f>J70-G70</f>
        <v>2.8475453857304402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60"/>
      <c r="F71" s="83"/>
      <c r="G71" s="84">
        <f>SUM(G69:G70)</f>
        <v>25.62790847157396</v>
      </c>
      <c r="H71" s="74"/>
      <c r="I71" s="83"/>
      <c r="J71" s="84">
        <f>SUM(J69:J70)</f>
        <v>34.937322358304392</v>
      </c>
      <c r="K71" s="74"/>
      <c r="L71" s="182">
        <f>J71-G71</f>
        <v>9.3094138867304324</v>
      </c>
      <c r="M71" s="132">
        <f>IF((G71)=0,"",(L71/G71))</f>
        <v>0.36325297076256829</v>
      </c>
      <c r="N71" s="74"/>
      <c r="O71" s="83"/>
      <c r="P71" s="84">
        <f>SUM(P69:P70)</f>
        <v>35.551117058760376</v>
      </c>
      <c r="Q71" s="74"/>
      <c r="R71" s="182">
        <f t="shared" si="5"/>
        <v>0.61379470045598339</v>
      </c>
      <c r="S71" s="132">
        <f t="shared" si="20"/>
        <v>1.7568452847105155E-2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pageSetup scale="39" orientation="portrait" horizont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13" zoomScale="70" zoomScaleNormal="70" zoomScaleSheetLayoutView="70" workbookViewId="0">
      <selection activeCell="F19" sqref="F19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500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500</v>
      </c>
      <c r="F29" s="16">
        <f>IF(A29&lt;&gt;"",VLOOKUP(A29,[4]Rates!$A$1:$R$65536,12,FALSE),0)</f>
        <v>1.4E-2</v>
      </c>
      <c r="G29" s="18">
        <f t="shared" si="0"/>
        <v>7</v>
      </c>
      <c r="H29" s="38"/>
      <c r="I29" s="16">
        <f>IF($A29&lt;&gt;"",VLOOKUP($A29,[4]Rates!$A$1:$R$65536,14,FALSE),0)</f>
        <v>1.54E-2</v>
      </c>
      <c r="J29" s="18">
        <f t="shared" si="1"/>
        <v>7.7</v>
      </c>
      <c r="K29" s="38"/>
      <c r="L29" s="167">
        <f t="shared" si="2"/>
        <v>0.70000000000000018</v>
      </c>
      <c r="M29" s="123">
        <f t="shared" si="3"/>
        <v>0.10000000000000002</v>
      </c>
      <c r="N29" s="38"/>
      <c r="O29" s="16">
        <f>IF($A29&lt;&gt;"",VLOOKUP($A29,[4]Rates!$A$1:$R$65536,15,FALSE),0)</f>
        <v>1.32E-2</v>
      </c>
      <c r="P29" s="18">
        <f t="shared" si="4"/>
        <v>6.6</v>
      </c>
      <c r="Q29" s="38"/>
      <c r="R29" s="167">
        <f t="shared" si="5"/>
        <v>-1.1000000000000005</v>
      </c>
      <c r="S29" s="123">
        <f t="shared" si="6"/>
        <v>-0.14285714285714293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500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500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500</v>
      </c>
      <c r="F32" s="301">
        <f>IF(A32&lt;&gt;"",VLOOKUP(A32,[4]Rates!$A$1:$R$65536,12,FALSE),0)</f>
        <v>1E-4</v>
      </c>
      <c r="G32" s="296">
        <f t="shared" si="0"/>
        <v>0.05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-0.05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500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19.989999999999998</v>
      </c>
      <c r="H39" s="38"/>
      <c r="I39" s="26"/>
      <c r="J39" s="28">
        <f>SUM(J23:J38)</f>
        <v>26.759999999999994</v>
      </c>
      <c r="K39" s="38"/>
      <c r="L39" s="168">
        <f t="shared" si="2"/>
        <v>6.769999999999996</v>
      </c>
      <c r="M39" s="124">
        <f>IF((G39)=0,"",(L39/G39))</f>
        <v>0.33866933466733351</v>
      </c>
      <c r="N39" s="38"/>
      <c r="O39" s="26"/>
      <c r="P39" s="28">
        <f>SUM(P23:P38)</f>
        <v>25.67</v>
      </c>
      <c r="Q39" s="38"/>
      <c r="R39" s="168">
        <f t="shared" si="5"/>
        <v>-1.0899999999999928</v>
      </c>
      <c r="S39" s="124">
        <f t="shared" si="6"/>
        <v>-4.0732436472346527E-2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500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500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0.15</v>
      </c>
      <c r="Q41" s="21"/>
      <c r="R41" s="167">
        <f t="shared" si="5"/>
        <v>0.15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500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-1.3</v>
      </c>
      <c r="K42" s="21"/>
      <c r="L42" s="167">
        <f t="shared" si="2"/>
        <v>-1.3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1.3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500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500</v>
      </c>
      <c r="F44" s="16">
        <f>IF(A44&lt;&gt;"",VLOOKUP(A44,[4]Rates!$A$1:$R$65536,12,FALSE),0)</f>
        <v>2.9999999999999997E-4</v>
      </c>
      <c r="G44" s="18">
        <f t="shared" si="9"/>
        <v>0.15</v>
      </c>
      <c r="H44" s="38"/>
      <c r="I44" s="16">
        <f>IF($A44&lt;&gt;"",VLOOKUP($A44,[4]Rates!$A$1:$R$65536,14,FALSE),0)</f>
        <v>2.9999999999999997E-4</v>
      </c>
      <c r="J44" s="18">
        <f t="shared" si="11"/>
        <v>0.15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0.25</v>
      </c>
      <c r="Q44" s="38"/>
      <c r="R44" s="167">
        <f t="shared" si="5"/>
        <v>0.1</v>
      </c>
      <c r="S44" s="123">
        <f t="shared" si="6"/>
        <v>0.66666666666666674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17.25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1.9292399999999998</v>
      </c>
      <c r="H45" s="90">
        <f>$F$18*(1+$O$74)-$F$18</f>
        <v>18.449999999999932</v>
      </c>
      <c r="I45" s="32">
        <f>0.64*$F$55+0.18*$F$56+0.18*$F$57</f>
        <v>0.11183999999999999</v>
      </c>
      <c r="J45" s="18">
        <f>$E45*I45</f>
        <v>1.9292399999999998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2.0634479999999922</v>
      </c>
      <c r="Q45" s="38"/>
      <c r="R45" s="169">
        <f t="shared" si="5"/>
        <v>0.13420799999999233</v>
      </c>
      <c r="S45" s="123">
        <f t="shared" si="6"/>
        <v>6.956521739130038E-2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22.85924</v>
      </c>
      <c r="H47" s="38"/>
      <c r="I47" s="35"/>
      <c r="J47" s="37">
        <f>SUM(J40:J46)+J39</f>
        <v>28.329239999999995</v>
      </c>
      <c r="K47" s="38"/>
      <c r="L47" s="170">
        <f t="shared" si="2"/>
        <v>5.4699999999999953</v>
      </c>
      <c r="M47" s="125">
        <f>IF((G47)=0,"",(L47/G47))</f>
        <v>0.23929054509248757</v>
      </c>
      <c r="N47" s="38"/>
      <c r="O47" s="35"/>
      <c r="P47" s="37">
        <f>SUM(P40:P46)+P39</f>
        <v>28.923447999999993</v>
      </c>
      <c r="Q47" s="38"/>
      <c r="R47" s="170">
        <f t="shared" si="5"/>
        <v>0.59420799999999829</v>
      </c>
      <c r="S47" s="125">
        <f>IF((J47)=0,"",(R47/J47))</f>
        <v>2.0975077340585149E-2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517.25</v>
      </c>
      <c r="F48" s="20">
        <f>IF(A48&lt;&gt;"",VLOOKUP(A48,[4]Rates!$A$1:$R$65536,12,FALSE),0)</f>
        <v>8.0000000000000002E-3</v>
      </c>
      <c r="G48" s="18">
        <f>E48*F48</f>
        <v>4.1379999999999999</v>
      </c>
      <c r="H48" s="39">
        <f>F18*(1+O74)</f>
        <v>518.44999999999993</v>
      </c>
      <c r="I48" s="20">
        <f>IF($A48&lt;&gt;"",VLOOKUP($A48,[4]Rates!$A$1:$R$65536,14,FALSE),0)</f>
        <v>8.0000000000000002E-3</v>
      </c>
      <c r="J48" s="18">
        <f>$E48*I48</f>
        <v>4.1379999999999999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4.25129</v>
      </c>
      <c r="Q48" s="38"/>
      <c r="R48" s="171">
        <f t="shared" si="5"/>
        <v>0.11329000000000011</v>
      </c>
      <c r="S48" s="123">
        <f t="shared" si="6"/>
        <v>2.7377960367327238E-2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517.25</v>
      </c>
      <c r="F49" s="20">
        <f>IF(A49&lt;&gt;"",VLOOKUP(A49,[4]Rates!$A$1:$R$65536,12,FALSE),0)</f>
        <v>3.5000000000000001E-3</v>
      </c>
      <c r="G49" s="18">
        <f>E49*F49</f>
        <v>1.8103750000000001</v>
      </c>
      <c r="H49" s="39">
        <f>H48</f>
        <v>518.44999999999993</v>
      </c>
      <c r="I49" s="20">
        <f>IF($A49&lt;&gt;"",VLOOKUP($A49,[4]Rates!$A$1:$R$65536,14,FALSE),0)</f>
        <v>3.5000000000000001E-3</v>
      </c>
      <c r="J49" s="18">
        <f>$E49*I49</f>
        <v>1.8103750000000001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1.9701099999999998</v>
      </c>
      <c r="Q49" s="38"/>
      <c r="R49" s="171">
        <f t="shared" si="5"/>
        <v>0.15973499999999974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28.807614999999998</v>
      </c>
      <c r="H50" s="109"/>
      <c r="I50" s="41"/>
      <c r="J50" s="37">
        <f>SUM(J47:J49)</f>
        <v>34.277614999999997</v>
      </c>
      <c r="K50" s="109"/>
      <c r="L50" s="172">
        <f t="shared" si="2"/>
        <v>5.4699999999999989</v>
      </c>
      <c r="M50" s="125">
        <f t="shared" si="13"/>
        <v>0.18988034934512973</v>
      </c>
      <c r="N50" s="109"/>
      <c r="O50" s="41"/>
      <c r="P50" s="37">
        <f>SUM(P47:P49)</f>
        <v>35.144847999999989</v>
      </c>
      <c r="Q50" s="109"/>
      <c r="R50" s="172">
        <f t="shared" si="5"/>
        <v>0.8672329999999917</v>
      </c>
      <c r="S50" s="125">
        <f t="shared" si="6"/>
        <v>2.5300272495621175E-2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517.25</v>
      </c>
      <c r="F51" s="43">
        <v>3.5999999999999999E-3</v>
      </c>
      <c r="G51" s="44">
        <f t="shared" ref="G51:G59" si="14">E51*F51</f>
        <v>1.8620999999999999</v>
      </c>
      <c r="H51" s="39">
        <f>H49</f>
        <v>518.44999999999993</v>
      </c>
      <c r="I51" s="43">
        <v>3.5999999999999999E-3</v>
      </c>
      <c r="J51" s="44">
        <f>$E51*I51</f>
        <v>1.8620999999999999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1.8664199999999997</v>
      </c>
      <c r="Q51" s="17"/>
      <c r="R51" s="173">
        <f>P51-J51</f>
        <v>4.3199999999998795E-3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517.25</v>
      </c>
      <c r="F52" s="43">
        <v>1.2999999999999999E-3</v>
      </c>
      <c r="G52" s="44">
        <f t="shared" si="14"/>
        <v>0.67242499999999994</v>
      </c>
      <c r="H52" s="39">
        <f>H49</f>
        <v>518.44999999999993</v>
      </c>
      <c r="I52" s="43">
        <v>1.2999999999999999E-3</v>
      </c>
      <c r="J52" s="44">
        <f>$E52*I52</f>
        <v>0.67242499999999994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0.67398499999999983</v>
      </c>
      <c r="Q52" s="17"/>
      <c r="R52" s="173">
        <f t="shared" si="5"/>
        <v>1.5599999999998948E-3</v>
      </c>
      <c r="S52" s="126">
        <f t="shared" si="6"/>
        <v>2.3199613339776109E-3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500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320</v>
      </c>
      <c r="F55" s="46">
        <v>8.6999999999999994E-2</v>
      </c>
      <c r="G55" s="44">
        <f t="shared" si="14"/>
        <v>27.839999999999996</v>
      </c>
      <c r="H55" s="17"/>
      <c r="I55" s="46">
        <f>F55</f>
        <v>8.6999999999999994E-2</v>
      </c>
      <c r="J55" s="44">
        <f t="shared" si="15"/>
        <v>27.839999999999996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27.839999999999996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90</v>
      </c>
      <c r="F56" s="46">
        <v>0.13200000000000001</v>
      </c>
      <c r="G56" s="44">
        <f t="shared" si="14"/>
        <v>11.88</v>
      </c>
      <c r="H56" s="17"/>
      <c r="I56" s="46">
        <f t="shared" ref="I56:I59" si="17">F56</f>
        <v>0.13200000000000001</v>
      </c>
      <c r="J56" s="44">
        <f t="shared" si="15"/>
        <v>11.88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11.88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90</v>
      </c>
      <c r="F57" s="46">
        <v>0.18</v>
      </c>
      <c r="G57" s="44">
        <f t="shared" si="14"/>
        <v>16.2</v>
      </c>
      <c r="H57" s="17"/>
      <c r="I57" s="46">
        <f t="shared" si="17"/>
        <v>0.18</v>
      </c>
      <c r="J57" s="44">
        <f t="shared" si="15"/>
        <v>16.2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16.2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500</v>
      </c>
      <c r="F58" s="43">
        <v>1.1000000000000001E-3</v>
      </c>
      <c r="G58" s="44">
        <f t="shared" si="14"/>
        <v>0.55000000000000004</v>
      </c>
      <c r="H58" s="110"/>
      <c r="I58" s="43">
        <v>1.1000000000000001E-3</v>
      </c>
      <c r="J58" s="44">
        <f>$E58*I58</f>
        <v>0.55000000000000004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0.55000000000000004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88.062139999999985</v>
      </c>
      <c r="H61" s="57"/>
      <c r="I61" s="56"/>
      <c r="J61" s="58">
        <f>SUM(J51:J58,J50)</f>
        <v>93.532139999999984</v>
      </c>
      <c r="K61" s="57"/>
      <c r="L61" s="176">
        <f>J61-G61</f>
        <v>5.4699999999999989</v>
      </c>
      <c r="M61" s="128">
        <f>IF((G61)=0,"",(L61/G61))</f>
        <v>6.2115229087096907E-2</v>
      </c>
      <c r="N61" s="57"/>
      <c r="O61" s="56"/>
      <c r="P61" s="58">
        <f>SUM(P51:P58,P50)</f>
        <v>94.405252999999988</v>
      </c>
      <c r="Q61" s="57"/>
      <c r="R61" s="176">
        <f>P61-J61</f>
        <v>0.87311300000000358</v>
      </c>
      <c r="S61" s="128">
        <f>IF((J61)=0,"",(R61/J61))</f>
        <v>9.3348981430340806E-3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11.448078199999998</v>
      </c>
      <c r="H62" s="61"/>
      <c r="I62" s="60">
        <v>0.13</v>
      </c>
      <c r="J62" s="62">
        <f>J61*I62</f>
        <v>12.159178199999998</v>
      </c>
      <c r="K62" s="61"/>
      <c r="L62" s="176">
        <f>J62-G62</f>
        <v>0.71110000000000007</v>
      </c>
      <c r="M62" s="129">
        <f>IF((G62)=0,"",(L62/G62))</f>
        <v>6.2115229087096928E-2</v>
      </c>
      <c r="N62" s="61"/>
      <c r="O62" s="60">
        <v>0.13</v>
      </c>
      <c r="P62" s="62">
        <f>P61*O62</f>
        <v>12.272682889999999</v>
      </c>
      <c r="Q62" s="61"/>
      <c r="R62" s="176">
        <f t="shared" si="5"/>
        <v>0.11350469000000096</v>
      </c>
      <c r="S62" s="129">
        <f t="shared" ref="S62:S64" si="19">IF((J62)=0,"",(R62/J62))</f>
        <v>9.3348981430341222E-3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99.510218199999983</v>
      </c>
      <c r="H63" s="61"/>
      <c r="I63" s="64"/>
      <c r="J63" s="62">
        <f>J61+J62</f>
        <v>105.69131819999998</v>
      </c>
      <c r="K63" s="61"/>
      <c r="L63" s="176">
        <f>J63-G63</f>
        <v>6.1811000000000007</v>
      </c>
      <c r="M63" s="129">
        <f>IF((G63)=0,"",(L63/G63))</f>
        <v>6.2115229087096928E-2</v>
      </c>
      <c r="N63" s="61"/>
      <c r="O63" s="64"/>
      <c r="P63" s="62">
        <f>P61+P62</f>
        <v>106.67793588999999</v>
      </c>
      <c r="Q63" s="61"/>
      <c r="R63" s="176">
        <f t="shared" si="5"/>
        <v>0.98661769000000277</v>
      </c>
      <c r="S63" s="129">
        <f t="shared" si="19"/>
        <v>9.3348981430340684E-3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99.510218199999983</v>
      </c>
      <c r="H65" s="57"/>
      <c r="I65" s="66"/>
      <c r="J65" s="67">
        <f>J63+J64</f>
        <v>105.69131819999998</v>
      </c>
      <c r="K65" s="57"/>
      <c r="L65" s="178">
        <f>J65-G65</f>
        <v>6.1811000000000007</v>
      </c>
      <c r="M65" s="131">
        <f>IF((G65)=0,"",(L65/G65))</f>
        <v>6.2115229087096928E-2</v>
      </c>
      <c r="N65" s="57"/>
      <c r="O65" s="66"/>
      <c r="P65" s="67">
        <f>P63+P64</f>
        <v>106.67793588999999</v>
      </c>
      <c r="Q65" s="57"/>
      <c r="R65" s="178">
        <f t="shared" si="5"/>
        <v>0.98661769000000277</v>
      </c>
      <c r="S65" s="131">
        <f>IF((J65)=0,"",(R65/J65))</f>
        <v>9.3348981430340684E-3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32.142139999999998</v>
      </c>
      <c r="H67" s="74"/>
      <c r="I67" s="73"/>
      <c r="J67" s="75">
        <f>SUM(J58:J59,J50,J51:J54)</f>
        <v>37.612139999999989</v>
      </c>
      <c r="K67" s="74"/>
      <c r="L67" s="180">
        <f>J67-G67</f>
        <v>5.4699999999999918</v>
      </c>
      <c r="M67" s="128">
        <f>IF((G67)=0,"",(L67/G67))</f>
        <v>0.17018157471780013</v>
      </c>
      <c r="N67" s="74"/>
      <c r="O67" s="73"/>
      <c r="P67" s="75">
        <f>SUM(P58:P59,P50,P51:P54)</f>
        <v>38.485252999999986</v>
      </c>
      <c r="Q67" s="74"/>
      <c r="R67" s="180">
        <f t="shared" si="5"/>
        <v>0.87311299999999648</v>
      </c>
      <c r="S67" s="128">
        <f>IF((J67)=0,"",(R67/J67))</f>
        <v>2.3213595397656096E-2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4.1784781999999998</v>
      </c>
      <c r="H68" s="78"/>
      <c r="I68" s="77">
        <v>0.13</v>
      </c>
      <c r="J68" s="79">
        <f>J67*I68</f>
        <v>4.889578199999999</v>
      </c>
      <c r="K68" s="78"/>
      <c r="L68" s="180">
        <f>J68-G68</f>
        <v>0.71109999999999918</v>
      </c>
      <c r="M68" s="129">
        <f>IF((G68)=0,"",(L68/G68))</f>
        <v>0.17018157471780018</v>
      </c>
      <c r="N68" s="78"/>
      <c r="O68" s="77">
        <v>0.13</v>
      </c>
      <c r="P68" s="79">
        <f>P67*O68</f>
        <v>5.0030828899999982</v>
      </c>
      <c r="Q68" s="78"/>
      <c r="R68" s="180">
        <f t="shared" si="5"/>
        <v>0.11350468999999919</v>
      </c>
      <c r="S68" s="129">
        <f t="shared" ref="S68:S71" si="20">IF((J68)=0,"",(R68/J68))</f>
        <v>2.3213595397656019E-2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36.320618199999998</v>
      </c>
      <c r="H69" s="78"/>
      <c r="I69" s="81"/>
      <c r="J69" s="79">
        <f>J67+J68</f>
        <v>42.501718199999985</v>
      </c>
      <c r="K69" s="78"/>
      <c r="L69" s="180">
        <f>J69-G69</f>
        <v>6.1810999999999865</v>
      </c>
      <c r="M69" s="129">
        <f>IF((G69)=0,"",(L69/G69))</f>
        <v>0.17018157471780002</v>
      </c>
      <c r="N69" s="78"/>
      <c r="O69" s="81"/>
      <c r="P69" s="79">
        <f>P67+P68</f>
        <v>43.488335889999988</v>
      </c>
      <c r="Q69" s="78"/>
      <c r="R69" s="180">
        <f t="shared" si="5"/>
        <v>0.98661769000000277</v>
      </c>
      <c r="S69" s="129">
        <f t="shared" si="20"/>
        <v>2.3213595397656255E-2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-3.6320618200000001</v>
      </c>
      <c r="H70" s="78"/>
      <c r="I70" s="81"/>
      <c r="J70" s="82"/>
      <c r="K70" s="78"/>
      <c r="L70" s="181">
        <f>J70-G70</f>
        <v>3.6320618200000001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60"/>
      <c r="F71" s="83"/>
      <c r="G71" s="84">
        <f>SUM(G69:G70)</f>
        <v>32.688556380000001</v>
      </c>
      <c r="H71" s="74"/>
      <c r="I71" s="83"/>
      <c r="J71" s="84">
        <f>SUM(J69:J70)</f>
        <v>42.501718199999985</v>
      </c>
      <c r="K71" s="74"/>
      <c r="L71" s="182">
        <f>J71-G71</f>
        <v>9.8131618199999835</v>
      </c>
      <c r="M71" s="132">
        <f>IF((G71)=0,"",(L71/G71))</f>
        <v>0.30020174968644436</v>
      </c>
      <c r="N71" s="74"/>
      <c r="O71" s="83"/>
      <c r="P71" s="84">
        <f>SUM(P69:P70)</f>
        <v>43.488335889999988</v>
      </c>
      <c r="Q71" s="74"/>
      <c r="R71" s="182">
        <f t="shared" si="5"/>
        <v>0.98661769000000277</v>
      </c>
      <c r="S71" s="132">
        <f t="shared" si="20"/>
        <v>2.3213595397656255E-2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39" orientation="portrait" horizont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4" zoomScale="70" zoomScaleNormal="70" zoomScaleSheetLayoutView="70" workbookViewId="0">
      <selection activeCell="F19" sqref="F19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1000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1000</v>
      </c>
      <c r="F29" s="16">
        <f>IF(A29&lt;&gt;"",VLOOKUP(A29,[4]Rates!$A$1:$R$65536,12,FALSE),0)</f>
        <v>1.4E-2</v>
      </c>
      <c r="G29" s="18">
        <f t="shared" si="0"/>
        <v>14</v>
      </c>
      <c r="H29" s="38"/>
      <c r="I29" s="16">
        <f>IF($A29&lt;&gt;"",VLOOKUP($A29,[4]Rates!$A$1:$R$65536,14,FALSE),0)</f>
        <v>1.54E-2</v>
      </c>
      <c r="J29" s="18">
        <f t="shared" si="1"/>
        <v>15.4</v>
      </c>
      <c r="K29" s="38"/>
      <c r="L29" s="167">
        <f t="shared" si="2"/>
        <v>1.4000000000000004</v>
      </c>
      <c r="M29" s="123">
        <f t="shared" si="3"/>
        <v>0.10000000000000002</v>
      </c>
      <c r="N29" s="38"/>
      <c r="O29" s="16">
        <f>IF($A29&lt;&gt;"",VLOOKUP($A29,[4]Rates!$A$1:$R$65536,15,FALSE),0)</f>
        <v>1.32E-2</v>
      </c>
      <c r="P29" s="18">
        <f t="shared" si="4"/>
        <v>13.2</v>
      </c>
      <c r="Q29" s="38"/>
      <c r="R29" s="167">
        <f t="shared" si="5"/>
        <v>-2.2000000000000011</v>
      </c>
      <c r="S29" s="123">
        <f t="shared" si="6"/>
        <v>-0.14285714285714293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1000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1000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1000</v>
      </c>
      <c r="F32" s="301">
        <f>IF(A32&lt;&gt;"",VLOOKUP(A32,[4]Rates!$A$1:$R$65536,12,FALSE),0)</f>
        <v>1E-4</v>
      </c>
      <c r="G32" s="296">
        <f t="shared" si="0"/>
        <v>0.1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-0.1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1000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27.04</v>
      </c>
      <c r="H39" s="38"/>
      <c r="I39" s="26"/>
      <c r="J39" s="28">
        <f>SUM(J23:J38)</f>
        <v>34.459999999999994</v>
      </c>
      <c r="K39" s="38"/>
      <c r="L39" s="168">
        <f t="shared" si="2"/>
        <v>7.4199999999999946</v>
      </c>
      <c r="M39" s="124">
        <f>IF((G39)=0,"",(L39/G39))</f>
        <v>0.27440828402366846</v>
      </c>
      <c r="N39" s="38"/>
      <c r="O39" s="26"/>
      <c r="P39" s="28">
        <f>SUM(P23:P38)</f>
        <v>32.270000000000003</v>
      </c>
      <c r="Q39" s="38"/>
      <c r="R39" s="168">
        <f t="shared" si="5"/>
        <v>-2.1899999999999906</v>
      </c>
      <c r="S39" s="124">
        <f t="shared" si="6"/>
        <v>-6.3551944283226663E-2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1000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1000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0.3</v>
      </c>
      <c r="Q41" s="21"/>
      <c r="R41" s="167">
        <f t="shared" si="5"/>
        <v>0.3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1000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-2.6</v>
      </c>
      <c r="K42" s="21"/>
      <c r="L42" s="167">
        <f t="shared" si="2"/>
        <v>-2.6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2.6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1000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1000</v>
      </c>
      <c r="F44" s="16">
        <f>IF(A44&lt;&gt;"",VLOOKUP(A44,[4]Rates!$A$1:$R$65536,12,FALSE),0)</f>
        <v>2.9999999999999997E-4</v>
      </c>
      <c r="G44" s="18">
        <f t="shared" si="9"/>
        <v>0.3</v>
      </c>
      <c r="H44" s="38"/>
      <c r="I44" s="16">
        <f>IF($A44&lt;&gt;"",VLOOKUP($A44,[4]Rates!$A$1:$R$65536,14,FALSE),0)</f>
        <v>2.9999999999999997E-4</v>
      </c>
      <c r="J44" s="18">
        <f t="shared" si="11"/>
        <v>0.3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0.5</v>
      </c>
      <c r="Q44" s="38"/>
      <c r="R44" s="167">
        <f t="shared" si="5"/>
        <v>0.2</v>
      </c>
      <c r="S44" s="123">
        <f t="shared" si="6"/>
        <v>0.66666666666666674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34.5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3.8584799999999997</v>
      </c>
      <c r="H45" s="90">
        <f>$F$18*(1+$O$74)-$F$18</f>
        <v>36.899999999999864</v>
      </c>
      <c r="I45" s="32">
        <f>0.64*$F$55+0.18*$F$56+0.18*$F$57</f>
        <v>0.11183999999999999</v>
      </c>
      <c r="J45" s="18">
        <f>$E45*I45</f>
        <v>3.8584799999999997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4.1268959999999844</v>
      </c>
      <c r="Q45" s="38"/>
      <c r="R45" s="169">
        <f t="shared" si="5"/>
        <v>0.26841599999998467</v>
      </c>
      <c r="S45" s="123">
        <f t="shared" si="6"/>
        <v>6.956521739130038E-2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31.988479999999999</v>
      </c>
      <c r="H47" s="38"/>
      <c r="I47" s="35"/>
      <c r="J47" s="37">
        <f>SUM(J40:J46)+J39</f>
        <v>36.808479999999996</v>
      </c>
      <c r="K47" s="38"/>
      <c r="L47" s="170">
        <f t="shared" si="2"/>
        <v>4.8199999999999967</v>
      </c>
      <c r="M47" s="125">
        <f>IF((G47)=0,"",(L47/G47))</f>
        <v>0.15067924452803</v>
      </c>
      <c r="N47" s="38"/>
      <c r="O47" s="35"/>
      <c r="P47" s="37">
        <f>SUM(P40:P46)+P39</f>
        <v>37.986895999999987</v>
      </c>
      <c r="Q47" s="38"/>
      <c r="R47" s="170">
        <f t="shared" si="5"/>
        <v>1.1784159999999915</v>
      </c>
      <c r="S47" s="125">
        <f>IF((J47)=0,"",(R47/J47))</f>
        <v>3.201479659035069E-2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1034.5</v>
      </c>
      <c r="F48" s="20">
        <f>IF(A48&lt;&gt;"",VLOOKUP(A48,[4]Rates!$A$1:$R$65536,12,FALSE),0)</f>
        <v>8.0000000000000002E-3</v>
      </c>
      <c r="G48" s="18">
        <f>E48*F48</f>
        <v>8.2759999999999998</v>
      </c>
      <c r="H48" s="39">
        <f>F18*(1+O74)</f>
        <v>1036.8999999999999</v>
      </c>
      <c r="I48" s="20">
        <f>IF($A48&lt;&gt;"",VLOOKUP($A48,[4]Rates!$A$1:$R$65536,14,FALSE),0)</f>
        <v>8.0000000000000002E-3</v>
      </c>
      <c r="J48" s="18">
        <f>$E48*I48</f>
        <v>8.2759999999999998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8.50258</v>
      </c>
      <c r="Q48" s="38"/>
      <c r="R48" s="171">
        <f t="shared" si="5"/>
        <v>0.22658000000000023</v>
      </c>
      <c r="S48" s="123">
        <f t="shared" si="6"/>
        <v>2.7377960367327238E-2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1034.5</v>
      </c>
      <c r="F49" s="20">
        <f>IF(A49&lt;&gt;"",VLOOKUP(A49,[4]Rates!$A$1:$R$65536,12,FALSE),0)</f>
        <v>3.5000000000000001E-3</v>
      </c>
      <c r="G49" s="18">
        <f>E49*F49</f>
        <v>3.6207500000000001</v>
      </c>
      <c r="H49" s="39">
        <f>H48</f>
        <v>1036.8999999999999</v>
      </c>
      <c r="I49" s="20">
        <f>IF($A49&lt;&gt;"",VLOOKUP($A49,[4]Rates!$A$1:$R$65536,14,FALSE),0)</f>
        <v>3.5000000000000001E-3</v>
      </c>
      <c r="J49" s="18">
        <f>$E49*I49</f>
        <v>3.6207500000000001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3.9402199999999996</v>
      </c>
      <c r="Q49" s="38"/>
      <c r="R49" s="171">
        <f t="shared" si="5"/>
        <v>0.31946999999999948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43.88523</v>
      </c>
      <c r="H50" s="109"/>
      <c r="I50" s="41"/>
      <c r="J50" s="37">
        <f>SUM(J47:J49)</f>
        <v>48.70523</v>
      </c>
      <c r="K50" s="109"/>
      <c r="L50" s="172">
        <f t="shared" si="2"/>
        <v>4.82</v>
      </c>
      <c r="M50" s="125">
        <f t="shared" si="13"/>
        <v>0.10983194117929883</v>
      </c>
      <c r="N50" s="109"/>
      <c r="O50" s="41"/>
      <c r="P50" s="37">
        <f>SUM(P47:P49)</f>
        <v>50.429695999999986</v>
      </c>
      <c r="Q50" s="109"/>
      <c r="R50" s="172">
        <f t="shared" si="5"/>
        <v>1.7244659999999854</v>
      </c>
      <c r="S50" s="125">
        <f t="shared" si="6"/>
        <v>3.5406177118966188E-2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1034.5</v>
      </c>
      <c r="F51" s="43">
        <v>3.5999999999999999E-3</v>
      </c>
      <c r="G51" s="44">
        <f t="shared" ref="G51:G59" si="14">E51*F51</f>
        <v>3.7241999999999997</v>
      </c>
      <c r="H51" s="39">
        <f>H49</f>
        <v>1036.8999999999999</v>
      </c>
      <c r="I51" s="43">
        <v>3.5999999999999999E-3</v>
      </c>
      <c r="J51" s="44">
        <f>$E51*I51</f>
        <v>3.7241999999999997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3.7328399999999995</v>
      </c>
      <c r="Q51" s="17"/>
      <c r="R51" s="173">
        <f>P51-J51</f>
        <v>8.639999999999759E-3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1034.5</v>
      </c>
      <c r="F52" s="43">
        <v>1.2999999999999999E-3</v>
      </c>
      <c r="G52" s="44">
        <f t="shared" si="14"/>
        <v>1.3448499999999999</v>
      </c>
      <c r="H52" s="39">
        <f>H49</f>
        <v>1036.8999999999999</v>
      </c>
      <c r="I52" s="43">
        <v>1.2999999999999999E-3</v>
      </c>
      <c r="J52" s="44">
        <f>$E52*I52</f>
        <v>1.3448499999999999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1.3479699999999997</v>
      </c>
      <c r="Q52" s="17"/>
      <c r="R52" s="173">
        <f t="shared" si="5"/>
        <v>3.1199999999997896E-3</v>
      </c>
      <c r="S52" s="126">
        <f t="shared" si="6"/>
        <v>2.3199613339776109E-3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1000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640</v>
      </c>
      <c r="F55" s="46">
        <v>8.6999999999999994E-2</v>
      </c>
      <c r="G55" s="44">
        <f t="shared" si="14"/>
        <v>55.679999999999993</v>
      </c>
      <c r="H55" s="17"/>
      <c r="I55" s="46">
        <f>F55</f>
        <v>8.6999999999999994E-2</v>
      </c>
      <c r="J55" s="44">
        <f t="shared" si="15"/>
        <v>55.679999999999993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55.679999999999993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180</v>
      </c>
      <c r="F56" s="46">
        <v>0.13200000000000001</v>
      </c>
      <c r="G56" s="44">
        <f t="shared" si="14"/>
        <v>23.76</v>
      </c>
      <c r="H56" s="17"/>
      <c r="I56" s="46">
        <f t="shared" ref="I56:I59" si="17">F56</f>
        <v>0.13200000000000001</v>
      </c>
      <c r="J56" s="44">
        <f t="shared" si="15"/>
        <v>23.76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23.76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180</v>
      </c>
      <c r="F57" s="46">
        <v>0.18</v>
      </c>
      <c r="G57" s="44">
        <f t="shared" si="14"/>
        <v>32.4</v>
      </c>
      <c r="H57" s="17"/>
      <c r="I57" s="46">
        <f t="shared" si="17"/>
        <v>0.18</v>
      </c>
      <c r="J57" s="44">
        <f t="shared" si="15"/>
        <v>32.4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32.4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1000</v>
      </c>
      <c r="F58" s="43">
        <v>1.1000000000000001E-3</v>
      </c>
      <c r="G58" s="44">
        <f t="shared" si="14"/>
        <v>1.1000000000000001</v>
      </c>
      <c r="H58" s="110"/>
      <c r="I58" s="43">
        <v>1.1000000000000001E-3</v>
      </c>
      <c r="J58" s="44">
        <f>$E58*I58</f>
        <v>1.1000000000000001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1.1000000000000001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162.14427999999998</v>
      </c>
      <c r="H61" s="57"/>
      <c r="I61" s="56"/>
      <c r="J61" s="58">
        <f>SUM(J51:J58,J50)</f>
        <v>166.96427999999997</v>
      </c>
      <c r="K61" s="57"/>
      <c r="L61" s="176">
        <f>J61-G61</f>
        <v>4.8199999999999932</v>
      </c>
      <c r="M61" s="128">
        <f>IF((G61)=0,"",(L61/G61))</f>
        <v>2.9726611385859518E-2</v>
      </c>
      <c r="N61" s="57"/>
      <c r="O61" s="56"/>
      <c r="P61" s="58">
        <f>SUM(P51:P58,P50)</f>
        <v>168.70050599999996</v>
      </c>
      <c r="Q61" s="57"/>
      <c r="R61" s="176">
        <f>P61-J61</f>
        <v>1.7362259999999878</v>
      </c>
      <c r="S61" s="128">
        <f>IF((J61)=0,"",(R61/J61))</f>
        <v>1.0398787093862161E-2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21.0787564</v>
      </c>
      <c r="H62" s="61"/>
      <c r="I62" s="60">
        <v>0.13</v>
      </c>
      <c r="J62" s="62">
        <f>J61*I62</f>
        <v>21.705356399999996</v>
      </c>
      <c r="K62" s="61"/>
      <c r="L62" s="176">
        <f>J62-G62</f>
        <v>0.62659999999999627</v>
      </c>
      <c r="M62" s="129">
        <f>IF((G62)=0,"",(L62/G62))</f>
        <v>2.9726611385859379E-2</v>
      </c>
      <c r="N62" s="61"/>
      <c r="O62" s="60">
        <v>0.13</v>
      </c>
      <c r="P62" s="62">
        <f>P61*O62</f>
        <v>21.931065779999997</v>
      </c>
      <c r="Q62" s="61"/>
      <c r="R62" s="176">
        <f t="shared" si="5"/>
        <v>0.2257093800000014</v>
      </c>
      <c r="S62" s="129">
        <f t="shared" ref="S62:S64" si="19">IF((J62)=0,"",(R62/J62))</f>
        <v>1.0398787093862299E-2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183.22303639999998</v>
      </c>
      <c r="H63" s="61"/>
      <c r="I63" s="64"/>
      <c r="J63" s="62">
        <f>J61+J62</f>
        <v>188.66963639999997</v>
      </c>
      <c r="K63" s="61"/>
      <c r="L63" s="176">
        <f>J63-G63</f>
        <v>5.4465999999999894</v>
      </c>
      <c r="M63" s="129">
        <f>IF((G63)=0,"",(L63/G63))</f>
        <v>2.9726611385859501E-2</v>
      </c>
      <c r="N63" s="61"/>
      <c r="O63" s="64"/>
      <c r="P63" s="62">
        <f>P61+P62</f>
        <v>190.63157177999994</v>
      </c>
      <c r="Q63" s="61"/>
      <c r="R63" s="176">
        <f t="shared" si="5"/>
        <v>1.9619353799999715</v>
      </c>
      <c r="S63" s="129">
        <f t="shared" si="19"/>
        <v>1.0398787093862083E-2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183.22303639999998</v>
      </c>
      <c r="H65" s="57"/>
      <c r="I65" s="66"/>
      <c r="J65" s="67">
        <f>J63+J64</f>
        <v>188.66963639999997</v>
      </c>
      <c r="K65" s="57"/>
      <c r="L65" s="178">
        <f>J65-G65</f>
        <v>5.4465999999999894</v>
      </c>
      <c r="M65" s="131">
        <f>IF((G65)=0,"",(L65/G65))</f>
        <v>2.9726611385859501E-2</v>
      </c>
      <c r="N65" s="57"/>
      <c r="O65" s="66"/>
      <c r="P65" s="67">
        <f>P63+P64</f>
        <v>190.63157177999994</v>
      </c>
      <c r="Q65" s="57"/>
      <c r="R65" s="178">
        <f t="shared" si="5"/>
        <v>1.9619353799999715</v>
      </c>
      <c r="S65" s="131">
        <f>IF((J65)=0,"",(R65/J65))</f>
        <v>1.0398787093862083E-2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50.304279999999999</v>
      </c>
      <c r="H67" s="74"/>
      <c r="I67" s="73"/>
      <c r="J67" s="75">
        <f>SUM(J58:J59,J50,J51:J54)</f>
        <v>55.124280000000006</v>
      </c>
      <c r="K67" s="74"/>
      <c r="L67" s="180">
        <f>J67-G67</f>
        <v>4.8200000000000074</v>
      </c>
      <c r="M67" s="128">
        <f>IF((G67)=0,"",(L67/G67))</f>
        <v>9.5816896693482298E-2</v>
      </c>
      <c r="N67" s="74"/>
      <c r="O67" s="73"/>
      <c r="P67" s="75">
        <f>SUM(P58:P59,P50,P51:P54)</f>
        <v>56.86050599999998</v>
      </c>
      <c r="Q67" s="74"/>
      <c r="R67" s="180">
        <f t="shared" si="5"/>
        <v>1.7362259999999736</v>
      </c>
      <c r="S67" s="128">
        <f>IF((J67)=0,"",(R67/J67))</f>
        <v>3.1496574649137792E-2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6.5395564000000004</v>
      </c>
      <c r="H68" s="78"/>
      <c r="I68" s="77">
        <v>0.13</v>
      </c>
      <c r="J68" s="79">
        <f>J67*I68</f>
        <v>7.1661564000000011</v>
      </c>
      <c r="K68" s="78"/>
      <c r="L68" s="180">
        <f>J68-G68</f>
        <v>0.62660000000000071</v>
      </c>
      <c r="M68" s="129">
        <f>IF((G68)=0,"",(L68/G68))</f>
        <v>9.5816896693482242E-2</v>
      </c>
      <c r="N68" s="78"/>
      <c r="O68" s="77">
        <v>0.13</v>
      </c>
      <c r="P68" s="79">
        <f>P67*O68</f>
        <v>7.3918657799999972</v>
      </c>
      <c r="Q68" s="78"/>
      <c r="R68" s="180">
        <f t="shared" si="5"/>
        <v>0.22570937999999607</v>
      </c>
      <c r="S68" s="129">
        <f t="shared" ref="S68:S71" si="20">IF((J68)=0,"",(R68/J68))</f>
        <v>3.1496574649137722E-2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56.843836400000001</v>
      </c>
      <c r="H69" s="78"/>
      <c r="I69" s="81"/>
      <c r="J69" s="79">
        <f>J67+J68</f>
        <v>62.290436400000004</v>
      </c>
      <c r="K69" s="78"/>
      <c r="L69" s="180">
        <f>J69-G69</f>
        <v>5.4466000000000037</v>
      </c>
      <c r="M69" s="129">
        <f>IF((G69)=0,"",(L69/G69))</f>
        <v>9.5816896693482215E-2</v>
      </c>
      <c r="N69" s="78"/>
      <c r="O69" s="81"/>
      <c r="P69" s="79">
        <f>P67+P68</f>
        <v>64.252371779999976</v>
      </c>
      <c r="Q69" s="78"/>
      <c r="R69" s="180">
        <f t="shared" si="5"/>
        <v>1.9619353799999715</v>
      </c>
      <c r="S69" s="129">
        <f t="shared" si="20"/>
        <v>3.1496574649137812E-2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-5.6843836400000001</v>
      </c>
      <c r="H70" s="78"/>
      <c r="I70" s="81"/>
      <c r="J70" s="82"/>
      <c r="K70" s="78"/>
      <c r="L70" s="181">
        <f>J70-G70</f>
        <v>5.6843836400000001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60"/>
      <c r="F71" s="83"/>
      <c r="G71" s="84">
        <f>SUM(G69:G70)</f>
        <v>51.159452760000001</v>
      </c>
      <c r="H71" s="74"/>
      <c r="I71" s="83"/>
      <c r="J71" s="84">
        <f>SUM(J69:J70)</f>
        <v>62.290436400000004</v>
      </c>
      <c r="K71" s="74"/>
      <c r="L71" s="182">
        <f>J71-G71</f>
        <v>11.130983640000004</v>
      </c>
      <c r="M71" s="132">
        <f>IF((G71)=0,"",(L71/G71))</f>
        <v>0.21757432965942466</v>
      </c>
      <c r="N71" s="74"/>
      <c r="O71" s="83"/>
      <c r="P71" s="84">
        <f>SUM(P69:P70)</f>
        <v>64.252371779999976</v>
      </c>
      <c r="Q71" s="74"/>
      <c r="R71" s="182">
        <f t="shared" si="5"/>
        <v>1.9619353799999715</v>
      </c>
      <c r="S71" s="132">
        <f t="shared" si="20"/>
        <v>3.1496574649137812E-2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39" orientation="portrait" horizont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14" zoomScale="70" zoomScaleNormal="55" zoomScaleSheetLayoutView="70" workbookViewId="0">
      <selection activeCell="F19" sqref="F19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1500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1500</v>
      </c>
      <c r="F29" s="16">
        <f>IF(A29&lt;&gt;"",VLOOKUP(A29,[4]Rates!$A$1:$R$65536,12,FALSE),0)</f>
        <v>1.4E-2</v>
      </c>
      <c r="G29" s="18">
        <f t="shared" si="0"/>
        <v>21</v>
      </c>
      <c r="H29" s="38"/>
      <c r="I29" s="16">
        <f>IF($A29&lt;&gt;"",VLOOKUP($A29,[4]Rates!$A$1:$R$65536,14,FALSE),0)</f>
        <v>1.54E-2</v>
      </c>
      <c r="J29" s="18">
        <f t="shared" si="1"/>
        <v>23.1</v>
      </c>
      <c r="K29" s="38"/>
      <c r="L29" s="167">
        <f t="shared" si="2"/>
        <v>2.1000000000000014</v>
      </c>
      <c r="M29" s="123">
        <f t="shared" si="3"/>
        <v>0.10000000000000006</v>
      </c>
      <c r="N29" s="38"/>
      <c r="O29" s="16">
        <f>IF($A29&lt;&gt;"",VLOOKUP($A29,[4]Rates!$A$1:$R$65536,15,FALSE),0)</f>
        <v>1.32E-2</v>
      </c>
      <c r="P29" s="18">
        <f t="shared" si="4"/>
        <v>19.8</v>
      </c>
      <c r="Q29" s="38"/>
      <c r="R29" s="167">
        <f t="shared" si="5"/>
        <v>-3.3000000000000007</v>
      </c>
      <c r="S29" s="123">
        <f t="shared" si="6"/>
        <v>-0.14285714285714288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1500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1500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1500</v>
      </c>
      <c r="F32" s="301">
        <f>IF(A32&lt;&gt;"",VLOOKUP(A32,[4]Rates!$A$1:$R$65536,12,FALSE),0)</f>
        <v>1E-4</v>
      </c>
      <c r="G32" s="296">
        <f t="shared" si="0"/>
        <v>0.15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-0.15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1500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34.089999999999996</v>
      </c>
      <c r="H39" s="38"/>
      <c r="I39" s="26"/>
      <c r="J39" s="28">
        <f>SUM(J23:J38)</f>
        <v>42.16</v>
      </c>
      <c r="K39" s="38"/>
      <c r="L39" s="168">
        <f t="shared" si="2"/>
        <v>8.07</v>
      </c>
      <c r="M39" s="124">
        <f>IF((G39)=0,"",(L39/G39))</f>
        <v>0.23672631270167208</v>
      </c>
      <c r="N39" s="38"/>
      <c r="O39" s="26"/>
      <c r="P39" s="28">
        <f>SUM(P23:P38)</f>
        <v>38.869999999999997</v>
      </c>
      <c r="Q39" s="38"/>
      <c r="R39" s="168">
        <f t="shared" si="5"/>
        <v>-3.2899999999999991</v>
      </c>
      <c r="S39" s="124">
        <f t="shared" si="6"/>
        <v>-7.8036053130929775E-2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1500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1500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0.44999999999999996</v>
      </c>
      <c r="Q41" s="21"/>
      <c r="R41" s="167">
        <f t="shared" si="5"/>
        <v>0.44999999999999996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1500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-3.9</v>
      </c>
      <c r="K42" s="21"/>
      <c r="L42" s="167">
        <f t="shared" si="2"/>
        <v>-3.9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3.9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1500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1500</v>
      </c>
      <c r="F44" s="16">
        <f>IF(A44&lt;&gt;"",VLOOKUP(A44,[4]Rates!$A$1:$R$65536,12,FALSE),0)</f>
        <v>2.9999999999999997E-4</v>
      </c>
      <c r="G44" s="18">
        <f t="shared" si="9"/>
        <v>0.44999999999999996</v>
      </c>
      <c r="H44" s="38"/>
      <c r="I44" s="16">
        <f>IF($A44&lt;&gt;"",VLOOKUP($A44,[4]Rates!$A$1:$R$65536,14,FALSE),0)</f>
        <v>2.9999999999999997E-4</v>
      </c>
      <c r="J44" s="18">
        <f t="shared" si="11"/>
        <v>0.44999999999999996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0.75</v>
      </c>
      <c r="Q44" s="38"/>
      <c r="R44" s="167">
        <f t="shared" si="5"/>
        <v>0.30000000000000004</v>
      </c>
      <c r="S44" s="123">
        <f t="shared" si="6"/>
        <v>0.66666666666666685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51.75</v>
      </c>
      <c r="F45" s="32">
        <f>IF(ISBLANK(D16)=TRUE, 0, IF(D16="TOU", 0.64*$F$55+0.18*$F$56+0.18*$F$57, IF(AND(D16="non-TOU", E59&gt;0), F59,F58)))</f>
        <v>0.11183999999999999</v>
      </c>
      <c r="G45" s="18">
        <f>E45*F45</f>
        <v>5.7877199999999993</v>
      </c>
      <c r="H45" s="90">
        <f>$F$18*(1+$O$74)-$F$18</f>
        <v>55.349999999999909</v>
      </c>
      <c r="I45" s="32">
        <f>0.64*$F$55+0.18*$F$56+0.18*$F$57</f>
        <v>0.11183999999999999</v>
      </c>
      <c r="J45" s="18">
        <f>$E45*I45</f>
        <v>5.7877199999999993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6.1903439999999899</v>
      </c>
      <c r="Q45" s="38"/>
      <c r="R45" s="169">
        <f t="shared" si="5"/>
        <v>0.40262399999999055</v>
      </c>
      <c r="S45" s="123">
        <f t="shared" si="6"/>
        <v>6.9565217391302725E-2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41.117719999999998</v>
      </c>
      <c r="H47" s="38"/>
      <c r="I47" s="35"/>
      <c r="J47" s="37">
        <f>SUM(J40:J46)+J39</f>
        <v>45.287719999999993</v>
      </c>
      <c r="K47" s="38"/>
      <c r="L47" s="170">
        <f t="shared" si="2"/>
        <v>4.1699999999999946</v>
      </c>
      <c r="M47" s="125">
        <f>IF((G47)=0,"",(L47/G47))</f>
        <v>0.10141612910443465</v>
      </c>
      <c r="N47" s="38"/>
      <c r="O47" s="35"/>
      <c r="P47" s="37">
        <f>SUM(P40:P46)+P39</f>
        <v>47.050343999999988</v>
      </c>
      <c r="Q47" s="38"/>
      <c r="R47" s="170">
        <f t="shared" si="5"/>
        <v>1.7626239999999953</v>
      </c>
      <c r="S47" s="125">
        <f>IF((J47)=0,"",(R47/J47))</f>
        <v>3.8920572729207729E-2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1551.75</v>
      </c>
      <c r="F48" s="20">
        <f>IF(A48&lt;&gt;"",VLOOKUP(A48,[4]Rates!$A$1:$R$65536,12,FALSE),0)</f>
        <v>8.0000000000000002E-3</v>
      </c>
      <c r="G48" s="18">
        <f>E48*F48</f>
        <v>12.414</v>
      </c>
      <c r="H48" s="39">
        <f>F18*(1+O74)</f>
        <v>1555.35</v>
      </c>
      <c r="I48" s="20">
        <f>IF($A48&lt;&gt;"",VLOOKUP($A48,[4]Rates!$A$1:$R$65536,14,FALSE),0)</f>
        <v>8.0000000000000002E-3</v>
      </c>
      <c r="J48" s="18">
        <f>$E48*I48</f>
        <v>12.414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12.753870000000001</v>
      </c>
      <c r="Q48" s="38"/>
      <c r="R48" s="171">
        <f t="shared" si="5"/>
        <v>0.33987000000000123</v>
      </c>
      <c r="S48" s="123">
        <f t="shared" si="6"/>
        <v>2.7377960367327311E-2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1551.75</v>
      </c>
      <c r="F49" s="20">
        <f>IF(A49&lt;&gt;"",VLOOKUP(A49,[4]Rates!$A$1:$R$65536,12,FALSE),0)</f>
        <v>3.5000000000000001E-3</v>
      </c>
      <c r="G49" s="18">
        <f>E49*F49</f>
        <v>5.4311249999999998</v>
      </c>
      <c r="H49" s="39">
        <f>H48</f>
        <v>1555.35</v>
      </c>
      <c r="I49" s="20">
        <f>IF($A49&lt;&gt;"",VLOOKUP($A49,[4]Rates!$A$1:$R$65536,14,FALSE),0)</f>
        <v>3.5000000000000001E-3</v>
      </c>
      <c r="J49" s="18">
        <f>$E49*I49</f>
        <v>5.4311249999999998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5.9103300000000001</v>
      </c>
      <c r="Q49" s="38"/>
      <c r="R49" s="171">
        <f t="shared" si="5"/>
        <v>0.47920500000000033</v>
      </c>
      <c r="S49" s="123">
        <f t="shared" si="6"/>
        <v>8.8233100876890208E-2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58.962845000000002</v>
      </c>
      <c r="H50" s="109"/>
      <c r="I50" s="41"/>
      <c r="J50" s="37">
        <f>SUM(J47:J49)</f>
        <v>63.132844999999996</v>
      </c>
      <c r="K50" s="109"/>
      <c r="L50" s="172">
        <f t="shared" si="2"/>
        <v>4.1699999999999946</v>
      </c>
      <c r="M50" s="125">
        <f t="shared" si="13"/>
        <v>7.0722503298475417E-2</v>
      </c>
      <c r="N50" s="109"/>
      <c r="O50" s="41"/>
      <c r="P50" s="37">
        <f>SUM(P47:P49)</f>
        <v>65.714543999999989</v>
      </c>
      <c r="Q50" s="109"/>
      <c r="R50" s="172">
        <f t="shared" si="5"/>
        <v>2.5816989999999933</v>
      </c>
      <c r="S50" s="125">
        <f t="shared" si="6"/>
        <v>4.0893119896624232E-2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1551.75</v>
      </c>
      <c r="F51" s="43">
        <v>3.5999999999999999E-3</v>
      </c>
      <c r="G51" s="44">
        <f t="shared" ref="G51:G59" si="14">E51*F51</f>
        <v>5.5862999999999996</v>
      </c>
      <c r="H51" s="39">
        <f>H49</f>
        <v>1555.35</v>
      </c>
      <c r="I51" s="43">
        <v>3.5999999999999999E-3</v>
      </c>
      <c r="J51" s="44">
        <f>$E51*I51</f>
        <v>5.5862999999999996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5.5992599999999992</v>
      </c>
      <c r="Q51" s="17"/>
      <c r="R51" s="173">
        <f>P51-J51</f>
        <v>1.2959999999999638E-2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1551.75</v>
      </c>
      <c r="F52" s="43">
        <v>1.2999999999999999E-3</v>
      </c>
      <c r="G52" s="44">
        <f t="shared" si="14"/>
        <v>2.0172749999999997</v>
      </c>
      <c r="H52" s="39">
        <f>H49</f>
        <v>1555.35</v>
      </c>
      <c r="I52" s="43">
        <v>1.2999999999999999E-3</v>
      </c>
      <c r="J52" s="44">
        <f>$E52*I52</f>
        <v>2.0172749999999997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2.0219549999999997</v>
      </c>
      <c r="Q52" s="17"/>
      <c r="R52" s="173">
        <f t="shared" si="5"/>
        <v>4.6800000000000175E-3</v>
      </c>
      <c r="S52" s="126">
        <f t="shared" si="6"/>
        <v>2.3199613339777761E-3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1500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960</v>
      </c>
      <c r="F55" s="46">
        <v>8.6999999999999994E-2</v>
      </c>
      <c r="G55" s="44">
        <f t="shared" si="14"/>
        <v>83.52</v>
      </c>
      <c r="H55" s="17"/>
      <c r="I55" s="46">
        <f>F55</f>
        <v>8.6999999999999994E-2</v>
      </c>
      <c r="J55" s="44">
        <f t="shared" si="15"/>
        <v>83.52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83.52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270</v>
      </c>
      <c r="F56" s="46">
        <v>0.13200000000000001</v>
      </c>
      <c r="G56" s="44">
        <f t="shared" si="14"/>
        <v>35.64</v>
      </c>
      <c r="H56" s="17"/>
      <c r="I56" s="46">
        <f t="shared" ref="I56:I59" si="17">F56</f>
        <v>0.13200000000000001</v>
      </c>
      <c r="J56" s="44">
        <f t="shared" si="15"/>
        <v>35.64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35.64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270</v>
      </c>
      <c r="F57" s="46">
        <v>0.18</v>
      </c>
      <c r="G57" s="44">
        <f t="shared" si="14"/>
        <v>48.6</v>
      </c>
      <c r="H57" s="17"/>
      <c r="I57" s="46">
        <f t="shared" si="17"/>
        <v>0.18</v>
      </c>
      <c r="J57" s="44">
        <f t="shared" si="15"/>
        <v>48.6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48.6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1000</v>
      </c>
      <c r="F58" s="43">
        <v>1.1000000000000001E-3</v>
      </c>
      <c r="G58" s="44">
        <f t="shared" si="14"/>
        <v>1.1000000000000001</v>
      </c>
      <c r="H58" s="110"/>
      <c r="I58" s="43">
        <v>1.1000000000000001E-3</v>
      </c>
      <c r="J58" s="44">
        <f>$E58*I58</f>
        <v>1.1000000000000001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1.1000000000000001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235.67642000000001</v>
      </c>
      <c r="H61" s="57"/>
      <c r="I61" s="56"/>
      <c r="J61" s="58">
        <f>SUM(J51:J58,J50)</f>
        <v>239.84641999999999</v>
      </c>
      <c r="K61" s="57"/>
      <c r="L61" s="176">
        <f>J61-G61</f>
        <v>4.1699999999999875</v>
      </c>
      <c r="M61" s="128">
        <f>IF((G61)=0,"",(L61/G61))</f>
        <v>1.7693751458037199E-2</v>
      </c>
      <c r="N61" s="57"/>
      <c r="O61" s="56"/>
      <c r="P61" s="58">
        <f>SUM(P51:P58,P50)</f>
        <v>242.44575899999998</v>
      </c>
      <c r="Q61" s="57"/>
      <c r="R61" s="176">
        <f>P61-J61</f>
        <v>2.5993389999999863</v>
      </c>
      <c r="S61" s="128">
        <f>IF((J61)=0,"",(R61/J61))</f>
        <v>1.0837514272674932E-2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30.637934600000001</v>
      </c>
      <c r="H62" s="61"/>
      <c r="I62" s="60">
        <v>0.13</v>
      </c>
      <c r="J62" s="62">
        <f>J61*I62</f>
        <v>31.180034599999999</v>
      </c>
      <c r="K62" s="61"/>
      <c r="L62" s="176">
        <f>J62-G62</f>
        <v>0.54209999999999781</v>
      </c>
      <c r="M62" s="129">
        <f>IF((G62)=0,"",(L62/G62))</f>
        <v>1.7693751458037182E-2</v>
      </c>
      <c r="N62" s="61"/>
      <c r="O62" s="60">
        <v>0.13</v>
      </c>
      <c r="P62" s="62">
        <f>P61*O62</f>
        <v>31.517948669999999</v>
      </c>
      <c r="Q62" s="61"/>
      <c r="R62" s="176">
        <f t="shared" si="5"/>
        <v>0.33791407000000007</v>
      </c>
      <c r="S62" s="129">
        <f t="shared" ref="S62:S64" si="19">IF((J62)=0,"",(R62/J62))</f>
        <v>1.0837514272674991E-2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266.3143546</v>
      </c>
      <c r="H63" s="61"/>
      <c r="I63" s="64"/>
      <c r="J63" s="62">
        <f>J61+J62</f>
        <v>271.02645459999997</v>
      </c>
      <c r="K63" s="61"/>
      <c r="L63" s="176">
        <f>J63-G63</f>
        <v>4.712099999999964</v>
      </c>
      <c r="M63" s="129">
        <f>IF((G63)=0,"",(L63/G63))</f>
        <v>1.7693751458037119E-2</v>
      </c>
      <c r="N63" s="61"/>
      <c r="O63" s="64"/>
      <c r="P63" s="62">
        <f>P61+P62</f>
        <v>273.96370766999996</v>
      </c>
      <c r="Q63" s="61"/>
      <c r="R63" s="176">
        <f t="shared" si="5"/>
        <v>2.937253069999997</v>
      </c>
      <c r="S63" s="129">
        <f t="shared" si="19"/>
        <v>1.0837514272674979E-2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266.3143546</v>
      </c>
      <c r="H65" s="57"/>
      <c r="I65" s="66"/>
      <c r="J65" s="67">
        <f>J63+J64</f>
        <v>271.02645459999997</v>
      </c>
      <c r="K65" s="57"/>
      <c r="L65" s="178">
        <f>J65-G65</f>
        <v>4.712099999999964</v>
      </c>
      <c r="M65" s="131">
        <f>IF((G65)=0,"",(L65/G65))</f>
        <v>1.7693751458037119E-2</v>
      </c>
      <c r="N65" s="57"/>
      <c r="O65" s="66"/>
      <c r="P65" s="67">
        <f>P63+P64</f>
        <v>273.96370766999996</v>
      </c>
      <c r="Q65" s="57"/>
      <c r="R65" s="178">
        <f t="shared" si="5"/>
        <v>2.937253069999997</v>
      </c>
      <c r="S65" s="131">
        <f>IF((J65)=0,"",(R65/J65))</f>
        <v>1.0837514272674979E-2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67.916420000000002</v>
      </c>
      <c r="H67" s="74"/>
      <c r="I67" s="73"/>
      <c r="J67" s="75">
        <f>SUM(J58:J59,J50,J51:J54)</f>
        <v>72.08641999999999</v>
      </c>
      <c r="K67" s="74"/>
      <c r="L67" s="180">
        <f>J67-G67</f>
        <v>4.1699999999999875</v>
      </c>
      <c r="M67" s="128">
        <f>IF((G67)=0,"",(L67/G67))</f>
        <v>6.1398996001261363E-2</v>
      </c>
      <c r="N67" s="74"/>
      <c r="O67" s="73"/>
      <c r="P67" s="75">
        <f>SUM(P58:P59,P50,P51:P54)</f>
        <v>74.68575899999999</v>
      </c>
      <c r="Q67" s="74"/>
      <c r="R67" s="180">
        <f t="shared" si="5"/>
        <v>2.5993390000000005</v>
      </c>
      <c r="S67" s="128">
        <f>IF((J67)=0,"",(R67/J67))</f>
        <v>3.6058650159072968E-2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8.8291345999999997</v>
      </c>
      <c r="H68" s="78"/>
      <c r="I68" s="77">
        <v>0.13</v>
      </c>
      <c r="J68" s="79">
        <f>J67*I68</f>
        <v>9.3712345999999993</v>
      </c>
      <c r="K68" s="78"/>
      <c r="L68" s="180">
        <f>J68-G68</f>
        <v>0.54209999999999958</v>
      </c>
      <c r="M68" s="129">
        <f>IF((G68)=0,"",(L68/G68))</f>
        <v>6.1398996001261502E-2</v>
      </c>
      <c r="N68" s="78"/>
      <c r="O68" s="77">
        <v>0.13</v>
      </c>
      <c r="P68" s="79">
        <f>P67*O68</f>
        <v>9.7091486699999994</v>
      </c>
      <c r="Q68" s="78"/>
      <c r="R68" s="180">
        <f t="shared" si="5"/>
        <v>0.33791407000000007</v>
      </c>
      <c r="S68" s="129">
        <f t="shared" ref="S68:S71" si="20">IF((J68)=0,"",(R68/J68))</f>
        <v>3.6058650159072968E-2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76.745554600000006</v>
      </c>
      <c r="H69" s="78"/>
      <c r="I69" s="81"/>
      <c r="J69" s="79">
        <f>J67+J68</f>
        <v>81.457654599999984</v>
      </c>
      <c r="K69" s="78"/>
      <c r="L69" s="180">
        <f>J69-G69</f>
        <v>4.7120999999999782</v>
      </c>
      <c r="M69" s="129">
        <f>IF((G69)=0,"",(L69/G69))</f>
        <v>6.1398996001261259E-2</v>
      </c>
      <c r="N69" s="78"/>
      <c r="O69" s="81"/>
      <c r="P69" s="79">
        <f>P67+P68</f>
        <v>84.394907669999995</v>
      </c>
      <c r="Q69" s="78"/>
      <c r="R69" s="180">
        <f t="shared" si="5"/>
        <v>2.9372530700000112</v>
      </c>
      <c r="S69" s="129">
        <f t="shared" si="20"/>
        <v>3.60586501590731E-2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-7.6745554600000006</v>
      </c>
      <c r="H70" s="78"/>
      <c r="I70" s="81"/>
      <c r="J70" s="82"/>
      <c r="K70" s="78"/>
      <c r="L70" s="181">
        <f>J70-G70</f>
        <v>7.6745554600000006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60"/>
      <c r="F71" s="83"/>
      <c r="G71" s="84">
        <f>SUM(G69:G70)</f>
        <v>69.070999139999998</v>
      </c>
      <c r="H71" s="74"/>
      <c r="I71" s="83"/>
      <c r="J71" s="84">
        <f>SUM(J69:J70)</f>
        <v>81.457654599999984</v>
      </c>
      <c r="K71" s="74"/>
      <c r="L71" s="182">
        <f>J71-G71</f>
        <v>12.386655459999986</v>
      </c>
      <c r="M71" s="132">
        <f>IF((G71)=0,"",(L71/G71))</f>
        <v>0.17933221777917929</v>
      </c>
      <c r="N71" s="74"/>
      <c r="O71" s="83"/>
      <c r="P71" s="84">
        <f>SUM(P69:P70)</f>
        <v>84.394907669999995</v>
      </c>
      <c r="Q71" s="74"/>
      <c r="R71" s="182">
        <f t="shared" si="5"/>
        <v>2.9372530700000112</v>
      </c>
      <c r="S71" s="132">
        <f t="shared" si="20"/>
        <v>3.60586501590731E-2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39" orientation="portrait" horizont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10" zoomScale="70" zoomScaleNormal="70" zoomScaleSheetLayoutView="70" workbookViewId="0">
      <selection activeCell="F19" sqref="F19"/>
    </sheetView>
  </sheetViews>
  <sheetFormatPr defaultRowHeight="15" outlineLevelRow="1" outlineLevelCol="1" x14ac:dyDescent="0.25"/>
  <cols>
    <col min="1" max="1" width="10.7109375" style="2" hidden="1" customWidth="1" outlineLevel="1"/>
    <col min="2" max="2" width="79.42578125" style="2" customWidth="1" collapsed="1"/>
    <col min="3" max="3" width="1.28515625" style="2" customWidth="1"/>
    <col min="4" max="4" width="11.28515625" style="2" customWidth="1"/>
    <col min="5" max="5" width="11" style="145" customWidth="1"/>
    <col min="6" max="6" width="12.28515625" style="2" customWidth="1"/>
    <col min="7" max="7" width="12.42578125" style="2" customWidth="1"/>
    <col min="8" max="8" width="1.28515625" style="2" customWidth="1"/>
    <col min="9" max="9" width="12.7109375" style="2" customWidth="1"/>
    <col min="10" max="10" width="10.710937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710937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41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42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42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43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44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44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44"/>
      <c r="F8" s="93"/>
      <c r="G8" s="93"/>
      <c r="H8" s="93"/>
      <c r="I8" s="93"/>
      <c r="J8" s="93"/>
      <c r="K8" s="93"/>
      <c r="L8" s="111"/>
      <c r="M8" s="117"/>
      <c r="N8" s="93"/>
      <c r="O8" s="93"/>
      <c r="P8" s="93">
        <v>1380</v>
      </c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>
        <f>P8*4</f>
        <v>5520</v>
      </c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54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55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5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46"/>
      <c r="F18" s="9">
        <v>2000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0.5" customHeight="1" x14ac:dyDescent="0.25">
      <c r="B20" s="7"/>
      <c r="D20" s="10"/>
      <c r="E20" s="146"/>
      <c r="F20" s="399" t="s">
        <v>51</v>
      </c>
      <c r="G20" s="400"/>
      <c r="H20" s="29"/>
      <c r="I20" s="401">
        <v>2016</v>
      </c>
      <c r="J20" s="402"/>
      <c r="K20" s="29"/>
      <c r="L20" s="399" t="s">
        <v>155</v>
      </c>
      <c r="M20" s="400"/>
      <c r="N20" s="29"/>
      <c r="O20" s="401" t="s">
        <v>154</v>
      </c>
      <c r="P20" s="402"/>
      <c r="Q20" s="29"/>
      <c r="R20" s="399" t="s">
        <v>161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ht="15" customHeight="1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A22" s="2" t="s">
        <v>89</v>
      </c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">
        <v>81</v>
      </c>
      <c r="B23" s="15" t="s">
        <v>12</v>
      </c>
      <c r="C23" s="15"/>
      <c r="D23" s="99" t="s">
        <v>57</v>
      </c>
      <c r="E23" s="147">
        <v>1</v>
      </c>
      <c r="F23" s="114">
        <f>IF($A23&lt;&gt;"",VLOOKUP($A23,[4]Rates!$A$1:$R$65536,12,FALSE),0)</f>
        <v>12.67</v>
      </c>
      <c r="G23" s="18">
        <f t="shared" ref="G23:G38" si="0">E23*F23</f>
        <v>12.67</v>
      </c>
      <c r="H23" s="38"/>
      <c r="I23" s="114">
        <f>IF($A23&lt;&gt;"",VLOOKUP($A23,[4]Rates!$A$1:$R$65536,14,FALSE),0)</f>
        <v>13.92</v>
      </c>
      <c r="J23" s="18">
        <f>$E23*I23</f>
        <v>13.92</v>
      </c>
      <c r="K23" s="38"/>
      <c r="L23" s="167">
        <f>J23-G23</f>
        <v>1.25</v>
      </c>
      <c r="M23" s="123">
        <f>IF((G23)=0,"",(L23/G23))</f>
        <v>9.8658247829518542E-2</v>
      </c>
      <c r="N23" s="38"/>
      <c r="O23" s="114">
        <f>IF($A23&lt;&gt;"",VLOOKUP($A23,[4]Rates!$A$1:$R$65536,15,FALSE),0)</f>
        <v>18.89</v>
      </c>
      <c r="P23" s="18">
        <f>$E23*O23</f>
        <v>18.89</v>
      </c>
      <c r="Q23" s="38"/>
      <c r="R23" s="167">
        <f>P23-J23</f>
        <v>4.9700000000000006</v>
      </c>
      <c r="S23" s="123">
        <f>IF((J23)=0,"",(R23/J23))</f>
        <v>0.35704022988505751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47">
        <v>1</v>
      </c>
      <c r="F24" s="114">
        <f>IF(A24&lt;&gt;"",VLOOKUP(A24,[4]Rates!$A$1:$R$65536,12,FALSE),0)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90" customFormat="1" x14ac:dyDescent="0.25">
      <c r="A25" s="290" t="s">
        <v>82</v>
      </c>
      <c r="B25" s="291" t="s">
        <v>71</v>
      </c>
      <c r="C25" s="292"/>
      <c r="D25" s="293" t="s">
        <v>57</v>
      </c>
      <c r="E25" s="294">
        <v>1</v>
      </c>
      <c r="F25" s="295">
        <f>IF(A25&lt;&gt;"",VLOOKUP(A25,[4]Rates!$A$1:$R$65536,12,FALSE),0)</f>
        <v>0.2</v>
      </c>
      <c r="G25" s="296">
        <f t="shared" si="0"/>
        <v>0.2</v>
      </c>
      <c r="H25" s="297"/>
      <c r="I25" s="295">
        <f>IF($A25&lt;&gt;"",VLOOKUP($A25,[4]Rates!$A$1:$R$65536,14,FALSE),0)</f>
        <v>0.2</v>
      </c>
      <c r="J25" s="296">
        <f t="shared" si="1"/>
        <v>0.2</v>
      </c>
      <c r="K25" s="297"/>
      <c r="L25" s="298">
        <f>J25-G25</f>
        <v>0</v>
      </c>
      <c r="M25" s="299">
        <f t="shared" si="3"/>
        <v>0</v>
      </c>
      <c r="N25" s="297"/>
      <c r="O25" s="295">
        <f>IF($A25&lt;&gt;"",VLOOKUP($A25,[4]Rates!$A$1:$R$65536,15,FALSE),0)</f>
        <v>0</v>
      </c>
      <c r="P25" s="296">
        <f t="shared" si="4"/>
        <v>0</v>
      </c>
      <c r="Q25" s="297"/>
      <c r="R25" s="298">
        <f t="shared" si="5"/>
        <v>-0.2</v>
      </c>
      <c r="S25" s="299">
        <f t="shared" si="6"/>
        <v>-1</v>
      </c>
      <c r="T25" s="297"/>
    </row>
    <row r="26" spans="1:360" s="290" customFormat="1" x14ac:dyDescent="0.25">
      <c r="A26" s="290" t="s">
        <v>83</v>
      </c>
      <c r="B26" s="291" t="s">
        <v>72</v>
      </c>
      <c r="C26" s="292"/>
      <c r="D26" s="293" t="s">
        <v>57</v>
      </c>
      <c r="E26" s="294">
        <v>1</v>
      </c>
      <c r="F26" s="295">
        <f>IF(A26&lt;&gt;"",VLOOKUP(A26,[4]Rates!$A$1:$R$65536,12,FALSE),0)</f>
        <v>7.0000000000000007E-2</v>
      </c>
      <c r="G26" s="296">
        <f t="shared" si="0"/>
        <v>7.0000000000000007E-2</v>
      </c>
      <c r="H26" s="297"/>
      <c r="I26" s="295">
        <f>IF($A26&lt;&gt;"",VLOOKUP($A26,[4]Rates!$A$1:$R$65536,14,FALSE),0)</f>
        <v>0</v>
      </c>
      <c r="J26" s="296">
        <f t="shared" si="1"/>
        <v>0</v>
      </c>
      <c r="K26" s="297"/>
      <c r="L26" s="298">
        <f>J26-G26</f>
        <v>-7.0000000000000007E-2</v>
      </c>
      <c r="M26" s="299">
        <f t="shared" si="3"/>
        <v>-1</v>
      </c>
      <c r="N26" s="297"/>
      <c r="O26" s="295">
        <f>IF($A26&lt;&gt;"",VLOOKUP($A26,[4]Rates!$A$1:$R$65536,15,FALSE),0)</f>
        <v>0</v>
      </c>
      <c r="P26" s="296">
        <f t="shared" si="4"/>
        <v>0</v>
      </c>
      <c r="Q26" s="297"/>
      <c r="R26" s="298">
        <f t="shared" si="5"/>
        <v>0</v>
      </c>
      <c r="S26" s="299" t="str">
        <f t="shared" si="6"/>
        <v/>
      </c>
      <c r="T26" s="297"/>
    </row>
    <row r="27" spans="1:360" x14ac:dyDescent="0.25">
      <c r="A27" s="139" t="s">
        <v>137</v>
      </c>
      <c r="B27" s="22" t="s">
        <v>138</v>
      </c>
      <c r="C27" s="15"/>
      <c r="D27" s="293" t="s">
        <v>57</v>
      </c>
      <c r="E27" s="147">
        <v>1</v>
      </c>
      <c r="F27" s="114">
        <f>IF(A27&lt;&gt;"",VLOOKUP(A27,[4]Rates!$A$1:$R$65536,12,FALSE),0)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6.32</v>
      </c>
      <c r="J27" s="18">
        <f t="shared" si="1"/>
        <v>6.32</v>
      </c>
      <c r="K27" s="38"/>
      <c r="L27" s="167">
        <f t="shared" si="2"/>
        <v>6.32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-6.32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47">
        <v>1</v>
      </c>
      <c r="F28" s="114">
        <f>IF(A28&lt;&gt;"",VLOOKUP(A28,[4]Rates!$A$1:$R$65536,12,FALSE),0)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">
        <v>84</v>
      </c>
      <c r="B29" s="15" t="s">
        <v>14</v>
      </c>
      <c r="C29" s="15"/>
      <c r="D29" s="99" t="s">
        <v>58</v>
      </c>
      <c r="E29" s="147">
        <f>$F$18</f>
        <v>2000</v>
      </c>
      <c r="F29" s="16">
        <f>IF(A29&lt;&gt;"",VLOOKUP(A29,[4]Rates!$A$1:$R$65536,12,FALSE),0)</f>
        <v>1.4E-2</v>
      </c>
      <c r="G29" s="18">
        <f t="shared" si="0"/>
        <v>28</v>
      </c>
      <c r="H29" s="38"/>
      <c r="I29" s="16">
        <f>IF($A29&lt;&gt;"",VLOOKUP($A29,[4]Rates!$A$1:$R$65536,14,FALSE),0)</f>
        <v>1.54E-2</v>
      </c>
      <c r="J29" s="18">
        <f t="shared" si="1"/>
        <v>30.8</v>
      </c>
      <c r="K29" s="38"/>
      <c r="L29" s="167">
        <f t="shared" si="2"/>
        <v>2.8000000000000007</v>
      </c>
      <c r="M29" s="123">
        <f t="shared" si="3"/>
        <v>0.10000000000000002</v>
      </c>
      <c r="N29" s="38"/>
      <c r="O29" s="16">
        <f>IF($A29&lt;&gt;"",VLOOKUP($A29,[4]Rates!$A$1:$R$65536,15,FALSE),0)</f>
        <v>1.32E-2</v>
      </c>
      <c r="P29" s="18">
        <f t="shared" si="4"/>
        <v>26.4</v>
      </c>
      <c r="Q29" s="38"/>
      <c r="R29" s="167">
        <f t="shared" si="5"/>
        <v>-4.4000000000000021</v>
      </c>
      <c r="S29" s="123">
        <f t="shared" si="6"/>
        <v>-0.14285714285714293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47">
        <f t="shared" ref="E30" si="7">$F$18</f>
        <v>2000</v>
      </c>
      <c r="F30" s="16">
        <f>IF(A30&lt;&gt;"",VLOOKUP(A30,[4]Rates!$A$1:$R$65536,12,FALSE),0)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/>
      <c r="B31" s="15" t="s">
        <v>16</v>
      </c>
      <c r="C31" s="15"/>
      <c r="D31" s="99" t="s">
        <v>58</v>
      </c>
      <c r="E31" s="147">
        <f>$F$18</f>
        <v>2000</v>
      </c>
      <c r="F31" s="16">
        <f>IF(A31&lt;&gt;"",VLOOKUP(A31,[4]Rates!$A$1:$R$65536,12,FALSE),0)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0</v>
      </c>
      <c r="J31" s="18">
        <f t="shared" si="1"/>
        <v>0</v>
      </c>
      <c r="K31" s="38"/>
      <c r="L31" s="167">
        <f t="shared" si="2"/>
        <v>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0</v>
      </c>
      <c r="S31" s="123" t="str">
        <f t="shared" si="6"/>
        <v/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90" customFormat="1" x14ac:dyDescent="0.25">
      <c r="A32" s="290" t="s">
        <v>85</v>
      </c>
      <c r="B32" s="300" t="s">
        <v>72</v>
      </c>
      <c r="C32" s="292"/>
      <c r="D32" s="293" t="s">
        <v>58</v>
      </c>
      <c r="E32" s="294">
        <f t="shared" ref="E32" si="8">$F$18</f>
        <v>2000</v>
      </c>
      <c r="F32" s="301">
        <f>IF(A32&lt;&gt;"",VLOOKUP(A32,[4]Rates!$A$1:$R$65536,12,FALSE),0)</f>
        <v>1E-4</v>
      </c>
      <c r="G32" s="296">
        <f t="shared" si="0"/>
        <v>0.2</v>
      </c>
      <c r="H32" s="297"/>
      <c r="I32" s="114">
        <f>IF($A32&lt;&gt;"",VLOOKUP($A32,[4]Rates!$A$1:$R$65536,14,FALSE),0)</f>
        <v>0</v>
      </c>
      <c r="J32" s="296">
        <f t="shared" si="1"/>
        <v>0</v>
      </c>
      <c r="K32" s="297"/>
      <c r="L32" s="298">
        <f t="shared" si="2"/>
        <v>-0.2</v>
      </c>
      <c r="M32" s="299">
        <f t="shared" si="3"/>
        <v>-1</v>
      </c>
      <c r="N32" s="297"/>
      <c r="O32" s="301">
        <f>IF($A32&lt;&gt;"",VLOOKUP($A32,[4]Rates!$A$1:$R$65536,15,FALSE),0)</f>
        <v>0</v>
      </c>
      <c r="P32" s="296">
        <f t="shared" si="4"/>
        <v>0</v>
      </c>
      <c r="Q32" s="297"/>
      <c r="R32" s="298">
        <f t="shared" si="5"/>
        <v>0</v>
      </c>
      <c r="S32" s="299" t="str">
        <f t="shared" si="6"/>
        <v/>
      </c>
      <c r="T32" s="297"/>
    </row>
    <row r="33" spans="1:360" x14ac:dyDescent="0.25">
      <c r="A33" s="139" t="str">
        <f>[4]Rates!$A36</f>
        <v>2RAL16_R</v>
      </c>
      <c r="B33" s="23" t="str">
        <f>[4]Rates!$B$36</f>
        <v xml:space="preserve">Disposition of Deferral/Variance Accounts - Group 2 Accounts (2016) </v>
      </c>
      <c r="C33" s="15"/>
      <c r="D33" s="99" t="s">
        <v>57</v>
      </c>
      <c r="E33" s="147">
        <v>1</v>
      </c>
      <c r="F33" s="16">
        <f>IF(A33&lt;&gt;"",VLOOKUP(A33,[4]Rates!$A$1:$R$65536,12,FALSE),0)</f>
        <v>0</v>
      </c>
      <c r="G33" s="18">
        <f t="shared" si="0"/>
        <v>0</v>
      </c>
      <c r="H33" s="38"/>
      <c r="I33" s="114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14">
        <f>IF($A33&lt;&gt;"",VLOOKUP($A33,[4]Rates!$A$1:$R$65536,15,FALSE),0)</f>
        <v>0.12</v>
      </c>
      <c r="P33" s="18">
        <f t="shared" si="4"/>
        <v>0.12</v>
      </c>
      <c r="Q33" s="38"/>
      <c r="R33" s="167">
        <f t="shared" si="5"/>
        <v>0.12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[4]Rates!$A37</f>
        <v>LRVA16_R</v>
      </c>
      <c r="B34" s="23" t="str">
        <f>[4]Rates!$B$37</f>
        <v>Lost Revenue Adjustment Mechanism Variance Account (LRAMVA) (2016)</v>
      </c>
      <c r="C34" s="15"/>
      <c r="D34" s="99" t="s">
        <v>57</v>
      </c>
      <c r="E34" s="147">
        <v>1</v>
      </c>
      <c r="F34" s="16">
        <f>IF(A34&lt;&gt;"",VLOOKUP(A34,[4]Rates!$A$1:$R$65536,12,FALSE),0)</f>
        <v>0</v>
      </c>
      <c r="G34" s="18">
        <f t="shared" si="0"/>
        <v>0</v>
      </c>
      <c r="H34" s="38"/>
      <c r="I34" s="114">
        <f>IF($A34&lt;&gt;"",VLOOKUP($A34,[4]Rates!$A$1:$R$65536,14,FALSE),0)</f>
        <v>-0.39</v>
      </c>
      <c r="J34" s="18">
        <f t="shared" si="1"/>
        <v>-0.39</v>
      </c>
      <c r="K34" s="38"/>
      <c r="L34" s="167">
        <f t="shared" si="2"/>
        <v>-0.39</v>
      </c>
      <c r="M34" s="123" t="str">
        <f t="shared" si="3"/>
        <v/>
      </c>
      <c r="N34" s="38"/>
      <c r="O34" s="114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0.39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[4]Rates!$A38</f>
        <v>PPE16_R</v>
      </c>
      <c r="B35" s="23" t="str">
        <f>[4]Rates!$B$38</f>
        <v>Account 1575 (2016)</v>
      </c>
      <c r="C35" s="15"/>
      <c r="D35" s="99" t="s">
        <v>57</v>
      </c>
      <c r="E35" s="147">
        <v>1</v>
      </c>
      <c r="F35" s="16">
        <f>IF(A35&lt;&gt;"",VLOOKUP(A35,[4]Rates!$A$1:$R$65536,12,FALSE),0)</f>
        <v>0</v>
      </c>
      <c r="G35" s="18">
        <f t="shared" si="0"/>
        <v>0</v>
      </c>
      <c r="H35" s="38"/>
      <c r="I35" s="114">
        <f>IF($A35&lt;&gt;"",VLOOKUP($A35,[4]Rates!$A$1:$R$65536,14,FALSE),0)</f>
        <v>-0.82</v>
      </c>
      <c r="J35" s="18">
        <f t="shared" si="1"/>
        <v>-0.82</v>
      </c>
      <c r="K35" s="38"/>
      <c r="L35" s="167">
        <f t="shared" si="2"/>
        <v>-0.82</v>
      </c>
      <c r="M35" s="123" t="str">
        <f t="shared" si="3"/>
        <v/>
      </c>
      <c r="N35" s="38"/>
      <c r="O35" s="114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0.82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[4]Rates!$A39</f>
        <v>SG16_R</v>
      </c>
      <c r="B36" s="23" t="str">
        <f>[4]Rates!$B$39</f>
        <v>Smart Grid True-up (2016)</v>
      </c>
      <c r="C36" s="15"/>
      <c r="D36" s="99" t="s">
        <v>57</v>
      </c>
      <c r="E36" s="147">
        <v>1</v>
      </c>
      <c r="F36" s="16">
        <f>IF(A36&lt;&gt;"",VLOOKUP(A36,[4]Rates!$A$1:$R$65536,12,FALSE),0)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-0.17</v>
      </c>
      <c r="J36" s="18">
        <f t="shared" si="1"/>
        <v>-0.17</v>
      </c>
      <c r="K36" s="38"/>
      <c r="L36" s="167">
        <f t="shared" si="2"/>
        <v>-0.17</v>
      </c>
      <c r="M36" s="123" t="str">
        <f t="shared" si="3"/>
        <v/>
      </c>
      <c r="N36" s="38"/>
      <c r="O36" s="114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0.17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[4]Rates!$A40</f>
        <v>SMA16_R</v>
      </c>
      <c r="B37" s="23" t="str">
        <f>[4]Rates!$B$40</f>
        <v>Recovery of Stranded Meter Assets (2016)</v>
      </c>
      <c r="C37" s="15"/>
      <c r="D37" s="99" t="s">
        <v>57</v>
      </c>
      <c r="E37" s="147">
        <v>1</v>
      </c>
      <c r="F37" s="16">
        <f>IF(A37&lt;&gt;"",VLOOKUP(A37,[4]Rates!$A$1:$R$65536,12,FALSE),0)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0.06</v>
      </c>
      <c r="P37" s="18">
        <f t="shared" si="4"/>
        <v>0.06</v>
      </c>
      <c r="Q37" s="38"/>
      <c r="R37" s="167">
        <f t="shared" si="5"/>
        <v>0.06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90" customFormat="1" x14ac:dyDescent="0.25">
      <c r="A38" s="290" t="s">
        <v>86</v>
      </c>
      <c r="B38" s="300"/>
      <c r="C38" s="292"/>
      <c r="D38" s="332" t="s">
        <v>58</v>
      </c>
      <c r="E38" s="333">
        <f>F18</f>
        <v>2000</v>
      </c>
      <c r="F38" s="301"/>
      <c r="G38" s="296">
        <f t="shared" si="0"/>
        <v>0</v>
      </c>
      <c r="H38" s="297"/>
      <c r="I38" s="301">
        <f>IF($A38&lt;&gt;"",VLOOKUP($A38,[4]Rates!$A$1:$R$65536,14,FALSE),0)</f>
        <v>0</v>
      </c>
      <c r="J38" s="296">
        <f t="shared" si="1"/>
        <v>0</v>
      </c>
      <c r="K38" s="297"/>
      <c r="L38" s="298">
        <f t="shared" si="2"/>
        <v>0</v>
      </c>
      <c r="M38" s="299" t="str">
        <f t="shared" si="3"/>
        <v/>
      </c>
      <c r="N38" s="297"/>
      <c r="O38" s="301">
        <f>IF($A38&lt;&gt;"",VLOOKUP($A38,[4]Rates!$A$1:$R$65536,15,FALSE),0)</f>
        <v>0</v>
      </c>
      <c r="P38" s="296">
        <f t="shared" si="4"/>
        <v>0</v>
      </c>
      <c r="Q38" s="297"/>
      <c r="R38" s="298">
        <f t="shared" si="5"/>
        <v>0</v>
      </c>
      <c r="S38" s="299" t="str">
        <f t="shared" si="6"/>
        <v/>
      </c>
      <c r="T38" s="297"/>
    </row>
    <row r="39" spans="1:360" s="29" customFormat="1" x14ac:dyDescent="0.25">
      <c r="A39" s="140"/>
      <c r="B39" s="24" t="s">
        <v>17</v>
      </c>
      <c r="C39" s="25"/>
      <c r="D39" s="100"/>
      <c r="E39" s="148"/>
      <c r="F39" s="26"/>
      <c r="G39" s="28">
        <f>SUM(G23:G38)</f>
        <v>41.14</v>
      </c>
      <c r="H39" s="38"/>
      <c r="I39" s="26"/>
      <c r="J39" s="28">
        <f>SUM(J23:J38)</f>
        <v>49.859999999999992</v>
      </c>
      <c r="K39" s="38"/>
      <c r="L39" s="168">
        <f t="shared" si="2"/>
        <v>8.7199999999999918</v>
      </c>
      <c r="M39" s="124">
        <f>IF((G39)=0,"",(L39/G39))</f>
        <v>0.21195916383082139</v>
      </c>
      <c r="N39" s="38"/>
      <c r="O39" s="26"/>
      <c r="P39" s="28">
        <f>SUM(P23:P38)</f>
        <v>45.47</v>
      </c>
      <c r="Q39" s="38"/>
      <c r="R39" s="168">
        <f t="shared" si="5"/>
        <v>-4.3899999999999935</v>
      </c>
      <c r="S39" s="124">
        <f t="shared" si="6"/>
        <v>-8.8046530284797309E-2</v>
      </c>
      <c r="T39" s="38"/>
    </row>
    <row r="40" spans="1:360" s="290" customFormat="1" x14ac:dyDescent="0.25">
      <c r="A40" s="290" t="s">
        <v>87</v>
      </c>
      <c r="B40" s="302"/>
      <c r="C40" s="292"/>
      <c r="D40" s="332" t="s">
        <v>58</v>
      </c>
      <c r="E40" s="333">
        <f>$F$18</f>
        <v>2000</v>
      </c>
      <c r="F40" s="301"/>
      <c r="G40" s="296">
        <f t="shared" ref="G40:G46" si="9">E40*F40</f>
        <v>0</v>
      </c>
      <c r="H40" s="297"/>
      <c r="I40" s="301">
        <f>IF($A40&lt;&gt;"",VLOOKUP($A40,[4]Rates!$A$1:$R$65536,14,FALSE),0)</f>
        <v>0</v>
      </c>
      <c r="J40" s="296">
        <f>$E40*I40</f>
        <v>0</v>
      </c>
      <c r="K40" s="297"/>
      <c r="L40" s="298">
        <f t="shared" si="2"/>
        <v>0</v>
      </c>
      <c r="M40" s="299" t="str">
        <f t="shared" si="3"/>
        <v/>
      </c>
      <c r="N40" s="297"/>
      <c r="O40" s="301">
        <f>IF($A40&lt;&gt;"",VLOOKUP($A40,[4]Rates!$A$1:$R$65536,15,FALSE),0)</f>
        <v>0</v>
      </c>
      <c r="P40" s="296">
        <f>$E40*O40</f>
        <v>0</v>
      </c>
      <c r="Q40" s="297"/>
      <c r="R40" s="298">
        <f t="shared" si="5"/>
        <v>0</v>
      </c>
      <c r="S40" s="299" t="str">
        <f t="shared" si="6"/>
        <v/>
      </c>
      <c r="T40" s="297"/>
    </row>
    <row r="41" spans="1:360" x14ac:dyDescent="0.25">
      <c r="A41" s="139" t="str">
        <f>[4]Rates!$A$33</f>
        <v>RAL16_R</v>
      </c>
      <c r="B41" s="30" t="str">
        <f>[4]Rates!$B$33</f>
        <v xml:space="preserve">Disposition of Deferral/Variance Accounts (2016) </v>
      </c>
      <c r="C41" s="15"/>
      <c r="D41" s="99" t="s">
        <v>58</v>
      </c>
      <c r="E41" s="147">
        <f t="shared" ref="E41:E44" si="10">$F$18</f>
        <v>2000</v>
      </c>
      <c r="F41" s="16">
        <f>IF(A41&lt;&gt;"",VLOOKUP(A41,[4]Rates!$A$1:$R$65536,12,FALSE),0)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0.6</v>
      </c>
      <c r="Q41" s="21"/>
      <c r="R41" s="167">
        <f t="shared" si="5"/>
        <v>0.6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[4]Rates!$A$34</f>
        <v>RALP16_R</v>
      </c>
      <c r="B42" s="30" t="str">
        <f>[4]Rates!$B$34</f>
        <v xml:space="preserve">Disposition of Deferral/Variance Accounts - Power (2016) </v>
      </c>
      <c r="C42" s="15"/>
      <c r="D42" s="99" t="s">
        <v>58</v>
      </c>
      <c r="E42" s="147">
        <f t="shared" si="10"/>
        <v>2000</v>
      </c>
      <c r="F42" s="16">
        <f>IF(A42&lt;&gt;"",VLOOKUP(A42,[4]Rates!$A$1:$R$65536,12,FALSE),0)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-5.2</v>
      </c>
      <c r="K42" s="21"/>
      <c r="L42" s="167">
        <f t="shared" si="2"/>
        <v>-5.2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5.2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47">
        <f t="shared" si="10"/>
        <v>2000</v>
      </c>
      <c r="F43" s="16">
        <f>IF(A43&lt;&gt;"",VLOOKUP(A43,[4]Rates!$A$1:$R$65536,12,FALSE),0)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">
        <v>88</v>
      </c>
      <c r="B44" s="31" t="s">
        <v>18</v>
      </c>
      <c r="C44" s="15"/>
      <c r="D44" s="99" t="s">
        <v>58</v>
      </c>
      <c r="E44" s="147">
        <f t="shared" si="10"/>
        <v>2000</v>
      </c>
      <c r="F44" s="16">
        <f>IF(A44&lt;&gt;"",VLOOKUP(A44,[4]Rates!$A$1:$R$65536,12,FALSE),0)</f>
        <v>2.9999999999999997E-4</v>
      </c>
      <c r="G44" s="18">
        <f t="shared" si="9"/>
        <v>0.6</v>
      </c>
      <c r="H44" s="38"/>
      <c r="I44" s="16">
        <f>IF($A44&lt;&gt;"",VLOOKUP($A44,[4]Rates!$A$1:$R$65536,14,FALSE),0)</f>
        <v>2.9999999999999997E-4</v>
      </c>
      <c r="J44" s="18">
        <f t="shared" si="11"/>
        <v>0.6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5.0000000000000001E-4</v>
      </c>
      <c r="P44" s="18">
        <f t="shared" si="12"/>
        <v>1</v>
      </c>
      <c r="Q44" s="38"/>
      <c r="R44" s="167">
        <f t="shared" si="5"/>
        <v>0.4</v>
      </c>
      <c r="S44" s="123">
        <f t="shared" si="6"/>
        <v>0.66666666666666674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B45" s="31" t="s">
        <v>19</v>
      </c>
      <c r="C45" s="15"/>
      <c r="D45" s="99"/>
      <c r="E45" s="337">
        <f>$F$18*(1+$F$74)-$F$18</f>
        <v>69</v>
      </c>
      <c r="F45" s="32">
        <f>IF(ISBLANK(D16)=TRUE, 0, IF(D16="TOU", 0.64*$F$55+0.18*$F$56+0.18*$F$57, IF(AND(D16="non-TOU", E59&gt;0), F59,F58)))</f>
        <v>0.11183999999999999</v>
      </c>
      <c r="G45" s="18">
        <f>E45*F45</f>
        <v>7.7169599999999994</v>
      </c>
      <c r="H45" s="90">
        <f>$F$18*(1+$O$74)-$F$18</f>
        <v>73.799999999999727</v>
      </c>
      <c r="I45" s="32">
        <f>0.64*$F$55+0.18*$F$56+0.18*$F$57</f>
        <v>0.11183999999999999</v>
      </c>
      <c r="J45" s="18">
        <f>$E45*I45</f>
        <v>7.7169599999999994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8.2537919999999687</v>
      </c>
      <c r="Q45" s="38"/>
      <c r="R45" s="169">
        <f t="shared" si="5"/>
        <v>0.53683199999996933</v>
      </c>
      <c r="S45" s="123">
        <f t="shared" si="6"/>
        <v>6.956521739130038E-2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B46" s="31" t="s">
        <v>20</v>
      </c>
      <c r="C46" s="15"/>
      <c r="D46" s="99" t="s">
        <v>57</v>
      </c>
      <c r="E46" s="147">
        <v>1</v>
      </c>
      <c r="F46" s="276">
        <v>0.79</v>
      </c>
      <c r="G46" s="18">
        <f t="shared" si="9"/>
        <v>0.79</v>
      </c>
      <c r="H46" s="38"/>
      <c r="I46" s="276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276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ht="15" customHeight="1" x14ac:dyDescent="0.25">
      <c r="B47" s="33" t="s">
        <v>21</v>
      </c>
      <c r="C47" s="34"/>
      <c r="D47" s="35"/>
      <c r="E47" s="149"/>
      <c r="F47" s="35"/>
      <c r="G47" s="37">
        <f>SUM(G40:G46)+G39</f>
        <v>50.246960000000001</v>
      </c>
      <c r="H47" s="38"/>
      <c r="I47" s="35"/>
      <c r="J47" s="37">
        <f>SUM(J40:J46)+J39</f>
        <v>53.76695999999999</v>
      </c>
      <c r="K47" s="38"/>
      <c r="L47" s="170">
        <f t="shared" si="2"/>
        <v>3.5199999999999889</v>
      </c>
      <c r="M47" s="125">
        <f>IF((G47)=0,"",(L47/G47))</f>
        <v>7.0053989335872036E-2</v>
      </c>
      <c r="N47" s="38"/>
      <c r="O47" s="35"/>
      <c r="P47" s="37">
        <f>SUM(P40:P46)+P39</f>
        <v>56.113791999999968</v>
      </c>
      <c r="Q47" s="38"/>
      <c r="R47" s="170">
        <f t="shared" si="5"/>
        <v>2.3468319999999778</v>
      </c>
      <c r="S47" s="125">
        <f>IF((J47)=0,"",(R47/J47))</f>
        <v>4.3648218162231571E-2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">
        <v>90</v>
      </c>
      <c r="B48" s="19" t="s">
        <v>22</v>
      </c>
      <c r="C48" s="19"/>
      <c r="D48" s="101" t="s">
        <v>58</v>
      </c>
      <c r="E48" s="150">
        <f>F18*(1+F74)</f>
        <v>2069</v>
      </c>
      <c r="F48" s="20">
        <f>IF(A48&lt;&gt;"",VLOOKUP(A48,[4]Rates!$A$1:$R$65536,12,FALSE),0)</f>
        <v>8.0000000000000002E-3</v>
      </c>
      <c r="G48" s="18">
        <f>E48*F48</f>
        <v>16.552</v>
      </c>
      <c r="H48" s="39">
        <f>F18*(1+O74)</f>
        <v>2073.7999999999997</v>
      </c>
      <c r="I48" s="20">
        <f>IF($A48&lt;&gt;"",VLOOKUP($A48,[4]Rates!$A$1:$R$65536,14,FALSE),0)</f>
        <v>8.0000000000000002E-3</v>
      </c>
      <c r="J48" s="18">
        <f>$E48*I48</f>
        <v>16.552</v>
      </c>
      <c r="K48" s="38"/>
      <c r="L48" s="171">
        <f t="shared" si="2"/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8.2000000000000007E-3</v>
      </c>
      <c r="P48" s="18">
        <f>$H48*O48</f>
        <v>17.00516</v>
      </c>
      <c r="Q48" s="38"/>
      <c r="R48" s="171">
        <f t="shared" si="5"/>
        <v>0.45316000000000045</v>
      </c>
      <c r="S48" s="123">
        <f t="shared" si="6"/>
        <v>2.7377960367327238E-2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">
        <v>91</v>
      </c>
      <c r="B49" s="40" t="s">
        <v>23</v>
      </c>
      <c r="C49" s="19"/>
      <c r="D49" s="101" t="s">
        <v>58</v>
      </c>
      <c r="E49" s="150">
        <f>E48</f>
        <v>2069</v>
      </c>
      <c r="F49" s="20">
        <f>IF(A49&lt;&gt;"",VLOOKUP(A49,[4]Rates!$A$1:$R$65536,12,FALSE),0)</f>
        <v>3.5000000000000001E-3</v>
      </c>
      <c r="G49" s="18">
        <f>E49*F49</f>
        <v>7.2415000000000003</v>
      </c>
      <c r="H49" s="39">
        <f>H48</f>
        <v>2073.7999999999997</v>
      </c>
      <c r="I49" s="20">
        <f>IF($A49&lt;&gt;"",VLOOKUP($A49,[4]Rates!$A$1:$R$65536,14,FALSE),0)</f>
        <v>3.5000000000000001E-3</v>
      </c>
      <c r="J49" s="18">
        <f>$E49*I49</f>
        <v>7.2415000000000003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3.8E-3</v>
      </c>
      <c r="P49" s="18">
        <f>$H49*O49</f>
        <v>7.8804399999999992</v>
      </c>
      <c r="Q49" s="38"/>
      <c r="R49" s="171">
        <f t="shared" si="5"/>
        <v>0.63893999999999895</v>
      </c>
      <c r="S49" s="123">
        <f t="shared" si="6"/>
        <v>8.823310087689E-2</v>
      </c>
      <c r="T49" s="38"/>
    </row>
    <row r="50" spans="1:360" x14ac:dyDescent="0.25">
      <c r="B50" s="33" t="s">
        <v>24</v>
      </c>
      <c r="C50" s="25"/>
      <c r="D50" s="41"/>
      <c r="E50" s="149"/>
      <c r="F50" s="41"/>
      <c r="G50" s="37">
        <f>SUM(G47:G49)</f>
        <v>74.040459999999996</v>
      </c>
      <c r="H50" s="109"/>
      <c r="I50" s="41"/>
      <c r="J50" s="37">
        <f>SUM(J47:J49)</f>
        <v>77.560459999999992</v>
      </c>
      <c r="K50" s="109"/>
      <c r="L50" s="172">
        <f t="shared" si="2"/>
        <v>3.519999999999996</v>
      </c>
      <c r="M50" s="125">
        <f t="shared" si="13"/>
        <v>4.7541573890815862E-2</v>
      </c>
      <c r="N50" s="109"/>
      <c r="O50" s="41"/>
      <c r="P50" s="37">
        <f>SUM(P47:P49)</f>
        <v>80.999391999999958</v>
      </c>
      <c r="Q50" s="109"/>
      <c r="R50" s="172">
        <f t="shared" si="5"/>
        <v>3.4389319999999657</v>
      </c>
      <c r="S50" s="125">
        <f t="shared" si="6"/>
        <v>4.4338726201468712E-2</v>
      </c>
      <c r="T50" s="109"/>
    </row>
    <row r="51" spans="1:360" x14ac:dyDescent="0.25">
      <c r="B51" s="42" t="s">
        <v>25</v>
      </c>
      <c r="C51" s="15"/>
      <c r="D51" s="99" t="s">
        <v>58</v>
      </c>
      <c r="E51" s="150">
        <f>E49</f>
        <v>2069</v>
      </c>
      <c r="F51" s="43">
        <v>3.5999999999999999E-3</v>
      </c>
      <c r="G51" s="44">
        <f t="shared" ref="G51:G59" si="14">E51*F51</f>
        <v>7.4483999999999995</v>
      </c>
      <c r="H51" s="39">
        <f>H49</f>
        <v>2073.7999999999997</v>
      </c>
      <c r="I51" s="43">
        <v>3.5999999999999999E-3</v>
      </c>
      <c r="J51" s="44">
        <f>$E51*I51</f>
        <v>7.4483999999999995</v>
      </c>
      <c r="K51" s="17"/>
      <c r="L51" s="173">
        <f>J51-G51</f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7.465679999999999</v>
      </c>
      <c r="Q51" s="17"/>
      <c r="R51" s="173">
        <f>P51-J51</f>
        <v>1.7279999999999518E-2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50">
        <f>E49</f>
        <v>2069</v>
      </c>
      <c r="F52" s="43">
        <v>1.2999999999999999E-3</v>
      </c>
      <c r="G52" s="44">
        <f t="shared" si="14"/>
        <v>2.6896999999999998</v>
      </c>
      <c r="H52" s="39">
        <f>H49</f>
        <v>2073.7999999999997</v>
      </c>
      <c r="I52" s="43">
        <v>1.2999999999999999E-3</v>
      </c>
      <c r="J52" s="44">
        <f>$E52*I52</f>
        <v>2.6896999999999998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2.6959399999999993</v>
      </c>
      <c r="Q52" s="17"/>
      <c r="R52" s="173">
        <f t="shared" si="5"/>
        <v>6.2399999999995792E-3</v>
      </c>
      <c r="S52" s="126">
        <f t="shared" si="6"/>
        <v>2.3199613339776109E-3</v>
      </c>
      <c r="T52" s="17"/>
    </row>
    <row r="53" spans="1:360" x14ac:dyDescent="0.25">
      <c r="B53" s="15" t="s">
        <v>27</v>
      </c>
      <c r="C53" s="15"/>
      <c r="D53" s="99" t="s">
        <v>57</v>
      </c>
      <c r="E53" s="147">
        <v>1</v>
      </c>
      <c r="F53" s="134">
        <v>0.25</v>
      </c>
      <c r="G53" s="44">
        <f t="shared" si="14"/>
        <v>0.25</v>
      </c>
      <c r="H53" s="17"/>
      <c r="I53" s="134">
        <v>0.25</v>
      </c>
      <c r="J53" s="44">
        <f t="shared" ref="J53:J59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134">
        <v>0.25</v>
      </c>
      <c r="P53" s="44">
        <f t="shared" ref="P53:P59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50">
        <f>F18</f>
        <v>2000</v>
      </c>
      <c r="F54" s="43">
        <v>0</v>
      </c>
      <c r="G54" s="44">
        <f t="shared" si="14"/>
        <v>0</v>
      </c>
      <c r="H54" s="17"/>
      <c r="I54" s="46"/>
      <c r="J54" s="44">
        <f t="shared" si="15"/>
        <v>0</v>
      </c>
      <c r="K54" s="17"/>
      <c r="L54" s="173">
        <f t="shared" si="2"/>
        <v>0</v>
      </c>
      <c r="M54" s="126" t="str">
        <f t="shared" si="13"/>
        <v/>
      </c>
      <c r="N54" s="17"/>
      <c r="O54" s="46"/>
      <c r="P54" s="44">
        <f t="shared" si="16"/>
        <v>0</v>
      </c>
      <c r="Q54" s="17"/>
      <c r="R54" s="173">
        <f t="shared" si="5"/>
        <v>0</v>
      </c>
      <c r="S54" s="126" t="str">
        <f t="shared" si="6"/>
        <v/>
      </c>
      <c r="T54" s="17"/>
    </row>
    <row r="55" spans="1:360" x14ac:dyDescent="0.25">
      <c r="B55" s="31" t="s">
        <v>29</v>
      </c>
      <c r="C55" s="15"/>
      <c r="D55" s="99" t="s">
        <v>58</v>
      </c>
      <c r="E55" s="151">
        <f>0.64*$F$18</f>
        <v>1280</v>
      </c>
      <c r="F55" s="46">
        <v>8.6999999999999994E-2</v>
      </c>
      <c r="G55" s="44">
        <f t="shared" si="14"/>
        <v>111.35999999999999</v>
      </c>
      <c r="H55" s="17"/>
      <c r="I55" s="46">
        <f>F55</f>
        <v>8.6999999999999994E-2</v>
      </c>
      <c r="J55" s="44">
        <f t="shared" si="15"/>
        <v>111.35999999999999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 t="shared" si="16"/>
        <v>111.35999999999999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51">
        <f>0.18*$F$18</f>
        <v>360</v>
      </c>
      <c r="F56" s="46">
        <v>0.13200000000000001</v>
      </c>
      <c r="G56" s="44">
        <f t="shared" si="14"/>
        <v>47.52</v>
      </c>
      <c r="H56" s="17"/>
      <c r="I56" s="46">
        <f t="shared" ref="I56:I59" si="17">F56</f>
        <v>0.13200000000000001</v>
      </c>
      <c r="J56" s="44">
        <f t="shared" si="15"/>
        <v>47.52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 t="shared" si="16"/>
        <v>47.52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51">
        <f>0.18*$F$18</f>
        <v>360</v>
      </c>
      <c r="F57" s="46">
        <v>0.18</v>
      </c>
      <c r="G57" s="44">
        <f t="shared" si="14"/>
        <v>64.8</v>
      </c>
      <c r="H57" s="17"/>
      <c r="I57" s="46">
        <f t="shared" si="17"/>
        <v>0.18</v>
      </c>
      <c r="J57" s="44">
        <f t="shared" si="15"/>
        <v>64.8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 t="shared" si="16"/>
        <v>64.8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52">
        <f>IF(AND($R$1=1, F18&gt;=600), 600, IF(AND($R$1=1, AND(F18&lt;600, F18&gt;=2)), F18, IF(AND($R$1=2, F18&gt;=1000), 1000, IF(AND($R$1=2, AND(F18&lt;1000, F18&gt;=0)), F18))))</f>
        <v>1000</v>
      </c>
      <c r="F58" s="43">
        <v>1.1000000000000001E-3</v>
      </c>
      <c r="G58" s="44">
        <f t="shared" si="14"/>
        <v>1.1000000000000001</v>
      </c>
      <c r="H58" s="110"/>
      <c r="I58" s="43">
        <v>1.1000000000000001E-3</v>
      </c>
      <c r="J58" s="44">
        <f>$E58*I58</f>
        <v>1.1000000000000001</v>
      </c>
      <c r="K58" s="110"/>
      <c r="L58" s="173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 t="shared" si="16"/>
        <v>1.1000000000000001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52"/>
      <c r="F59" s="46"/>
      <c r="G59" s="44">
        <f t="shared" si="14"/>
        <v>0</v>
      </c>
      <c r="H59" s="110"/>
      <c r="I59" s="46">
        <f t="shared" si="17"/>
        <v>0</v>
      </c>
      <c r="J59" s="44">
        <f t="shared" si="15"/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 t="shared" si="16"/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5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54"/>
      <c r="F61" s="56"/>
      <c r="G61" s="58">
        <f>SUM(G51:G58,G50)</f>
        <v>309.20855999999992</v>
      </c>
      <c r="H61" s="57"/>
      <c r="I61" s="56"/>
      <c r="J61" s="58">
        <f>SUM(J51:J58,J50)</f>
        <v>312.72855999999996</v>
      </c>
      <c r="K61" s="57"/>
      <c r="L61" s="176">
        <f>J61-G61</f>
        <v>3.5200000000000387</v>
      </c>
      <c r="M61" s="128">
        <f>IF((G61)=0,"",(L61/G61))</f>
        <v>1.1383902179163602E-2</v>
      </c>
      <c r="N61" s="57"/>
      <c r="O61" s="56"/>
      <c r="P61" s="58">
        <f>SUM(P51:P58,P50)</f>
        <v>316.19101199999994</v>
      </c>
      <c r="Q61" s="57"/>
      <c r="R61" s="176">
        <f>P61-J61</f>
        <v>3.4624519999999848</v>
      </c>
      <c r="S61" s="128">
        <f>IF((J61)=0,"",(R61/J61))</f>
        <v>1.1071748611639388E-2</v>
      </c>
      <c r="T61" s="57"/>
    </row>
    <row r="62" spans="1:360" x14ac:dyDescent="0.25">
      <c r="B62" s="59" t="s">
        <v>33</v>
      </c>
      <c r="C62" s="15"/>
      <c r="D62" s="15"/>
      <c r="E62" s="155"/>
      <c r="F62" s="60">
        <v>0.13</v>
      </c>
      <c r="G62" s="62">
        <f>G61*F62</f>
        <v>40.197112799999992</v>
      </c>
      <c r="H62" s="61"/>
      <c r="I62" s="60">
        <v>0.13</v>
      </c>
      <c r="J62" s="62">
        <f>J61*I62</f>
        <v>40.654712799999999</v>
      </c>
      <c r="K62" s="61"/>
      <c r="L62" s="176">
        <f>J62-G62</f>
        <v>0.45760000000000645</v>
      </c>
      <c r="M62" s="129">
        <f>IF((G62)=0,"",(L62/G62))</f>
        <v>1.1383902179163637E-2</v>
      </c>
      <c r="N62" s="61"/>
      <c r="O62" s="60">
        <v>0.13</v>
      </c>
      <c r="P62" s="62">
        <f>P61*O62</f>
        <v>41.104831559999994</v>
      </c>
      <c r="Q62" s="61"/>
      <c r="R62" s="176">
        <f t="shared" si="5"/>
        <v>0.45011875999999518</v>
      </c>
      <c r="S62" s="129">
        <f t="shared" ref="S62:S64" si="19">IF((J62)=0,"",(R62/J62))</f>
        <v>1.1071748611639318E-2</v>
      </c>
      <c r="T62" s="61"/>
    </row>
    <row r="63" spans="1:360" x14ac:dyDescent="0.25">
      <c r="B63" s="63" t="s">
        <v>34</v>
      </c>
      <c r="C63" s="15"/>
      <c r="D63" s="15"/>
      <c r="E63" s="155"/>
      <c r="F63" s="64"/>
      <c r="G63" s="62">
        <f>G61+G62</f>
        <v>349.40567279999993</v>
      </c>
      <c r="H63" s="61"/>
      <c r="I63" s="64"/>
      <c r="J63" s="62">
        <f>J61+J62</f>
        <v>353.38327279999999</v>
      </c>
      <c r="K63" s="61"/>
      <c r="L63" s="176">
        <f>J63-G63</f>
        <v>3.9776000000000522</v>
      </c>
      <c r="M63" s="129">
        <f>IF((G63)=0,"",(L63/G63))</f>
        <v>1.1383902179163626E-2</v>
      </c>
      <c r="N63" s="61"/>
      <c r="O63" s="64"/>
      <c r="P63" s="62">
        <f>P61+P62</f>
        <v>357.29584355999992</v>
      </c>
      <c r="Q63" s="61"/>
      <c r="R63" s="176">
        <f t="shared" si="5"/>
        <v>3.9125707599999373</v>
      </c>
      <c r="S63" s="129">
        <f t="shared" si="19"/>
        <v>1.1071748611639259E-2</v>
      </c>
      <c r="T63" s="61"/>
    </row>
    <row r="64" spans="1:360" ht="15" customHeight="1" x14ac:dyDescent="0.25">
      <c r="B64" s="406" t="s">
        <v>35</v>
      </c>
      <c r="C64" s="406"/>
      <c r="D64" s="406"/>
      <c r="E64" s="15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56"/>
      <c r="F65" s="66"/>
      <c r="G65" s="67">
        <f>G63+G64</f>
        <v>349.40567279999993</v>
      </c>
      <c r="H65" s="57"/>
      <c r="I65" s="66"/>
      <c r="J65" s="67">
        <f>J63+J64</f>
        <v>353.38327279999999</v>
      </c>
      <c r="K65" s="57"/>
      <c r="L65" s="178">
        <f>J65-G65</f>
        <v>3.9776000000000522</v>
      </c>
      <c r="M65" s="131">
        <f>IF((G65)=0,"",(L65/G65))</f>
        <v>1.1383902179163626E-2</v>
      </c>
      <c r="N65" s="57"/>
      <c r="O65" s="66"/>
      <c r="P65" s="67">
        <f>P63+P64</f>
        <v>357.29584355999992</v>
      </c>
      <c r="Q65" s="57"/>
      <c r="R65" s="178">
        <f t="shared" si="5"/>
        <v>3.9125707599999373</v>
      </c>
      <c r="S65" s="131">
        <f>IF((J65)=0,"",(R65/J65))</f>
        <v>1.1071748611639259E-2</v>
      </c>
      <c r="T65" s="57"/>
    </row>
    <row r="66" spans="1:360" s="51" customFormat="1" ht="15.75" thickBot="1" x14ac:dyDescent="0.25">
      <c r="B66" s="68"/>
      <c r="C66" s="69"/>
      <c r="D66" s="70"/>
      <c r="E66" s="15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58"/>
      <c r="F67" s="73"/>
      <c r="G67" s="75">
        <f>SUM(G58:G59,G50,G51:G54)</f>
        <v>85.528559999999985</v>
      </c>
      <c r="H67" s="74"/>
      <c r="I67" s="73"/>
      <c r="J67" s="75">
        <f>SUM(J58:J59,J50,J51:J54)</f>
        <v>89.048559999999995</v>
      </c>
      <c r="K67" s="74"/>
      <c r="L67" s="180">
        <f>J67-G67</f>
        <v>3.5200000000000102</v>
      </c>
      <c r="M67" s="128">
        <f>IF((G67)=0,"",(L67/G67))</f>
        <v>4.1155843147599014E-2</v>
      </c>
      <c r="N67" s="74"/>
      <c r="O67" s="73"/>
      <c r="P67" s="75">
        <f>SUM(P58:P59,P50,P51:P54)</f>
        <v>92.511011999999951</v>
      </c>
      <c r="Q67" s="74"/>
      <c r="R67" s="180">
        <f t="shared" si="5"/>
        <v>3.4624519999999563</v>
      </c>
      <c r="S67" s="128">
        <f>IF((J67)=0,"",(R67/J67))</f>
        <v>3.888273993425561E-2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58"/>
      <c r="F68" s="77">
        <v>0.13</v>
      </c>
      <c r="G68" s="79">
        <f>G67*F68</f>
        <v>11.118712799999999</v>
      </c>
      <c r="H68" s="78"/>
      <c r="I68" s="77">
        <v>0.13</v>
      </c>
      <c r="J68" s="79">
        <f>J67*I68</f>
        <v>11.5763128</v>
      </c>
      <c r="K68" s="78"/>
      <c r="L68" s="180">
        <f>J68-G68</f>
        <v>0.45760000000000112</v>
      </c>
      <c r="M68" s="129">
        <f>IF((G68)=0,"",(L68/G68))</f>
        <v>4.1155843147598986E-2</v>
      </c>
      <c r="N68" s="78"/>
      <c r="O68" s="77">
        <v>0.13</v>
      </c>
      <c r="P68" s="79">
        <f>P67*O68</f>
        <v>12.026431559999994</v>
      </c>
      <c r="Q68" s="78"/>
      <c r="R68" s="180">
        <f t="shared" si="5"/>
        <v>0.4501187599999934</v>
      </c>
      <c r="S68" s="129">
        <f t="shared" ref="S68:S71" si="20">IF((J68)=0,"",(R68/J68))</f>
        <v>3.8882739934255527E-2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59"/>
      <c r="F69" s="81"/>
      <c r="G69" s="79">
        <f>G67+G68</f>
        <v>96.647272799999982</v>
      </c>
      <c r="H69" s="78"/>
      <c r="I69" s="81"/>
      <c r="J69" s="79">
        <f>J67+J68</f>
        <v>100.62487279999999</v>
      </c>
      <c r="K69" s="78"/>
      <c r="L69" s="180">
        <f>J69-G69</f>
        <v>3.9776000000000096</v>
      </c>
      <c r="M69" s="129">
        <f>IF((G69)=0,"",(L69/G69))</f>
        <v>4.1155843147598993E-2</v>
      </c>
      <c r="N69" s="78"/>
      <c r="O69" s="81"/>
      <c r="P69" s="79">
        <f>P67+P68</f>
        <v>104.53744355999994</v>
      </c>
      <c r="Q69" s="78"/>
      <c r="R69" s="180">
        <f t="shared" si="5"/>
        <v>3.9125707599999515</v>
      </c>
      <c r="S69" s="129">
        <f t="shared" si="20"/>
        <v>3.8882739934255617E-2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59"/>
      <c r="F70" s="73">
        <v>0.1</v>
      </c>
      <c r="G70" s="82">
        <f>-G69*F70</f>
        <v>-9.6647272799999993</v>
      </c>
      <c r="H70" s="78"/>
      <c r="I70" s="81"/>
      <c r="J70" s="82"/>
      <c r="K70" s="78"/>
      <c r="L70" s="181">
        <f>J70-G70</f>
        <v>9.6647272799999993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60"/>
      <c r="F71" s="83"/>
      <c r="G71" s="84">
        <f>SUM(G69:G70)</f>
        <v>86.982545519999988</v>
      </c>
      <c r="H71" s="74"/>
      <c r="I71" s="83"/>
      <c r="J71" s="84">
        <f>SUM(J69:J70)</f>
        <v>100.62487279999999</v>
      </c>
      <c r="K71" s="74"/>
      <c r="L71" s="182">
        <f>J71-G71</f>
        <v>13.642327280000003</v>
      </c>
      <c r="M71" s="132">
        <f>IF((G71)=0,"",(L71/G71))</f>
        <v>0.15683982571955438</v>
      </c>
      <c r="N71" s="74"/>
      <c r="O71" s="83"/>
      <c r="P71" s="84">
        <f>SUM(P69:P70)</f>
        <v>104.53744355999994</v>
      </c>
      <c r="Q71" s="74"/>
      <c r="R71" s="182">
        <f t="shared" si="5"/>
        <v>3.9125707599999515</v>
      </c>
      <c r="S71" s="132">
        <f t="shared" si="20"/>
        <v>3.8882739934255617E-2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5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7" spans="1:360" x14ac:dyDescent="0.25">
      <c r="B77" s="277" t="s">
        <v>126</v>
      </c>
    </row>
    <row r="78" spans="1:360" x14ac:dyDescent="0.25">
      <c r="A78" s="2" t="s">
        <v>41</v>
      </c>
      <c r="B78" s="2" t="s">
        <v>127</v>
      </c>
    </row>
    <row r="79" spans="1:360" x14ac:dyDescent="0.25">
      <c r="A79" s="2" t="s">
        <v>42</v>
      </c>
      <c r="B79" s="2" t="s">
        <v>128</v>
      </c>
    </row>
    <row r="80" spans="1:360" x14ac:dyDescent="0.25">
      <c r="B80" s="2" t="s">
        <v>129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48:D49 D40:D46 D66 D51:D60 D72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pageSetup scale="39" orientation="portrait" horizont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62"/>
  <sheetViews>
    <sheetView view="pageBreakPreview" topLeftCell="A54" zoomScale="85" zoomScaleNormal="85" zoomScaleSheetLayoutView="85" workbookViewId="0">
      <selection activeCell="M59" sqref="M59"/>
    </sheetView>
  </sheetViews>
  <sheetFormatPr defaultRowHeight="16.5" outlineLevelRow="1" outlineLevelCol="1" x14ac:dyDescent="0.3"/>
  <cols>
    <col min="1" max="1" width="11.28515625" style="222" customWidth="1"/>
    <col min="2" max="2" width="23.28515625" style="202" customWidth="1"/>
    <col min="3" max="3" width="19.140625" style="202" customWidth="1"/>
    <col min="4" max="4" width="20.85546875" style="202" customWidth="1"/>
    <col min="5" max="5" width="16.42578125" style="202" hidden="1" customWidth="1" outlineLevel="1"/>
    <col min="6" max="6" width="21.7109375" style="202" customWidth="1" collapsed="1"/>
    <col min="7" max="7" width="21.7109375" style="202" customWidth="1"/>
    <col min="8" max="10" width="13.28515625" style="202" customWidth="1"/>
    <col min="11" max="11" width="3.140625" style="202" customWidth="1"/>
    <col min="12" max="187" width="9.140625" style="202"/>
    <col min="188" max="188" width="11.28515625" style="202" customWidth="1"/>
    <col min="189" max="189" width="27.140625" style="202" customWidth="1"/>
    <col min="190" max="190" width="13.7109375" style="202" customWidth="1"/>
    <col min="191" max="191" width="14.140625" style="202" customWidth="1"/>
    <col min="192" max="196" width="13.42578125" style="202" customWidth="1"/>
    <col min="197" max="197" width="9.140625" style="202"/>
    <col min="198" max="201" width="13.42578125" style="202" customWidth="1"/>
    <col min="202" max="202" width="9.140625" style="202"/>
    <col min="203" max="206" width="13.42578125" style="202" customWidth="1"/>
    <col min="207" max="207" width="9.140625" style="202"/>
    <col min="208" max="211" width="13.42578125" style="202" customWidth="1"/>
    <col min="212" max="212" width="9.140625" style="202"/>
    <col min="213" max="216" width="13.42578125" style="202" customWidth="1"/>
    <col min="217" max="443" width="9.140625" style="202"/>
    <col min="444" max="444" width="11.28515625" style="202" customWidth="1"/>
    <col min="445" max="445" width="27.140625" style="202" customWidth="1"/>
    <col min="446" max="446" width="13.7109375" style="202" customWidth="1"/>
    <col min="447" max="447" width="14.140625" style="202" customWidth="1"/>
    <col min="448" max="452" width="13.42578125" style="202" customWidth="1"/>
    <col min="453" max="453" width="9.140625" style="202"/>
    <col min="454" max="457" width="13.42578125" style="202" customWidth="1"/>
    <col min="458" max="458" width="9.140625" style="202"/>
    <col min="459" max="462" width="13.42578125" style="202" customWidth="1"/>
    <col min="463" max="463" width="9.140625" style="202"/>
    <col min="464" max="467" width="13.42578125" style="202" customWidth="1"/>
    <col min="468" max="468" width="9.140625" style="202"/>
    <col min="469" max="472" width="13.42578125" style="202" customWidth="1"/>
    <col min="473" max="699" width="9.140625" style="202"/>
    <col min="700" max="700" width="11.28515625" style="202" customWidth="1"/>
    <col min="701" max="701" width="27.140625" style="202" customWidth="1"/>
    <col min="702" max="702" width="13.7109375" style="202" customWidth="1"/>
    <col min="703" max="703" width="14.140625" style="202" customWidth="1"/>
    <col min="704" max="708" width="13.42578125" style="202" customWidth="1"/>
    <col min="709" max="709" width="9.140625" style="202"/>
    <col min="710" max="713" width="13.42578125" style="202" customWidth="1"/>
    <col min="714" max="714" width="9.140625" style="202"/>
    <col min="715" max="718" width="13.42578125" style="202" customWidth="1"/>
    <col min="719" max="719" width="9.140625" style="202"/>
    <col min="720" max="723" width="13.42578125" style="202" customWidth="1"/>
    <col min="724" max="724" width="9.140625" style="202"/>
    <col min="725" max="728" width="13.42578125" style="202" customWidth="1"/>
    <col min="729" max="955" width="9.140625" style="202"/>
    <col min="956" max="956" width="11.28515625" style="202" customWidth="1"/>
    <col min="957" max="957" width="27.140625" style="202" customWidth="1"/>
    <col min="958" max="958" width="13.7109375" style="202" customWidth="1"/>
    <col min="959" max="959" width="14.140625" style="202" customWidth="1"/>
    <col min="960" max="964" width="13.42578125" style="202" customWidth="1"/>
    <col min="965" max="965" width="9.140625" style="202"/>
    <col min="966" max="969" width="13.42578125" style="202" customWidth="1"/>
    <col min="970" max="970" width="9.140625" style="202"/>
    <col min="971" max="974" width="13.42578125" style="202" customWidth="1"/>
    <col min="975" max="975" width="9.140625" style="202"/>
    <col min="976" max="979" width="13.42578125" style="202" customWidth="1"/>
    <col min="980" max="980" width="9.140625" style="202"/>
    <col min="981" max="984" width="13.42578125" style="202" customWidth="1"/>
    <col min="985" max="1211" width="9.140625" style="202"/>
    <col min="1212" max="1212" width="11.28515625" style="202" customWidth="1"/>
    <col min="1213" max="1213" width="27.140625" style="202" customWidth="1"/>
    <col min="1214" max="1214" width="13.7109375" style="202" customWidth="1"/>
    <col min="1215" max="1215" width="14.140625" style="202" customWidth="1"/>
    <col min="1216" max="1220" width="13.42578125" style="202" customWidth="1"/>
    <col min="1221" max="1221" width="9.140625" style="202"/>
    <col min="1222" max="1225" width="13.42578125" style="202" customWidth="1"/>
    <col min="1226" max="1226" width="9.140625" style="202"/>
    <col min="1227" max="1230" width="13.42578125" style="202" customWidth="1"/>
    <col min="1231" max="1231" width="9.140625" style="202"/>
    <col min="1232" max="1235" width="13.42578125" style="202" customWidth="1"/>
    <col min="1236" max="1236" width="9.140625" style="202"/>
    <col min="1237" max="1240" width="13.42578125" style="202" customWidth="1"/>
    <col min="1241" max="1467" width="9.140625" style="202"/>
    <col min="1468" max="1468" width="11.28515625" style="202" customWidth="1"/>
    <col min="1469" max="1469" width="27.140625" style="202" customWidth="1"/>
    <col min="1470" max="1470" width="13.7109375" style="202" customWidth="1"/>
    <col min="1471" max="1471" width="14.140625" style="202" customWidth="1"/>
    <col min="1472" max="1476" width="13.42578125" style="202" customWidth="1"/>
    <col min="1477" max="1477" width="9.140625" style="202"/>
    <col min="1478" max="1481" width="13.42578125" style="202" customWidth="1"/>
    <col min="1482" max="1482" width="9.140625" style="202"/>
    <col min="1483" max="1486" width="13.42578125" style="202" customWidth="1"/>
    <col min="1487" max="1487" width="9.140625" style="202"/>
    <col min="1488" max="1491" width="13.42578125" style="202" customWidth="1"/>
    <col min="1492" max="1492" width="9.140625" style="202"/>
    <col min="1493" max="1496" width="13.42578125" style="202" customWidth="1"/>
    <col min="1497" max="1723" width="9.140625" style="202"/>
    <col min="1724" max="1724" width="11.28515625" style="202" customWidth="1"/>
    <col min="1725" max="1725" width="27.140625" style="202" customWidth="1"/>
    <col min="1726" max="1726" width="13.7109375" style="202" customWidth="1"/>
    <col min="1727" max="1727" width="14.140625" style="202" customWidth="1"/>
    <col min="1728" max="1732" width="13.42578125" style="202" customWidth="1"/>
    <col min="1733" max="1733" width="9.140625" style="202"/>
    <col min="1734" max="1737" width="13.42578125" style="202" customWidth="1"/>
    <col min="1738" max="1738" width="9.140625" style="202"/>
    <col min="1739" max="1742" width="13.42578125" style="202" customWidth="1"/>
    <col min="1743" max="1743" width="9.140625" style="202"/>
    <col min="1744" max="1747" width="13.42578125" style="202" customWidth="1"/>
    <col min="1748" max="1748" width="9.140625" style="202"/>
    <col min="1749" max="1752" width="13.42578125" style="202" customWidth="1"/>
    <col min="1753" max="1979" width="9.140625" style="202"/>
    <col min="1980" max="1980" width="11.28515625" style="202" customWidth="1"/>
    <col min="1981" max="1981" width="27.140625" style="202" customWidth="1"/>
    <col min="1982" max="1982" width="13.7109375" style="202" customWidth="1"/>
    <col min="1983" max="1983" width="14.140625" style="202" customWidth="1"/>
    <col min="1984" max="1988" width="13.42578125" style="202" customWidth="1"/>
    <col min="1989" max="1989" width="9.140625" style="202"/>
    <col min="1990" max="1993" width="13.42578125" style="202" customWidth="1"/>
    <col min="1994" max="1994" width="9.140625" style="202"/>
    <col min="1995" max="1998" width="13.42578125" style="202" customWidth="1"/>
    <col min="1999" max="1999" width="9.140625" style="202"/>
    <col min="2000" max="2003" width="13.42578125" style="202" customWidth="1"/>
    <col min="2004" max="2004" width="9.140625" style="202"/>
    <col min="2005" max="2008" width="13.42578125" style="202" customWidth="1"/>
    <col min="2009" max="2235" width="9.140625" style="202"/>
    <col min="2236" max="2236" width="11.28515625" style="202" customWidth="1"/>
    <col min="2237" max="2237" width="27.140625" style="202" customWidth="1"/>
    <col min="2238" max="2238" width="13.7109375" style="202" customWidth="1"/>
    <col min="2239" max="2239" width="14.140625" style="202" customWidth="1"/>
    <col min="2240" max="2244" width="13.42578125" style="202" customWidth="1"/>
    <col min="2245" max="2245" width="9.140625" style="202"/>
    <col min="2246" max="2249" width="13.42578125" style="202" customWidth="1"/>
    <col min="2250" max="2250" width="9.140625" style="202"/>
    <col min="2251" max="2254" width="13.42578125" style="202" customWidth="1"/>
    <col min="2255" max="2255" width="9.140625" style="202"/>
    <col min="2256" max="2259" width="13.42578125" style="202" customWidth="1"/>
    <col min="2260" max="2260" width="9.140625" style="202"/>
    <col min="2261" max="2264" width="13.42578125" style="202" customWidth="1"/>
    <col min="2265" max="2491" width="9.140625" style="202"/>
    <col min="2492" max="2492" width="11.28515625" style="202" customWidth="1"/>
    <col min="2493" max="2493" width="27.140625" style="202" customWidth="1"/>
    <col min="2494" max="2494" width="13.7109375" style="202" customWidth="1"/>
    <col min="2495" max="2495" width="14.140625" style="202" customWidth="1"/>
    <col min="2496" max="2500" width="13.42578125" style="202" customWidth="1"/>
    <col min="2501" max="2501" width="9.140625" style="202"/>
    <col min="2502" max="2505" width="13.42578125" style="202" customWidth="1"/>
    <col min="2506" max="2506" width="9.140625" style="202"/>
    <col min="2507" max="2510" width="13.42578125" style="202" customWidth="1"/>
    <col min="2511" max="2511" width="9.140625" style="202"/>
    <col min="2512" max="2515" width="13.42578125" style="202" customWidth="1"/>
    <col min="2516" max="2516" width="9.140625" style="202"/>
    <col min="2517" max="2520" width="13.42578125" style="202" customWidth="1"/>
    <col min="2521" max="2747" width="9.140625" style="202"/>
    <col min="2748" max="2748" width="11.28515625" style="202" customWidth="1"/>
    <col min="2749" max="2749" width="27.140625" style="202" customWidth="1"/>
    <col min="2750" max="2750" width="13.7109375" style="202" customWidth="1"/>
    <col min="2751" max="2751" width="14.140625" style="202" customWidth="1"/>
    <col min="2752" max="2756" width="13.42578125" style="202" customWidth="1"/>
    <col min="2757" max="2757" width="9.140625" style="202"/>
    <col min="2758" max="2761" width="13.42578125" style="202" customWidth="1"/>
    <col min="2762" max="2762" width="9.140625" style="202"/>
    <col min="2763" max="2766" width="13.42578125" style="202" customWidth="1"/>
    <col min="2767" max="2767" width="9.140625" style="202"/>
    <col min="2768" max="2771" width="13.42578125" style="202" customWidth="1"/>
    <col min="2772" max="2772" width="9.140625" style="202"/>
    <col min="2773" max="2776" width="13.42578125" style="202" customWidth="1"/>
    <col min="2777" max="3003" width="9.140625" style="202"/>
    <col min="3004" max="3004" width="11.28515625" style="202" customWidth="1"/>
    <col min="3005" max="3005" width="27.140625" style="202" customWidth="1"/>
    <col min="3006" max="3006" width="13.7109375" style="202" customWidth="1"/>
    <col min="3007" max="3007" width="14.140625" style="202" customWidth="1"/>
    <col min="3008" max="3012" width="13.42578125" style="202" customWidth="1"/>
    <col min="3013" max="3013" width="9.140625" style="202"/>
    <col min="3014" max="3017" width="13.42578125" style="202" customWidth="1"/>
    <col min="3018" max="3018" width="9.140625" style="202"/>
    <col min="3019" max="3022" width="13.42578125" style="202" customWidth="1"/>
    <col min="3023" max="3023" width="9.140625" style="202"/>
    <col min="3024" max="3027" width="13.42578125" style="202" customWidth="1"/>
    <col min="3028" max="3028" width="9.140625" style="202"/>
    <col min="3029" max="3032" width="13.42578125" style="202" customWidth="1"/>
    <col min="3033" max="3259" width="9.140625" style="202"/>
    <col min="3260" max="3260" width="11.28515625" style="202" customWidth="1"/>
    <col min="3261" max="3261" width="27.140625" style="202" customWidth="1"/>
    <col min="3262" max="3262" width="13.7109375" style="202" customWidth="1"/>
    <col min="3263" max="3263" width="14.140625" style="202" customWidth="1"/>
    <col min="3264" max="3268" width="13.42578125" style="202" customWidth="1"/>
    <col min="3269" max="3269" width="9.140625" style="202"/>
    <col min="3270" max="3273" width="13.42578125" style="202" customWidth="1"/>
    <col min="3274" max="3274" width="9.140625" style="202"/>
    <col min="3275" max="3278" width="13.42578125" style="202" customWidth="1"/>
    <col min="3279" max="3279" width="9.140625" style="202"/>
    <col min="3280" max="3283" width="13.42578125" style="202" customWidth="1"/>
    <col min="3284" max="3284" width="9.140625" style="202"/>
    <col min="3285" max="3288" width="13.42578125" style="202" customWidth="1"/>
    <col min="3289" max="3515" width="9.140625" style="202"/>
    <col min="3516" max="3516" width="11.28515625" style="202" customWidth="1"/>
    <col min="3517" max="3517" width="27.140625" style="202" customWidth="1"/>
    <col min="3518" max="3518" width="13.7109375" style="202" customWidth="1"/>
    <col min="3519" max="3519" width="14.140625" style="202" customWidth="1"/>
    <col min="3520" max="3524" width="13.42578125" style="202" customWidth="1"/>
    <col min="3525" max="3525" width="9.140625" style="202"/>
    <col min="3526" max="3529" width="13.42578125" style="202" customWidth="1"/>
    <col min="3530" max="3530" width="9.140625" style="202"/>
    <col min="3531" max="3534" width="13.42578125" style="202" customWidth="1"/>
    <col min="3535" max="3535" width="9.140625" style="202"/>
    <col min="3536" max="3539" width="13.42578125" style="202" customWidth="1"/>
    <col min="3540" max="3540" width="9.140625" style="202"/>
    <col min="3541" max="3544" width="13.42578125" style="202" customWidth="1"/>
    <col min="3545" max="3771" width="9.140625" style="202"/>
    <col min="3772" max="3772" width="11.28515625" style="202" customWidth="1"/>
    <col min="3773" max="3773" width="27.140625" style="202" customWidth="1"/>
    <col min="3774" max="3774" width="13.7109375" style="202" customWidth="1"/>
    <col min="3775" max="3775" width="14.140625" style="202" customWidth="1"/>
    <col min="3776" max="3780" width="13.42578125" style="202" customWidth="1"/>
    <col min="3781" max="3781" width="9.140625" style="202"/>
    <col min="3782" max="3785" width="13.42578125" style="202" customWidth="1"/>
    <col min="3786" max="3786" width="9.140625" style="202"/>
    <col min="3787" max="3790" width="13.42578125" style="202" customWidth="1"/>
    <col min="3791" max="3791" width="9.140625" style="202"/>
    <col min="3792" max="3795" width="13.42578125" style="202" customWidth="1"/>
    <col min="3796" max="3796" width="9.140625" style="202"/>
    <col min="3797" max="3800" width="13.42578125" style="202" customWidth="1"/>
    <col min="3801" max="4027" width="9.140625" style="202"/>
    <col min="4028" max="4028" width="11.28515625" style="202" customWidth="1"/>
    <col min="4029" max="4029" width="27.140625" style="202" customWidth="1"/>
    <col min="4030" max="4030" width="13.7109375" style="202" customWidth="1"/>
    <col min="4031" max="4031" width="14.140625" style="202" customWidth="1"/>
    <col min="4032" max="4036" width="13.42578125" style="202" customWidth="1"/>
    <col min="4037" max="4037" width="9.140625" style="202"/>
    <col min="4038" max="4041" width="13.42578125" style="202" customWidth="1"/>
    <col min="4042" max="4042" width="9.140625" style="202"/>
    <col min="4043" max="4046" width="13.42578125" style="202" customWidth="1"/>
    <col min="4047" max="4047" width="9.140625" style="202"/>
    <col min="4048" max="4051" width="13.42578125" style="202" customWidth="1"/>
    <col min="4052" max="4052" width="9.140625" style="202"/>
    <col min="4053" max="4056" width="13.42578125" style="202" customWidth="1"/>
    <col min="4057" max="4283" width="9.140625" style="202"/>
    <col min="4284" max="4284" width="11.28515625" style="202" customWidth="1"/>
    <col min="4285" max="4285" width="27.140625" style="202" customWidth="1"/>
    <col min="4286" max="4286" width="13.7109375" style="202" customWidth="1"/>
    <col min="4287" max="4287" width="14.140625" style="202" customWidth="1"/>
    <col min="4288" max="4292" width="13.42578125" style="202" customWidth="1"/>
    <col min="4293" max="4293" width="9.140625" style="202"/>
    <col min="4294" max="4297" width="13.42578125" style="202" customWidth="1"/>
    <col min="4298" max="4298" width="9.140625" style="202"/>
    <col min="4299" max="4302" width="13.42578125" style="202" customWidth="1"/>
    <col min="4303" max="4303" width="9.140625" style="202"/>
    <col min="4304" max="4307" width="13.42578125" style="202" customWidth="1"/>
    <col min="4308" max="4308" width="9.140625" style="202"/>
    <col min="4309" max="4312" width="13.42578125" style="202" customWidth="1"/>
    <col min="4313" max="4539" width="9.140625" style="202"/>
    <col min="4540" max="4540" width="11.28515625" style="202" customWidth="1"/>
    <col min="4541" max="4541" width="27.140625" style="202" customWidth="1"/>
    <col min="4542" max="4542" width="13.7109375" style="202" customWidth="1"/>
    <col min="4543" max="4543" width="14.140625" style="202" customWidth="1"/>
    <col min="4544" max="4548" width="13.42578125" style="202" customWidth="1"/>
    <col min="4549" max="4549" width="9.140625" style="202"/>
    <col min="4550" max="4553" width="13.42578125" style="202" customWidth="1"/>
    <col min="4554" max="4554" width="9.140625" style="202"/>
    <col min="4555" max="4558" width="13.42578125" style="202" customWidth="1"/>
    <col min="4559" max="4559" width="9.140625" style="202"/>
    <col min="4560" max="4563" width="13.42578125" style="202" customWidth="1"/>
    <col min="4564" max="4564" width="9.140625" style="202"/>
    <col min="4565" max="4568" width="13.42578125" style="202" customWidth="1"/>
    <col min="4569" max="4795" width="9.140625" style="202"/>
    <col min="4796" max="4796" width="11.28515625" style="202" customWidth="1"/>
    <col min="4797" max="4797" width="27.140625" style="202" customWidth="1"/>
    <col min="4798" max="4798" width="13.7109375" style="202" customWidth="1"/>
    <col min="4799" max="4799" width="14.140625" style="202" customWidth="1"/>
    <col min="4800" max="4804" width="13.42578125" style="202" customWidth="1"/>
    <col min="4805" max="4805" width="9.140625" style="202"/>
    <col min="4806" max="4809" width="13.42578125" style="202" customWidth="1"/>
    <col min="4810" max="4810" width="9.140625" style="202"/>
    <col min="4811" max="4814" width="13.42578125" style="202" customWidth="1"/>
    <col min="4815" max="4815" width="9.140625" style="202"/>
    <col min="4816" max="4819" width="13.42578125" style="202" customWidth="1"/>
    <col min="4820" max="4820" width="9.140625" style="202"/>
    <col min="4821" max="4824" width="13.42578125" style="202" customWidth="1"/>
    <col min="4825" max="5051" width="9.140625" style="202"/>
    <col min="5052" max="5052" width="11.28515625" style="202" customWidth="1"/>
    <col min="5053" max="5053" width="27.140625" style="202" customWidth="1"/>
    <col min="5054" max="5054" width="13.7109375" style="202" customWidth="1"/>
    <col min="5055" max="5055" width="14.140625" style="202" customWidth="1"/>
    <col min="5056" max="5060" width="13.42578125" style="202" customWidth="1"/>
    <col min="5061" max="5061" width="9.140625" style="202"/>
    <col min="5062" max="5065" width="13.42578125" style="202" customWidth="1"/>
    <col min="5066" max="5066" width="9.140625" style="202"/>
    <col min="5067" max="5070" width="13.42578125" style="202" customWidth="1"/>
    <col min="5071" max="5071" width="9.140625" style="202"/>
    <col min="5072" max="5075" width="13.42578125" style="202" customWidth="1"/>
    <col min="5076" max="5076" width="9.140625" style="202"/>
    <col min="5077" max="5080" width="13.42578125" style="202" customWidth="1"/>
    <col min="5081" max="5307" width="9.140625" style="202"/>
    <col min="5308" max="5308" width="11.28515625" style="202" customWidth="1"/>
    <col min="5309" max="5309" width="27.140625" style="202" customWidth="1"/>
    <col min="5310" max="5310" width="13.7109375" style="202" customWidth="1"/>
    <col min="5311" max="5311" width="14.140625" style="202" customWidth="1"/>
    <col min="5312" max="5316" width="13.42578125" style="202" customWidth="1"/>
    <col min="5317" max="5317" width="9.140625" style="202"/>
    <col min="5318" max="5321" width="13.42578125" style="202" customWidth="1"/>
    <col min="5322" max="5322" width="9.140625" style="202"/>
    <col min="5323" max="5326" width="13.42578125" style="202" customWidth="1"/>
    <col min="5327" max="5327" width="9.140625" style="202"/>
    <col min="5328" max="5331" width="13.42578125" style="202" customWidth="1"/>
    <col min="5332" max="5332" width="9.140625" style="202"/>
    <col min="5333" max="5336" width="13.42578125" style="202" customWidth="1"/>
    <col min="5337" max="5563" width="9.140625" style="202"/>
    <col min="5564" max="5564" width="11.28515625" style="202" customWidth="1"/>
    <col min="5565" max="5565" width="27.140625" style="202" customWidth="1"/>
    <col min="5566" max="5566" width="13.7109375" style="202" customWidth="1"/>
    <col min="5567" max="5567" width="14.140625" style="202" customWidth="1"/>
    <col min="5568" max="5572" width="13.42578125" style="202" customWidth="1"/>
    <col min="5573" max="5573" width="9.140625" style="202"/>
    <col min="5574" max="5577" width="13.42578125" style="202" customWidth="1"/>
    <col min="5578" max="5578" width="9.140625" style="202"/>
    <col min="5579" max="5582" width="13.42578125" style="202" customWidth="1"/>
    <col min="5583" max="5583" width="9.140625" style="202"/>
    <col min="5584" max="5587" width="13.42578125" style="202" customWidth="1"/>
    <col min="5588" max="5588" width="9.140625" style="202"/>
    <col min="5589" max="5592" width="13.42578125" style="202" customWidth="1"/>
    <col min="5593" max="5819" width="9.140625" style="202"/>
    <col min="5820" max="5820" width="11.28515625" style="202" customWidth="1"/>
    <col min="5821" max="5821" width="27.140625" style="202" customWidth="1"/>
    <col min="5822" max="5822" width="13.7109375" style="202" customWidth="1"/>
    <col min="5823" max="5823" width="14.140625" style="202" customWidth="1"/>
    <col min="5824" max="5828" width="13.42578125" style="202" customWidth="1"/>
    <col min="5829" max="5829" width="9.140625" style="202"/>
    <col min="5830" max="5833" width="13.42578125" style="202" customWidth="1"/>
    <col min="5834" max="5834" width="9.140625" style="202"/>
    <col min="5835" max="5838" width="13.42578125" style="202" customWidth="1"/>
    <col min="5839" max="5839" width="9.140625" style="202"/>
    <col min="5840" max="5843" width="13.42578125" style="202" customWidth="1"/>
    <col min="5844" max="5844" width="9.140625" style="202"/>
    <col min="5845" max="5848" width="13.42578125" style="202" customWidth="1"/>
    <col min="5849" max="6075" width="9.140625" style="202"/>
    <col min="6076" max="6076" width="11.28515625" style="202" customWidth="1"/>
    <col min="6077" max="6077" width="27.140625" style="202" customWidth="1"/>
    <col min="6078" max="6078" width="13.7109375" style="202" customWidth="1"/>
    <col min="6079" max="6079" width="14.140625" style="202" customWidth="1"/>
    <col min="6080" max="6084" width="13.42578125" style="202" customWidth="1"/>
    <col min="6085" max="6085" width="9.140625" style="202"/>
    <col min="6086" max="6089" width="13.42578125" style="202" customWidth="1"/>
    <col min="6090" max="6090" width="9.140625" style="202"/>
    <col min="6091" max="6094" width="13.42578125" style="202" customWidth="1"/>
    <col min="6095" max="6095" width="9.140625" style="202"/>
    <col min="6096" max="6099" width="13.42578125" style="202" customWidth="1"/>
    <col min="6100" max="6100" width="9.140625" style="202"/>
    <col min="6101" max="6104" width="13.42578125" style="202" customWidth="1"/>
    <col min="6105" max="6331" width="9.140625" style="202"/>
    <col min="6332" max="6332" width="11.28515625" style="202" customWidth="1"/>
    <col min="6333" max="6333" width="27.140625" style="202" customWidth="1"/>
    <col min="6334" max="6334" width="13.7109375" style="202" customWidth="1"/>
    <col min="6335" max="6335" width="14.140625" style="202" customWidth="1"/>
    <col min="6336" max="6340" width="13.42578125" style="202" customWidth="1"/>
    <col min="6341" max="6341" width="9.140625" style="202"/>
    <col min="6342" max="6345" width="13.42578125" style="202" customWidth="1"/>
    <col min="6346" max="6346" width="9.140625" style="202"/>
    <col min="6347" max="6350" width="13.42578125" style="202" customWidth="1"/>
    <col min="6351" max="6351" width="9.140625" style="202"/>
    <col min="6352" max="6355" width="13.42578125" style="202" customWidth="1"/>
    <col min="6356" max="6356" width="9.140625" style="202"/>
    <col min="6357" max="6360" width="13.42578125" style="202" customWidth="1"/>
    <col min="6361" max="6587" width="9.140625" style="202"/>
    <col min="6588" max="6588" width="11.28515625" style="202" customWidth="1"/>
    <col min="6589" max="6589" width="27.140625" style="202" customWidth="1"/>
    <col min="6590" max="6590" width="13.7109375" style="202" customWidth="1"/>
    <col min="6591" max="6591" width="14.140625" style="202" customWidth="1"/>
    <col min="6592" max="6596" width="13.42578125" style="202" customWidth="1"/>
    <col min="6597" max="6597" width="9.140625" style="202"/>
    <col min="6598" max="6601" width="13.42578125" style="202" customWidth="1"/>
    <col min="6602" max="6602" width="9.140625" style="202"/>
    <col min="6603" max="6606" width="13.42578125" style="202" customWidth="1"/>
    <col min="6607" max="6607" width="9.140625" style="202"/>
    <col min="6608" max="6611" width="13.42578125" style="202" customWidth="1"/>
    <col min="6612" max="6612" width="9.140625" style="202"/>
    <col min="6613" max="6616" width="13.42578125" style="202" customWidth="1"/>
    <col min="6617" max="6843" width="9.140625" style="202"/>
    <col min="6844" max="6844" width="11.28515625" style="202" customWidth="1"/>
    <col min="6845" max="6845" width="27.140625" style="202" customWidth="1"/>
    <col min="6846" max="6846" width="13.7109375" style="202" customWidth="1"/>
    <col min="6847" max="6847" width="14.140625" style="202" customWidth="1"/>
    <col min="6848" max="6852" width="13.42578125" style="202" customWidth="1"/>
    <col min="6853" max="6853" width="9.140625" style="202"/>
    <col min="6854" max="6857" width="13.42578125" style="202" customWidth="1"/>
    <col min="6858" max="6858" width="9.140625" style="202"/>
    <col min="6859" max="6862" width="13.42578125" style="202" customWidth="1"/>
    <col min="6863" max="6863" width="9.140625" style="202"/>
    <col min="6864" max="6867" width="13.42578125" style="202" customWidth="1"/>
    <col min="6868" max="6868" width="9.140625" style="202"/>
    <col min="6869" max="6872" width="13.42578125" style="202" customWidth="1"/>
    <col min="6873" max="7099" width="9.140625" style="202"/>
    <col min="7100" max="7100" width="11.28515625" style="202" customWidth="1"/>
    <col min="7101" max="7101" width="27.140625" style="202" customWidth="1"/>
    <col min="7102" max="7102" width="13.7109375" style="202" customWidth="1"/>
    <col min="7103" max="7103" width="14.140625" style="202" customWidth="1"/>
    <col min="7104" max="7108" width="13.42578125" style="202" customWidth="1"/>
    <col min="7109" max="7109" width="9.140625" style="202"/>
    <col min="7110" max="7113" width="13.42578125" style="202" customWidth="1"/>
    <col min="7114" max="7114" width="9.140625" style="202"/>
    <col min="7115" max="7118" width="13.42578125" style="202" customWidth="1"/>
    <col min="7119" max="7119" width="9.140625" style="202"/>
    <col min="7120" max="7123" width="13.42578125" style="202" customWidth="1"/>
    <col min="7124" max="7124" width="9.140625" style="202"/>
    <col min="7125" max="7128" width="13.42578125" style="202" customWidth="1"/>
    <col min="7129" max="7355" width="9.140625" style="202"/>
    <col min="7356" max="7356" width="11.28515625" style="202" customWidth="1"/>
    <col min="7357" max="7357" width="27.140625" style="202" customWidth="1"/>
    <col min="7358" max="7358" width="13.7109375" style="202" customWidth="1"/>
    <col min="7359" max="7359" width="14.140625" style="202" customWidth="1"/>
    <col min="7360" max="7364" width="13.42578125" style="202" customWidth="1"/>
    <col min="7365" max="7365" width="9.140625" style="202"/>
    <col min="7366" max="7369" width="13.42578125" style="202" customWidth="1"/>
    <col min="7370" max="7370" width="9.140625" style="202"/>
    <col min="7371" max="7374" width="13.42578125" style="202" customWidth="1"/>
    <col min="7375" max="7375" width="9.140625" style="202"/>
    <col min="7376" max="7379" width="13.42578125" style="202" customWidth="1"/>
    <col min="7380" max="7380" width="9.140625" style="202"/>
    <col min="7381" max="7384" width="13.42578125" style="202" customWidth="1"/>
    <col min="7385" max="7611" width="9.140625" style="202"/>
    <col min="7612" max="7612" width="11.28515625" style="202" customWidth="1"/>
    <col min="7613" max="7613" width="27.140625" style="202" customWidth="1"/>
    <col min="7614" max="7614" width="13.7109375" style="202" customWidth="1"/>
    <col min="7615" max="7615" width="14.140625" style="202" customWidth="1"/>
    <col min="7616" max="7620" width="13.42578125" style="202" customWidth="1"/>
    <col min="7621" max="7621" width="9.140625" style="202"/>
    <col min="7622" max="7625" width="13.42578125" style="202" customWidth="1"/>
    <col min="7626" max="7626" width="9.140625" style="202"/>
    <col min="7627" max="7630" width="13.42578125" style="202" customWidth="1"/>
    <col min="7631" max="7631" width="9.140625" style="202"/>
    <col min="7632" max="7635" width="13.42578125" style="202" customWidth="1"/>
    <col min="7636" max="7636" width="9.140625" style="202"/>
    <col min="7637" max="7640" width="13.42578125" style="202" customWidth="1"/>
    <col min="7641" max="7867" width="9.140625" style="202"/>
    <col min="7868" max="7868" width="11.28515625" style="202" customWidth="1"/>
    <col min="7869" max="7869" width="27.140625" style="202" customWidth="1"/>
    <col min="7870" max="7870" width="13.7109375" style="202" customWidth="1"/>
    <col min="7871" max="7871" width="14.140625" style="202" customWidth="1"/>
    <col min="7872" max="7876" width="13.42578125" style="202" customWidth="1"/>
    <col min="7877" max="7877" width="9.140625" style="202"/>
    <col min="7878" max="7881" width="13.42578125" style="202" customWidth="1"/>
    <col min="7882" max="7882" width="9.140625" style="202"/>
    <col min="7883" max="7886" width="13.42578125" style="202" customWidth="1"/>
    <col min="7887" max="7887" width="9.140625" style="202"/>
    <col min="7888" max="7891" width="13.42578125" style="202" customWidth="1"/>
    <col min="7892" max="7892" width="9.140625" style="202"/>
    <col min="7893" max="7896" width="13.42578125" style="202" customWidth="1"/>
    <col min="7897" max="8123" width="9.140625" style="202"/>
    <col min="8124" max="8124" width="11.28515625" style="202" customWidth="1"/>
    <col min="8125" max="8125" width="27.140625" style="202" customWidth="1"/>
    <col min="8126" max="8126" width="13.7109375" style="202" customWidth="1"/>
    <col min="8127" max="8127" width="14.140625" style="202" customWidth="1"/>
    <col min="8128" max="8132" width="13.42578125" style="202" customWidth="1"/>
    <col min="8133" max="8133" width="9.140625" style="202"/>
    <col min="8134" max="8137" width="13.42578125" style="202" customWidth="1"/>
    <col min="8138" max="8138" width="9.140625" style="202"/>
    <col min="8139" max="8142" width="13.42578125" style="202" customWidth="1"/>
    <col min="8143" max="8143" width="9.140625" style="202"/>
    <col min="8144" max="8147" width="13.42578125" style="202" customWidth="1"/>
    <col min="8148" max="8148" width="9.140625" style="202"/>
    <col min="8149" max="8152" width="13.42578125" style="202" customWidth="1"/>
    <col min="8153" max="8379" width="9.140625" style="202"/>
    <col min="8380" max="8380" width="11.28515625" style="202" customWidth="1"/>
    <col min="8381" max="8381" width="27.140625" style="202" customWidth="1"/>
    <col min="8382" max="8382" width="13.7109375" style="202" customWidth="1"/>
    <col min="8383" max="8383" width="14.140625" style="202" customWidth="1"/>
    <col min="8384" max="8388" width="13.42578125" style="202" customWidth="1"/>
    <col min="8389" max="8389" width="9.140625" style="202"/>
    <col min="8390" max="8393" width="13.42578125" style="202" customWidth="1"/>
    <col min="8394" max="8394" width="9.140625" style="202"/>
    <col min="8395" max="8398" width="13.42578125" style="202" customWidth="1"/>
    <col min="8399" max="8399" width="9.140625" style="202"/>
    <col min="8400" max="8403" width="13.42578125" style="202" customWidth="1"/>
    <col min="8404" max="8404" width="9.140625" style="202"/>
    <col min="8405" max="8408" width="13.42578125" style="202" customWidth="1"/>
    <col min="8409" max="8635" width="9.140625" style="202"/>
    <col min="8636" max="8636" width="11.28515625" style="202" customWidth="1"/>
    <col min="8637" max="8637" width="27.140625" style="202" customWidth="1"/>
    <col min="8638" max="8638" width="13.7109375" style="202" customWidth="1"/>
    <col min="8639" max="8639" width="14.140625" style="202" customWidth="1"/>
    <col min="8640" max="8644" width="13.42578125" style="202" customWidth="1"/>
    <col min="8645" max="8645" width="9.140625" style="202"/>
    <col min="8646" max="8649" width="13.42578125" style="202" customWidth="1"/>
    <col min="8650" max="8650" width="9.140625" style="202"/>
    <col min="8651" max="8654" width="13.42578125" style="202" customWidth="1"/>
    <col min="8655" max="8655" width="9.140625" style="202"/>
    <col min="8656" max="8659" width="13.42578125" style="202" customWidth="1"/>
    <col min="8660" max="8660" width="9.140625" style="202"/>
    <col min="8661" max="8664" width="13.42578125" style="202" customWidth="1"/>
    <col min="8665" max="8891" width="9.140625" style="202"/>
    <col min="8892" max="8892" width="11.28515625" style="202" customWidth="1"/>
    <col min="8893" max="8893" width="27.140625" style="202" customWidth="1"/>
    <col min="8894" max="8894" width="13.7109375" style="202" customWidth="1"/>
    <col min="8895" max="8895" width="14.140625" style="202" customWidth="1"/>
    <col min="8896" max="8900" width="13.42578125" style="202" customWidth="1"/>
    <col min="8901" max="8901" width="9.140625" style="202"/>
    <col min="8902" max="8905" width="13.42578125" style="202" customWidth="1"/>
    <col min="8906" max="8906" width="9.140625" style="202"/>
    <col min="8907" max="8910" width="13.42578125" style="202" customWidth="1"/>
    <col min="8911" max="8911" width="9.140625" style="202"/>
    <col min="8912" max="8915" width="13.42578125" style="202" customWidth="1"/>
    <col min="8916" max="8916" width="9.140625" style="202"/>
    <col min="8917" max="8920" width="13.42578125" style="202" customWidth="1"/>
    <col min="8921" max="9147" width="9.140625" style="202"/>
    <col min="9148" max="9148" width="11.28515625" style="202" customWidth="1"/>
    <col min="9149" max="9149" width="27.140625" style="202" customWidth="1"/>
    <col min="9150" max="9150" width="13.7109375" style="202" customWidth="1"/>
    <col min="9151" max="9151" width="14.140625" style="202" customWidth="1"/>
    <col min="9152" max="9156" width="13.42578125" style="202" customWidth="1"/>
    <col min="9157" max="9157" width="9.140625" style="202"/>
    <col min="9158" max="9161" width="13.42578125" style="202" customWidth="1"/>
    <col min="9162" max="9162" width="9.140625" style="202"/>
    <col min="9163" max="9166" width="13.42578125" style="202" customWidth="1"/>
    <col min="9167" max="9167" width="9.140625" style="202"/>
    <col min="9168" max="9171" width="13.42578125" style="202" customWidth="1"/>
    <col min="9172" max="9172" width="9.140625" style="202"/>
    <col min="9173" max="9176" width="13.42578125" style="202" customWidth="1"/>
    <col min="9177" max="9403" width="9.140625" style="202"/>
    <col min="9404" max="9404" width="11.28515625" style="202" customWidth="1"/>
    <col min="9405" max="9405" width="27.140625" style="202" customWidth="1"/>
    <col min="9406" max="9406" width="13.7109375" style="202" customWidth="1"/>
    <col min="9407" max="9407" width="14.140625" style="202" customWidth="1"/>
    <col min="9408" max="9412" width="13.42578125" style="202" customWidth="1"/>
    <col min="9413" max="9413" width="9.140625" style="202"/>
    <col min="9414" max="9417" width="13.42578125" style="202" customWidth="1"/>
    <col min="9418" max="9418" width="9.140625" style="202"/>
    <col min="9419" max="9422" width="13.42578125" style="202" customWidth="1"/>
    <col min="9423" max="9423" width="9.140625" style="202"/>
    <col min="9424" max="9427" width="13.42578125" style="202" customWidth="1"/>
    <col min="9428" max="9428" width="9.140625" style="202"/>
    <col min="9429" max="9432" width="13.42578125" style="202" customWidth="1"/>
    <col min="9433" max="9659" width="9.140625" style="202"/>
    <col min="9660" max="9660" width="11.28515625" style="202" customWidth="1"/>
    <col min="9661" max="9661" width="27.140625" style="202" customWidth="1"/>
    <col min="9662" max="9662" width="13.7109375" style="202" customWidth="1"/>
    <col min="9663" max="9663" width="14.140625" style="202" customWidth="1"/>
    <col min="9664" max="9668" width="13.42578125" style="202" customWidth="1"/>
    <col min="9669" max="9669" width="9.140625" style="202"/>
    <col min="9670" max="9673" width="13.42578125" style="202" customWidth="1"/>
    <col min="9674" max="9674" width="9.140625" style="202"/>
    <col min="9675" max="9678" width="13.42578125" style="202" customWidth="1"/>
    <col min="9679" max="9679" width="9.140625" style="202"/>
    <col min="9680" max="9683" width="13.42578125" style="202" customWidth="1"/>
    <col min="9684" max="9684" width="9.140625" style="202"/>
    <col min="9685" max="9688" width="13.42578125" style="202" customWidth="1"/>
    <col min="9689" max="9915" width="9.140625" style="202"/>
    <col min="9916" max="9916" width="11.28515625" style="202" customWidth="1"/>
    <col min="9917" max="9917" width="27.140625" style="202" customWidth="1"/>
    <col min="9918" max="9918" width="13.7109375" style="202" customWidth="1"/>
    <col min="9919" max="9919" width="14.140625" style="202" customWidth="1"/>
    <col min="9920" max="9924" width="13.42578125" style="202" customWidth="1"/>
    <col min="9925" max="9925" width="9.140625" style="202"/>
    <col min="9926" max="9929" width="13.42578125" style="202" customWidth="1"/>
    <col min="9930" max="9930" width="9.140625" style="202"/>
    <col min="9931" max="9934" width="13.42578125" style="202" customWidth="1"/>
    <col min="9935" max="9935" width="9.140625" style="202"/>
    <col min="9936" max="9939" width="13.42578125" style="202" customWidth="1"/>
    <col min="9940" max="9940" width="9.140625" style="202"/>
    <col min="9941" max="9944" width="13.42578125" style="202" customWidth="1"/>
    <col min="9945" max="10171" width="9.140625" style="202"/>
    <col min="10172" max="10172" width="11.28515625" style="202" customWidth="1"/>
    <col min="10173" max="10173" width="27.140625" style="202" customWidth="1"/>
    <col min="10174" max="10174" width="13.7109375" style="202" customWidth="1"/>
    <col min="10175" max="10175" width="14.140625" style="202" customWidth="1"/>
    <col min="10176" max="10180" width="13.42578125" style="202" customWidth="1"/>
    <col min="10181" max="10181" width="9.140625" style="202"/>
    <col min="10182" max="10185" width="13.42578125" style="202" customWidth="1"/>
    <col min="10186" max="10186" width="9.140625" style="202"/>
    <col min="10187" max="10190" width="13.42578125" style="202" customWidth="1"/>
    <col min="10191" max="10191" width="9.140625" style="202"/>
    <col min="10192" max="10195" width="13.42578125" style="202" customWidth="1"/>
    <col min="10196" max="10196" width="9.140625" style="202"/>
    <col min="10197" max="10200" width="13.42578125" style="202" customWidth="1"/>
    <col min="10201" max="10427" width="9.140625" style="202"/>
    <col min="10428" max="10428" width="11.28515625" style="202" customWidth="1"/>
    <col min="10429" max="10429" width="27.140625" style="202" customWidth="1"/>
    <col min="10430" max="10430" width="13.7109375" style="202" customWidth="1"/>
    <col min="10431" max="10431" width="14.140625" style="202" customWidth="1"/>
    <col min="10432" max="10436" width="13.42578125" style="202" customWidth="1"/>
    <col min="10437" max="10437" width="9.140625" style="202"/>
    <col min="10438" max="10441" width="13.42578125" style="202" customWidth="1"/>
    <col min="10442" max="10442" width="9.140625" style="202"/>
    <col min="10443" max="10446" width="13.42578125" style="202" customWidth="1"/>
    <col min="10447" max="10447" width="9.140625" style="202"/>
    <col min="10448" max="10451" width="13.42578125" style="202" customWidth="1"/>
    <col min="10452" max="10452" width="9.140625" style="202"/>
    <col min="10453" max="10456" width="13.42578125" style="202" customWidth="1"/>
    <col min="10457" max="10683" width="9.140625" style="202"/>
    <col min="10684" max="10684" width="11.28515625" style="202" customWidth="1"/>
    <col min="10685" max="10685" width="27.140625" style="202" customWidth="1"/>
    <col min="10686" max="10686" width="13.7109375" style="202" customWidth="1"/>
    <col min="10687" max="10687" width="14.140625" style="202" customWidth="1"/>
    <col min="10688" max="10692" width="13.42578125" style="202" customWidth="1"/>
    <col min="10693" max="10693" width="9.140625" style="202"/>
    <col min="10694" max="10697" width="13.42578125" style="202" customWidth="1"/>
    <col min="10698" max="10698" width="9.140625" style="202"/>
    <col min="10699" max="10702" width="13.42578125" style="202" customWidth="1"/>
    <col min="10703" max="10703" width="9.140625" style="202"/>
    <col min="10704" max="10707" width="13.42578125" style="202" customWidth="1"/>
    <col min="10708" max="10708" width="9.140625" style="202"/>
    <col min="10709" max="10712" width="13.42578125" style="202" customWidth="1"/>
    <col min="10713" max="10939" width="9.140625" style="202"/>
    <col min="10940" max="10940" width="11.28515625" style="202" customWidth="1"/>
    <col min="10941" max="10941" width="27.140625" style="202" customWidth="1"/>
    <col min="10942" max="10942" width="13.7109375" style="202" customWidth="1"/>
    <col min="10943" max="10943" width="14.140625" style="202" customWidth="1"/>
    <col min="10944" max="10948" width="13.42578125" style="202" customWidth="1"/>
    <col min="10949" max="10949" width="9.140625" style="202"/>
    <col min="10950" max="10953" width="13.42578125" style="202" customWidth="1"/>
    <col min="10954" max="10954" width="9.140625" style="202"/>
    <col min="10955" max="10958" width="13.42578125" style="202" customWidth="1"/>
    <col min="10959" max="10959" width="9.140625" style="202"/>
    <col min="10960" max="10963" width="13.42578125" style="202" customWidth="1"/>
    <col min="10964" max="10964" width="9.140625" style="202"/>
    <col min="10965" max="10968" width="13.42578125" style="202" customWidth="1"/>
    <col min="10969" max="11195" width="9.140625" style="202"/>
    <col min="11196" max="11196" width="11.28515625" style="202" customWidth="1"/>
    <col min="11197" max="11197" width="27.140625" style="202" customWidth="1"/>
    <col min="11198" max="11198" width="13.7109375" style="202" customWidth="1"/>
    <col min="11199" max="11199" width="14.140625" style="202" customWidth="1"/>
    <col min="11200" max="11204" width="13.42578125" style="202" customWidth="1"/>
    <col min="11205" max="11205" width="9.140625" style="202"/>
    <col min="11206" max="11209" width="13.42578125" style="202" customWidth="1"/>
    <col min="11210" max="11210" width="9.140625" style="202"/>
    <col min="11211" max="11214" width="13.42578125" style="202" customWidth="1"/>
    <col min="11215" max="11215" width="9.140625" style="202"/>
    <col min="11216" max="11219" width="13.42578125" style="202" customWidth="1"/>
    <col min="11220" max="11220" width="9.140625" style="202"/>
    <col min="11221" max="11224" width="13.42578125" style="202" customWidth="1"/>
    <col min="11225" max="11451" width="9.140625" style="202"/>
    <col min="11452" max="11452" width="11.28515625" style="202" customWidth="1"/>
    <col min="11453" max="11453" width="27.140625" style="202" customWidth="1"/>
    <col min="11454" max="11454" width="13.7109375" style="202" customWidth="1"/>
    <col min="11455" max="11455" width="14.140625" style="202" customWidth="1"/>
    <col min="11456" max="11460" width="13.42578125" style="202" customWidth="1"/>
    <col min="11461" max="11461" width="9.140625" style="202"/>
    <col min="11462" max="11465" width="13.42578125" style="202" customWidth="1"/>
    <col min="11466" max="11466" width="9.140625" style="202"/>
    <col min="11467" max="11470" width="13.42578125" style="202" customWidth="1"/>
    <col min="11471" max="11471" width="9.140625" style="202"/>
    <col min="11472" max="11475" width="13.42578125" style="202" customWidth="1"/>
    <col min="11476" max="11476" width="9.140625" style="202"/>
    <col min="11477" max="11480" width="13.42578125" style="202" customWidth="1"/>
    <col min="11481" max="11707" width="9.140625" style="202"/>
    <col min="11708" max="11708" width="11.28515625" style="202" customWidth="1"/>
    <col min="11709" max="11709" width="27.140625" style="202" customWidth="1"/>
    <col min="11710" max="11710" width="13.7109375" style="202" customWidth="1"/>
    <col min="11711" max="11711" width="14.140625" style="202" customWidth="1"/>
    <col min="11712" max="11716" width="13.42578125" style="202" customWidth="1"/>
    <col min="11717" max="11717" width="9.140625" style="202"/>
    <col min="11718" max="11721" width="13.42578125" style="202" customWidth="1"/>
    <col min="11722" max="11722" width="9.140625" style="202"/>
    <col min="11723" max="11726" width="13.42578125" style="202" customWidth="1"/>
    <col min="11727" max="11727" width="9.140625" style="202"/>
    <col min="11728" max="11731" width="13.42578125" style="202" customWidth="1"/>
    <col min="11732" max="11732" width="9.140625" style="202"/>
    <col min="11733" max="11736" width="13.42578125" style="202" customWidth="1"/>
    <col min="11737" max="11963" width="9.140625" style="202"/>
    <col min="11964" max="11964" width="11.28515625" style="202" customWidth="1"/>
    <col min="11965" max="11965" width="27.140625" style="202" customWidth="1"/>
    <col min="11966" max="11966" width="13.7109375" style="202" customWidth="1"/>
    <col min="11967" max="11967" width="14.140625" style="202" customWidth="1"/>
    <col min="11968" max="11972" width="13.42578125" style="202" customWidth="1"/>
    <col min="11973" max="11973" width="9.140625" style="202"/>
    <col min="11974" max="11977" width="13.42578125" style="202" customWidth="1"/>
    <col min="11978" max="11978" width="9.140625" style="202"/>
    <col min="11979" max="11982" width="13.42578125" style="202" customWidth="1"/>
    <col min="11983" max="11983" width="9.140625" style="202"/>
    <col min="11984" max="11987" width="13.42578125" style="202" customWidth="1"/>
    <col min="11988" max="11988" width="9.140625" style="202"/>
    <col min="11989" max="11992" width="13.42578125" style="202" customWidth="1"/>
    <col min="11993" max="12219" width="9.140625" style="202"/>
    <col min="12220" max="12220" width="11.28515625" style="202" customWidth="1"/>
    <col min="12221" max="12221" width="27.140625" style="202" customWidth="1"/>
    <col min="12222" max="12222" width="13.7109375" style="202" customWidth="1"/>
    <col min="12223" max="12223" width="14.140625" style="202" customWidth="1"/>
    <col min="12224" max="12228" width="13.42578125" style="202" customWidth="1"/>
    <col min="12229" max="12229" width="9.140625" style="202"/>
    <col min="12230" max="12233" width="13.42578125" style="202" customWidth="1"/>
    <col min="12234" max="12234" width="9.140625" style="202"/>
    <col min="12235" max="12238" width="13.42578125" style="202" customWidth="1"/>
    <col min="12239" max="12239" width="9.140625" style="202"/>
    <col min="12240" max="12243" width="13.42578125" style="202" customWidth="1"/>
    <col min="12244" max="12244" width="9.140625" style="202"/>
    <col min="12245" max="12248" width="13.42578125" style="202" customWidth="1"/>
    <col min="12249" max="12475" width="9.140625" style="202"/>
    <col min="12476" max="12476" width="11.28515625" style="202" customWidth="1"/>
    <col min="12477" max="12477" width="27.140625" style="202" customWidth="1"/>
    <col min="12478" max="12478" width="13.7109375" style="202" customWidth="1"/>
    <col min="12479" max="12479" width="14.140625" style="202" customWidth="1"/>
    <col min="12480" max="12484" width="13.42578125" style="202" customWidth="1"/>
    <col min="12485" max="12485" width="9.140625" style="202"/>
    <col min="12486" max="12489" width="13.42578125" style="202" customWidth="1"/>
    <col min="12490" max="12490" width="9.140625" style="202"/>
    <col min="12491" max="12494" width="13.42578125" style="202" customWidth="1"/>
    <col min="12495" max="12495" width="9.140625" style="202"/>
    <col min="12496" max="12499" width="13.42578125" style="202" customWidth="1"/>
    <col min="12500" max="12500" width="9.140625" style="202"/>
    <col min="12501" max="12504" width="13.42578125" style="202" customWidth="1"/>
    <col min="12505" max="12731" width="9.140625" style="202"/>
    <col min="12732" max="12732" width="11.28515625" style="202" customWidth="1"/>
    <col min="12733" max="12733" width="27.140625" style="202" customWidth="1"/>
    <col min="12734" max="12734" width="13.7109375" style="202" customWidth="1"/>
    <col min="12735" max="12735" width="14.140625" style="202" customWidth="1"/>
    <col min="12736" max="12740" width="13.42578125" style="202" customWidth="1"/>
    <col min="12741" max="12741" width="9.140625" style="202"/>
    <col min="12742" max="12745" width="13.42578125" style="202" customWidth="1"/>
    <col min="12746" max="12746" width="9.140625" style="202"/>
    <col min="12747" max="12750" width="13.42578125" style="202" customWidth="1"/>
    <col min="12751" max="12751" width="9.140625" style="202"/>
    <col min="12752" max="12755" width="13.42578125" style="202" customWidth="1"/>
    <col min="12756" max="12756" width="9.140625" style="202"/>
    <col min="12757" max="12760" width="13.42578125" style="202" customWidth="1"/>
    <col min="12761" max="12987" width="9.140625" style="202"/>
    <col min="12988" max="12988" width="11.28515625" style="202" customWidth="1"/>
    <col min="12989" max="12989" width="27.140625" style="202" customWidth="1"/>
    <col min="12990" max="12990" width="13.7109375" style="202" customWidth="1"/>
    <col min="12991" max="12991" width="14.140625" style="202" customWidth="1"/>
    <col min="12992" max="12996" width="13.42578125" style="202" customWidth="1"/>
    <col min="12997" max="12997" width="9.140625" style="202"/>
    <col min="12998" max="13001" width="13.42578125" style="202" customWidth="1"/>
    <col min="13002" max="13002" width="9.140625" style="202"/>
    <col min="13003" max="13006" width="13.42578125" style="202" customWidth="1"/>
    <col min="13007" max="13007" width="9.140625" style="202"/>
    <col min="13008" max="13011" width="13.42578125" style="202" customWidth="1"/>
    <col min="13012" max="13012" width="9.140625" style="202"/>
    <col min="13013" max="13016" width="13.42578125" style="202" customWidth="1"/>
    <col min="13017" max="13243" width="9.140625" style="202"/>
    <col min="13244" max="13244" width="11.28515625" style="202" customWidth="1"/>
    <col min="13245" max="13245" width="27.140625" style="202" customWidth="1"/>
    <col min="13246" max="13246" width="13.7109375" style="202" customWidth="1"/>
    <col min="13247" max="13247" width="14.140625" style="202" customWidth="1"/>
    <col min="13248" max="13252" width="13.42578125" style="202" customWidth="1"/>
    <col min="13253" max="13253" width="9.140625" style="202"/>
    <col min="13254" max="13257" width="13.42578125" style="202" customWidth="1"/>
    <col min="13258" max="13258" width="9.140625" style="202"/>
    <col min="13259" max="13262" width="13.42578125" style="202" customWidth="1"/>
    <col min="13263" max="13263" width="9.140625" style="202"/>
    <col min="13264" max="13267" width="13.42578125" style="202" customWidth="1"/>
    <col min="13268" max="13268" width="9.140625" style="202"/>
    <col min="13269" max="13272" width="13.42578125" style="202" customWidth="1"/>
    <col min="13273" max="13499" width="9.140625" style="202"/>
    <col min="13500" max="13500" width="11.28515625" style="202" customWidth="1"/>
    <col min="13501" max="13501" width="27.140625" style="202" customWidth="1"/>
    <col min="13502" max="13502" width="13.7109375" style="202" customWidth="1"/>
    <col min="13503" max="13503" width="14.140625" style="202" customWidth="1"/>
    <col min="13504" max="13508" width="13.42578125" style="202" customWidth="1"/>
    <col min="13509" max="13509" width="9.140625" style="202"/>
    <col min="13510" max="13513" width="13.42578125" style="202" customWidth="1"/>
    <col min="13514" max="13514" width="9.140625" style="202"/>
    <col min="13515" max="13518" width="13.42578125" style="202" customWidth="1"/>
    <col min="13519" max="13519" width="9.140625" style="202"/>
    <col min="13520" max="13523" width="13.42578125" style="202" customWidth="1"/>
    <col min="13524" max="13524" width="9.140625" style="202"/>
    <col min="13525" max="13528" width="13.42578125" style="202" customWidth="1"/>
    <col min="13529" max="13755" width="9.140625" style="202"/>
    <col min="13756" max="13756" width="11.28515625" style="202" customWidth="1"/>
    <col min="13757" max="13757" width="27.140625" style="202" customWidth="1"/>
    <col min="13758" max="13758" width="13.7109375" style="202" customWidth="1"/>
    <col min="13759" max="13759" width="14.140625" style="202" customWidth="1"/>
    <col min="13760" max="13764" width="13.42578125" style="202" customWidth="1"/>
    <col min="13765" max="13765" width="9.140625" style="202"/>
    <col min="13766" max="13769" width="13.42578125" style="202" customWidth="1"/>
    <col min="13770" max="13770" width="9.140625" style="202"/>
    <col min="13771" max="13774" width="13.42578125" style="202" customWidth="1"/>
    <col min="13775" max="13775" width="9.140625" style="202"/>
    <col min="13776" max="13779" width="13.42578125" style="202" customWidth="1"/>
    <col min="13780" max="13780" width="9.140625" style="202"/>
    <col min="13781" max="13784" width="13.42578125" style="202" customWidth="1"/>
    <col min="13785" max="14011" width="9.140625" style="202"/>
    <col min="14012" max="14012" width="11.28515625" style="202" customWidth="1"/>
    <col min="14013" max="14013" width="27.140625" style="202" customWidth="1"/>
    <col min="14014" max="14014" width="13.7109375" style="202" customWidth="1"/>
    <col min="14015" max="14015" width="14.140625" style="202" customWidth="1"/>
    <col min="14016" max="14020" width="13.42578125" style="202" customWidth="1"/>
    <col min="14021" max="14021" width="9.140625" style="202"/>
    <col min="14022" max="14025" width="13.42578125" style="202" customWidth="1"/>
    <col min="14026" max="14026" width="9.140625" style="202"/>
    <col min="14027" max="14030" width="13.42578125" style="202" customWidth="1"/>
    <col min="14031" max="14031" width="9.140625" style="202"/>
    <col min="14032" max="14035" width="13.42578125" style="202" customWidth="1"/>
    <col min="14036" max="14036" width="9.140625" style="202"/>
    <col min="14037" max="14040" width="13.42578125" style="202" customWidth="1"/>
    <col min="14041" max="14267" width="9.140625" style="202"/>
    <col min="14268" max="14268" width="11.28515625" style="202" customWidth="1"/>
    <col min="14269" max="14269" width="27.140625" style="202" customWidth="1"/>
    <col min="14270" max="14270" width="13.7109375" style="202" customWidth="1"/>
    <col min="14271" max="14271" width="14.140625" style="202" customWidth="1"/>
    <col min="14272" max="14276" width="13.42578125" style="202" customWidth="1"/>
    <col min="14277" max="14277" width="9.140625" style="202"/>
    <col min="14278" max="14281" width="13.42578125" style="202" customWidth="1"/>
    <col min="14282" max="14282" width="9.140625" style="202"/>
    <col min="14283" max="14286" width="13.42578125" style="202" customWidth="1"/>
    <col min="14287" max="14287" width="9.140625" style="202"/>
    <col min="14288" max="14291" width="13.42578125" style="202" customWidth="1"/>
    <col min="14292" max="14292" width="9.140625" style="202"/>
    <col min="14293" max="14296" width="13.42578125" style="202" customWidth="1"/>
    <col min="14297" max="14523" width="9.140625" style="202"/>
    <col min="14524" max="14524" width="11.28515625" style="202" customWidth="1"/>
    <col min="14525" max="14525" width="27.140625" style="202" customWidth="1"/>
    <col min="14526" max="14526" width="13.7109375" style="202" customWidth="1"/>
    <col min="14527" max="14527" width="14.140625" style="202" customWidth="1"/>
    <col min="14528" max="14532" width="13.42578125" style="202" customWidth="1"/>
    <col min="14533" max="14533" width="9.140625" style="202"/>
    <col min="14534" max="14537" width="13.42578125" style="202" customWidth="1"/>
    <col min="14538" max="14538" width="9.140625" style="202"/>
    <col min="14539" max="14542" width="13.42578125" style="202" customWidth="1"/>
    <col min="14543" max="14543" width="9.140625" style="202"/>
    <col min="14544" max="14547" width="13.42578125" style="202" customWidth="1"/>
    <col min="14548" max="14548" width="9.140625" style="202"/>
    <col min="14549" max="14552" width="13.42578125" style="202" customWidth="1"/>
    <col min="14553" max="14779" width="9.140625" style="202"/>
    <col min="14780" max="14780" width="11.28515625" style="202" customWidth="1"/>
    <col min="14781" max="14781" width="27.140625" style="202" customWidth="1"/>
    <col min="14782" max="14782" width="13.7109375" style="202" customWidth="1"/>
    <col min="14783" max="14783" width="14.140625" style="202" customWidth="1"/>
    <col min="14784" max="14788" width="13.42578125" style="202" customWidth="1"/>
    <col min="14789" max="14789" width="9.140625" style="202"/>
    <col min="14790" max="14793" width="13.42578125" style="202" customWidth="1"/>
    <col min="14794" max="14794" width="9.140625" style="202"/>
    <col min="14795" max="14798" width="13.42578125" style="202" customWidth="1"/>
    <col min="14799" max="14799" width="9.140625" style="202"/>
    <col min="14800" max="14803" width="13.42578125" style="202" customWidth="1"/>
    <col min="14804" max="14804" width="9.140625" style="202"/>
    <col min="14805" max="14808" width="13.42578125" style="202" customWidth="1"/>
    <col min="14809" max="15035" width="9.140625" style="202"/>
    <col min="15036" max="15036" width="11.28515625" style="202" customWidth="1"/>
    <col min="15037" max="15037" width="27.140625" style="202" customWidth="1"/>
    <col min="15038" max="15038" width="13.7109375" style="202" customWidth="1"/>
    <col min="15039" max="15039" width="14.140625" style="202" customWidth="1"/>
    <col min="15040" max="15044" width="13.42578125" style="202" customWidth="1"/>
    <col min="15045" max="15045" width="9.140625" style="202"/>
    <col min="15046" max="15049" width="13.42578125" style="202" customWidth="1"/>
    <col min="15050" max="15050" width="9.140625" style="202"/>
    <col min="15051" max="15054" width="13.42578125" style="202" customWidth="1"/>
    <col min="15055" max="15055" width="9.140625" style="202"/>
    <col min="15056" max="15059" width="13.42578125" style="202" customWidth="1"/>
    <col min="15060" max="15060" width="9.140625" style="202"/>
    <col min="15061" max="15064" width="13.42578125" style="202" customWidth="1"/>
    <col min="15065" max="15291" width="9.140625" style="202"/>
    <col min="15292" max="15292" width="11.28515625" style="202" customWidth="1"/>
    <col min="15293" max="15293" width="27.140625" style="202" customWidth="1"/>
    <col min="15294" max="15294" width="13.7109375" style="202" customWidth="1"/>
    <col min="15295" max="15295" width="14.140625" style="202" customWidth="1"/>
    <col min="15296" max="15300" width="13.42578125" style="202" customWidth="1"/>
    <col min="15301" max="15301" width="9.140625" style="202"/>
    <col min="15302" max="15305" width="13.42578125" style="202" customWidth="1"/>
    <col min="15306" max="15306" width="9.140625" style="202"/>
    <col min="15307" max="15310" width="13.42578125" style="202" customWidth="1"/>
    <col min="15311" max="15311" width="9.140625" style="202"/>
    <col min="15312" max="15315" width="13.42578125" style="202" customWidth="1"/>
    <col min="15316" max="15316" width="9.140625" style="202"/>
    <col min="15317" max="15320" width="13.42578125" style="202" customWidth="1"/>
    <col min="15321" max="15547" width="9.140625" style="202"/>
    <col min="15548" max="15548" width="11.28515625" style="202" customWidth="1"/>
    <col min="15549" max="15549" width="27.140625" style="202" customWidth="1"/>
    <col min="15550" max="15550" width="13.7109375" style="202" customWidth="1"/>
    <col min="15551" max="15551" width="14.140625" style="202" customWidth="1"/>
    <col min="15552" max="15556" width="13.42578125" style="202" customWidth="1"/>
    <col min="15557" max="15557" width="9.140625" style="202"/>
    <col min="15558" max="15561" width="13.42578125" style="202" customWidth="1"/>
    <col min="15562" max="15562" width="9.140625" style="202"/>
    <col min="15563" max="15566" width="13.42578125" style="202" customWidth="1"/>
    <col min="15567" max="15567" width="9.140625" style="202"/>
    <col min="15568" max="15571" width="13.42578125" style="202" customWidth="1"/>
    <col min="15572" max="15572" width="9.140625" style="202"/>
    <col min="15573" max="15576" width="13.42578125" style="202" customWidth="1"/>
    <col min="15577" max="15803" width="9.140625" style="202"/>
    <col min="15804" max="15804" width="11.28515625" style="202" customWidth="1"/>
    <col min="15805" max="15805" width="27.140625" style="202" customWidth="1"/>
    <col min="15806" max="15806" width="13.7109375" style="202" customWidth="1"/>
    <col min="15807" max="15807" width="14.140625" style="202" customWidth="1"/>
    <col min="15808" max="15812" width="13.42578125" style="202" customWidth="1"/>
    <col min="15813" max="15813" width="9.140625" style="202"/>
    <col min="15814" max="15817" width="13.42578125" style="202" customWidth="1"/>
    <col min="15818" max="15818" width="9.140625" style="202"/>
    <col min="15819" max="15822" width="13.42578125" style="202" customWidth="1"/>
    <col min="15823" max="15823" width="9.140625" style="202"/>
    <col min="15824" max="15827" width="13.42578125" style="202" customWidth="1"/>
    <col min="15828" max="15828" width="9.140625" style="202"/>
    <col min="15829" max="15832" width="13.42578125" style="202" customWidth="1"/>
    <col min="15833" max="16059" width="9.140625" style="202"/>
    <col min="16060" max="16060" width="11.28515625" style="202" customWidth="1"/>
    <col min="16061" max="16061" width="27.140625" style="202" customWidth="1"/>
    <col min="16062" max="16062" width="13.7109375" style="202" customWidth="1"/>
    <col min="16063" max="16063" width="14.140625" style="202" customWidth="1"/>
    <col min="16064" max="16068" width="13.42578125" style="202" customWidth="1"/>
    <col min="16069" max="16069" width="9.140625" style="202"/>
    <col min="16070" max="16073" width="13.42578125" style="202" customWidth="1"/>
    <col min="16074" max="16074" width="9.140625" style="202"/>
    <col min="16075" max="16078" width="13.42578125" style="202" customWidth="1"/>
    <col min="16079" max="16079" width="9.140625" style="202"/>
    <col min="16080" max="16083" width="13.42578125" style="202" customWidth="1"/>
    <col min="16084" max="16084" width="9.140625" style="202"/>
    <col min="16085" max="16088" width="13.42578125" style="202" customWidth="1"/>
    <col min="16089" max="16384" width="9.140625" style="202"/>
  </cols>
  <sheetData>
    <row r="1" spans="1:11" ht="22.5" hidden="1" customHeight="1" outlineLevel="1" x14ac:dyDescent="0.3">
      <c r="A1" s="223"/>
      <c r="B1" s="201" t="s">
        <v>130</v>
      </c>
    </row>
    <row r="2" spans="1:11" ht="17.25" hidden="1" outlineLevel="1" thickBot="1" x14ac:dyDescent="0.35">
      <c r="A2" s="224" t="s">
        <v>93</v>
      </c>
      <c r="B2" s="201" t="s">
        <v>94</v>
      </c>
    </row>
    <row r="3" spans="1:11" ht="33" hidden="1" customHeight="1" outlineLevel="1" thickBot="1" x14ac:dyDescent="0.35">
      <c r="A3" s="224"/>
      <c r="F3" s="387" t="s">
        <v>95</v>
      </c>
      <c r="G3" s="389"/>
      <c r="I3" s="387" t="s">
        <v>96</v>
      </c>
      <c r="J3" s="389"/>
    </row>
    <row r="4" spans="1:11" ht="33" hidden="1" customHeight="1" outlineLevel="1" x14ac:dyDescent="0.3">
      <c r="A4" s="224"/>
      <c r="B4" s="390" t="s">
        <v>67</v>
      </c>
      <c r="C4" s="392" t="s">
        <v>98</v>
      </c>
      <c r="D4" s="225" t="s">
        <v>99</v>
      </c>
      <c r="E4" s="225"/>
      <c r="F4" s="394" t="s">
        <v>101</v>
      </c>
      <c r="G4" s="395"/>
      <c r="I4" s="390" t="s">
        <v>101</v>
      </c>
      <c r="J4" s="395"/>
    </row>
    <row r="5" spans="1:11" ht="17.25" hidden="1" outlineLevel="1" thickBot="1" x14ac:dyDescent="0.35">
      <c r="A5" s="224"/>
      <c r="B5" s="391"/>
      <c r="C5" s="393"/>
      <c r="D5" s="226" t="s">
        <v>102</v>
      </c>
      <c r="E5" s="226"/>
      <c r="F5" s="226" t="s">
        <v>65</v>
      </c>
      <c r="G5" s="227" t="s">
        <v>66</v>
      </c>
      <c r="I5" s="275" t="s">
        <v>65</v>
      </c>
      <c r="J5" s="227" t="s">
        <v>66</v>
      </c>
    </row>
    <row r="6" spans="1:11" hidden="1" outlineLevel="1" x14ac:dyDescent="0.3">
      <c r="A6" s="224"/>
      <c r="B6" s="203" t="s">
        <v>73</v>
      </c>
      <c r="C6" s="204" t="s">
        <v>63</v>
      </c>
      <c r="D6" s="228">
        <v>1000</v>
      </c>
      <c r="E6" s="228"/>
      <c r="F6" s="229">
        <f>'GS1000'!L$47</f>
        <v>11.11</v>
      </c>
      <c r="G6" s="230">
        <f>'GS1000'!M$47</f>
        <v>0.24300895392847705</v>
      </c>
      <c r="H6" s="272"/>
      <c r="I6" s="231">
        <f>'GS1000'!R$47</f>
        <v>-2.8634299773348744</v>
      </c>
      <c r="J6" s="230">
        <f>'GS1000'!S$47</f>
        <v>-5.0387235015521697E-2</v>
      </c>
      <c r="K6" s="272"/>
    </row>
    <row r="7" spans="1:11" hidden="1" outlineLevel="1" x14ac:dyDescent="0.3">
      <c r="A7" s="224"/>
      <c r="B7" s="209" t="s">
        <v>73</v>
      </c>
      <c r="C7" s="210" t="s">
        <v>63</v>
      </c>
      <c r="D7" s="232">
        <v>2000</v>
      </c>
      <c r="E7" s="232"/>
      <c r="F7" s="233">
        <f>'Summary Tables'!G7</f>
        <v>12.810000000000002</v>
      </c>
      <c r="G7" s="234">
        <f>'Summary Tables'!I7</f>
        <v>0.20054179159434016</v>
      </c>
      <c r="H7" s="272"/>
      <c r="I7" s="235">
        <f>'Summary Tables'!K7</f>
        <v>1.2049860226651106</v>
      </c>
      <c r="J7" s="234">
        <f>'Summary Tables'!L7</f>
        <v>1.5713049815315544E-2</v>
      </c>
      <c r="K7" s="272"/>
    </row>
    <row r="8" spans="1:11" hidden="1" outlineLevel="1" x14ac:dyDescent="0.3">
      <c r="A8" s="224"/>
      <c r="B8" s="209" t="s">
        <v>73</v>
      </c>
      <c r="C8" s="210" t="s">
        <v>63</v>
      </c>
      <c r="D8" s="238">
        <v>3000</v>
      </c>
      <c r="E8" s="232"/>
      <c r="F8" s="233">
        <f>'GS3000'!L$47</f>
        <v>14.510000000000005</v>
      </c>
      <c r="G8" s="234">
        <f>'GS3000'!M$47</f>
        <v>0.17687477509720198</v>
      </c>
      <c r="H8" s="272"/>
      <c r="I8" s="235">
        <f>'GS3000'!R$47</f>
        <v>5.2734020226651097</v>
      </c>
      <c r="J8" s="234">
        <f>'GS3000'!S$47</f>
        <v>5.4620933134336636E-2</v>
      </c>
      <c r="K8" s="272"/>
    </row>
    <row r="9" spans="1:11" hidden="1" outlineLevel="1" x14ac:dyDescent="0.3">
      <c r="A9" s="224"/>
      <c r="B9" s="209" t="s">
        <v>73</v>
      </c>
      <c r="C9" s="210" t="s">
        <v>63</v>
      </c>
      <c r="D9" s="238">
        <v>5000</v>
      </c>
      <c r="E9" s="232"/>
      <c r="F9" s="233">
        <f>'GS5000'!L$47</f>
        <v>17.909999999999997</v>
      </c>
      <c r="G9" s="234">
        <f>'GS5000'!M$47</f>
        <v>0.15132772972918165</v>
      </c>
      <c r="I9" s="235">
        <f>'GS5000'!R$47</f>
        <v>13.410234022665151</v>
      </c>
      <c r="J9" s="234">
        <f>'GS5000'!S$47</f>
        <v>9.8414779298362218E-2</v>
      </c>
    </row>
    <row r="10" spans="1:11" hidden="1" outlineLevel="1" x14ac:dyDescent="0.3">
      <c r="A10" s="224"/>
      <c r="B10" s="209" t="s">
        <v>73</v>
      </c>
      <c r="C10" s="210" t="s">
        <v>63</v>
      </c>
      <c r="D10" s="238">
        <v>10000</v>
      </c>
      <c r="E10" s="232"/>
      <c r="F10" s="233">
        <f>'GS10000'!L$47</f>
        <v>26.409999999999997</v>
      </c>
      <c r="G10" s="234">
        <f>'GS10000'!M$47</f>
        <v>0.12627614934724649</v>
      </c>
      <c r="I10" s="235">
        <f>'GS10000'!R$47</f>
        <v>33.752314022665132</v>
      </c>
      <c r="J10" s="234">
        <f>'GS10000'!S$47</f>
        <v>0.14328858517281384</v>
      </c>
    </row>
    <row r="11" spans="1:11" hidden="1" outlineLevel="1" x14ac:dyDescent="0.3">
      <c r="A11" s="224"/>
      <c r="B11" s="209" t="s">
        <v>73</v>
      </c>
      <c r="C11" s="210" t="s">
        <v>63</v>
      </c>
      <c r="D11" s="238">
        <v>15000</v>
      </c>
      <c r="E11" s="232"/>
      <c r="F11" s="233">
        <f>'GS15000'!L$47</f>
        <v>34.909999999999968</v>
      </c>
      <c r="G11" s="234">
        <f>'GS15000'!M$47</f>
        <v>0.1163910311891955</v>
      </c>
      <c r="I11" s="235">
        <f>'GS15000'!R$47</f>
        <v>54.094394022664915</v>
      </c>
      <c r="J11" s="234">
        <f>'GS15000'!S$47</f>
        <v>0.1615494889091649</v>
      </c>
    </row>
    <row r="12" spans="1:11" ht="17.25" hidden="1" outlineLevel="1" thickBot="1" x14ac:dyDescent="0.35">
      <c r="A12" s="224"/>
      <c r="B12" s="216"/>
      <c r="C12" s="217"/>
      <c r="D12" s="240"/>
      <c r="E12" s="240"/>
      <c r="F12" s="241"/>
      <c r="G12" s="242"/>
      <c r="I12" s="243"/>
      <c r="J12" s="242"/>
    </row>
    <row r="13" spans="1:11" hidden="1" outlineLevel="1" x14ac:dyDescent="0.3">
      <c r="A13" s="224"/>
    </row>
    <row r="14" spans="1:11" hidden="1" outlineLevel="1" x14ac:dyDescent="0.3">
      <c r="A14" s="224" t="s">
        <v>106</v>
      </c>
      <c r="B14" s="201" t="s">
        <v>107</v>
      </c>
    </row>
    <row r="15" spans="1:11" ht="17.25" hidden="1" outlineLevel="1" thickBot="1" x14ac:dyDescent="0.35">
      <c r="A15" s="224"/>
      <c r="F15" s="374"/>
      <c r="G15" s="374"/>
    </row>
    <row r="16" spans="1:11" ht="33" hidden="1" customHeight="1" outlineLevel="1" x14ac:dyDescent="0.3">
      <c r="A16" s="224"/>
      <c r="B16" s="377" t="s">
        <v>97</v>
      </c>
      <c r="C16" s="379" t="s">
        <v>98</v>
      </c>
      <c r="D16" s="225" t="s">
        <v>99</v>
      </c>
      <c r="E16" s="225"/>
      <c r="F16" s="381" t="s">
        <v>108</v>
      </c>
      <c r="G16" s="373"/>
      <c r="I16" s="372" t="s">
        <v>108</v>
      </c>
      <c r="J16" s="373"/>
    </row>
    <row r="17" spans="1:11" ht="17.25" hidden="1" outlineLevel="1" thickBot="1" x14ac:dyDescent="0.35">
      <c r="A17" s="224"/>
      <c r="B17" s="378"/>
      <c r="C17" s="380"/>
      <c r="D17" s="226" t="s">
        <v>102</v>
      </c>
      <c r="E17" s="226"/>
      <c r="F17" s="226" t="s">
        <v>65</v>
      </c>
      <c r="G17" s="227" t="s">
        <v>66</v>
      </c>
      <c r="I17" s="275" t="s">
        <v>65</v>
      </c>
      <c r="J17" s="227" t="s">
        <v>66</v>
      </c>
    </row>
    <row r="18" spans="1:11" hidden="1" outlineLevel="1" x14ac:dyDescent="0.3">
      <c r="A18" s="224"/>
      <c r="B18" s="203" t="str">
        <f t="shared" ref="B18:D23" si="0">B6</f>
        <v>GS&lt;50</v>
      </c>
      <c r="C18" s="204" t="str">
        <f t="shared" si="0"/>
        <v>kWh</v>
      </c>
      <c r="D18" s="205">
        <f t="shared" si="0"/>
        <v>1000</v>
      </c>
      <c r="E18" s="205"/>
      <c r="F18" s="206">
        <f>'GS1000'!L$50</f>
        <v>11.110000000000007</v>
      </c>
      <c r="G18" s="207">
        <f>'GS1000'!M$50</f>
        <v>0.19743957655875094</v>
      </c>
      <c r="H18" s="272"/>
      <c r="I18" s="208">
        <f>'GS1000'!R$50</f>
        <v>-2.4241899773348763</v>
      </c>
      <c r="J18" s="207">
        <f>'GS1000'!S$50</f>
        <v>-3.5977683375114186E-2</v>
      </c>
      <c r="K18" s="272"/>
    </row>
    <row r="19" spans="1:11" hidden="1" outlineLevel="1" x14ac:dyDescent="0.3">
      <c r="A19" s="224"/>
      <c r="B19" s="209" t="str">
        <f t="shared" si="0"/>
        <v>GS&lt;50</v>
      </c>
      <c r="C19" s="210" t="str">
        <f t="shared" si="0"/>
        <v>kWh</v>
      </c>
      <c r="D19" s="211">
        <f t="shared" si="0"/>
        <v>2000</v>
      </c>
      <c r="E19" s="211"/>
      <c r="F19" s="212">
        <f>'Summary Tables'!G19</f>
        <v>12.810000000000002</v>
      </c>
      <c r="G19" s="213">
        <f>'Summary Tables'!I19</f>
        <v>0.15074000279592703</v>
      </c>
      <c r="H19" s="272"/>
      <c r="I19" s="214">
        <f>'Summary Tables'!K19</f>
        <v>2.0834660226651209</v>
      </c>
      <c r="J19" s="213">
        <f>'Summary Tables'!L19</f>
        <v>2.1305346462847014E-2</v>
      </c>
      <c r="K19" s="272"/>
    </row>
    <row r="20" spans="1:11" hidden="1" outlineLevel="1" x14ac:dyDescent="0.3">
      <c r="A20" s="224"/>
      <c r="B20" s="209" t="str">
        <f t="shared" si="0"/>
        <v>GS&lt;50</v>
      </c>
      <c r="C20" s="210" t="str">
        <f t="shared" si="0"/>
        <v>kWh</v>
      </c>
      <c r="D20" s="215">
        <f t="shared" si="0"/>
        <v>3000</v>
      </c>
      <c r="E20" s="211"/>
      <c r="F20" s="212">
        <f>'GS3000'!L$50</f>
        <v>14.509999999999977</v>
      </c>
      <c r="G20" s="213">
        <f>'GS3000'!M$50</f>
        <v>0.12762647995261528</v>
      </c>
      <c r="H20" s="272"/>
      <c r="I20" s="214">
        <f>'GS3000'!R$50</f>
        <v>6.5911220226651324</v>
      </c>
      <c r="J20" s="213">
        <f>'GS3000'!S$50</f>
        <v>5.1412351112206441E-2</v>
      </c>
      <c r="K20" s="272"/>
    </row>
    <row r="21" spans="1:11" hidden="1" outlineLevel="1" x14ac:dyDescent="0.3">
      <c r="A21" s="224"/>
      <c r="B21" s="209" t="str">
        <f t="shared" si="0"/>
        <v>GS&lt;50</v>
      </c>
      <c r="C21" s="210" t="str">
        <f t="shared" si="0"/>
        <v>kWh</v>
      </c>
      <c r="D21" s="215">
        <f t="shared" si="0"/>
        <v>5000</v>
      </c>
      <c r="E21" s="211"/>
      <c r="F21" s="212">
        <f>'GS5000'!L$50</f>
        <v>17.909999999999997</v>
      </c>
      <c r="G21" s="213">
        <f>'GS5000'!M$50</f>
        <v>0.1046683486069642</v>
      </c>
      <c r="I21" s="214">
        <f>'GS5000'!R$50</f>
        <v>15.606434022665155</v>
      </c>
      <c r="J21" s="213">
        <f>'GS5000'!S$50</f>
        <v>8.2564158029652418E-2</v>
      </c>
    </row>
    <row r="22" spans="1:11" hidden="1" outlineLevel="1" x14ac:dyDescent="0.3">
      <c r="A22" s="224"/>
      <c r="B22" s="209" t="str">
        <f t="shared" si="0"/>
        <v>GS&lt;50</v>
      </c>
      <c r="C22" s="210" t="str">
        <f t="shared" si="0"/>
        <v>kWh</v>
      </c>
      <c r="D22" s="215">
        <f t="shared" si="0"/>
        <v>10000</v>
      </c>
      <c r="E22" s="211"/>
      <c r="F22" s="212">
        <f>'GS10000'!L$50</f>
        <v>26.409999999999968</v>
      </c>
      <c r="G22" s="213">
        <f>'GS10000'!M$50</f>
        <v>8.3930849370025928E-2</v>
      </c>
      <c r="I22" s="214">
        <f>'GS10000'!R$50</f>
        <v>38.144714022665141</v>
      </c>
      <c r="J22" s="213">
        <f>'GS10000'!S$50</f>
        <v>0.11183712739783924</v>
      </c>
    </row>
    <row r="23" spans="1:11" hidden="1" outlineLevel="1" x14ac:dyDescent="0.3">
      <c r="A23" s="224"/>
      <c r="B23" s="209" t="str">
        <f t="shared" si="0"/>
        <v>GS&lt;50</v>
      </c>
      <c r="C23" s="210" t="str">
        <f t="shared" si="0"/>
        <v>kWh</v>
      </c>
      <c r="D23" s="215">
        <f t="shared" si="0"/>
        <v>15000</v>
      </c>
      <c r="E23" s="211"/>
      <c r="F23" s="212">
        <f>IF($A23&lt;&gt;"",VLOOKUP($A23,[4]Rates!$A$1:$R$65536,12,FALSE),0)</f>
        <v>0</v>
      </c>
      <c r="G23" s="213">
        <f>'GS15000'!M$50</f>
        <v>7.6186826422577764E-2</v>
      </c>
      <c r="I23" s="214">
        <f>'GS15000'!R$50</f>
        <v>60.6829940226649</v>
      </c>
      <c r="J23" s="213">
        <f>'GS15000'!S$50</f>
        <v>0.12305786135799635</v>
      </c>
    </row>
    <row r="24" spans="1:11" ht="17.25" hidden="1" outlineLevel="1" thickBot="1" x14ac:dyDescent="0.35">
      <c r="A24" s="224"/>
      <c r="B24" s="216"/>
      <c r="C24" s="217"/>
      <c r="D24" s="218"/>
      <c r="E24" s="218"/>
      <c r="F24" s="219"/>
      <c r="G24" s="220"/>
      <c r="I24" s="221"/>
      <c r="J24" s="220"/>
    </row>
    <row r="25" spans="1:11" hidden="1" outlineLevel="1" x14ac:dyDescent="0.3">
      <c r="A25" s="224"/>
    </row>
    <row r="26" spans="1:11" hidden="1" outlineLevel="1" x14ac:dyDescent="0.3">
      <c r="A26" s="224"/>
    </row>
    <row r="27" spans="1:11" hidden="1" outlineLevel="1" x14ac:dyDescent="0.3">
      <c r="A27" s="224" t="s">
        <v>109</v>
      </c>
      <c r="B27" s="201" t="s">
        <v>110</v>
      </c>
    </row>
    <row r="28" spans="1:11" ht="17.25" hidden="1" outlineLevel="1" thickBot="1" x14ac:dyDescent="0.35">
      <c r="F28" s="374">
        <v>2016</v>
      </c>
      <c r="G28" s="374"/>
      <c r="I28" s="409">
        <v>2017</v>
      </c>
      <c r="J28" s="409"/>
    </row>
    <row r="29" spans="1:11" ht="33" hidden="1" customHeight="1" outlineLevel="1" x14ac:dyDescent="0.3">
      <c r="B29" s="377" t="s">
        <v>97</v>
      </c>
      <c r="C29" s="379" t="s">
        <v>98</v>
      </c>
      <c r="D29" s="225" t="s">
        <v>99</v>
      </c>
      <c r="E29" s="225"/>
      <c r="F29" s="381" t="s">
        <v>111</v>
      </c>
      <c r="G29" s="373"/>
      <c r="I29" s="372" t="s">
        <v>111</v>
      </c>
      <c r="J29" s="373"/>
    </row>
    <row r="30" spans="1:11" ht="17.25" hidden="1" outlineLevel="1" thickBot="1" x14ac:dyDescent="0.35">
      <c r="B30" s="378"/>
      <c r="C30" s="380"/>
      <c r="D30" s="226" t="s">
        <v>102</v>
      </c>
      <c r="E30" s="226"/>
      <c r="F30" s="226" t="s">
        <v>65</v>
      </c>
      <c r="G30" s="227" t="s">
        <v>66</v>
      </c>
      <c r="I30" s="275" t="s">
        <v>65</v>
      </c>
      <c r="J30" s="227" t="s">
        <v>66</v>
      </c>
    </row>
    <row r="31" spans="1:11" hidden="1" outlineLevel="1" x14ac:dyDescent="0.3">
      <c r="B31" s="203" t="str">
        <f>B18</f>
        <v>GS&lt;50</v>
      </c>
      <c r="C31" s="204" t="str">
        <f>C18</f>
        <v>kWh</v>
      </c>
      <c r="D31" s="205">
        <f>D18</f>
        <v>1000</v>
      </c>
      <c r="E31" s="205"/>
      <c r="F31" s="206">
        <f>'GS1000'!L$65</f>
        <v>12.554300000000012</v>
      </c>
      <c r="G31" s="207">
        <f>'GS1000'!M$65</f>
        <v>6.120219735169119E-2</v>
      </c>
      <c r="I31" s="208">
        <f>'GS1000'!R$65</f>
        <v>-2.7260458743884612</v>
      </c>
      <c r="J31" s="207">
        <f>'GS1000'!S$65</f>
        <v>-1.2523033199044045E-2</v>
      </c>
    </row>
    <row r="32" spans="1:11" hidden="1" outlineLevel="1" x14ac:dyDescent="0.3">
      <c r="B32" s="209" t="str">
        <f t="shared" ref="B32:D36" si="1">B19</f>
        <v>GS&lt;50</v>
      </c>
      <c r="C32" s="210" t="str">
        <f t="shared" si="1"/>
        <v>kWh</v>
      </c>
      <c r="D32" s="211">
        <f t="shared" si="1"/>
        <v>2000</v>
      </c>
      <c r="E32" s="211"/>
      <c r="F32" s="212">
        <f>'Summary Tables'!G32</f>
        <v>14.475299999999947</v>
      </c>
      <c r="G32" s="213">
        <f>'Summary Tables'!I32</f>
        <v>3.8210420760267323E-2</v>
      </c>
      <c r="I32" s="214">
        <f>'Summary Tables'!K32</f>
        <v>2.3808942056115256</v>
      </c>
      <c r="J32" s="213">
        <f>'Summary Tables'!L32</f>
        <v>6.053533654236146E-3</v>
      </c>
    </row>
    <row r="33" spans="1:10" hidden="1" outlineLevel="1" x14ac:dyDescent="0.3">
      <c r="A33" s="202"/>
      <c r="B33" s="209" t="str">
        <f t="shared" si="1"/>
        <v>GS&lt;50</v>
      </c>
      <c r="C33" s="210" t="str">
        <f t="shared" si="1"/>
        <v>kWh</v>
      </c>
      <c r="D33" s="211">
        <f t="shared" si="1"/>
        <v>3000</v>
      </c>
      <c r="E33" s="211"/>
      <c r="F33" s="212">
        <f>'GS3000'!L$65</f>
        <v>16.396299999999997</v>
      </c>
      <c r="G33" s="213">
        <f>'GS3000'!M$65</f>
        <v>2.9674725941839699E-2</v>
      </c>
      <c r="I33" s="214">
        <f>'GS3000'!R$65</f>
        <v>7.4878342856114841</v>
      </c>
      <c r="J33" s="213">
        <f>'GS3000'!S$65</f>
        <v>1.3161246779210739E-2</v>
      </c>
    </row>
    <row r="34" spans="1:10" hidden="1" outlineLevel="1" x14ac:dyDescent="0.3">
      <c r="A34" s="202" t="s">
        <v>131</v>
      </c>
      <c r="B34" s="209" t="str">
        <f t="shared" si="1"/>
        <v>GS&lt;50</v>
      </c>
      <c r="C34" s="210" t="str">
        <f t="shared" si="1"/>
        <v>kWh</v>
      </c>
      <c r="D34" s="211">
        <f t="shared" si="1"/>
        <v>5000</v>
      </c>
      <c r="E34" s="211"/>
      <c r="F34" s="212">
        <f>'GS5000'!L$65</f>
        <v>20.238299999999981</v>
      </c>
      <c r="G34" s="213">
        <f>'GS5000'!M$65</f>
        <v>2.2488497246665833E-2</v>
      </c>
      <c r="I34" s="214">
        <f>'GS5000'!R$65</f>
        <v>17.701714445611515</v>
      </c>
      <c r="J34" s="213">
        <f>'GS5000'!S$65</f>
        <v>1.9237264034860445E-2</v>
      </c>
    </row>
    <row r="35" spans="1:10" hidden="1" outlineLevel="1" x14ac:dyDescent="0.3">
      <c r="A35" s="202" t="s">
        <v>131</v>
      </c>
      <c r="B35" s="209" t="str">
        <f t="shared" si="1"/>
        <v>GS&lt;50</v>
      </c>
      <c r="C35" s="210" t="str">
        <f t="shared" si="1"/>
        <v>kWh</v>
      </c>
      <c r="D35" s="211">
        <f t="shared" si="1"/>
        <v>10000</v>
      </c>
      <c r="E35" s="211"/>
      <c r="F35" s="212">
        <f>'GS10000'!L$65</f>
        <v>29.843299999999772</v>
      </c>
      <c r="G35" s="213">
        <f>'GS10000'!M$65</f>
        <v>1.687535299423765E-2</v>
      </c>
      <c r="I35" s="214">
        <f>'GS10000'!R$65</f>
        <v>43.236414845611534</v>
      </c>
      <c r="J35" s="213">
        <f>'GS10000'!S$65</f>
        <v>2.4042962302566386E-2</v>
      </c>
    </row>
    <row r="36" spans="1:10" hidden="1" outlineLevel="1" x14ac:dyDescent="0.3">
      <c r="A36" s="202" t="s">
        <v>131</v>
      </c>
      <c r="B36" s="209" t="str">
        <f t="shared" si="1"/>
        <v>GS&lt;50</v>
      </c>
      <c r="C36" s="210" t="str">
        <f t="shared" si="1"/>
        <v>kWh</v>
      </c>
      <c r="D36" s="211">
        <f t="shared" si="1"/>
        <v>15000</v>
      </c>
      <c r="E36" s="211"/>
      <c r="F36" s="212">
        <f>'GS15000'!L$65</f>
        <v>39.448299999999563</v>
      </c>
      <c r="G36" s="213">
        <f>'GS15000'!M$65</f>
        <v>1.4959709593940992E-2</v>
      </c>
      <c r="I36" s="214">
        <f>'GS15000'!R$65</f>
        <v>68.771115245611327</v>
      </c>
      <c r="J36" s="213">
        <f>'GS15000'!S$65</f>
        <v>2.5695207858363909E-2</v>
      </c>
    </row>
    <row r="37" spans="1:10" ht="17.25" hidden="1" outlineLevel="1" thickBot="1" x14ac:dyDescent="0.35">
      <c r="A37" s="202"/>
      <c r="B37" s="216"/>
      <c r="C37" s="217"/>
      <c r="D37" s="218"/>
      <c r="E37" s="218"/>
      <c r="F37" s="219"/>
      <c r="G37" s="220"/>
      <c r="I37" s="221"/>
      <c r="J37" s="220"/>
    </row>
    <row r="38" spans="1:10" hidden="1" outlineLevel="1" x14ac:dyDescent="0.3"/>
    <row r="39" spans="1:10" collapsed="1" x14ac:dyDescent="0.3"/>
    <row r="40" spans="1:10" ht="17.25" thickBot="1" x14ac:dyDescent="0.35">
      <c r="A40" s="202"/>
      <c r="B40" s="201" t="s">
        <v>157</v>
      </c>
    </row>
    <row r="41" spans="1:10" ht="33" x14ac:dyDescent="0.3">
      <c r="A41" s="202"/>
      <c r="B41" s="375" t="s">
        <v>97</v>
      </c>
      <c r="C41" s="266" t="s">
        <v>118</v>
      </c>
      <c r="D41" s="266" t="s">
        <v>124</v>
      </c>
      <c r="E41" s="266"/>
      <c r="F41" s="383" t="s">
        <v>117</v>
      </c>
      <c r="G41" s="385"/>
    </row>
    <row r="42" spans="1:10" ht="27" customHeight="1" thickBot="1" x14ac:dyDescent="0.35">
      <c r="A42" s="202"/>
      <c r="B42" s="376"/>
      <c r="C42" s="267" t="s">
        <v>119</v>
      </c>
      <c r="D42" s="267" t="s">
        <v>120</v>
      </c>
      <c r="E42" s="267"/>
      <c r="F42" s="320">
        <v>2016</v>
      </c>
      <c r="G42" s="255">
        <v>2017</v>
      </c>
    </row>
    <row r="43" spans="1:10" x14ac:dyDescent="0.3">
      <c r="A43" s="202"/>
      <c r="B43" s="209" t="s">
        <v>73</v>
      </c>
      <c r="C43" s="263" t="s">
        <v>63</v>
      </c>
      <c r="D43" s="278">
        <f t="shared" ref="D43" si="2">D31</f>
        <v>1000</v>
      </c>
      <c r="E43" s="268"/>
      <c r="F43" s="270">
        <f t="shared" ref="F43:F48" si="3">G6</f>
        <v>0.24300895392847705</v>
      </c>
      <c r="G43" s="258">
        <f t="shared" ref="G43:G48" si="4">J6</f>
        <v>-5.0387235015521697E-2</v>
      </c>
    </row>
    <row r="44" spans="1:10" x14ac:dyDescent="0.3">
      <c r="A44" s="202"/>
      <c r="B44" s="326" t="s">
        <v>73</v>
      </c>
      <c r="C44" s="327" t="s">
        <v>63</v>
      </c>
      <c r="D44" s="328">
        <f t="shared" ref="D44" si="5">D32</f>
        <v>2000</v>
      </c>
      <c r="E44" s="329"/>
      <c r="F44" s="330">
        <f t="shared" si="3"/>
        <v>0.20054179159434016</v>
      </c>
      <c r="G44" s="331">
        <f t="shared" si="4"/>
        <v>1.5713049815315544E-2</v>
      </c>
    </row>
    <row r="45" spans="1:10" x14ac:dyDescent="0.3">
      <c r="A45" s="202"/>
      <c r="B45" s="209" t="s">
        <v>73</v>
      </c>
      <c r="C45" s="264" t="s">
        <v>63</v>
      </c>
      <c r="D45" s="279">
        <f t="shared" ref="D45" si="6">D33</f>
        <v>3000</v>
      </c>
      <c r="E45" s="269"/>
      <c r="F45" s="271">
        <f t="shared" si="3"/>
        <v>0.17687477509720198</v>
      </c>
      <c r="G45" s="260">
        <f t="shared" si="4"/>
        <v>5.4620933134336636E-2</v>
      </c>
    </row>
    <row r="46" spans="1:10" x14ac:dyDescent="0.3">
      <c r="A46" s="202"/>
      <c r="B46" s="209" t="s">
        <v>73</v>
      </c>
      <c r="C46" s="264" t="s">
        <v>63</v>
      </c>
      <c r="D46" s="279">
        <f t="shared" ref="D46" si="7">D34</f>
        <v>5000</v>
      </c>
      <c r="E46" s="269"/>
      <c r="F46" s="271">
        <f t="shared" si="3"/>
        <v>0.15132772972918165</v>
      </c>
      <c r="G46" s="260">
        <f t="shared" si="4"/>
        <v>9.8414779298362218E-2</v>
      </c>
    </row>
    <row r="47" spans="1:10" x14ac:dyDescent="0.3">
      <c r="A47" s="202"/>
      <c r="B47" s="209" t="s">
        <v>73</v>
      </c>
      <c r="C47" s="264" t="s">
        <v>63</v>
      </c>
      <c r="D47" s="279">
        <f t="shared" ref="D47" si="8">D35</f>
        <v>10000</v>
      </c>
      <c r="E47" s="269"/>
      <c r="F47" s="271">
        <f t="shared" si="3"/>
        <v>0.12627614934724649</v>
      </c>
      <c r="G47" s="260">
        <f t="shared" si="4"/>
        <v>0.14328858517281384</v>
      </c>
    </row>
    <row r="48" spans="1:10" ht="17.25" thickBot="1" x14ac:dyDescent="0.35">
      <c r="A48" s="202"/>
      <c r="B48" s="209" t="s">
        <v>73</v>
      </c>
      <c r="C48" s="264" t="s">
        <v>63</v>
      </c>
      <c r="D48" s="279">
        <f t="shared" ref="D48" si="9">D36</f>
        <v>15000</v>
      </c>
      <c r="E48" s="269"/>
      <c r="F48" s="271">
        <f t="shared" si="3"/>
        <v>0.1163910311891955</v>
      </c>
      <c r="G48" s="260">
        <f t="shared" si="4"/>
        <v>0.1615494889091649</v>
      </c>
    </row>
    <row r="49" spans="1:7" ht="17.25" hidden="1" outlineLevel="1" thickBot="1" x14ac:dyDescent="0.35">
      <c r="A49" s="202"/>
      <c r="B49" s="209"/>
      <c r="C49" s="264"/>
      <c r="D49" s="269"/>
      <c r="E49" s="269"/>
      <c r="F49" s="271"/>
      <c r="G49" s="260"/>
    </row>
    <row r="50" spans="1:7" ht="17.25" collapsed="1" thickBot="1" x14ac:dyDescent="0.35">
      <c r="A50" s="202"/>
      <c r="B50" s="256" t="s">
        <v>116</v>
      </c>
      <c r="C50" s="265"/>
      <c r="D50" s="265"/>
      <c r="E50" s="265"/>
      <c r="F50" s="280">
        <f>AVERAGE(F43:F48)</f>
        <v>0.1690700718142738</v>
      </c>
      <c r="G50" s="262">
        <f t="shared" ref="G50" si="10">AVERAGE(G43:G48)</f>
        <v>7.0533266885745238E-2</v>
      </c>
    </row>
    <row r="52" spans="1:7" ht="17.25" thickBot="1" x14ac:dyDescent="0.35">
      <c r="A52" s="202"/>
    </row>
    <row r="53" spans="1:7" ht="33" x14ac:dyDescent="0.3">
      <c r="A53" s="202"/>
      <c r="B53" s="375" t="s">
        <v>97</v>
      </c>
      <c r="C53" s="266" t="s">
        <v>118</v>
      </c>
      <c r="D53" s="266" t="s">
        <v>124</v>
      </c>
      <c r="E53" s="266"/>
      <c r="F53" s="383" t="s">
        <v>110</v>
      </c>
      <c r="G53" s="385"/>
    </row>
    <row r="54" spans="1:7" ht="17.25" thickBot="1" x14ac:dyDescent="0.35">
      <c r="A54" s="202"/>
      <c r="B54" s="376"/>
      <c r="C54" s="267" t="s">
        <v>119</v>
      </c>
      <c r="D54" s="267" t="s">
        <v>120</v>
      </c>
      <c r="E54" s="267"/>
      <c r="F54" s="320">
        <v>2016</v>
      </c>
      <c r="G54" s="255">
        <v>2017</v>
      </c>
    </row>
    <row r="55" spans="1:7" x14ac:dyDescent="0.3">
      <c r="A55" s="202"/>
      <c r="B55" s="209" t="s">
        <v>73</v>
      </c>
      <c r="C55" s="263" t="s">
        <v>63</v>
      </c>
      <c r="D55" s="278">
        <f t="shared" ref="D55" si="11">D43</f>
        <v>1000</v>
      </c>
      <c r="E55" s="268"/>
      <c r="F55" s="270">
        <f>G31</f>
        <v>6.120219735169119E-2</v>
      </c>
      <c r="G55" s="258">
        <f>J31</f>
        <v>-1.2523033199044045E-2</v>
      </c>
    </row>
    <row r="56" spans="1:7" x14ac:dyDescent="0.3">
      <c r="A56" s="202"/>
      <c r="B56" s="326" t="s">
        <v>73</v>
      </c>
      <c r="C56" s="327" t="s">
        <v>63</v>
      </c>
      <c r="D56" s="328">
        <f t="shared" ref="D56" si="12">D44</f>
        <v>2000</v>
      </c>
      <c r="E56" s="329"/>
      <c r="F56" s="330">
        <f t="shared" ref="F56:F60" si="13">G32</f>
        <v>3.8210420760267323E-2</v>
      </c>
      <c r="G56" s="331">
        <f t="shared" ref="G56:G60" si="14">J32</f>
        <v>6.053533654236146E-3</v>
      </c>
    </row>
    <row r="57" spans="1:7" x14ac:dyDescent="0.3">
      <c r="A57" s="202"/>
      <c r="B57" s="209" t="s">
        <v>73</v>
      </c>
      <c r="C57" s="264" t="s">
        <v>63</v>
      </c>
      <c r="D57" s="279">
        <f t="shared" ref="D57" si="15">D45</f>
        <v>3000</v>
      </c>
      <c r="E57" s="269"/>
      <c r="F57" s="271">
        <f t="shared" si="13"/>
        <v>2.9674725941839699E-2</v>
      </c>
      <c r="G57" s="260">
        <f t="shared" si="14"/>
        <v>1.3161246779210739E-2</v>
      </c>
    </row>
    <row r="58" spans="1:7" x14ac:dyDescent="0.3">
      <c r="A58" s="202"/>
      <c r="B58" s="209" t="s">
        <v>73</v>
      </c>
      <c r="C58" s="264" t="s">
        <v>63</v>
      </c>
      <c r="D58" s="279">
        <f t="shared" ref="D58" si="16">D46</f>
        <v>5000</v>
      </c>
      <c r="E58" s="269"/>
      <c r="F58" s="271">
        <f t="shared" si="13"/>
        <v>2.2488497246665833E-2</v>
      </c>
      <c r="G58" s="260">
        <f t="shared" si="14"/>
        <v>1.9237264034860445E-2</v>
      </c>
    </row>
    <row r="59" spans="1:7" x14ac:dyDescent="0.3">
      <c r="A59" s="202"/>
      <c r="B59" s="209" t="s">
        <v>73</v>
      </c>
      <c r="C59" s="264" t="s">
        <v>63</v>
      </c>
      <c r="D59" s="279">
        <f t="shared" ref="D59" si="17">D47</f>
        <v>10000</v>
      </c>
      <c r="E59" s="269"/>
      <c r="F59" s="271">
        <f t="shared" si="13"/>
        <v>1.687535299423765E-2</v>
      </c>
      <c r="G59" s="260">
        <f t="shared" si="14"/>
        <v>2.4042962302566386E-2</v>
      </c>
    </row>
    <row r="60" spans="1:7" x14ac:dyDescent="0.3">
      <c r="A60" s="202"/>
      <c r="B60" s="209" t="s">
        <v>73</v>
      </c>
      <c r="C60" s="264" t="s">
        <v>63</v>
      </c>
      <c r="D60" s="279">
        <f t="shared" ref="D60" si="18">D48</f>
        <v>15000</v>
      </c>
      <c r="E60" s="269"/>
      <c r="F60" s="271">
        <f t="shared" si="13"/>
        <v>1.4959709593940992E-2</v>
      </c>
      <c r="G60" s="260">
        <f t="shared" si="14"/>
        <v>2.5695207858363909E-2</v>
      </c>
    </row>
    <row r="61" spans="1:7" ht="17.25" thickBot="1" x14ac:dyDescent="0.35">
      <c r="A61" s="202"/>
      <c r="B61" s="209"/>
      <c r="C61" s="264"/>
      <c r="D61" s="269"/>
      <c r="E61" s="269"/>
      <c r="F61" s="271"/>
      <c r="G61" s="260"/>
    </row>
    <row r="62" spans="1:7" ht="17.25" thickBot="1" x14ac:dyDescent="0.35">
      <c r="A62" s="202"/>
      <c r="B62" s="256" t="s">
        <v>116</v>
      </c>
      <c r="C62" s="265"/>
      <c r="D62" s="265"/>
      <c r="E62" s="265"/>
      <c r="F62" s="280">
        <f>AVERAGE(F55:F61)</f>
        <v>3.0568483981440447E-2</v>
      </c>
      <c r="G62" s="262">
        <f t="shared" ref="G62" si="19">AVERAGE(G55:G61)</f>
        <v>1.2611196905032263E-2</v>
      </c>
    </row>
  </sheetData>
  <mergeCells count="21">
    <mergeCell ref="F28:G28"/>
    <mergeCell ref="I28:J28"/>
    <mergeCell ref="B41:B42"/>
    <mergeCell ref="B53:B54"/>
    <mergeCell ref="B29:B30"/>
    <mergeCell ref="C29:C30"/>
    <mergeCell ref="F29:G29"/>
    <mergeCell ref="I29:J29"/>
    <mergeCell ref="F41:G41"/>
    <mergeCell ref="F53:G53"/>
    <mergeCell ref="F3:G3"/>
    <mergeCell ref="I3:J3"/>
    <mergeCell ref="F15:G15"/>
    <mergeCell ref="B16:B17"/>
    <mergeCell ref="C16:C17"/>
    <mergeCell ref="F16:G16"/>
    <mergeCell ref="I16:J16"/>
    <mergeCell ref="B4:B5"/>
    <mergeCell ref="C4:C5"/>
    <mergeCell ref="F4:G4"/>
    <mergeCell ref="I4:J4"/>
  </mergeCells>
  <conditionalFormatting sqref="G34:G37">
    <cfRule type="expression" dxfId="3" priority="5" stopIfTrue="1">
      <formula>ABS(G34)&gt;0.1</formula>
    </cfRule>
  </conditionalFormatting>
  <conditionalFormatting sqref="J32:J37">
    <cfRule type="expression" dxfId="2" priority="4" stopIfTrue="1">
      <formula>ABS(J32)&gt;0.1</formula>
    </cfRule>
  </conditionalFormatting>
  <pageMargins left="0.7" right="0.7" top="0.75" bottom="0.75" header="0.3" footer="0.3"/>
  <pageSetup scale="86" orientation="portrait" horizontalDpi="300" r:id="rId1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4" zoomScale="70" zoomScaleNormal="40" zoomScaleSheetLayoutView="70" workbookViewId="0">
      <selection activeCell="F19" sqref="F19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customWidth="1"/>
    <col min="7" max="7" width="12.42578125" style="2" customWidth="1"/>
    <col min="8" max="8" width="1.85546875" style="2" customWidth="1"/>
    <col min="9" max="10" width="13.5703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123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73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1000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IF($A23&lt;&gt;"",VLOOKUP($A23,[4]Rates!$A$1:$R$65536,12,FALSE),0)</f>
        <v>26.08</v>
      </c>
      <c r="G23" s="18">
        <f t="shared" ref="G23:G38" si="0">E23*F23</f>
        <v>26.08</v>
      </c>
      <c r="H23" s="38"/>
      <c r="I23" s="114">
        <f>IF($A23&lt;&gt;"",VLOOKUP($A23,[4]Rates!$A$1:$R$65536,14,FALSE),0)</f>
        <v>28.75</v>
      </c>
      <c r="J23" s="18">
        <f>$E23*I23</f>
        <v>28.75</v>
      </c>
      <c r="K23" s="38"/>
      <c r="L23" s="167">
        <f>J23-G23</f>
        <v>2.6700000000000017</v>
      </c>
      <c r="M23" s="123">
        <f>IF((G23)=0,"",(L23/G23))</f>
        <v>0.10237730061349701</v>
      </c>
      <c r="N23" s="38"/>
      <c r="O23" s="114">
        <f>IF($A23&lt;&gt;"",VLOOKUP($A23,[4]Rates!$A$1:$R$65536,15,FALSE),0)</f>
        <v>29.03815402266514</v>
      </c>
      <c r="P23" s="18">
        <f>$E23*O23</f>
        <v>29.03815402266514</v>
      </c>
      <c r="Q23" s="38"/>
      <c r="R23" s="167">
        <f>P23-J23</f>
        <v>0.28815402266513956</v>
      </c>
      <c r="S23" s="123">
        <f>IF((J23)=0,"",(R23/J23))</f>
        <v>1.0022748614439638E-2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[4]Rates!$A$50</f>
        <v>PPE_GS</v>
      </c>
      <c r="B25" s="313" t="s">
        <v>71</v>
      </c>
      <c r="C25" s="305"/>
      <c r="D25" s="306" t="s">
        <v>57</v>
      </c>
      <c r="E25" s="307">
        <v>1</v>
      </c>
      <c r="F25" s="314">
        <f>IF($A25&lt;&gt;"",VLOOKUP($A25,[4]Rates!$A$1:$R$65536,12,FALSE),0)</f>
        <v>0.55000000000000004</v>
      </c>
      <c r="G25" s="309">
        <f t="shared" si="0"/>
        <v>0.55000000000000004</v>
      </c>
      <c r="H25" s="310"/>
      <c r="I25" s="314">
        <f>IF($A25&lt;&gt;"",VLOOKUP($A25,[4]Rates!$A$1:$R$65536,14,FALSE),0)</f>
        <v>0.55000000000000004</v>
      </c>
      <c r="J25" s="309">
        <f t="shared" si="1"/>
        <v>0.55000000000000004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-0.55000000000000004</v>
      </c>
      <c r="S25" s="312">
        <f t="shared" si="6"/>
        <v>-1</v>
      </c>
      <c r="T25" s="310"/>
    </row>
    <row r="26" spans="1:360" s="277" customFormat="1" x14ac:dyDescent="0.25">
      <c r="A26" s="303" t="str">
        <f>[4]Rates!$A$51</f>
        <v>ICMF_GS</v>
      </c>
      <c r="B26" s="313" t="s">
        <v>72</v>
      </c>
      <c r="C26" s="305"/>
      <c r="D26" s="306" t="s">
        <v>57</v>
      </c>
      <c r="E26" s="307">
        <v>1</v>
      </c>
      <c r="F26" s="314">
        <f>IF($A26&lt;&gt;"",VLOOKUP($A26,[4]Rates!$A$1:$R$65536,12,FALSE),0)</f>
        <v>0.14000000000000001</v>
      </c>
      <c r="G26" s="309">
        <f t="shared" si="0"/>
        <v>0.14000000000000001</v>
      </c>
      <c r="H26" s="310"/>
      <c r="I26" s="3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-0.14000000000000001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139</v>
      </c>
      <c r="B27" s="22" t="s">
        <v>140</v>
      </c>
      <c r="C27" s="15"/>
      <c r="D27" s="319" t="s">
        <v>57</v>
      </c>
      <c r="E27" s="13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7.55</v>
      </c>
      <c r="J27" s="18">
        <f t="shared" si="1"/>
        <v>7.55</v>
      </c>
      <c r="K27" s="38"/>
      <c r="L27" s="167">
        <f t="shared" si="2"/>
        <v>7.55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-7.55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[4]Rates!$A$53</f>
        <v>Var_GS</v>
      </c>
      <c r="B29" s="15" t="s">
        <v>14</v>
      </c>
      <c r="C29" s="15"/>
      <c r="D29" s="99" t="s">
        <v>58</v>
      </c>
      <c r="E29" s="137">
        <f>$F$18</f>
        <v>1000</v>
      </c>
      <c r="F29" s="16">
        <f>IF($A29&lt;&gt;"",VLOOKUP($A29,[4]Rates!$A$1:$R$65536,12,FALSE),0)</f>
        <v>1.3899999999999999E-2</v>
      </c>
      <c r="G29" s="18">
        <f t="shared" si="0"/>
        <v>13.899999999999999</v>
      </c>
      <c r="H29" s="38"/>
      <c r="I29" s="16">
        <f>IF($A29&lt;&gt;"",VLOOKUP($A29,[4]Rates!$A$1:$R$65536,14,FALSE),0)</f>
        <v>1.5299999999999999E-2</v>
      </c>
      <c r="J29" s="18">
        <f t="shared" si="1"/>
        <v>15.299999999999999</v>
      </c>
      <c r="K29" s="38"/>
      <c r="L29" s="167">
        <f t="shared" si="2"/>
        <v>1.4000000000000004</v>
      </c>
      <c r="M29" s="123">
        <f t="shared" si="3"/>
        <v>0.10071942446043169</v>
      </c>
      <c r="N29" s="38"/>
      <c r="O29" s="16">
        <f>IF($A29&lt;&gt;"",VLOOKUP($A29,[4]Rates!$A$1:$R$65536,15,FALSE),0)</f>
        <v>1.89E-2</v>
      </c>
      <c r="P29" s="18">
        <f t="shared" si="4"/>
        <v>18.899999999999999</v>
      </c>
      <c r="Q29" s="38"/>
      <c r="R29" s="167">
        <f t="shared" si="5"/>
        <v>3.5999999999999996</v>
      </c>
      <c r="S29" s="123">
        <f t="shared" si="6"/>
        <v>0.23529411764705882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>
        <f t="shared" ref="E30" si="7">$F$18</f>
        <v>1000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141</v>
      </c>
      <c r="B31" s="22" t="s">
        <v>142</v>
      </c>
      <c r="C31" s="15"/>
      <c r="D31" s="99" t="s">
        <v>58</v>
      </c>
      <c r="E31" s="137">
        <f>$F$18</f>
        <v>1000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4.0000000000000001E-3</v>
      </c>
      <c r="J31" s="18">
        <f t="shared" si="1"/>
        <v>4</v>
      </c>
      <c r="K31" s="38"/>
      <c r="L31" s="167">
        <f t="shared" si="2"/>
        <v>4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-4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[4]Rates!$A$60</f>
        <v>ICMV_GS</v>
      </c>
      <c r="B32" s="304" t="s">
        <v>72</v>
      </c>
      <c r="C32" s="305"/>
      <c r="D32" s="306" t="s">
        <v>58</v>
      </c>
      <c r="E32" s="307">
        <f t="shared" ref="E32:E35" si="8">$F$18</f>
        <v>1000</v>
      </c>
      <c r="F32" s="308">
        <f>IF($A32&lt;&gt;"",VLOOKUP($A32,[4]Rates!$A$1:$R$65536,12,FALSE),0)</f>
        <v>1E-4</v>
      </c>
      <c r="G32" s="309">
        <f t="shared" si="0"/>
        <v>0.1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-0.1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[4]Rates!$A69</f>
        <v>2RAL16_GS</v>
      </c>
      <c r="B33" s="23" t="str">
        <f>[4]Rates!$B69</f>
        <v xml:space="preserve">Disposition of Deferral/Variance Accounts - Group 2 Accounts (2016) </v>
      </c>
      <c r="C33" s="15"/>
      <c r="D33" s="99" t="s">
        <v>58</v>
      </c>
      <c r="E33" s="137">
        <f t="shared" si="8"/>
        <v>1000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6">
        <f>IF($A33&lt;&gt;"",VLOOKUP($A33,[4]Rates!$A$1:$R$65536,15,FALSE),0)</f>
        <v>2.0000000000000001E-4</v>
      </c>
      <c r="P33" s="18">
        <f t="shared" si="4"/>
        <v>0.2</v>
      </c>
      <c r="Q33" s="38"/>
      <c r="R33" s="167">
        <f t="shared" si="5"/>
        <v>0.2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[4]Rates!$A70</f>
        <v>LRVA16_GS</v>
      </c>
      <c r="B34" s="23" t="str">
        <f>[4]Rates!$B70</f>
        <v>Lost Revenue Adjustment Mechanism Variance Account (LRAMVA) (2016)</v>
      </c>
      <c r="C34" s="15"/>
      <c r="D34" s="99" t="s">
        <v>58</v>
      </c>
      <c r="E34" s="137">
        <f t="shared" si="8"/>
        <v>1000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2.0000000000000001E-4</v>
      </c>
      <c r="J34" s="18">
        <f t="shared" si="1"/>
        <v>0.2</v>
      </c>
      <c r="K34" s="38"/>
      <c r="L34" s="167">
        <f t="shared" si="2"/>
        <v>0.2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-0.2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[4]Rates!$A71</f>
        <v>PPE16_GS</v>
      </c>
      <c r="B35" s="23" t="str">
        <f>[4]Rates!$B71</f>
        <v>Account 1575 (2016)</v>
      </c>
      <c r="C35" s="15"/>
      <c r="D35" s="99" t="s">
        <v>58</v>
      </c>
      <c r="E35" s="137">
        <f t="shared" si="8"/>
        <v>1000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-1.1999999999999999E-3</v>
      </c>
      <c r="J35" s="18">
        <f t="shared" si="1"/>
        <v>-1.2</v>
      </c>
      <c r="K35" s="38"/>
      <c r="L35" s="167">
        <f t="shared" si="2"/>
        <v>-1.2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1.2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[4]Rates!$A72</f>
        <v>SG16_GS</v>
      </c>
      <c r="B36" s="23" t="str">
        <f>[4]Rates!$B72</f>
        <v>Smart Grid True-up (2016)</v>
      </c>
      <c r="C36" s="15"/>
      <c r="D36" s="99" t="s">
        <v>57</v>
      </c>
      <c r="E36" s="137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-0.67</v>
      </c>
      <c r="J36" s="18">
        <f t="shared" si="1"/>
        <v>-0.67</v>
      </c>
      <c r="K36" s="38"/>
      <c r="L36" s="167">
        <f t="shared" si="2"/>
        <v>-0.67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0.67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[4]Rates!$A73</f>
        <v>SMA16_GS</v>
      </c>
      <c r="B37" s="23" t="str">
        <f>[4]Rates!$B73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0.21</v>
      </c>
      <c r="P37" s="18">
        <f t="shared" si="4"/>
        <v>0.21</v>
      </c>
      <c r="Q37" s="38"/>
      <c r="R37" s="167">
        <f t="shared" si="5"/>
        <v>0.21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7" customFormat="1" x14ac:dyDescent="0.25">
      <c r="A38" s="303" t="str">
        <f>[4]Rates!$A$65</f>
        <v>LRVA_GS</v>
      </c>
      <c r="B38" s="304"/>
      <c r="C38" s="305"/>
      <c r="D38" s="319" t="s">
        <v>58</v>
      </c>
      <c r="E38" s="334">
        <f>E35</f>
        <v>1000</v>
      </c>
      <c r="F38" s="308"/>
      <c r="G38" s="309">
        <f t="shared" si="0"/>
        <v>0</v>
      </c>
      <c r="H38" s="310"/>
      <c r="I38" s="308">
        <f>IF($A38&lt;&gt;"",VLOOKUP($A38,[4]Rates!$A$1:$R$65536,14,FALSE),0)</f>
        <v>0</v>
      </c>
      <c r="J38" s="309">
        <f t="shared" si="1"/>
        <v>0</v>
      </c>
      <c r="K38" s="310"/>
      <c r="L38" s="311">
        <f t="shared" si="2"/>
        <v>0</v>
      </c>
      <c r="M38" s="312" t="str">
        <f t="shared" si="3"/>
        <v/>
      </c>
      <c r="N38" s="310"/>
      <c r="O38" s="308">
        <f>IF($A38&lt;&gt;"",VLOOKUP($A38,[4]Rates!$A$1:$R$65536,15,FALSE),0)</f>
        <v>0</v>
      </c>
      <c r="P38" s="309">
        <f t="shared" si="4"/>
        <v>0</v>
      </c>
      <c r="Q38" s="310"/>
      <c r="R38" s="311">
        <f t="shared" si="5"/>
        <v>0</v>
      </c>
      <c r="S38" s="312" t="str">
        <f t="shared" si="6"/>
        <v/>
      </c>
      <c r="T38" s="310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40.770000000000003</v>
      </c>
      <c r="H39" s="38"/>
      <c r="I39" s="26"/>
      <c r="J39" s="28">
        <f>SUM(J23:J38)</f>
        <v>54.48</v>
      </c>
      <c r="K39" s="38"/>
      <c r="L39" s="168">
        <f t="shared" si="2"/>
        <v>13.709999999999994</v>
      </c>
      <c r="M39" s="124">
        <f>IF((G39)=0,"",(L39/G39))</f>
        <v>0.33627667402501821</v>
      </c>
      <c r="N39" s="38"/>
      <c r="O39" s="26"/>
      <c r="P39" s="28">
        <f>SUM(P23:P38)</f>
        <v>48.348154022665142</v>
      </c>
      <c r="Q39" s="38"/>
      <c r="R39" s="168">
        <f t="shared" si="5"/>
        <v>-6.131845977334855</v>
      </c>
      <c r="S39" s="124">
        <f t="shared" si="6"/>
        <v>-0.11255223893786445</v>
      </c>
      <c r="T39" s="38"/>
    </row>
    <row r="40" spans="1:360" s="277" customFormat="1" x14ac:dyDescent="0.25">
      <c r="A40" s="303" t="str">
        <f>[4]Rates!$A$58</f>
        <v>RAL14_GS</v>
      </c>
      <c r="B40" s="302"/>
      <c r="C40" s="305"/>
      <c r="D40" s="319" t="s">
        <v>58</v>
      </c>
      <c r="E40" s="334">
        <f>$F$18</f>
        <v>1000</v>
      </c>
      <c r="F40" s="308"/>
      <c r="G40" s="309">
        <f t="shared" ref="G40:G46" si="9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60" x14ac:dyDescent="0.25">
      <c r="A41" s="139" t="str">
        <f>[4]Rates!$A$66</f>
        <v>RAL16_GS</v>
      </c>
      <c r="B41" s="30" t="str">
        <f>[4]Rates!$B$66</f>
        <v xml:space="preserve">Disposition of Deferral/Variance Accounts (2016) </v>
      </c>
      <c r="C41" s="15"/>
      <c r="D41" s="99" t="s">
        <v>58</v>
      </c>
      <c r="E41" s="137">
        <f t="shared" ref="E41:E44" si="10">$F$18</f>
        <v>1000</v>
      </c>
      <c r="F41" s="16">
        <f>IF($A41&lt;&gt;"",VLOOKUP($A41,[4]Rates!$A$1:$R$65536,12,FALSE),0)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0.3</v>
      </c>
      <c r="Q41" s="21"/>
      <c r="R41" s="167">
        <f t="shared" si="5"/>
        <v>0.3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[4]Rates!$A$67</f>
        <v>RALP16_GS</v>
      </c>
      <c r="B42" s="30" t="str">
        <f>[4]Rates!$B$67</f>
        <v xml:space="preserve">Disposition of Deferral/Variance Accounts - Power (2016) </v>
      </c>
      <c r="C42" s="15"/>
      <c r="D42" s="99" t="s">
        <v>58</v>
      </c>
      <c r="E42" s="137">
        <f t="shared" si="10"/>
        <v>1000</v>
      </c>
      <c r="F42" s="16">
        <f>IF($A42&lt;&gt;"",VLOOKUP($A42,[4]Rates!$A$1:$R$65536,12,FALSE),0)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-2.6</v>
      </c>
      <c r="K42" s="21"/>
      <c r="L42" s="167">
        <f t="shared" si="2"/>
        <v>-2.6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2.6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[4]Rates!$A$54</f>
        <v>LV_GS</v>
      </c>
      <c r="B44" s="31" t="s">
        <v>18</v>
      </c>
      <c r="C44" s="15"/>
      <c r="D44" s="99" t="s">
        <v>58</v>
      </c>
      <c r="E44" s="137">
        <f t="shared" si="10"/>
        <v>1000</v>
      </c>
      <c r="F44" s="16">
        <f>IF($A44&lt;&gt;"",VLOOKUP($A44,[4]Rates!$A$1:$R$65536,12,FALSE),0)</f>
        <v>2.9999999999999997E-4</v>
      </c>
      <c r="G44" s="18">
        <f t="shared" si="9"/>
        <v>0.3</v>
      </c>
      <c r="H44" s="38"/>
      <c r="I44" s="16">
        <f>IF($A44&lt;&gt;"",VLOOKUP($A44,[4]Rates!$A$1:$R$65536,14,FALSE),0)</f>
        <v>2.9999999999999997E-4</v>
      </c>
      <c r="J44" s="18">
        <f t="shared" si="11"/>
        <v>0.3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4.0000000000000002E-4</v>
      </c>
      <c r="P44" s="18">
        <f t="shared" si="12"/>
        <v>0.4</v>
      </c>
      <c r="Q44" s="38"/>
      <c r="R44" s="167">
        <f t="shared" si="5"/>
        <v>0.10000000000000003</v>
      </c>
      <c r="S44" s="123">
        <f t="shared" si="6"/>
        <v>0.33333333333333348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6">
        <f>$F$18*(1+$F$74)-$F$18</f>
        <v>34.5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3.8584799999999997</v>
      </c>
      <c r="H45" s="288">
        <f>$F$18*(1+$O$74)-$F$18</f>
        <v>36.899999999999864</v>
      </c>
      <c r="I45" s="32">
        <f>0.64*$F$55+0.18*$F$56+0.18*$F$57</f>
        <v>0.11183999999999999</v>
      </c>
      <c r="J45" s="18">
        <f>$E45*I45</f>
        <v>3.8584799999999997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4.1268959999999844</v>
      </c>
      <c r="Q45" s="38"/>
      <c r="R45" s="169">
        <f t="shared" si="5"/>
        <v>0.26841599999998467</v>
      </c>
      <c r="S45" s="123">
        <f t="shared" si="6"/>
        <v>6.956521739130038E-2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9"/>
        <v>0.79</v>
      </c>
      <c r="H46" s="281"/>
      <c r="I46" s="32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7"/>
      <c r="F47" s="35"/>
      <c r="G47" s="37">
        <f>SUM(G40:G46)+G39</f>
        <v>45.71848</v>
      </c>
      <c r="H47" s="281"/>
      <c r="I47" s="35"/>
      <c r="J47" s="37">
        <f>SUM(J40:J46)+J39</f>
        <v>56.828479999999999</v>
      </c>
      <c r="K47" s="38"/>
      <c r="L47" s="170">
        <f t="shared" si="2"/>
        <v>11.11</v>
      </c>
      <c r="M47" s="125">
        <f>IF((G47)=0,"",(L47/G47))</f>
        <v>0.24300895392847705</v>
      </c>
      <c r="N47" s="38"/>
      <c r="O47" s="35"/>
      <c r="P47" s="37">
        <f>SUM(P40:P46)+P39</f>
        <v>53.965050022665125</v>
      </c>
      <c r="Q47" s="38"/>
      <c r="R47" s="170">
        <f t="shared" si="5"/>
        <v>-2.8634299773348744</v>
      </c>
      <c r="S47" s="125">
        <f t="shared" si="6"/>
        <v>-5.0387235015521697E-2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[4]Rates!$A$76</f>
        <v>TN_GS</v>
      </c>
      <c r="B48" s="19" t="s">
        <v>22</v>
      </c>
      <c r="C48" s="19"/>
      <c r="D48" s="101" t="s">
        <v>58</v>
      </c>
      <c r="E48" s="137">
        <f>F18*(1+F74)</f>
        <v>1034.5</v>
      </c>
      <c r="F48" s="20">
        <f>IF($A48&lt;&gt;"",VLOOKUP($A48,[4]Rates!$A$1:$R$65536,12,FALSE),0)</f>
        <v>7.1999999999999998E-3</v>
      </c>
      <c r="G48" s="18">
        <f>E48*F48</f>
        <v>7.4483999999999995</v>
      </c>
      <c r="H48" s="283">
        <f>F18*(1+O74)</f>
        <v>1036.8999999999999</v>
      </c>
      <c r="I48" s="20">
        <f>IF($A48&lt;&gt;"",VLOOKUP($A48,[4]Rates!$A$1:$R$65536,14,FALSE),0)</f>
        <v>7.1999999999999998E-3</v>
      </c>
      <c r="J48" s="18">
        <f>$E48*I48</f>
        <v>7.4483999999999995</v>
      </c>
      <c r="K48" s="38"/>
      <c r="L48" s="171">
        <f>J48-G48</f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7.3000000000000001E-3</v>
      </c>
      <c r="P48" s="18">
        <f>$H48*O48</f>
        <v>7.5693699999999993</v>
      </c>
      <c r="Q48" s="38"/>
      <c r="R48" s="171">
        <f t="shared" si="5"/>
        <v>0.1209699999999998</v>
      </c>
      <c r="S48" s="123">
        <f t="shared" si="6"/>
        <v>1.6241071908060765E-2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[4]Rates!$A$77</f>
        <v>TC_GS</v>
      </c>
      <c r="B49" s="40" t="s">
        <v>23</v>
      </c>
      <c r="C49" s="19"/>
      <c r="D49" s="101" t="s">
        <v>58</v>
      </c>
      <c r="E49" s="137">
        <f>E48</f>
        <v>1034.5</v>
      </c>
      <c r="F49" s="20">
        <f>IF($A49&lt;&gt;"",VLOOKUP($A49,[4]Rates!$A$1:$R$65536,12,FALSE),0)</f>
        <v>3.0000000000000001E-3</v>
      </c>
      <c r="G49" s="18">
        <f>E49*F49</f>
        <v>3.1034999999999999</v>
      </c>
      <c r="H49" s="283">
        <f>H48</f>
        <v>1036.8999999999999</v>
      </c>
      <c r="I49" s="20">
        <f>IF($A49&lt;&gt;"",VLOOKUP($A49,[4]Rates!$A$1:$R$65536,14,FALSE),0)</f>
        <v>3.0000000000000001E-3</v>
      </c>
      <c r="J49" s="18">
        <f>$E49*I49</f>
        <v>3.1034999999999999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3.3E-3</v>
      </c>
      <c r="P49" s="18">
        <f>$H49*O49</f>
        <v>3.4217699999999995</v>
      </c>
      <c r="Q49" s="38"/>
      <c r="R49" s="171">
        <f t="shared" si="5"/>
        <v>0.31826999999999961</v>
      </c>
      <c r="S49" s="123">
        <f t="shared" si="6"/>
        <v>0.10255195746737542</v>
      </c>
      <c r="T49" s="38"/>
    </row>
    <row r="50" spans="1:360" x14ac:dyDescent="0.25">
      <c r="B50" s="33" t="s">
        <v>24</v>
      </c>
      <c r="C50" s="25"/>
      <c r="D50" s="41"/>
      <c r="E50" s="287"/>
      <c r="F50" s="41"/>
      <c r="G50" s="37">
        <f>SUM(G47:G49)</f>
        <v>56.270379999999996</v>
      </c>
      <c r="H50" s="282"/>
      <c r="I50" s="41"/>
      <c r="J50" s="37">
        <f>SUM(J47:J49)</f>
        <v>67.380380000000002</v>
      </c>
      <c r="K50" s="109"/>
      <c r="L50" s="172">
        <f t="shared" si="2"/>
        <v>11.110000000000007</v>
      </c>
      <c r="M50" s="125">
        <f t="shared" si="13"/>
        <v>0.19743957655875094</v>
      </c>
      <c r="N50" s="109"/>
      <c r="O50" s="41"/>
      <c r="P50" s="37">
        <f>SUM(P47:P49)</f>
        <v>64.956190022665126</v>
      </c>
      <c r="Q50" s="109"/>
      <c r="R50" s="172">
        <f t="shared" si="5"/>
        <v>-2.4241899773348763</v>
      </c>
      <c r="S50" s="125">
        <f t="shared" si="6"/>
        <v>-3.5977683375114186E-2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1034.5</v>
      </c>
      <c r="F51" s="43">
        <v>3.5999999999999999E-3</v>
      </c>
      <c r="G51" s="44">
        <f t="shared" ref="G51:G59" si="14">E51*F51</f>
        <v>3.7241999999999997</v>
      </c>
      <c r="H51" s="283">
        <f>H49</f>
        <v>1036.8999999999999</v>
      </c>
      <c r="I51" s="43">
        <v>3.5999999999999999E-3</v>
      </c>
      <c r="J51" s="44">
        <f>$E51*I51</f>
        <v>3.7241999999999997</v>
      </c>
      <c r="K51" s="17"/>
      <c r="L51" s="173">
        <f t="shared" si="2"/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3.7328399999999995</v>
      </c>
      <c r="Q51" s="17"/>
      <c r="R51" s="173">
        <f>P51-J51</f>
        <v>8.639999999999759E-3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37">
        <f>E49</f>
        <v>1034.5</v>
      </c>
      <c r="F52" s="43">
        <v>1.2999999999999999E-3</v>
      </c>
      <c r="G52" s="44">
        <f t="shared" si="14"/>
        <v>1.3448499999999999</v>
      </c>
      <c r="H52" s="283">
        <f>H49</f>
        <v>1036.8999999999999</v>
      </c>
      <c r="I52" s="43">
        <v>1.2999999999999999E-3</v>
      </c>
      <c r="J52" s="44">
        <f>$E52*I52</f>
        <v>1.3448499999999999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1.3479699999999997</v>
      </c>
      <c r="Q52" s="17"/>
      <c r="R52" s="173">
        <f t="shared" si="5"/>
        <v>3.1199999999997896E-3</v>
      </c>
      <c r="S52" s="126">
        <f t="shared" si="6"/>
        <v>2.3199613339776109E-3</v>
      </c>
      <c r="T52" s="1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4"/>
        <v>0.25</v>
      </c>
      <c r="H53" s="283"/>
      <c r="I53" s="43">
        <v>0.25</v>
      </c>
      <c r="J53" s="44">
        <f t="shared" ref="J53:J54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43">
        <v>0.25</v>
      </c>
      <c r="P53" s="44">
        <f t="shared" ref="P53:P54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37">
        <f>F18</f>
        <v>1000</v>
      </c>
      <c r="F54" s="43">
        <v>7.0000000000000001E-3</v>
      </c>
      <c r="G54" s="44">
        <f t="shared" si="14"/>
        <v>7</v>
      </c>
      <c r="H54" s="283"/>
      <c r="I54" s="43">
        <v>7.0000000000000001E-3</v>
      </c>
      <c r="J54" s="44">
        <f t="shared" si="15"/>
        <v>7</v>
      </c>
      <c r="K54" s="17"/>
      <c r="L54" s="173">
        <f t="shared" si="2"/>
        <v>0</v>
      </c>
      <c r="M54" s="126">
        <f t="shared" si="13"/>
        <v>0</v>
      </c>
      <c r="N54" s="17"/>
      <c r="O54" s="43">
        <v>7.0000000000000001E-3</v>
      </c>
      <c r="P54" s="44">
        <f t="shared" si="16"/>
        <v>7</v>
      </c>
      <c r="Q54" s="17"/>
      <c r="R54" s="173">
        <f t="shared" si="5"/>
        <v>0</v>
      </c>
      <c r="S54" s="126">
        <f t="shared" si="6"/>
        <v>0</v>
      </c>
      <c r="T54" s="17"/>
    </row>
    <row r="55" spans="1:360" x14ac:dyDescent="0.25">
      <c r="B55" s="31" t="s">
        <v>29</v>
      </c>
      <c r="C55" s="15"/>
      <c r="D55" s="99" t="s">
        <v>58</v>
      </c>
      <c r="E55" s="137">
        <f>0.64*$F$18</f>
        <v>640</v>
      </c>
      <c r="F55" s="46">
        <f>Residential!F55</f>
        <v>8.6999999999999994E-2</v>
      </c>
      <c r="G55" s="44">
        <f t="shared" si="14"/>
        <v>55.679999999999993</v>
      </c>
      <c r="H55" s="289">
        <f>0.64*$F$18</f>
        <v>640</v>
      </c>
      <c r="I55" s="46">
        <f>F55</f>
        <v>8.6999999999999994E-2</v>
      </c>
      <c r="J55" s="44">
        <f>$H55*I55</f>
        <v>55.679999999999993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>$H55*O55</f>
        <v>55.679999999999993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37">
        <f>0.18*$F$18</f>
        <v>180</v>
      </c>
      <c r="F56" s="46">
        <f>Residential!F56</f>
        <v>0.13200000000000001</v>
      </c>
      <c r="G56" s="44">
        <f t="shared" si="14"/>
        <v>23.76</v>
      </c>
      <c r="H56" s="289">
        <f>0.18*$F$18</f>
        <v>180</v>
      </c>
      <c r="I56" s="46">
        <f t="shared" ref="I56:I59" si="17">F56</f>
        <v>0.13200000000000001</v>
      </c>
      <c r="J56" s="44">
        <f>$H56*I56</f>
        <v>23.76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>$H56*O56</f>
        <v>23.76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37">
        <f>0.18*$F$18</f>
        <v>180</v>
      </c>
      <c r="F57" s="46">
        <f>Residential!F57</f>
        <v>0.18</v>
      </c>
      <c r="G57" s="44">
        <f t="shared" si="14"/>
        <v>32.4</v>
      </c>
      <c r="H57" s="289">
        <f>0.18*$F$18</f>
        <v>180</v>
      </c>
      <c r="I57" s="46">
        <f t="shared" si="17"/>
        <v>0.18</v>
      </c>
      <c r="J57" s="44">
        <f>$H57*I57</f>
        <v>32.4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>$H57*O57</f>
        <v>32.4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37">
        <f>F18</f>
        <v>1000</v>
      </c>
      <c r="F58" s="43">
        <v>1.1000000000000001E-3</v>
      </c>
      <c r="G58" s="44">
        <f>E58*F58</f>
        <v>1.1000000000000001</v>
      </c>
      <c r="H58" s="289"/>
      <c r="I58" s="43">
        <v>1.1000000000000001E-3</v>
      </c>
      <c r="J58" s="44">
        <f>$E58*I58</f>
        <v>1.1000000000000001</v>
      </c>
      <c r="K58" s="110"/>
      <c r="L58" s="174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>$E58*O58</f>
        <v>1.1000000000000001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4"/>
        <v>0</v>
      </c>
      <c r="H59" s="289"/>
      <c r="I59" s="46">
        <f t="shared" si="17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181.52942999999999</v>
      </c>
      <c r="H61" s="57"/>
      <c r="I61" s="56"/>
      <c r="J61" s="58">
        <f>SUM(J51:J58,J50)</f>
        <v>192.63943</v>
      </c>
      <c r="K61" s="57"/>
      <c r="L61" s="176">
        <f>J61-G61</f>
        <v>11.110000000000014</v>
      </c>
      <c r="M61" s="128">
        <f>IF((G61)=0,"",(L61/G61))</f>
        <v>6.1202197351691204E-2</v>
      </c>
      <c r="N61" s="57"/>
      <c r="O61" s="56"/>
      <c r="P61" s="58">
        <f>SUM(P51:P58,P50)</f>
        <v>190.2270000226651</v>
      </c>
      <c r="Q61" s="57"/>
      <c r="R61" s="176">
        <f>P61-J61</f>
        <v>-2.4124299773349094</v>
      </c>
      <c r="S61" s="128">
        <f>IF((J61)=0,"",(R61/J61))</f>
        <v>-1.2523033199043982E-2</v>
      </c>
      <c r="T61" s="57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23.598825900000001</v>
      </c>
      <c r="H62" s="61"/>
      <c r="I62" s="60">
        <v>0.13</v>
      </c>
      <c r="J62" s="62">
        <f>J61*I62</f>
        <v>25.0431259</v>
      </c>
      <c r="K62" s="61"/>
      <c r="L62" s="176">
        <f>J62-G62</f>
        <v>1.4442999999999984</v>
      </c>
      <c r="M62" s="129">
        <f>IF((G62)=0,"",(L62/G62))</f>
        <v>6.1202197351691058E-2</v>
      </c>
      <c r="N62" s="61"/>
      <c r="O62" s="60">
        <v>0.13</v>
      </c>
      <c r="P62" s="62">
        <f>P61*O62</f>
        <v>24.729510002946462</v>
      </c>
      <c r="Q62" s="61"/>
      <c r="R62" s="176">
        <f t="shared" si="5"/>
        <v>-0.31361589705353765</v>
      </c>
      <c r="S62" s="129">
        <f t="shared" ref="S62:S64" si="19">IF((J62)=0,"",(R62/J62))</f>
        <v>-1.252303319904396E-2</v>
      </c>
      <c r="T62" s="61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205.1282559</v>
      </c>
      <c r="H63" s="61"/>
      <c r="I63" s="64"/>
      <c r="J63" s="62">
        <f>J61+J62</f>
        <v>217.68255590000001</v>
      </c>
      <c r="K63" s="61"/>
      <c r="L63" s="176">
        <f>J63-G63</f>
        <v>12.554300000000012</v>
      </c>
      <c r="M63" s="129">
        <f>IF((G63)=0,"",(L63/G63))</f>
        <v>6.120219735169119E-2</v>
      </c>
      <c r="N63" s="61"/>
      <c r="O63" s="64"/>
      <c r="P63" s="62">
        <f>P61+P62</f>
        <v>214.95651002561155</v>
      </c>
      <c r="Q63" s="61"/>
      <c r="R63" s="176">
        <f t="shared" si="5"/>
        <v>-2.7260458743884612</v>
      </c>
      <c r="S63" s="129">
        <f t="shared" si="19"/>
        <v>-1.2523033199044045E-2</v>
      </c>
      <c r="T63" s="61"/>
    </row>
    <row r="64" spans="1:360" ht="15" customHeight="1" x14ac:dyDescent="0.25">
      <c r="B64" s="406" t="s">
        <v>35</v>
      </c>
      <c r="C64" s="406"/>
      <c r="D64" s="40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96"/>
      <c r="F65" s="66"/>
      <c r="G65" s="67">
        <f>G63+G64</f>
        <v>205.1282559</v>
      </c>
      <c r="H65" s="57"/>
      <c r="I65" s="66"/>
      <c r="J65" s="67">
        <f>J63+J64</f>
        <v>217.68255590000001</v>
      </c>
      <c r="K65" s="57"/>
      <c r="L65" s="178">
        <f>J65-G65</f>
        <v>12.554300000000012</v>
      </c>
      <c r="M65" s="131">
        <f>IF((G65)=0,"",(L65/G65))</f>
        <v>6.120219735169119E-2</v>
      </c>
      <c r="N65" s="57"/>
      <c r="O65" s="66"/>
      <c r="P65" s="67">
        <f>P63+P64</f>
        <v>214.95651002561155</v>
      </c>
      <c r="Q65" s="57"/>
      <c r="R65" s="178">
        <f t="shared" si="5"/>
        <v>-2.7260458743884612</v>
      </c>
      <c r="S65" s="131">
        <f>IF((J65)=0,"",(R65/J65))</f>
        <v>-1.2523033199044045E-2</v>
      </c>
      <c r="T65" s="57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69.689429999999987</v>
      </c>
      <c r="H67" s="74"/>
      <c r="I67" s="73"/>
      <c r="J67" s="75">
        <f>SUM(J58:J59,J50,J51:J54)</f>
        <v>80.799429999999987</v>
      </c>
      <c r="K67" s="74"/>
      <c r="L67" s="180">
        <f>J67-G67</f>
        <v>11.11</v>
      </c>
      <c r="M67" s="128">
        <f>IF((G67)=0,"",(L67/G67))</f>
        <v>0.15942159377684681</v>
      </c>
      <c r="N67" s="74"/>
      <c r="O67" s="73"/>
      <c r="P67" s="75">
        <f>SUM(P58:P59,P50,P51:P54)</f>
        <v>78.38700002266512</v>
      </c>
      <c r="Q67" s="74"/>
      <c r="R67" s="180">
        <f t="shared" si="5"/>
        <v>-2.4124299773348667</v>
      </c>
      <c r="S67" s="128">
        <f>IF((J67)=0,"",(R67/J67))</f>
        <v>-2.9857017275182102E-2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9.0596258999999986</v>
      </c>
      <c r="H68" s="78"/>
      <c r="I68" s="77">
        <v>0.13</v>
      </c>
      <c r="J68" s="79">
        <f>J67*I68</f>
        <v>10.503925899999999</v>
      </c>
      <c r="K68" s="78"/>
      <c r="L68" s="180">
        <f>J68-G68</f>
        <v>1.4443000000000001</v>
      </c>
      <c r="M68" s="129">
        <f>IF((G68)=0,"",(L68/G68))</f>
        <v>0.15942159377684684</v>
      </c>
      <c r="N68" s="78"/>
      <c r="O68" s="77">
        <v>0.13</v>
      </c>
      <c r="P68" s="79">
        <f>P67*O68</f>
        <v>10.190310002946466</v>
      </c>
      <c r="Q68" s="78"/>
      <c r="R68" s="180">
        <f t="shared" si="5"/>
        <v>-0.31361589705353232</v>
      </c>
      <c r="S68" s="129">
        <f t="shared" ref="S68:S71" si="20">IF((J68)=0,"",(R68/J68))</f>
        <v>-2.9857017275182068E-2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78.749055899999988</v>
      </c>
      <c r="H69" s="78"/>
      <c r="I69" s="81"/>
      <c r="J69" s="79">
        <f>J67+J68</f>
        <v>91.303355899999985</v>
      </c>
      <c r="K69" s="78"/>
      <c r="L69" s="180">
        <f>J69-G69</f>
        <v>12.554299999999998</v>
      </c>
      <c r="M69" s="129">
        <f>IF((G69)=0,"",(L69/G69))</f>
        <v>0.15942159377684678</v>
      </c>
      <c r="N69" s="78"/>
      <c r="O69" s="81"/>
      <c r="P69" s="79">
        <f>P67+P68</f>
        <v>88.577310025611581</v>
      </c>
      <c r="Q69" s="78"/>
      <c r="R69" s="180">
        <f t="shared" si="5"/>
        <v>-2.7260458743884044</v>
      </c>
      <c r="S69" s="129">
        <f t="shared" si="20"/>
        <v>-2.9857017275182158E-2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98"/>
      <c r="F70" s="73">
        <v>0.1</v>
      </c>
      <c r="G70" s="82">
        <f>-G69*F70</f>
        <v>-7.8749055899999991</v>
      </c>
      <c r="H70" s="78"/>
      <c r="I70" s="81"/>
      <c r="J70" s="82"/>
      <c r="K70" s="78"/>
      <c r="L70" s="181">
        <f>J70-G70</f>
        <v>7.8749055899999991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99"/>
      <c r="F71" s="83"/>
      <c r="G71" s="84">
        <f>SUM(G69:G70)</f>
        <v>70.87415030999999</v>
      </c>
      <c r="H71" s="74"/>
      <c r="I71" s="83"/>
      <c r="J71" s="84">
        <f>SUM(J69:J70)</f>
        <v>91.303355899999985</v>
      </c>
      <c r="K71" s="74"/>
      <c r="L71" s="182">
        <f>J71-G71</f>
        <v>20.429205589999995</v>
      </c>
      <c r="M71" s="132">
        <f>IF((G71)=0,"",(L71/G71))</f>
        <v>0.28824621530760752</v>
      </c>
      <c r="N71" s="74"/>
      <c r="O71" s="83"/>
      <c r="P71" s="84">
        <f>SUM(P69:P70)</f>
        <v>88.577310025611581</v>
      </c>
      <c r="Q71" s="74"/>
      <c r="R71" s="182">
        <f t="shared" si="5"/>
        <v>-2.7260458743884044</v>
      </c>
      <c r="S71" s="132">
        <f t="shared" si="20"/>
        <v>-2.9857017275182158E-2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8" spans="1:360" x14ac:dyDescent="0.25">
      <c r="A78" s="2" t="s">
        <v>41</v>
      </c>
    </row>
    <row r="79" spans="1:360" x14ac:dyDescent="0.25">
      <c r="A79" s="2" t="s">
        <v>42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pageSetup scale="38" orientation="portrait" horizontalDpi="300" r:id="rId1"/>
  <colBreaks count="1" manualBreakCount="1">
    <brk id="20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view="pageBreakPreview" topLeftCell="B1" zoomScale="70" zoomScaleNormal="70" zoomScaleSheetLayoutView="70" workbookViewId="0">
      <selection activeCell="F19" sqref="F19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customWidth="1"/>
    <col min="7" max="7" width="12.42578125" style="2" customWidth="1"/>
    <col min="8" max="8" width="1.85546875" style="2" customWidth="1"/>
    <col min="9" max="10" width="13.5703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123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73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3000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IF($A23&lt;&gt;"",VLOOKUP($A23,[4]Rates!$A$1:$R$65536,12,FALSE),0)</f>
        <v>26.08</v>
      </c>
      <c r="G23" s="18">
        <f t="shared" ref="G23:G38" si="0">E23*F23</f>
        <v>26.08</v>
      </c>
      <c r="H23" s="38"/>
      <c r="I23" s="114">
        <f>IF($A23&lt;&gt;"",VLOOKUP($A23,[4]Rates!$A$1:$R$65536,14,FALSE),0)</f>
        <v>28.75</v>
      </c>
      <c r="J23" s="18">
        <f>$E23*I23</f>
        <v>28.75</v>
      </c>
      <c r="K23" s="38"/>
      <c r="L23" s="167">
        <f>J23-G23</f>
        <v>2.6700000000000017</v>
      </c>
      <c r="M23" s="123">
        <f>IF((G23)=0,"",(L23/G23))</f>
        <v>0.10237730061349701</v>
      </c>
      <c r="N23" s="38"/>
      <c r="O23" s="114">
        <f>IF($A23&lt;&gt;"",VLOOKUP($A23,[4]Rates!$A$1:$R$65536,15,FALSE),0)</f>
        <v>29.03815402266514</v>
      </c>
      <c r="P23" s="18">
        <f>$E23*O23</f>
        <v>29.03815402266514</v>
      </c>
      <c r="Q23" s="38"/>
      <c r="R23" s="167">
        <f>P23-J23</f>
        <v>0.28815402266513956</v>
      </c>
      <c r="S23" s="123">
        <f>IF((J23)=0,"",(R23/J23))</f>
        <v>1.0022748614439638E-2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[4]Rates!$A$50</f>
        <v>PPE_GS</v>
      </c>
      <c r="B25" s="313" t="s">
        <v>71</v>
      </c>
      <c r="C25" s="305"/>
      <c r="D25" s="306" t="s">
        <v>57</v>
      </c>
      <c r="E25" s="307">
        <v>1</v>
      </c>
      <c r="F25" s="314">
        <f>IF($A25&lt;&gt;"",VLOOKUP($A25,[4]Rates!$A$1:$R$65536,12,FALSE),0)</f>
        <v>0.55000000000000004</v>
      </c>
      <c r="G25" s="309">
        <f t="shared" si="0"/>
        <v>0.55000000000000004</v>
      </c>
      <c r="H25" s="310"/>
      <c r="I25" s="314">
        <f>IF($A25&lt;&gt;"",VLOOKUP($A25,[4]Rates!$A$1:$R$65536,14,FALSE),0)</f>
        <v>0.55000000000000004</v>
      </c>
      <c r="J25" s="309">
        <f t="shared" si="1"/>
        <v>0.55000000000000004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-0.55000000000000004</v>
      </c>
      <c r="S25" s="312">
        <f t="shared" si="6"/>
        <v>-1</v>
      </c>
      <c r="T25" s="310"/>
    </row>
    <row r="26" spans="1:360" s="277" customFormat="1" x14ac:dyDescent="0.25">
      <c r="A26" s="303" t="str">
        <f>[4]Rates!$A$51</f>
        <v>ICMF_GS</v>
      </c>
      <c r="B26" s="313" t="s">
        <v>72</v>
      </c>
      <c r="C26" s="305"/>
      <c r="D26" s="306" t="s">
        <v>57</v>
      </c>
      <c r="E26" s="307">
        <v>1</v>
      </c>
      <c r="F26" s="314">
        <f>IF($A26&lt;&gt;"",VLOOKUP($A26,[4]Rates!$A$1:$R$65536,12,FALSE),0)</f>
        <v>0.14000000000000001</v>
      </c>
      <c r="G26" s="309">
        <f t="shared" si="0"/>
        <v>0.14000000000000001</v>
      </c>
      <c r="H26" s="310"/>
      <c r="I26" s="3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-0.14000000000000001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139</v>
      </c>
      <c r="B27" s="22" t="s">
        <v>140</v>
      </c>
      <c r="C27" s="15"/>
      <c r="D27" s="319" t="s">
        <v>57</v>
      </c>
      <c r="E27" s="13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7.55</v>
      </c>
      <c r="J27" s="18">
        <f t="shared" si="1"/>
        <v>7.55</v>
      </c>
      <c r="K27" s="38"/>
      <c r="L27" s="167">
        <f t="shared" si="2"/>
        <v>7.55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-7.55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[4]Rates!$A$53</f>
        <v>Var_GS</v>
      </c>
      <c r="B29" s="15" t="s">
        <v>14</v>
      </c>
      <c r="C29" s="15"/>
      <c r="D29" s="99" t="s">
        <v>58</v>
      </c>
      <c r="E29" s="137">
        <f>$F$18</f>
        <v>3000</v>
      </c>
      <c r="F29" s="16">
        <f>IF($A29&lt;&gt;"",VLOOKUP($A29,[4]Rates!$A$1:$R$65536,12,FALSE),0)</f>
        <v>1.3899999999999999E-2</v>
      </c>
      <c r="G29" s="18">
        <f t="shared" si="0"/>
        <v>41.699999999999996</v>
      </c>
      <c r="H29" s="38"/>
      <c r="I29" s="16">
        <f>IF($A29&lt;&gt;"",VLOOKUP($A29,[4]Rates!$A$1:$R$65536,14,FALSE),0)</f>
        <v>1.5299999999999999E-2</v>
      </c>
      <c r="J29" s="18">
        <f t="shared" si="1"/>
        <v>45.9</v>
      </c>
      <c r="K29" s="38"/>
      <c r="L29" s="167">
        <f t="shared" si="2"/>
        <v>4.2000000000000028</v>
      </c>
      <c r="M29" s="123">
        <f t="shared" si="3"/>
        <v>0.10071942446043174</v>
      </c>
      <c r="N29" s="38"/>
      <c r="O29" s="16">
        <f>IF($A29&lt;&gt;"",VLOOKUP($A29,[4]Rates!$A$1:$R$65536,15,FALSE),0)</f>
        <v>1.89E-2</v>
      </c>
      <c r="P29" s="18">
        <f t="shared" si="4"/>
        <v>56.7</v>
      </c>
      <c r="Q29" s="38"/>
      <c r="R29" s="167">
        <f t="shared" si="5"/>
        <v>10.800000000000004</v>
      </c>
      <c r="S29" s="123">
        <f t="shared" si="6"/>
        <v>0.23529411764705893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>
        <f t="shared" ref="E30" si="7">$F$18</f>
        <v>3000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141</v>
      </c>
      <c r="B31" s="22" t="s">
        <v>142</v>
      </c>
      <c r="C31" s="15"/>
      <c r="D31" s="99" t="s">
        <v>58</v>
      </c>
      <c r="E31" s="137">
        <f>$F$18</f>
        <v>3000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4.0000000000000001E-3</v>
      </c>
      <c r="J31" s="18">
        <f t="shared" si="1"/>
        <v>12</v>
      </c>
      <c r="K31" s="38"/>
      <c r="L31" s="167">
        <f t="shared" si="2"/>
        <v>12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-12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[4]Rates!$A$60</f>
        <v>ICMV_GS</v>
      </c>
      <c r="B32" s="304" t="s">
        <v>72</v>
      </c>
      <c r="C32" s="305"/>
      <c r="D32" s="306" t="s">
        <v>58</v>
      </c>
      <c r="E32" s="307">
        <f t="shared" ref="E32:E35" si="8">$F$18</f>
        <v>3000</v>
      </c>
      <c r="F32" s="308">
        <f>IF($A32&lt;&gt;"",VLOOKUP($A32,[4]Rates!$A$1:$R$65536,12,FALSE),0)</f>
        <v>1E-4</v>
      </c>
      <c r="G32" s="309">
        <f t="shared" si="0"/>
        <v>0.3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-0.3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[4]Rates!$A69</f>
        <v>2RAL16_GS</v>
      </c>
      <c r="B33" s="23" t="str">
        <f>[4]Rates!$B69</f>
        <v xml:space="preserve">Disposition of Deferral/Variance Accounts - Group 2 Accounts (2016) </v>
      </c>
      <c r="C33" s="15"/>
      <c r="D33" s="99" t="s">
        <v>58</v>
      </c>
      <c r="E33" s="137">
        <f t="shared" si="8"/>
        <v>3000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6">
        <f>IF($A33&lt;&gt;"",VLOOKUP($A33,[4]Rates!$A$1:$R$65536,15,FALSE),0)</f>
        <v>2.0000000000000001E-4</v>
      </c>
      <c r="P33" s="18">
        <f t="shared" si="4"/>
        <v>0.6</v>
      </c>
      <c r="Q33" s="38"/>
      <c r="R33" s="167">
        <f t="shared" si="5"/>
        <v>0.6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[4]Rates!$A70</f>
        <v>LRVA16_GS</v>
      </c>
      <c r="B34" s="23" t="str">
        <f>[4]Rates!$B70</f>
        <v>Lost Revenue Adjustment Mechanism Variance Account (LRAMVA) (2016)</v>
      </c>
      <c r="C34" s="15"/>
      <c r="D34" s="99" t="s">
        <v>58</v>
      </c>
      <c r="E34" s="137">
        <f t="shared" si="8"/>
        <v>3000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2.0000000000000001E-4</v>
      </c>
      <c r="J34" s="18">
        <f t="shared" si="1"/>
        <v>0.6</v>
      </c>
      <c r="K34" s="38"/>
      <c r="L34" s="167">
        <f t="shared" si="2"/>
        <v>0.6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-0.6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[4]Rates!$A71</f>
        <v>PPE16_GS</v>
      </c>
      <c r="B35" s="23" t="str">
        <f>[4]Rates!$B71</f>
        <v>Account 1575 (2016)</v>
      </c>
      <c r="C35" s="15"/>
      <c r="D35" s="99" t="s">
        <v>58</v>
      </c>
      <c r="E35" s="137">
        <f t="shared" si="8"/>
        <v>3000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-1.1999999999999999E-3</v>
      </c>
      <c r="J35" s="18">
        <f t="shared" si="1"/>
        <v>-3.5999999999999996</v>
      </c>
      <c r="K35" s="38"/>
      <c r="L35" s="167">
        <f t="shared" si="2"/>
        <v>-3.5999999999999996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3.5999999999999996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[4]Rates!$A72</f>
        <v>SG16_GS</v>
      </c>
      <c r="B36" s="23" t="str">
        <f>[4]Rates!$B72</f>
        <v>Smart Grid True-up (2016)</v>
      </c>
      <c r="C36" s="15"/>
      <c r="D36" s="99" t="s">
        <v>57</v>
      </c>
      <c r="E36" s="137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-0.67</v>
      </c>
      <c r="J36" s="18">
        <f t="shared" si="1"/>
        <v>-0.67</v>
      </c>
      <c r="K36" s="38"/>
      <c r="L36" s="167">
        <f t="shared" si="2"/>
        <v>-0.67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0.67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[4]Rates!$A73</f>
        <v>SMA16_GS</v>
      </c>
      <c r="B37" s="23" t="str">
        <f>[4]Rates!$B73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0.21</v>
      </c>
      <c r="P37" s="18">
        <f t="shared" si="4"/>
        <v>0.21</v>
      </c>
      <c r="Q37" s="38"/>
      <c r="R37" s="167">
        <f t="shared" si="5"/>
        <v>0.21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7" customFormat="1" x14ac:dyDescent="0.25">
      <c r="A38" s="303" t="str">
        <f>[4]Rates!$A$65</f>
        <v>LRVA_GS</v>
      </c>
      <c r="B38" s="304"/>
      <c r="C38" s="305"/>
      <c r="D38" s="319" t="s">
        <v>58</v>
      </c>
      <c r="E38" s="334">
        <f>E35</f>
        <v>3000</v>
      </c>
      <c r="F38" s="308"/>
      <c r="G38" s="309">
        <f t="shared" si="0"/>
        <v>0</v>
      </c>
      <c r="H38" s="310"/>
      <c r="I38" s="308">
        <f>IF($A38&lt;&gt;"",VLOOKUP($A38,[4]Rates!$A$1:$R$65536,14,FALSE),0)</f>
        <v>0</v>
      </c>
      <c r="J38" s="309">
        <f t="shared" si="1"/>
        <v>0</v>
      </c>
      <c r="K38" s="310"/>
      <c r="L38" s="311">
        <f t="shared" si="2"/>
        <v>0</v>
      </c>
      <c r="M38" s="312" t="str">
        <f t="shared" si="3"/>
        <v/>
      </c>
      <c r="N38" s="310"/>
      <c r="O38" s="308">
        <f>IF($A38&lt;&gt;"",VLOOKUP($A38,[4]Rates!$A$1:$R$65536,15,FALSE),0)</f>
        <v>0</v>
      </c>
      <c r="P38" s="309">
        <f t="shared" si="4"/>
        <v>0</v>
      </c>
      <c r="Q38" s="310"/>
      <c r="R38" s="311">
        <f t="shared" si="5"/>
        <v>0</v>
      </c>
      <c r="S38" s="312" t="str">
        <f t="shared" si="6"/>
        <v/>
      </c>
      <c r="T38" s="310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68.77</v>
      </c>
      <c r="H39" s="38"/>
      <c r="I39" s="26"/>
      <c r="J39" s="28">
        <f>SUM(J23:J38)</f>
        <v>91.08</v>
      </c>
      <c r="K39" s="38"/>
      <c r="L39" s="168">
        <f t="shared" si="2"/>
        <v>22.310000000000002</v>
      </c>
      <c r="M39" s="124">
        <f>IF((G39)=0,"",(L39/G39))</f>
        <v>0.32441471571906361</v>
      </c>
      <c r="N39" s="38"/>
      <c r="O39" s="26"/>
      <c r="P39" s="28">
        <f>SUM(P23:P38)</f>
        <v>86.54815402266513</v>
      </c>
      <c r="Q39" s="38"/>
      <c r="R39" s="168">
        <f t="shared" si="5"/>
        <v>-4.5318459773348678</v>
      </c>
      <c r="S39" s="124">
        <f t="shared" si="6"/>
        <v>-4.9756763036175537E-2</v>
      </c>
      <c r="T39" s="38"/>
    </row>
    <row r="40" spans="1:360" s="277" customFormat="1" x14ac:dyDescent="0.25">
      <c r="A40" s="303" t="str">
        <f>[4]Rates!$A$58</f>
        <v>RAL14_GS</v>
      </c>
      <c r="B40" s="302"/>
      <c r="C40" s="305"/>
      <c r="D40" s="319" t="s">
        <v>58</v>
      </c>
      <c r="E40" s="334">
        <f>$F$18</f>
        <v>3000</v>
      </c>
      <c r="F40" s="308"/>
      <c r="G40" s="309">
        <f t="shared" ref="G40:G46" si="9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60" x14ac:dyDescent="0.25">
      <c r="A41" s="139" t="str">
        <f>[4]Rates!$A$66</f>
        <v>RAL16_GS</v>
      </c>
      <c r="B41" s="30" t="str">
        <f>[4]Rates!$B$66</f>
        <v xml:space="preserve">Disposition of Deferral/Variance Accounts (2016) </v>
      </c>
      <c r="C41" s="15"/>
      <c r="D41" s="99" t="s">
        <v>58</v>
      </c>
      <c r="E41" s="137">
        <f t="shared" ref="E41:E44" si="10">$F$18</f>
        <v>3000</v>
      </c>
      <c r="F41" s="16">
        <f>IF($A41&lt;&gt;"",VLOOKUP($A41,[4]Rates!$A$1:$R$65536,12,FALSE),0)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0.89999999999999991</v>
      </c>
      <c r="Q41" s="21"/>
      <c r="R41" s="167">
        <f t="shared" si="5"/>
        <v>0.89999999999999991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[4]Rates!$A$67</f>
        <v>RALP16_GS</v>
      </c>
      <c r="B42" s="30" t="str">
        <f>[4]Rates!$B$67</f>
        <v xml:space="preserve">Disposition of Deferral/Variance Accounts - Power (2016) </v>
      </c>
      <c r="C42" s="15"/>
      <c r="D42" s="99" t="s">
        <v>58</v>
      </c>
      <c r="E42" s="137">
        <f t="shared" si="10"/>
        <v>3000</v>
      </c>
      <c r="F42" s="16">
        <f>IF($A42&lt;&gt;"",VLOOKUP($A42,[4]Rates!$A$1:$R$65536,12,FALSE),0)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-7.8</v>
      </c>
      <c r="K42" s="21"/>
      <c r="L42" s="167">
        <f t="shared" si="2"/>
        <v>-7.8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7.8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[4]Rates!$A$54</f>
        <v>LV_GS</v>
      </c>
      <c r="B44" s="31" t="s">
        <v>18</v>
      </c>
      <c r="C44" s="15"/>
      <c r="D44" s="99" t="s">
        <v>58</v>
      </c>
      <c r="E44" s="137">
        <f t="shared" si="10"/>
        <v>3000</v>
      </c>
      <c r="F44" s="16">
        <f>IF($A44&lt;&gt;"",VLOOKUP($A44,[4]Rates!$A$1:$R$65536,12,FALSE),0)</f>
        <v>2.9999999999999997E-4</v>
      </c>
      <c r="G44" s="18">
        <f t="shared" si="9"/>
        <v>0.89999999999999991</v>
      </c>
      <c r="H44" s="38"/>
      <c r="I44" s="16">
        <f>IF($A44&lt;&gt;"",VLOOKUP($A44,[4]Rates!$A$1:$R$65536,14,FALSE),0)</f>
        <v>2.9999999999999997E-4</v>
      </c>
      <c r="J44" s="18">
        <f t="shared" si="11"/>
        <v>0.89999999999999991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4.0000000000000002E-4</v>
      </c>
      <c r="P44" s="18">
        <f t="shared" si="12"/>
        <v>1.2</v>
      </c>
      <c r="Q44" s="38"/>
      <c r="R44" s="167">
        <f t="shared" si="5"/>
        <v>0.30000000000000004</v>
      </c>
      <c r="S44" s="123">
        <f t="shared" si="6"/>
        <v>0.33333333333333343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6">
        <f>$F$18*(1+$F$74)-$F$18</f>
        <v>103.5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11.575439999999999</v>
      </c>
      <c r="H45" s="288">
        <f>$F$18*(1+$O$74)-$F$18</f>
        <v>110.69999999999982</v>
      </c>
      <c r="I45" s="32">
        <f>0.64*$F$55+0.18*$F$56+0.18*$F$57</f>
        <v>0.11183999999999999</v>
      </c>
      <c r="J45" s="18">
        <f>$E45*I45</f>
        <v>11.575439999999999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12.38068799999998</v>
      </c>
      <c r="Q45" s="38"/>
      <c r="R45" s="169">
        <f t="shared" si="5"/>
        <v>0.80524799999998109</v>
      </c>
      <c r="S45" s="123">
        <f t="shared" si="6"/>
        <v>6.9565217391302725E-2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9"/>
        <v>0.79</v>
      </c>
      <c r="H46" s="281"/>
      <c r="I46" s="32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7"/>
      <c r="F47" s="35"/>
      <c r="G47" s="37">
        <f>SUM(G40:G46)+G39</f>
        <v>82.035439999999994</v>
      </c>
      <c r="H47" s="281"/>
      <c r="I47" s="35"/>
      <c r="J47" s="37">
        <f>SUM(J40:J46)+J39</f>
        <v>96.545439999999999</v>
      </c>
      <c r="K47" s="38"/>
      <c r="L47" s="170">
        <f t="shared" si="2"/>
        <v>14.510000000000005</v>
      </c>
      <c r="M47" s="125">
        <f>IF((G47)=0,"",(L47/G47))</f>
        <v>0.17687477509720198</v>
      </c>
      <c r="N47" s="38"/>
      <c r="O47" s="35"/>
      <c r="P47" s="37">
        <f>SUM(P40:P46)+P39</f>
        <v>101.81884202266511</v>
      </c>
      <c r="Q47" s="38"/>
      <c r="R47" s="170">
        <f t="shared" si="5"/>
        <v>5.2734020226651097</v>
      </c>
      <c r="S47" s="125">
        <f t="shared" si="6"/>
        <v>5.4620933134336636E-2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[4]Rates!$A$76</f>
        <v>TN_GS</v>
      </c>
      <c r="B48" s="19" t="s">
        <v>22</v>
      </c>
      <c r="C48" s="19"/>
      <c r="D48" s="101" t="s">
        <v>58</v>
      </c>
      <c r="E48" s="137">
        <f>F18*(1+F74)</f>
        <v>3103.5</v>
      </c>
      <c r="F48" s="20">
        <f>IF($A48&lt;&gt;"",VLOOKUP($A48,[4]Rates!$A$1:$R$65536,12,FALSE),0)</f>
        <v>7.1999999999999998E-3</v>
      </c>
      <c r="G48" s="18">
        <f>E48*F48</f>
        <v>22.345199999999998</v>
      </c>
      <c r="H48" s="283">
        <f>F18*(1+O74)</f>
        <v>3110.7</v>
      </c>
      <c r="I48" s="20">
        <f>IF($A48&lt;&gt;"",VLOOKUP($A48,[4]Rates!$A$1:$R$65536,14,FALSE),0)</f>
        <v>7.1999999999999998E-3</v>
      </c>
      <c r="J48" s="18">
        <f>$E48*I48</f>
        <v>22.345199999999998</v>
      </c>
      <c r="K48" s="38"/>
      <c r="L48" s="171">
        <f>J48-G48</f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7.3000000000000001E-3</v>
      </c>
      <c r="P48" s="18">
        <f>$H48*O48</f>
        <v>22.708109999999998</v>
      </c>
      <c r="Q48" s="38"/>
      <c r="R48" s="171">
        <f t="shared" si="5"/>
        <v>0.3629099999999994</v>
      </c>
      <c r="S48" s="123">
        <f t="shared" si="6"/>
        <v>1.6241071908060765E-2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[4]Rates!$A$77</f>
        <v>TC_GS</v>
      </c>
      <c r="B49" s="40" t="s">
        <v>23</v>
      </c>
      <c r="C49" s="19"/>
      <c r="D49" s="101" t="s">
        <v>58</v>
      </c>
      <c r="E49" s="137">
        <f>E48</f>
        <v>3103.5</v>
      </c>
      <c r="F49" s="20">
        <f>IF($A49&lt;&gt;"",VLOOKUP($A49,[4]Rates!$A$1:$R$65536,12,FALSE),0)</f>
        <v>3.0000000000000001E-3</v>
      </c>
      <c r="G49" s="18">
        <f>E49*F49</f>
        <v>9.3104999999999993</v>
      </c>
      <c r="H49" s="283">
        <f>H48</f>
        <v>3110.7</v>
      </c>
      <c r="I49" s="20">
        <f>IF($A49&lt;&gt;"",VLOOKUP($A49,[4]Rates!$A$1:$R$65536,14,FALSE),0)</f>
        <v>3.0000000000000001E-3</v>
      </c>
      <c r="J49" s="18">
        <f>$E49*I49</f>
        <v>9.3104999999999993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3.3E-3</v>
      </c>
      <c r="P49" s="18">
        <f>$H49*O49</f>
        <v>10.265309999999999</v>
      </c>
      <c r="Q49" s="38"/>
      <c r="R49" s="171">
        <f t="shared" si="5"/>
        <v>0.95481000000000016</v>
      </c>
      <c r="S49" s="123">
        <f t="shared" si="6"/>
        <v>0.10255195746737557</v>
      </c>
      <c r="T49" s="38"/>
    </row>
    <row r="50" spans="1:360" x14ac:dyDescent="0.25">
      <c r="B50" s="33" t="s">
        <v>24</v>
      </c>
      <c r="C50" s="25"/>
      <c r="D50" s="41"/>
      <c r="E50" s="287"/>
      <c r="F50" s="41"/>
      <c r="G50" s="37">
        <f>SUM(G47:G49)</f>
        <v>113.69114</v>
      </c>
      <c r="H50" s="282"/>
      <c r="I50" s="41"/>
      <c r="J50" s="37">
        <f>SUM(J47:J49)</f>
        <v>128.20113999999998</v>
      </c>
      <c r="K50" s="109"/>
      <c r="L50" s="172">
        <f t="shared" si="2"/>
        <v>14.509999999999977</v>
      </c>
      <c r="M50" s="125">
        <f t="shared" si="13"/>
        <v>0.12762647995261528</v>
      </c>
      <c r="N50" s="109"/>
      <c r="O50" s="41"/>
      <c r="P50" s="37">
        <f>SUM(P47:P49)</f>
        <v>134.79226202266511</v>
      </c>
      <c r="Q50" s="109"/>
      <c r="R50" s="172">
        <f t="shared" si="5"/>
        <v>6.5911220226651324</v>
      </c>
      <c r="S50" s="125">
        <f t="shared" si="6"/>
        <v>5.1412351112206441E-2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3103.5</v>
      </c>
      <c r="F51" s="43">
        <v>3.5999999999999999E-3</v>
      </c>
      <c r="G51" s="44">
        <f t="shared" ref="G51:G59" si="14">E51*F51</f>
        <v>11.172599999999999</v>
      </c>
      <c r="H51" s="283">
        <f>H49</f>
        <v>3110.7</v>
      </c>
      <c r="I51" s="43">
        <v>3.5999999999999999E-3</v>
      </c>
      <c r="J51" s="44">
        <f>$E51*I51</f>
        <v>11.172599999999999</v>
      </c>
      <c r="K51" s="17"/>
      <c r="L51" s="173">
        <f t="shared" si="2"/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11.198519999999998</v>
      </c>
      <c r="Q51" s="17"/>
      <c r="R51" s="173">
        <f>P51-J51</f>
        <v>2.5919999999999277E-2</v>
      </c>
      <c r="S51" s="126">
        <f t="shared" si="6"/>
        <v>2.3199613339777024E-3</v>
      </c>
      <c r="T51" s="17"/>
    </row>
    <row r="52" spans="1:360" x14ac:dyDescent="0.25">
      <c r="B52" s="42" t="s">
        <v>26</v>
      </c>
      <c r="C52" s="15"/>
      <c r="D52" s="99" t="s">
        <v>58</v>
      </c>
      <c r="E52" s="137">
        <f>E49</f>
        <v>3103.5</v>
      </c>
      <c r="F52" s="43">
        <v>1.2999999999999999E-3</v>
      </c>
      <c r="G52" s="44">
        <f t="shared" si="14"/>
        <v>4.0345499999999994</v>
      </c>
      <c r="H52" s="283">
        <f>H49</f>
        <v>3110.7</v>
      </c>
      <c r="I52" s="43">
        <v>1.2999999999999999E-3</v>
      </c>
      <c r="J52" s="44">
        <f>$E52*I52</f>
        <v>4.0345499999999994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4.0439099999999994</v>
      </c>
      <c r="Q52" s="17"/>
      <c r="R52" s="173">
        <f t="shared" si="5"/>
        <v>9.360000000000035E-3</v>
      </c>
      <c r="S52" s="126">
        <f t="shared" si="6"/>
        <v>2.3199613339777761E-3</v>
      </c>
      <c r="T52" s="1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4"/>
        <v>0.25</v>
      </c>
      <c r="H53" s="283"/>
      <c r="I53" s="43">
        <v>0.25</v>
      </c>
      <c r="J53" s="44">
        <f t="shared" ref="J53:J54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43">
        <v>0.25</v>
      </c>
      <c r="P53" s="44">
        <f t="shared" ref="P53:P54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37">
        <f>F18</f>
        <v>3000</v>
      </c>
      <c r="F54" s="43">
        <v>7.0000000000000001E-3</v>
      </c>
      <c r="G54" s="44">
        <f t="shared" si="14"/>
        <v>21</v>
      </c>
      <c r="H54" s="283"/>
      <c r="I54" s="43">
        <v>7.0000000000000001E-3</v>
      </c>
      <c r="J54" s="44">
        <f t="shared" si="15"/>
        <v>21</v>
      </c>
      <c r="K54" s="17"/>
      <c r="L54" s="173">
        <f t="shared" si="2"/>
        <v>0</v>
      </c>
      <c r="M54" s="126">
        <f t="shared" si="13"/>
        <v>0</v>
      </c>
      <c r="N54" s="17"/>
      <c r="O54" s="43">
        <v>7.0000000000000001E-3</v>
      </c>
      <c r="P54" s="44">
        <f t="shared" si="16"/>
        <v>21</v>
      </c>
      <c r="Q54" s="17"/>
      <c r="R54" s="173">
        <f t="shared" si="5"/>
        <v>0</v>
      </c>
      <c r="S54" s="126">
        <f t="shared" si="6"/>
        <v>0</v>
      </c>
      <c r="T54" s="17"/>
    </row>
    <row r="55" spans="1:360" x14ac:dyDescent="0.25">
      <c r="B55" s="31" t="s">
        <v>29</v>
      </c>
      <c r="C55" s="15"/>
      <c r="D55" s="99" t="s">
        <v>58</v>
      </c>
      <c r="E55" s="137">
        <f>0.64*$F$18</f>
        <v>1920</v>
      </c>
      <c r="F55" s="46">
        <f>Residential!F55</f>
        <v>8.6999999999999994E-2</v>
      </c>
      <c r="G55" s="44">
        <f t="shared" si="14"/>
        <v>167.04</v>
      </c>
      <c r="H55" s="289">
        <f>0.64*$F$18</f>
        <v>1920</v>
      </c>
      <c r="I55" s="46">
        <f>F55</f>
        <v>8.6999999999999994E-2</v>
      </c>
      <c r="J55" s="44">
        <f>$H55*I55</f>
        <v>167.04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>$H55*O55</f>
        <v>167.04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37">
        <f>0.18*$F$18</f>
        <v>540</v>
      </c>
      <c r="F56" s="46">
        <f>Residential!F56</f>
        <v>0.13200000000000001</v>
      </c>
      <c r="G56" s="44">
        <f t="shared" si="14"/>
        <v>71.28</v>
      </c>
      <c r="H56" s="289">
        <f>0.18*$F$18</f>
        <v>540</v>
      </c>
      <c r="I56" s="46">
        <f t="shared" ref="I56:I59" si="17">F56</f>
        <v>0.13200000000000001</v>
      </c>
      <c r="J56" s="44">
        <f>$H56*I56</f>
        <v>71.28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>$H56*O56</f>
        <v>71.28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37">
        <f>0.18*$F$18</f>
        <v>540</v>
      </c>
      <c r="F57" s="46">
        <f>Residential!F57</f>
        <v>0.18</v>
      </c>
      <c r="G57" s="44">
        <f t="shared" si="14"/>
        <v>97.2</v>
      </c>
      <c r="H57" s="289">
        <f>0.18*$F$18</f>
        <v>540</v>
      </c>
      <c r="I57" s="46">
        <f t="shared" si="17"/>
        <v>0.18</v>
      </c>
      <c r="J57" s="44">
        <f>$H57*I57</f>
        <v>97.2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>$H57*O57</f>
        <v>97.2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37">
        <f>F18</f>
        <v>3000</v>
      </c>
      <c r="F58" s="43">
        <v>1.1000000000000001E-3</v>
      </c>
      <c r="G58" s="44">
        <f>E58*F58</f>
        <v>3.3000000000000003</v>
      </c>
      <c r="H58" s="289"/>
      <c r="I58" s="43">
        <v>1.1000000000000001E-3</v>
      </c>
      <c r="J58" s="44">
        <f>$E58*I58</f>
        <v>3.3000000000000003</v>
      </c>
      <c r="K58" s="110"/>
      <c r="L58" s="174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>$E58*O58</f>
        <v>3.3000000000000003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4"/>
        <v>0</v>
      </c>
      <c r="H59" s="289"/>
      <c r="I59" s="46">
        <f t="shared" si="17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488.96829000000002</v>
      </c>
      <c r="H61" s="57"/>
      <c r="I61" s="56"/>
      <c r="J61" s="58">
        <f>SUM(J51:J58,J50)</f>
        <v>503.47829000000002</v>
      </c>
      <c r="K61" s="57"/>
      <c r="L61" s="176">
        <f>J61-G61</f>
        <v>14.509999999999991</v>
      </c>
      <c r="M61" s="128">
        <f>IF((G61)=0,"",(L61/G61))</f>
        <v>2.9674725941839685E-2</v>
      </c>
      <c r="N61" s="57"/>
      <c r="O61" s="56"/>
      <c r="P61" s="58">
        <f>SUM(P51:P58,P50)</f>
        <v>510.10469202266506</v>
      </c>
      <c r="Q61" s="57"/>
      <c r="R61" s="176">
        <f>P61-J61</f>
        <v>6.6264020226650473</v>
      </c>
      <c r="S61" s="128">
        <f>IF((J61)=0,"",(R61/J61))</f>
        <v>1.3161246779210772E-2</v>
      </c>
      <c r="T61" s="57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63.565877700000009</v>
      </c>
      <c r="H62" s="61"/>
      <c r="I62" s="60">
        <v>0.13</v>
      </c>
      <c r="J62" s="62">
        <f>J61*I62</f>
        <v>65.452177700000007</v>
      </c>
      <c r="K62" s="61"/>
      <c r="L62" s="176">
        <f>J62-G62</f>
        <v>1.8862999999999985</v>
      </c>
      <c r="M62" s="129">
        <f>IF((G62)=0,"",(L62/G62))</f>
        <v>2.9674725941839678E-2</v>
      </c>
      <c r="N62" s="61"/>
      <c r="O62" s="60">
        <v>0.13</v>
      </c>
      <c r="P62" s="62">
        <f>P61*O62</f>
        <v>66.313609962946458</v>
      </c>
      <c r="Q62" s="61"/>
      <c r="R62" s="176">
        <f t="shared" si="5"/>
        <v>0.86143226294645103</v>
      </c>
      <c r="S62" s="129">
        <f t="shared" ref="S62:S64" si="19">IF((J62)=0,"",(R62/J62))</f>
        <v>1.3161246779210692E-2</v>
      </c>
      <c r="T62" s="61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552.53416770000001</v>
      </c>
      <c r="H63" s="61"/>
      <c r="I63" s="64"/>
      <c r="J63" s="62">
        <f>J61+J62</f>
        <v>568.93046770000001</v>
      </c>
      <c r="K63" s="61"/>
      <c r="L63" s="176">
        <f>J63-G63</f>
        <v>16.396299999999997</v>
      </c>
      <c r="M63" s="129">
        <f>IF((G63)=0,"",(L63/G63))</f>
        <v>2.9674725941839699E-2</v>
      </c>
      <c r="N63" s="61"/>
      <c r="O63" s="64"/>
      <c r="P63" s="62">
        <f>P61+P62</f>
        <v>576.41830198561149</v>
      </c>
      <c r="Q63" s="61"/>
      <c r="R63" s="176">
        <f t="shared" si="5"/>
        <v>7.4878342856114841</v>
      </c>
      <c r="S63" s="129">
        <f t="shared" si="19"/>
        <v>1.3161246779210739E-2</v>
      </c>
      <c r="T63" s="61"/>
    </row>
    <row r="64" spans="1:360" ht="15" customHeight="1" x14ac:dyDescent="0.25">
      <c r="B64" s="406" t="s">
        <v>35</v>
      </c>
      <c r="C64" s="406"/>
      <c r="D64" s="40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96"/>
      <c r="F65" s="66"/>
      <c r="G65" s="67">
        <f>G63+G64</f>
        <v>552.53416770000001</v>
      </c>
      <c r="H65" s="57"/>
      <c r="I65" s="66"/>
      <c r="J65" s="67">
        <f>J63+J64</f>
        <v>568.93046770000001</v>
      </c>
      <c r="K65" s="57"/>
      <c r="L65" s="178">
        <f>J65-G65</f>
        <v>16.396299999999997</v>
      </c>
      <c r="M65" s="131">
        <f>IF((G65)=0,"",(L65/G65))</f>
        <v>2.9674725941839699E-2</v>
      </c>
      <c r="N65" s="57"/>
      <c r="O65" s="66"/>
      <c r="P65" s="67">
        <f>P63+P64</f>
        <v>576.41830198561149</v>
      </c>
      <c r="Q65" s="57"/>
      <c r="R65" s="178">
        <f t="shared" si="5"/>
        <v>7.4878342856114841</v>
      </c>
      <c r="S65" s="131">
        <f>IF((J65)=0,"",(R65/J65))</f>
        <v>1.3161246779210739E-2</v>
      </c>
      <c r="T65" s="57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153.44828999999999</v>
      </c>
      <c r="H67" s="74"/>
      <c r="I67" s="73"/>
      <c r="J67" s="75">
        <f>SUM(J58:J59,J50,J51:J54)</f>
        <v>167.95828999999998</v>
      </c>
      <c r="K67" s="74"/>
      <c r="L67" s="180">
        <f>J67-G67</f>
        <v>14.509999999999991</v>
      </c>
      <c r="M67" s="128">
        <f>IF((G67)=0,"",(L67/G67))</f>
        <v>9.4559541849570244E-2</v>
      </c>
      <c r="N67" s="74"/>
      <c r="O67" s="73"/>
      <c r="P67" s="75">
        <f>SUM(P58:P59,P50,P51:P54)</f>
        <v>174.58469202266514</v>
      </c>
      <c r="Q67" s="74"/>
      <c r="R67" s="180">
        <f t="shared" si="5"/>
        <v>6.626402022665161</v>
      </c>
      <c r="S67" s="128">
        <f>IF((J67)=0,"",(R67/J67))</f>
        <v>3.9452664245778889E-2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19.948277699999998</v>
      </c>
      <c r="H68" s="78"/>
      <c r="I68" s="77">
        <v>0.13</v>
      </c>
      <c r="J68" s="79">
        <f>J67*I68</f>
        <v>21.834577699999997</v>
      </c>
      <c r="K68" s="78"/>
      <c r="L68" s="180">
        <f>J68-G68</f>
        <v>1.8862999999999985</v>
      </c>
      <c r="M68" s="129">
        <f>IF((G68)=0,"",(L68/G68))</f>
        <v>9.4559541849570231E-2</v>
      </c>
      <c r="N68" s="78"/>
      <c r="O68" s="77">
        <v>0.13</v>
      </c>
      <c r="P68" s="79">
        <f>P67*O68</f>
        <v>22.696009962946469</v>
      </c>
      <c r="Q68" s="78"/>
      <c r="R68" s="180">
        <f t="shared" si="5"/>
        <v>0.86143226294647235</v>
      </c>
      <c r="S68" s="129">
        <f t="shared" ref="S68:S71" si="20">IF((J68)=0,"",(R68/J68))</f>
        <v>3.9452664245778951E-2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173.39656769999999</v>
      </c>
      <c r="H69" s="78"/>
      <c r="I69" s="81"/>
      <c r="J69" s="79">
        <f>J67+J68</f>
        <v>189.79286769999999</v>
      </c>
      <c r="K69" s="78"/>
      <c r="L69" s="180">
        <f>J69-G69</f>
        <v>16.396299999999997</v>
      </c>
      <c r="M69" s="129">
        <f>IF((G69)=0,"",(L69/G69))</f>
        <v>9.4559541849570286E-2</v>
      </c>
      <c r="N69" s="78"/>
      <c r="O69" s="81"/>
      <c r="P69" s="79">
        <f>P67+P68</f>
        <v>197.28070198561161</v>
      </c>
      <c r="Q69" s="78"/>
      <c r="R69" s="180">
        <f t="shared" si="5"/>
        <v>7.4878342856116262</v>
      </c>
      <c r="S69" s="129">
        <f t="shared" si="20"/>
        <v>3.9452664245778854E-2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98"/>
      <c r="F70" s="73">
        <v>0.1</v>
      </c>
      <c r="G70" s="82">
        <f>-G69*F70</f>
        <v>-17.339656770000001</v>
      </c>
      <c r="H70" s="78"/>
      <c r="I70" s="81"/>
      <c r="J70" s="82"/>
      <c r="K70" s="78"/>
      <c r="L70" s="181">
        <f>J70-G70</f>
        <v>17.339656770000001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99"/>
      <c r="F71" s="83"/>
      <c r="G71" s="84">
        <f>SUM(G69:G70)</f>
        <v>156.05691092999999</v>
      </c>
      <c r="H71" s="74"/>
      <c r="I71" s="83"/>
      <c r="J71" s="84">
        <f>SUM(J69:J70)</f>
        <v>189.79286769999999</v>
      </c>
      <c r="K71" s="74"/>
      <c r="L71" s="182">
        <f>J71-G71</f>
        <v>33.735956770000001</v>
      </c>
      <c r="M71" s="132">
        <f>IF((G71)=0,"",(L71/G71))</f>
        <v>0.21617726872174481</v>
      </c>
      <c r="N71" s="74"/>
      <c r="O71" s="83"/>
      <c r="P71" s="84">
        <f>SUM(P69:P70)</f>
        <v>197.28070198561161</v>
      </c>
      <c r="Q71" s="74"/>
      <c r="R71" s="182">
        <f t="shared" si="5"/>
        <v>7.4878342856116262</v>
      </c>
      <c r="S71" s="132">
        <f t="shared" si="20"/>
        <v>3.9452664245778854E-2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8" spans="1:360" x14ac:dyDescent="0.25">
      <c r="A78" s="2" t="s">
        <v>41</v>
      </c>
    </row>
    <row r="79" spans="1:360" x14ac:dyDescent="0.25">
      <c r="A79" s="2" t="s">
        <v>42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pageSetup scale="39" orientation="portrait" horizont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topLeftCell="B1" zoomScale="70" zoomScaleNormal="70" workbookViewId="0">
      <selection activeCell="F19" sqref="F19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customWidth="1"/>
    <col min="7" max="7" width="12.42578125" style="2" customWidth="1"/>
    <col min="8" max="8" width="1.85546875" style="2" customWidth="1"/>
    <col min="9" max="10" width="13.5703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123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73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5000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IF($A23&lt;&gt;"",VLOOKUP($A23,[4]Rates!$A$1:$R$65536,12,FALSE),0)</f>
        <v>26.08</v>
      </c>
      <c r="G23" s="18">
        <f t="shared" ref="G23:G38" si="0">E23*F23</f>
        <v>26.08</v>
      </c>
      <c r="H23" s="38"/>
      <c r="I23" s="114">
        <f>IF($A23&lt;&gt;"",VLOOKUP($A23,[4]Rates!$A$1:$R$65536,14,FALSE),0)</f>
        <v>28.75</v>
      </c>
      <c r="J23" s="18">
        <f>$E23*I23</f>
        <v>28.75</v>
      </c>
      <c r="K23" s="38"/>
      <c r="L23" s="167">
        <f>J23-G23</f>
        <v>2.6700000000000017</v>
      </c>
      <c r="M23" s="123">
        <f>IF((G23)=0,"",(L23/G23))</f>
        <v>0.10237730061349701</v>
      </c>
      <c r="N23" s="38"/>
      <c r="O23" s="114">
        <f>IF($A23&lt;&gt;"",VLOOKUP($A23,[4]Rates!$A$1:$R$65536,15,FALSE),0)</f>
        <v>29.03815402266514</v>
      </c>
      <c r="P23" s="18">
        <f>$E23*O23</f>
        <v>29.03815402266514</v>
      </c>
      <c r="Q23" s="38"/>
      <c r="R23" s="167">
        <f>P23-J23</f>
        <v>0.28815402266513956</v>
      </c>
      <c r="S23" s="123">
        <f>IF((J23)=0,"",(R23/J23))</f>
        <v>1.0022748614439638E-2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[4]Rates!$A$50</f>
        <v>PPE_GS</v>
      </c>
      <c r="B25" s="313" t="s">
        <v>71</v>
      </c>
      <c r="C25" s="305"/>
      <c r="D25" s="306" t="s">
        <v>57</v>
      </c>
      <c r="E25" s="307">
        <v>1</v>
      </c>
      <c r="F25" s="314">
        <f>IF($A25&lt;&gt;"",VLOOKUP($A25,[4]Rates!$A$1:$R$65536,12,FALSE),0)</f>
        <v>0.55000000000000004</v>
      </c>
      <c r="G25" s="309">
        <f t="shared" si="0"/>
        <v>0.55000000000000004</v>
      </c>
      <c r="H25" s="310"/>
      <c r="I25" s="314">
        <f>IF($A25&lt;&gt;"",VLOOKUP($A25,[4]Rates!$A$1:$R$65536,14,FALSE),0)</f>
        <v>0.55000000000000004</v>
      </c>
      <c r="J25" s="309">
        <f t="shared" si="1"/>
        <v>0.55000000000000004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-0.55000000000000004</v>
      </c>
      <c r="S25" s="312">
        <f t="shared" si="6"/>
        <v>-1</v>
      </c>
      <c r="T25" s="310"/>
    </row>
    <row r="26" spans="1:360" s="277" customFormat="1" x14ac:dyDescent="0.25">
      <c r="A26" s="303" t="str">
        <f>[4]Rates!$A$51</f>
        <v>ICMF_GS</v>
      </c>
      <c r="B26" s="313" t="s">
        <v>72</v>
      </c>
      <c r="C26" s="305"/>
      <c r="D26" s="306" t="s">
        <v>57</v>
      </c>
      <c r="E26" s="307">
        <v>1</v>
      </c>
      <c r="F26" s="314">
        <f>IF($A26&lt;&gt;"",VLOOKUP($A26,[4]Rates!$A$1:$R$65536,12,FALSE),0)</f>
        <v>0.14000000000000001</v>
      </c>
      <c r="G26" s="309">
        <f t="shared" si="0"/>
        <v>0.14000000000000001</v>
      </c>
      <c r="H26" s="310"/>
      <c r="I26" s="3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-0.14000000000000001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139</v>
      </c>
      <c r="B27" s="22" t="s">
        <v>140</v>
      </c>
      <c r="C27" s="15"/>
      <c r="D27" s="319" t="s">
        <v>57</v>
      </c>
      <c r="E27" s="13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7.55</v>
      </c>
      <c r="J27" s="18">
        <f t="shared" si="1"/>
        <v>7.55</v>
      </c>
      <c r="K27" s="38"/>
      <c r="L27" s="167">
        <f t="shared" si="2"/>
        <v>7.55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-7.55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[4]Rates!$A$53</f>
        <v>Var_GS</v>
      </c>
      <c r="B29" s="15" t="s">
        <v>14</v>
      </c>
      <c r="C29" s="15"/>
      <c r="D29" s="99" t="s">
        <v>58</v>
      </c>
      <c r="E29" s="137">
        <f>$F$18</f>
        <v>5000</v>
      </c>
      <c r="F29" s="16">
        <f>IF($A29&lt;&gt;"",VLOOKUP($A29,[4]Rates!$A$1:$R$65536,12,FALSE),0)</f>
        <v>1.3899999999999999E-2</v>
      </c>
      <c r="G29" s="18">
        <f t="shared" si="0"/>
        <v>69.5</v>
      </c>
      <c r="H29" s="38"/>
      <c r="I29" s="16">
        <f>IF($A29&lt;&gt;"",VLOOKUP($A29,[4]Rates!$A$1:$R$65536,14,FALSE),0)</f>
        <v>1.5299999999999999E-2</v>
      </c>
      <c r="J29" s="18">
        <f t="shared" si="1"/>
        <v>76.5</v>
      </c>
      <c r="K29" s="38"/>
      <c r="L29" s="167">
        <f t="shared" si="2"/>
        <v>7</v>
      </c>
      <c r="M29" s="123">
        <f t="shared" si="3"/>
        <v>0.10071942446043165</v>
      </c>
      <c r="N29" s="38"/>
      <c r="O29" s="16">
        <f>IF($A29&lt;&gt;"",VLOOKUP($A29,[4]Rates!$A$1:$R$65536,15,FALSE),0)</f>
        <v>1.89E-2</v>
      </c>
      <c r="P29" s="18">
        <f t="shared" si="4"/>
        <v>94.5</v>
      </c>
      <c r="Q29" s="38"/>
      <c r="R29" s="167">
        <f t="shared" si="5"/>
        <v>18</v>
      </c>
      <c r="S29" s="123">
        <f t="shared" si="6"/>
        <v>0.23529411764705882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>
        <f t="shared" ref="E30" si="7">$F$18</f>
        <v>5000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141</v>
      </c>
      <c r="B31" s="22" t="s">
        <v>142</v>
      </c>
      <c r="C31" s="15"/>
      <c r="D31" s="99" t="s">
        <v>58</v>
      </c>
      <c r="E31" s="137">
        <f>$F$18</f>
        <v>5000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4.0000000000000001E-3</v>
      </c>
      <c r="J31" s="18">
        <f t="shared" si="1"/>
        <v>20</v>
      </c>
      <c r="K31" s="38"/>
      <c r="L31" s="167">
        <f t="shared" si="2"/>
        <v>20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-20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[4]Rates!$A$60</f>
        <v>ICMV_GS</v>
      </c>
      <c r="B32" s="304" t="s">
        <v>72</v>
      </c>
      <c r="C32" s="305"/>
      <c r="D32" s="306" t="s">
        <v>58</v>
      </c>
      <c r="E32" s="307">
        <f t="shared" ref="E32:E35" si="8">$F$18</f>
        <v>5000</v>
      </c>
      <c r="F32" s="308">
        <f>IF($A32&lt;&gt;"",VLOOKUP($A32,[4]Rates!$A$1:$R$65536,12,FALSE),0)</f>
        <v>1E-4</v>
      </c>
      <c r="G32" s="309">
        <f t="shared" si="0"/>
        <v>0.5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-0.5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[4]Rates!$A69</f>
        <v>2RAL16_GS</v>
      </c>
      <c r="B33" s="23" t="str">
        <f>[4]Rates!$B69</f>
        <v xml:space="preserve">Disposition of Deferral/Variance Accounts - Group 2 Accounts (2016) </v>
      </c>
      <c r="C33" s="15"/>
      <c r="D33" s="99" t="s">
        <v>58</v>
      </c>
      <c r="E33" s="137">
        <f t="shared" si="8"/>
        <v>5000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6">
        <f>IF($A33&lt;&gt;"",VLOOKUP($A33,[4]Rates!$A$1:$R$65536,15,FALSE),0)</f>
        <v>2.0000000000000001E-4</v>
      </c>
      <c r="P33" s="18">
        <f t="shared" si="4"/>
        <v>1</v>
      </c>
      <c r="Q33" s="38"/>
      <c r="R33" s="167">
        <f t="shared" si="5"/>
        <v>1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[4]Rates!$A70</f>
        <v>LRVA16_GS</v>
      </c>
      <c r="B34" s="23" t="str">
        <f>[4]Rates!$B70</f>
        <v>Lost Revenue Adjustment Mechanism Variance Account (LRAMVA) (2016)</v>
      </c>
      <c r="C34" s="15"/>
      <c r="D34" s="99" t="s">
        <v>58</v>
      </c>
      <c r="E34" s="137">
        <f t="shared" si="8"/>
        <v>5000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2.0000000000000001E-4</v>
      </c>
      <c r="J34" s="18">
        <f t="shared" si="1"/>
        <v>1</v>
      </c>
      <c r="K34" s="38"/>
      <c r="L34" s="167">
        <f t="shared" si="2"/>
        <v>1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-1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[4]Rates!$A71</f>
        <v>PPE16_GS</v>
      </c>
      <c r="B35" s="23" t="str">
        <f>[4]Rates!$B71</f>
        <v>Account 1575 (2016)</v>
      </c>
      <c r="C35" s="15"/>
      <c r="D35" s="99" t="s">
        <v>58</v>
      </c>
      <c r="E35" s="137">
        <f t="shared" si="8"/>
        <v>5000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-1.1999999999999999E-3</v>
      </c>
      <c r="J35" s="18">
        <f t="shared" si="1"/>
        <v>-5.9999999999999991</v>
      </c>
      <c r="K35" s="38"/>
      <c r="L35" s="167">
        <f t="shared" si="2"/>
        <v>-5.9999999999999991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5.9999999999999991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[4]Rates!$A72</f>
        <v>SG16_GS</v>
      </c>
      <c r="B36" s="23" t="str">
        <f>[4]Rates!$B72</f>
        <v>Smart Grid True-up (2016)</v>
      </c>
      <c r="C36" s="15"/>
      <c r="D36" s="99" t="s">
        <v>57</v>
      </c>
      <c r="E36" s="137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-0.67</v>
      </c>
      <c r="J36" s="18">
        <f t="shared" si="1"/>
        <v>-0.67</v>
      </c>
      <c r="K36" s="38"/>
      <c r="L36" s="167">
        <f t="shared" si="2"/>
        <v>-0.67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0.67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[4]Rates!$A73</f>
        <v>SMA16_GS</v>
      </c>
      <c r="B37" s="23" t="str">
        <f>[4]Rates!$B73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0.21</v>
      </c>
      <c r="P37" s="18">
        <f t="shared" si="4"/>
        <v>0.21</v>
      </c>
      <c r="Q37" s="38"/>
      <c r="R37" s="167">
        <f t="shared" si="5"/>
        <v>0.21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7" customFormat="1" x14ac:dyDescent="0.25">
      <c r="A38" s="303" t="str">
        <f>[4]Rates!$A$65</f>
        <v>LRVA_GS</v>
      </c>
      <c r="B38" s="304"/>
      <c r="C38" s="305"/>
      <c r="D38" s="319" t="s">
        <v>58</v>
      </c>
      <c r="E38" s="334">
        <f>E35</f>
        <v>5000</v>
      </c>
      <c r="F38" s="308"/>
      <c r="G38" s="309">
        <f t="shared" si="0"/>
        <v>0</v>
      </c>
      <c r="H38" s="310"/>
      <c r="I38" s="308">
        <f>IF($A38&lt;&gt;"",VLOOKUP($A38,[4]Rates!$A$1:$R$65536,14,FALSE),0)</f>
        <v>0</v>
      </c>
      <c r="J38" s="309">
        <f t="shared" si="1"/>
        <v>0</v>
      </c>
      <c r="K38" s="310"/>
      <c r="L38" s="311">
        <f t="shared" si="2"/>
        <v>0</v>
      </c>
      <c r="M38" s="312" t="str">
        <f t="shared" si="3"/>
        <v/>
      </c>
      <c r="N38" s="310"/>
      <c r="O38" s="308">
        <f>IF($A38&lt;&gt;"",VLOOKUP($A38,[4]Rates!$A$1:$R$65536,15,FALSE),0)</f>
        <v>0</v>
      </c>
      <c r="P38" s="309">
        <f t="shared" si="4"/>
        <v>0</v>
      </c>
      <c r="Q38" s="310"/>
      <c r="R38" s="311">
        <f t="shared" si="5"/>
        <v>0</v>
      </c>
      <c r="S38" s="312" t="str">
        <f t="shared" si="6"/>
        <v/>
      </c>
      <c r="T38" s="310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96.77</v>
      </c>
      <c r="H39" s="38"/>
      <c r="I39" s="26"/>
      <c r="J39" s="28">
        <f>SUM(J23:J38)</f>
        <v>127.67999999999999</v>
      </c>
      <c r="K39" s="38"/>
      <c r="L39" s="168">
        <f t="shared" si="2"/>
        <v>30.909999999999997</v>
      </c>
      <c r="M39" s="124">
        <f>IF((G39)=0,"",(L39/G39))</f>
        <v>0.31941717474423892</v>
      </c>
      <c r="N39" s="38"/>
      <c r="O39" s="26"/>
      <c r="P39" s="28">
        <f>SUM(P23:P38)</f>
        <v>124.74815402266513</v>
      </c>
      <c r="Q39" s="38"/>
      <c r="R39" s="168">
        <f t="shared" si="5"/>
        <v>-2.9318459773348593</v>
      </c>
      <c r="S39" s="124">
        <f t="shared" si="6"/>
        <v>-2.2962452830003598E-2</v>
      </c>
      <c r="T39" s="38"/>
    </row>
    <row r="40" spans="1:360" s="277" customFormat="1" x14ac:dyDescent="0.25">
      <c r="A40" s="303" t="str">
        <f>[4]Rates!$A$58</f>
        <v>RAL14_GS</v>
      </c>
      <c r="B40" s="302"/>
      <c r="C40" s="305"/>
      <c r="D40" s="319" t="s">
        <v>58</v>
      </c>
      <c r="E40" s="334">
        <f>$F$18</f>
        <v>5000</v>
      </c>
      <c r="F40" s="308"/>
      <c r="G40" s="309">
        <f t="shared" ref="G40:G46" si="9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60" x14ac:dyDescent="0.25">
      <c r="A41" s="139" t="str">
        <f>[4]Rates!$A$66</f>
        <v>RAL16_GS</v>
      </c>
      <c r="B41" s="30" t="str">
        <f>[4]Rates!$B$66</f>
        <v xml:space="preserve">Disposition of Deferral/Variance Accounts (2016) </v>
      </c>
      <c r="C41" s="15"/>
      <c r="D41" s="99" t="s">
        <v>58</v>
      </c>
      <c r="E41" s="137">
        <f t="shared" ref="E41:E44" si="10">$F$18</f>
        <v>5000</v>
      </c>
      <c r="F41" s="16">
        <f>IF($A41&lt;&gt;"",VLOOKUP($A41,[4]Rates!$A$1:$R$65536,12,FALSE),0)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1.4999999999999998</v>
      </c>
      <c r="Q41" s="21"/>
      <c r="R41" s="167">
        <f t="shared" si="5"/>
        <v>1.4999999999999998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[4]Rates!$A$67</f>
        <v>RALP16_GS</v>
      </c>
      <c r="B42" s="30" t="str">
        <f>[4]Rates!$B$67</f>
        <v xml:space="preserve">Disposition of Deferral/Variance Accounts - Power (2016) </v>
      </c>
      <c r="C42" s="15"/>
      <c r="D42" s="99" t="s">
        <v>58</v>
      </c>
      <c r="E42" s="137">
        <f t="shared" si="10"/>
        <v>5000</v>
      </c>
      <c r="F42" s="16">
        <f>IF($A42&lt;&gt;"",VLOOKUP($A42,[4]Rates!$A$1:$R$65536,12,FALSE),0)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-13</v>
      </c>
      <c r="K42" s="21"/>
      <c r="L42" s="167">
        <f t="shared" si="2"/>
        <v>-13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13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[4]Rates!$A$54</f>
        <v>LV_GS</v>
      </c>
      <c r="B44" s="31" t="s">
        <v>18</v>
      </c>
      <c r="C44" s="15"/>
      <c r="D44" s="99" t="s">
        <v>58</v>
      </c>
      <c r="E44" s="137">
        <f t="shared" si="10"/>
        <v>5000</v>
      </c>
      <c r="F44" s="16">
        <f>IF($A44&lt;&gt;"",VLOOKUP($A44,[4]Rates!$A$1:$R$65536,12,FALSE),0)</f>
        <v>2.9999999999999997E-4</v>
      </c>
      <c r="G44" s="18">
        <f t="shared" si="9"/>
        <v>1.4999999999999998</v>
      </c>
      <c r="H44" s="38"/>
      <c r="I44" s="16">
        <f>IF($A44&lt;&gt;"",VLOOKUP($A44,[4]Rates!$A$1:$R$65536,14,FALSE),0)</f>
        <v>2.9999999999999997E-4</v>
      </c>
      <c r="J44" s="18">
        <f t="shared" si="11"/>
        <v>1.4999999999999998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4.0000000000000002E-4</v>
      </c>
      <c r="P44" s="18">
        <f t="shared" si="12"/>
        <v>2</v>
      </c>
      <c r="Q44" s="38"/>
      <c r="R44" s="167">
        <f t="shared" si="5"/>
        <v>0.50000000000000022</v>
      </c>
      <c r="S44" s="123">
        <f t="shared" si="6"/>
        <v>0.33333333333333354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6">
        <f>$F$18*(1+$F$74)-$F$18</f>
        <v>172.5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19.292400000000001</v>
      </c>
      <c r="H45" s="288">
        <f>$F$18*(1+$O$74)-$F$18</f>
        <v>184.5</v>
      </c>
      <c r="I45" s="32">
        <f>0.64*$F$55+0.18*$F$56+0.18*$F$57</f>
        <v>0.11183999999999999</v>
      </c>
      <c r="J45" s="18">
        <f>$E45*I45</f>
        <v>19.292400000000001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20.63448</v>
      </c>
      <c r="Q45" s="38"/>
      <c r="R45" s="169">
        <f t="shared" si="5"/>
        <v>1.3420799999999993</v>
      </c>
      <c r="S45" s="123">
        <f t="shared" si="6"/>
        <v>6.9565217391304307E-2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9"/>
        <v>0.79</v>
      </c>
      <c r="H46" s="281"/>
      <c r="I46" s="32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7"/>
      <c r="F47" s="35"/>
      <c r="G47" s="37">
        <f>SUM(G40:G46)+G39</f>
        <v>118.35239999999999</v>
      </c>
      <c r="H47" s="281"/>
      <c r="I47" s="35"/>
      <c r="J47" s="37">
        <f>SUM(J40:J46)+J39</f>
        <v>136.26239999999999</v>
      </c>
      <c r="K47" s="38"/>
      <c r="L47" s="170">
        <f t="shared" si="2"/>
        <v>17.909999999999997</v>
      </c>
      <c r="M47" s="125">
        <f>IF((G47)=0,"",(L47/G47))</f>
        <v>0.15132772972918165</v>
      </c>
      <c r="N47" s="38"/>
      <c r="O47" s="35"/>
      <c r="P47" s="37">
        <f>SUM(P40:P46)+P39</f>
        <v>149.67263402266514</v>
      </c>
      <c r="Q47" s="38"/>
      <c r="R47" s="170">
        <f t="shared" si="5"/>
        <v>13.410234022665151</v>
      </c>
      <c r="S47" s="125">
        <f t="shared" si="6"/>
        <v>9.8414779298362218E-2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[4]Rates!$A$76</f>
        <v>TN_GS</v>
      </c>
      <c r="B48" s="19" t="s">
        <v>22</v>
      </c>
      <c r="C48" s="19"/>
      <c r="D48" s="101" t="s">
        <v>58</v>
      </c>
      <c r="E48" s="137">
        <f>F18*(1+F74)</f>
        <v>5172.5</v>
      </c>
      <c r="F48" s="20">
        <f>IF($A48&lt;&gt;"",VLOOKUP($A48,[4]Rates!$A$1:$R$65536,12,FALSE),0)</f>
        <v>7.1999999999999998E-3</v>
      </c>
      <c r="G48" s="18">
        <f>E48*F48</f>
        <v>37.241999999999997</v>
      </c>
      <c r="H48" s="283">
        <f>F18*(1+O74)</f>
        <v>5184.5</v>
      </c>
      <c r="I48" s="20">
        <f>IF($A48&lt;&gt;"",VLOOKUP($A48,[4]Rates!$A$1:$R$65536,14,FALSE),0)</f>
        <v>7.1999999999999998E-3</v>
      </c>
      <c r="J48" s="18">
        <f>$E48*I48</f>
        <v>37.241999999999997</v>
      </c>
      <c r="K48" s="38"/>
      <c r="L48" s="171">
        <f>J48-G48</f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7.3000000000000001E-3</v>
      </c>
      <c r="P48" s="18">
        <f>$H48*O48</f>
        <v>37.846850000000003</v>
      </c>
      <c r="Q48" s="38"/>
      <c r="R48" s="171">
        <f t="shared" si="5"/>
        <v>0.6048500000000061</v>
      </c>
      <c r="S48" s="123">
        <f t="shared" si="6"/>
        <v>1.6241071908060956E-2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[4]Rates!$A$77</f>
        <v>TC_GS</v>
      </c>
      <c r="B49" s="40" t="s">
        <v>23</v>
      </c>
      <c r="C49" s="19"/>
      <c r="D49" s="101" t="s">
        <v>58</v>
      </c>
      <c r="E49" s="137">
        <f>E48</f>
        <v>5172.5</v>
      </c>
      <c r="F49" s="20">
        <f>IF($A49&lt;&gt;"",VLOOKUP($A49,[4]Rates!$A$1:$R$65536,12,FALSE),0)</f>
        <v>3.0000000000000001E-3</v>
      </c>
      <c r="G49" s="18">
        <f>E49*F49</f>
        <v>15.5175</v>
      </c>
      <c r="H49" s="283">
        <f>H48</f>
        <v>5184.5</v>
      </c>
      <c r="I49" s="20">
        <f>IF($A49&lt;&gt;"",VLOOKUP($A49,[4]Rates!$A$1:$R$65536,14,FALSE),0)</f>
        <v>3.0000000000000001E-3</v>
      </c>
      <c r="J49" s="18">
        <f>$E49*I49</f>
        <v>15.5175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3.3E-3</v>
      </c>
      <c r="P49" s="18">
        <f>$H49*O49</f>
        <v>17.10885</v>
      </c>
      <c r="Q49" s="38"/>
      <c r="R49" s="171">
        <f t="shared" si="5"/>
        <v>1.5913500000000003</v>
      </c>
      <c r="S49" s="123">
        <f t="shared" si="6"/>
        <v>0.10255195746737555</v>
      </c>
      <c r="T49" s="38"/>
    </row>
    <row r="50" spans="1:360" x14ac:dyDescent="0.25">
      <c r="B50" s="33" t="s">
        <v>24</v>
      </c>
      <c r="C50" s="25"/>
      <c r="D50" s="41"/>
      <c r="E50" s="287"/>
      <c r="F50" s="41"/>
      <c r="G50" s="37">
        <f>SUM(G47:G49)</f>
        <v>171.11189999999999</v>
      </c>
      <c r="H50" s="282"/>
      <c r="I50" s="41"/>
      <c r="J50" s="37">
        <f>SUM(J47:J49)</f>
        <v>189.02189999999999</v>
      </c>
      <c r="K50" s="109"/>
      <c r="L50" s="172">
        <f t="shared" si="2"/>
        <v>17.909999999999997</v>
      </c>
      <c r="M50" s="125">
        <f t="shared" si="13"/>
        <v>0.1046683486069642</v>
      </c>
      <c r="N50" s="109"/>
      <c r="O50" s="41"/>
      <c r="P50" s="37">
        <f>SUM(P47:P49)</f>
        <v>204.62833402266514</v>
      </c>
      <c r="Q50" s="109"/>
      <c r="R50" s="172">
        <f t="shared" si="5"/>
        <v>15.606434022665155</v>
      </c>
      <c r="S50" s="125">
        <f t="shared" si="6"/>
        <v>8.2564158029652418E-2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5172.5</v>
      </c>
      <c r="F51" s="43">
        <v>3.5999999999999999E-3</v>
      </c>
      <c r="G51" s="44">
        <f t="shared" ref="G51:G59" si="14">E51*F51</f>
        <v>18.620999999999999</v>
      </c>
      <c r="H51" s="283">
        <f>H49</f>
        <v>5184.5</v>
      </c>
      <c r="I51" s="43">
        <v>3.5999999999999999E-3</v>
      </c>
      <c r="J51" s="44">
        <f>$E51*I51</f>
        <v>18.620999999999999</v>
      </c>
      <c r="K51" s="17"/>
      <c r="L51" s="173">
        <f t="shared" si="2"/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18.664200000000001</v>
      </c>
      <c r="Q51" s="17"/>
      <c r="R51" s="173">
        <f>P51-J51</f>
        <v>4.3200000000002348E-2</v>
      </c>
      <c r="S51" s="126">
        <f t="shared" si="6"/>
        <v>2.3199613339778932E-3</v>
      </c>
      <c r="T51" s="17"/>
    </row>
    <row r="52" spans="1:360" x14ac:dyDescent="0.25">
      <c r="B52" s="42" t="s">
        <v>26</v>
      </c>
      <c r="C52" s="15"/>
      <c r="D52" s="99" t="s">
        <v>58</v>
      </c>
      <c r="E52" s="137">
        <f>E49</f>
        <v>5172.5</v>
      </c>
      <c r="F52" s="43">
        <v>1.2999999999999999E-3</v>
      </c>
      <c r="G52" s="44">
        <f t="shared" si="14"/>
        <v>6.7242499999999996</v>
      </c>
      <c r="H52" s="283">
        <f>H49</f>
        <v>5184.5</v>
      </c>
      <c r="I52" s="43">
        <v>1.2999999999999999E-3</v>
      </c>
      <c r="J52" s="44">
        <f>$E52*I52</f>
        <v>6.7242499999999996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6.7398499999999997</v>
      </c>
      <c r="Q52" s="17"/>
      <c r="R52" s="173">
        <f t="shared" si="5"/>
        <v>1.5600000000000058E-2</v>
      </c>
      <c r="S52" s="126">
        <f t="shared" si="6"/>
        <v>2.3199613339777757E-3</v>
      </c>
      <c r="T52" s="1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4"/>
        <v>0.25</v>
      </c>
      <c r="H53" s="283"/>
      <c r="I53" s="43">
        <v>0.25</v>
      </c>
      <c r="J53" s="44">
        <f t="shared" ref="J53:J54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43">
        <v>0.25</v>
      </c>
      <c r="P53" s="44">
        <f t="shared" ref="P53:P54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37">
        <f>F18</f>
        <v>5000</v>
      </c>
      <c r="F54" s="43">
        <v>7.0000000000000001E-3</v>
      </c>
      <c r="G54" s="44">
        <f t="shared" si="14"/>
        <v>35</v>
      </c>
      <c r="H54" s="283"/>
      <c r="I54" s="43">
        <v>7.0000000000000001E-3</v>
      </c>
      <c r="J54" s="44">
        <f t="shared" si="15"/>
        <v>35</v>
      </c>
      <c r="K54" s="17"/>
      <c r="L54" s="173">
        <f t="shared" si="2"/>
        <v>0</v>
      </c>
      <c r="M54" s="126">
        <f t="shared" si="13"/>
        <v>0</v>
      </c>
      <c r="N54" s="17"/>
      <c r="O54" s="43">
        <v>7.0000000000000001E-3</v>
      </c>
      <c r="P54" s="44">
        <f t="shared" si="16"/>
        <v>35</v>
      </c>
      <c r="Q54" s="17"/>
      <c r="R54" s="173">
        <f t="shared" si="5"/>
        <v>0</v>
      </c>
      <c r="S54" s="126">
        <f t="shared" si="6"/>
        <v>0</v>
      </c>
      <c r="T54" s="17"/>
    </row>
    <row r="55" spans="1:360" x14ac:dyDescent="0.25">
      <c r="B55" s="31" t="s">
        <v>29</v>
      </c>
      <c r="C55" s="15"/>
      <c r="D55" s="99" t="s">
        <v>58</v>
      </c>
      <c r="E55" s="137">
        <f>0.64*$F$18</f>
        <v>3200</v>
      </c>
      <c r="F55" s="46">
        <f>Residential!F55</f>
        <v>8.6999999999999994E-2</v>
      </c>
      <c r="G55" s="44">
        <f t="shared" si="14"/>
        <v>278.39999999999998</v>
      </c>
      <c r="H55" s="289">
        <f>0.64*$F$18</f>
        <v>3200</v>
      </c>
      <c r="I55" s="46">
        <f>F55</f>
        <v>8.6999999999999994E-2</v>
      </c>
      <c r="J55" s="44">
        <f>$H55*I55</f>
        <v>278.39999999999998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>$H55*O55</f>
        <v>278.39999999999998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37">
        <f>0.18*$F$18</f>
        <v>900</v>
      </c>
      <c r="F56" s="46">
        <f>Residential!F56</f>
        <v>0.13200000000000001</v>
      </c>
      <c r="G56" s="44">
        <f t="shared" si="14"/>
        <v>118.80000000000001</v>
      </c>
      <c r="H56" s="289">
        <f>0.18*$F$18</f>
        <v>900</v>
      </c>
      <c r="I56" s="46">
        <f t="shared" ref="I56:I59" si="17">F56</f>
        <v>0.13200000000000001</v>
      </c>
      <c r="J56" s="44">
        <f>$H56*I56</f>
        <v>118.80000000000001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>$H56*O56</f>
        <v>118.80000000000001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37">
        <f>0.18*$F$18</f>
        <v>900</v>
      </c>
      <c r="F57" s="46">
        <f>Residential!F57</f>
        <v>0.18</v>
      </c>
      <c r="G57" s="44">
        <f t="shared" si="14"/>
        <v>162</v>
      </c>
      <c r="H57" s="289">
        <f>0.18*$F$18</f>
        <v>900</v>
      </c>
      <c r="I57" s="46">
        <f t="shared" si="17"/>
        <v>0.18</v>
      </c>
      <c r="J57" s="44">
        <f>$H57*I57</f>
        <v>162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>$H57*O57</f>
        <v>162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37">
        <f>F18</f>
        <v>5000</v>
      </c>
      <c r="F58" s="43">
        <v>1.1000000000000001E-3</v>
      </c>
      <c r="G58" s="44">
        <f>E58*F58</f>
        <v>5.5</v>
      </c>
      <c r="H58" s="289"/>
      <c r="I58" s="43">
        <v>1.1000000000000001E-3</v>
      </c>
      <c r="J58" s="44">
        <f>$E58*I58</f>
        <v>5.5</v>
      </c>
      <c r="K58" s="110"/>
      <c r="L58" s="174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>$E58*O58</f>
        <v>5.5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4"/>
        <v>0</v>
      </c>
      <c r="H59" s="289"/>
      <c r="I59" s="46">
        <f t="shared" si="17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796.40715</v>
      </c>
      <c r="H61" s="57"/>
      <c r="I61" s="56"/>
      <c r="J61" s="58">
        <f>SUM(J51:J58,J50)</f>
        <v>814.31714999999997</v>
      </c>
      <c r="K61" s="57"/>
      <c r="L61" s="176">
        <f>J61-G61</f>
        <v>17.909999999999968</v>
      </c>
      <c r="M61" s="128">
        <f>IF((G61)=0,"",(L61/G61))</f>
        <v>2.2488497246665816E-2</v>
      </c>
      <c r="N61" s="57"/>
      <c r="O61" s="56"/>
      <c r="P61" s="58">
        <f>SUM(P51:P58,P50)</f>
        <v>829.98238402266509</v>
      </c>
      <c r="Q61" s="57"/>
      <c r="R61" s="176">
        <f>P61-J61</f>
        <v>15.665234022665118</v>
      </c>
      <c r="S61" s="128">
        <f>IF((J61)=0,"",(R61/J61))</f>
        <v>1.9237264034860518E-2</v>
      </c>
      <c r="T61" s="57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103.53292950000001</v>
      </c>
      <c r="H62" s="61"/>
      <c r="I62" s="60">
        <v>0.13</v>
      </c>
      <c r="J62" s="62">
        <f>J61*I62</f>
        <v>105.86122949999999</v>
      </c>
      <c r="K62" s="61"/>
      <c r="L62" s="176">
        <f>J62-G62</f>
        <v>2.3282999999999845</v>
      </c>
      <c r="M62" s="129">
        <f>IF((G62)=0,"",(L62/G62))</f>
        <v>2.2488497246665701E-2</v>
      </c>
      <c r="N62" s="61"/>
      <c r="O62" s="60">
        <v>0.13</v>
      </c>
      <c r="P62" s="62">
        <f>P61*O62</f>
        <v>107.89770992294646</v>
      </c>
      <c r="Q62" s="61"/>
      <c r="R62" s="176">
        <f t="shared" si="5"/>
        <v>2.0364804229464681</v>
      </c>
      <c r="S62" s="129">
        <f t="shared" ref="S62:S64" si="19">IF((J62)=0,"",(R62/J62))</f>
        <v>1.9237264034860545E-2</v>
      </c>
      <c r="T62" s="61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899.94007950000002</v>
      </c>
      <c r="H63" s="61"/>
      <c r="I63" s="64"/>
      <c r="J63" s="62">
        <f>J61+J62</f>
        <v>920.17837950000001</v>
      </c>
      <c r="K63" s="61"/>
      <c r="L63" s="176">
        <f>J63-G63</f>
        <v>20.238299999999981</v>
      </c>
      <c r="M63" s="129">
        <f>IF((G63)=0,"",(L63/G63))</f>
        <v>2.2488497246665833E-2</v>
      </c>
      <c r="N63" s="61"/>
      <c r="O63" s="64"/>
      <c r="P63" s="62">
        <f>P61+P62</f>
        <v>937.88009394561152</v>
      </c>
      <c r="Q63" s="61"/>
      <c r="R63" s="176">
        <f t="shared" si="5"/>
        <v>17.701714445611515</v>
      </c>
      <c r="S63" s="129">
        <f t="shared" si="19"/>
        <v>1.9237264034860445E-2</v>
      </c>
      <c r="T63" s="61"/>
    </row>
    <row r="64" spans="1:360" ht="15" customHeight="1" x14ac:dyDescent="0.25">
      <c r="B64" s="406" t="s">
        <v>35</v>
      </c>
      <c r="C64" s="406"/>
      <c r="D64" s="40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96"/>
      <c r="F65" s="66"/>
      <c r="G65" s="67">
        <f>G63+G64</f>
        <v>899.94007950000002</v>
      </c>
      <c r="H65" s="57"/>
      <c r="I65" s="66"/>
      <c r="J65" s="67">
        <f>J63+J64</f>
        <v>920.17837950000001</v>
      </c>
      <c r="K65" s="57"/>
      <c r="L65" s="178">
        <f>J65-G65</f>
        <v>20.238299999999981</v>
      </c>
      <c r="M65" s="131">
        <f>IF((G65)=0,"",(L65/G65))</f>
        <v>2.2488497246665833E-2</v>
      </c>
      <c r="N65" s="57"/>
      <c r="O65" s="66"/>
      <c r="P65" s="67">
        <f>P63+P64</f>
        <v>937.88009394561152</v>
      </c>
      <c r="Q65" s="57"/>
      <c r="R65" s="178">
        <f t="shared" si="5"/>
        <v>17.701714445611515</v>
      </c>
      <c r="S65" s="131">
        <f>IF((J65)=0,"",(R65/J65))</f>
        <v>1.9237264034860445E-2</v>
      </c>
      <c r="T65" s="57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237.20715000000001</v>
      </c>
      <c r="H67" s="74"/>
      <c r="I67" s="73"/>
      <c r="J67" s="75">
        <f>SUM(J58:J59,J50,J51:J54)</f>
        <v>255.11715000000001</v>
      </c>
      <c r="K67" s="74"/>
      <c r="L67" s="180">
        <f>J67-G67</f>
        <v>17.909999999999997</v>
      </c>
      <c r="M67" s="128">
        <f>IF((G67)=0,"",(L67/G67))</f>
        <v>7.5503626260844142E-2</v>
      </c>
      <c r="N67" s="74"/>
      <c r="O67" s="73"/>
      <c r="P67" s="75">
        <f>SUM(P58:P59,P50,P51:P54)</f>
        <v>270.78238402266516</v>
      </c>
      <c r="Q67" s="74"/>
      <c r="R67" s="180">
        <f t="shared" si="5"/>
        <v>15.665234022665146</v>
      </c>
      <c r="S67" s="128">
        <f>IF((J67)=0,"",(R67/J67))</f>
        <v>6.1404080527965858E-2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30.836929500000004</v>
      </c>
      <c r="H68" s="78"/>
      <c r="I68" s="77">
        <v>0.13</v>
      </c>
      <c r="J68" s="79">
        <f>J67*I68</f>
        <v>33.165229500000002</v>
      </c>
      <c r="K68" s="78"/>
      <c r="L68" s="180">
        <f>J68-G68</f>
        <v>2.3282999999999987</v>
      </c>
      <c r="M68" s="129">
        <f>IF((G68)=0,"",(L68/G68))</f>
        <v>7.5503626260844114E-2</v>
      </c>
      <c r="N68" s="78"/>
      <c r="O68" s="77">
        <v>0.13</v>
      </c>
      <c r="P68" s="79">
        <f>P67*O68</f>
        <v>35.20170992294647</v>
      </c>
      <c r="Q68" s="78"/>
      <c r="R68" s="180">
        <f t="shared" si="5"/>
        <v>2.0364804229464681</v>
      </c>
      <c r="S68" s="129">
        <f t="shared" ref="S68:S71" si="20">IF((J68)=0,"",(R68/J68))</f>
        <v>6.1404080527965831E-2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268.04407950000001</v>
      </c>
      <c r="H69" s="78"/>
      <c r="I69" s="81"/>
      <c r="J69" s="79">
        <f>J67+J68</f>
        <v>288.28237949999999</v>
      </c>
      <c r="K69" s="78"/>
      <c r="L69" s="180">
        <f>J69-G69</f>
        <v>20.238299999999981</v>
      </c>
      <c r="M69" s="129">
        <f>IF((G69)=0,"",(L69/G69))</f>
        <v>7.5503626260844087E-2</v>
      </c>
      <c r="N69" s="78"/>
      <c r="O69" s="81"/>
      <c r="P69" s="79">
        <f>P67+P68</f>
        <v>305.98409394561162</v>
      </c>
      <c r="Q69" s="78"/>
      <c r="R69" s="180">
        <f t="shared" si="5"/>
        <v>17.701714445611628</v>
      </c>
      <c r="S69" s="129">
        <f t="shared" si="20"/>
        <v>6.1404080527965914E-2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98"/>
      <c r="F70" s="73">
        <v>0.1</v>
      </c>
      <c r="G70" s="82">
        <f>-G69*F70</f>
        <v>-26.804407950000002</v>
      </c>
      <c r="H70" s="78"/>
      <c r="I70" s="81"/>
      <c r="J70" s="82"/>
      <c r="K70" s="78"/>
      <c r="L70" s="181">
        <f>J70-G70</f>
        <v>26.804407950000002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99"/>
      <c r="F71" s="83"/>
      <c r="G71" s="84">
        <f>SUM(G69:G70)</f>
        <v>241.23967155</v>
      </c>
      <c r="H71" s="74"/>
      <c r="I71" s="83"/>
      <c r="J71" s="84">
        <f>SUM(J69:J70)</f>
        <v>288.28237949999999</v>
      </c>
      <c r="K71" s="74"/>
      <c r="L71" s="182">
        <f>J71-G71</f>
        <v>47.042707949999993</v>
      </c>
      <c r="M71" s="132">
        <f>IF((G71)=0,"",(L71/G71))</f>
        <v>0.1950040291787157</v>
      </c>
      <c r="N71" s="74"/>
      <c r="O71" s="83"/>
      <c r="P71" s="84">
        <f>SUM(P69:P70)</f>
        <v>305.98409394561162</v>
      </c>
      <c r="Q71" s="74"/>
      <c r="R71" s="182">
        <f t="shared" si="5"/>
        <v>17.701714445611628</v>
      </c>
      <c r="S71" s="132">
        <f t="shared" si="20"/>
        <v>6.1404080527965914E-2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8" spans="1:360" x14ac:dyDescent="0.25">
      <c r="A78" s="2" t="s">
        <v>41</v>
      </c>
    </row>
    <row r="79" spans="1:360" x14ac:dyDescent="0.25">
      <c r="A79" s="2" t="s">
        <v>42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topLeftCell="B4" zoomScale="70" zoomScaleNormal="70" workbookViewId="0">
      <selection activeCell="F19" sqref="F19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customWidth="1"/>
    <col min="7" max="7" width="12.42578125" style="2" customWidth="1"/>
    <col min="8" max="8" width="1.85546875" style="2" customWidth="1"/>
    <col min="9" max="10" width="13.5703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123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73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10000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IF($A23&lt;&gt;"",VLOOKUP($A23,[4]Rates!$A$1:$R$65536,12,FALSE),0)</f>
        <v>26.08</v>
      </c>
      <c r="G23" s="18">
        <f t="shared" ref="G23:G38" si="0">E23*F23</f>
        <v>26.08</v>
      </c>
      <c r="H23" s="38"/>
      <c r="I23" s="114">
        <f>IF($A23&lt;&gt;"",VLOOKUP($A23,[4]Rates!$A$1:$R$65536,14,FALSE),0)</f>
        <v>28.75</v>
      </c>
      <c r="J23" s="18">
        <f>$E23*I23</f>
        <v>28.75</v>
      </c>
      <c r="K23" s="38"/>
      <c r="L23" s="167">
        <f>J23-G23</f>
        <v>2.6700000000000017</v>
      </c>
      <c r="M23" s="123">
        <f>IF((G23)=0,"",(L23/G23))</f>
        <v>0.10237730061349701</v>
      </c>
      <c r="N23" s="38"/>
      <c r="O23" s="114">
        <f>IF($A23&lt;&gt;"",VLOOKUP($A23,[4]Rates!$A$1:$R$65536,15,FALSE),0)</f>
        <v>29.03815402266514</v>
      </c>
      <c r="P23" s="18">
        <f>$E23*O23</f>
        <v>29.03815402266514</v>
      </c>
      <c r="Q23" s="38"/>
      <c r="R23" s="167">
        <f>P23-J23</f>
        <v>0.28815402266513956</v>
      </c>
      <c r="S23" s="123">
        <f>IF((J23)=0,"",(R23/J23))</f>
        <v>1.0022748614439638E-2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[4]Rates!$A$50</f>
        <v>PPE_GS</v>
      </c>
      <c r="B25" s="313" t="s">
        <v>71</v>
      </c>
      <c r="C25" s="305"/>
      <c r="D25" s="306" t="s">
        <v>57</v>
      </c>
      <c r="E25" s="307">
        <v>1</v>
      </c>
      <c r="F25" s="314">
        <f>IF($A25&lt;&gt;"",VLOOKUP($A25,[4]Rates!$A$1:$R$65536,12,FALSE),0)</f>
        <v>0.55000000000000004</v>
      </c>
      <c r="G25" s="309">
        <f t="shared" si="0"/>
        <v>0.55000000000000004</v>
      </c>
      <c r="H25" s="310"/>
      <c r="I25" s="314">
        <f>IF($A25&lt;&gt;"",VLOOKUP($A25,[4]Rates!$A$1:$R$65536,14,FALSE),0)</f>
        <v>0.55000000000000004</v>
      </c>
      <c r="J25" s="309">
        <f t="shared" si="1"/>
        <v>0.55000000000000004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-0.55000000000000004</v>
      </c>
      <c r="S25" s="312">
        <f t="shared" si="6"/>
        <v>-1</v>
      </c>
      <c r="T25" s="310"/>
    </row>
    <row r="26" spans="1:360" s="277" customFormat="1" x14ac:dyDescent="0.25">
      <c r="A26" s="303" t="str">
        <f>[4]Rates!$A$51</f>
        <v>ICMF_GS</v>
      </c>
      <c r="B26" s="313" t="s">
        <v>72</v>
      </c>
      <c r="C26" s="305"/>
      <c r="D26" s="306" t="s">
        <v>57</v>
      </c>
      <c r="E26" s="307">
        <v>1</v>
      </c>
      <c r="F26" s="314">
        <f>IF($A26&lt;&gt;"",VLOOKUP($A26,[4]Rates!$A$1:$R$65536,12,FALSE),0)</f>
        <v>0.14000000000000001</v>
      </c>
      <c r="G26" s="309">
        <f t="shared" si="0"/>
        <v>0.14000000000000001</v>
      </c>
      <c r="H26" s="310"/>
      <c r="I26" s="3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-0.14000000000000001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139</v>
      </c>
      <c r="B27" s="22" t="s">
        <v>140</v>
      </c>
      <c r="C27" s="15"/>
      <c r="D27" s="319" t="s">
        <v>57</v>
      </c>
      <c r="E27" s="13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7.55</v>
      </c>
      <c r="J27" s="18">
        <f t="shared" si="1"/>
        <v>7.55</v>
      </c>
      <c r="K27" s="38"/>
      <c r="L27" s="167">
        <f t="shared" si="2"/>
        <v>7.55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-7.55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[4]Rates!$A$53</f>
        <v>Var_GS</v>
      </c>
      <c r="B29" s="15" t="s">
        <v>14</v>
      </c>
      <c r="C29" s="15"/>
      <c r="D29" s="99" t="s">
        <v>58</v>
      </c>
      <c r="E29" s="137">
        <f>$F$18</f>
        <v>10000</v>
      </c>
      <c r="F29" s="16">
        <f>IF($A29&lt;&gt;"",VLOOKUP($A29,[4]Rates!$A$1:$R$65536,12,FALSE),0)</f>
        <v>1.3899999999999999E-2</v>
      </c>
      <c r="G29" s="18">
        <f t="shared" si="0"/>
        <v>139</v>
      </c>
      <c r="H29" s="38"/>
      <c r="I29" s="16">
        <f>IF($A29&lt;&gt;"",VLOOKUP($A29,[4]Rates!$A$1:$R$65536,14,FALSE),0)</f>
        <v>1.5299999999999999E-2</v>
      </c>
      <c r="J29" s="18">
        <f t="shared" si="1"/>
        <v>153</v>
      </c>
      <c r="K29" s="38"/>
      <c r="L29" s="167">
        <f t="shared" si="2"/>
        <v>14</v>
      </c>
      <c r="M29" s="123">
        <f t="shared" si="3"/>
        <v>0.10071942446043165</v>
      </c>
      <c r="N29" s="38"/>
      <c r="O29" s="16">
        <f>IF($A29&lt;&gt;"",VLOOKUP($A29,[4]Rates!$A$1:$R$65536,15,FALSE),0)</f>
        <v>1.89E-2</v>
      </c>
      <c r="P29" s="18">
        <f t="shared" si="4"/>
        <v>189</v>
      </c>
      <c r="Q29" s="38"/>
      <c r="R29" s="167">
        <f t="shared" si="5"/>
        <v>36</v>
      </c>
      <c r="S29" s="123">
        <f t="shared" si="6"/>
        <v>0.23529411764705882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>
        <f t="shared" ref="E30" si="7">$F$18</f>
        <v>10000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141</v>
      </c>
      <c r="B31" s="22" t="s">
        <v>142</v>
      </c>
      <c r="C31" s="15"/>
      <c r="D31" s="99" t="s">
        <v>58</v>
      </c>
      <c r="E31" s="137">
        <f>$F$18</f>
        <v>10000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4.0000000000000001E-3</v>
      </c>
      <c r="J31" s="18">
        <f t="shared" si="1"/>
        <v>40</v>
      </c>
      <c r="K31" s="38"/>
      <c r="L31" s="167">
        <f t="shared" si="2"/>
        <v>40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-40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[4]Rates!$A$60</f>
        <v>ICMV_GS</v>
      </c>
      <c r="B32" s="304" t="s">
        <v>72</v>
      </c>
      <c r="C32" s="305"/>
      <c r="D32" s="306" t="s">
        <v>58</v>
      </c>
      <c r="E32" s="307">
        <f t="shared" ref="E32:E35" si="8">$F$18</f>
        <v>10000</v>
      </c>
      <c r="F32" s="308">
        <f>IF($A32&lt;&gt;"",VLOOKUP($A32,[4]Rates!$A$1:$R$65536,12,FALSE),0)</f>
        <v>1E-4</v>
      </c>
      <c r="G32" s="309">
        <f t="shared" si="0"/>
        <v>1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-1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[4]Rates!$A69</f>
        <v>2RAL16_GS</v>
      </c>
      <c r="B33" s="23" t="str">
        <f>[4]Rates!$B69</f>
        <v xml:space="preserve">Disposition of Deferral/Variance Accounts - Group 2 Accounts (2016) </v>
      </c>
      <c r="C33" s="15"/>
      <c r="D33" s="99" t="s">
        <v>58</v>
      </c>
      <c r="E33" s="137">
        <f t="shared" si="8"/>
        <v>10000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6">
        <f>IF($A33&lt;&gt;"",VLOOKUP($A33,[4]Rates!$A$1:$R$65536,15,FALSE),0)</f>
        <v>2.0000000000000001E-4</v>
      </c>
      <c r="P33" s="18">
        <f t="shared" si="4"/>
        <v>2</v>
      </c>
      <c r="Q33" s="38"/>
      <c r="R33" s="167">
        <f t="shared" si="5"/>
        <v>2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[4]Rates!$A70</f>
        <v>LRVA16_GS</v>
      </c>
      <c r="B34" s="23" t="str">
        <f>[4]Rates!$B70</f>
        <v>Lost Revenue Adjustment Mechanism Variance Account (LRAMVA) (2016)</v>
      </c>
      <c r="C34" s="15"/>
      <c r="D34" s="99" t="s">
        <v>58</v>
      </c>
      <c r="E34" s="137">
        <f t="shared" si="8"/>
        <v>10000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2.0000000000000001E-4</v>
      </c>
      <c r="J34" s="18">
        <f t="shared" si="1"/>
        <v>2</v>
      </c>
      <c r="K34" s="38"/>
      <c r="L34" s="167">
        <f t="shared" si="2"/>
        <v>2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-2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[4]Rates!$A71</f>
        <v>PPE16_GS</v>
      </c>
      <c r="B35" s="23" t="str">
        <f>[4]Rates!$B71</f>
        <v>Account 1575 (2016)</v>
      </c>
      <c r="C35" s="15"/>
      <c r="D35" s="99" t="s">
        <v>58</v>
      </c>
      <c r="E35" s="137">
        <f t="shared" si="8"/>
        <v>10000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-1.1999999999999999E-3</v>
      </c>
      <c r="J35" s="18">
        <f t="shared" si="1"/>
        <v>-11.999999999999998</v>
      </c>
      <c r="K35" s="38"/>
      <c r="L35" s="167">
        <f t="shared" si="2"/>
        <v>-11.999999999999998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11.999999999999998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[4]Rates!$A72</f>
        <v>SG16_GS</v>
      </c>
      <c r="B36" s="23" t="str">
        <f>[4]Rates!$B72</f>
        <v>Smart Grid True-up (2016)</v>
      </c>
      <c r="C36" s="15"/>
      <c r="D36" s="99" t="s">
        <v>57</v>
      </c>
      <c r="E36" s="137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-0.67</v>
      </c>
      <c r="J36" s="18">
        <f t="shared" si="1"/>
        <v>-0.67</v>
      </c>
      <c r="K36" s="38"/>
      <c r="L36" s="167">
        <f t="shared" si="2"/>
        <v>-0.67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0.67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[4]Rates!$A73</f>
        <v>SMA16_GS</v>
      </c>
      <c r="B37" s="23" t="str">
        <f>[4]Rates!$B73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0.21</v>
      </c>
      <c r="P37" s="18">
        <f t="shared" si="4"/>
        <v>0.21</v>
      </c>
      <c r="Q37" s="38"/>
      <c r="R37" s="167">
        <f t="shared" si="5"/>
        <v>0.21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7" customFormat="1" x14ac:dyDescent="0.25">
      <c r="A38" s="303" t="str">
        <f>[4]Rates!$A$65</f>
        <v>LRVA_GS</v>
      </c>
      <c r="B38" s="304"/>
      <c r="C38" s="305"/>
      <c r="D38" s="319" t="s">
        <v>58</v>
      </c>
      <c r="E38" s="334">
        <f>E35</f>
        <v>10000</v>
      </c>
      <c r="F38" s="308"/>
      <c r="G38" s="309">
        <f t="shared" si="0"/>
        <v>0</v>
      </c>
      <c r="H38" s="310"/>
      <c r="I38" s="308">
        <f>IF($A38&lt;&gt;"",VLOOKUP($A38,[4]Rates!$A$1:$R$65536,14,FALSE),0)</f>
        <v>0</v>
      </c>
      <c r="J38" s="309">
        <f t="shared" si="1"/>
        <v>0</v>
      </c>
      <c r="K38" s="310"/>
      <c r="L38" s="311">
        <f t="shared" si="2"/>
        <v>0</v>
      </c>
      <c r="M38" s="312" t="str">
        <f t="shared" si="3"/>
        <v/>
      </c>
      <c r="N38" s="310"/>
      <c r="O38" s="308">
        <f>IF($A38&lt;&gt;"",VLOOKUP($A38,[4]Rates!$A$1:$R$65536,15,FALSE),0)</f>
        <v>0</v>
      </c>
      <c r="P38" s="309">
        <f t="shared" si="4"/>
        <v>0</v>
      </c>
      <c r="Q38" s="310"/>
      <c r="R38" s="311">
        <f t="shared" si="5"/>
        <v>0</v>
      </c>
      <c r="S38" s="312" t="str">
        <f t="shared" si="6"/>
        <v/>
      </c>
      <c r="T38" s="310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166.77</v>
      </c>
      <c r="H39" s="38"/>
      <c r="I39" s="26"/>
      <c r="J39" s="28">
        <f>SUM(J23:J38)</f>
        <v>219.18</v>
      </c>
      <c r="K39" s="38"/>
      <c r="L39" s="168">
        <f t="shared" si="2"/>
        <v>52.41</v>
      </c>
      <c r="M39" s="124">
        <f>IF((G39)=0,"",(L39/G39))</f>
        <v>0.31426515560352575</v>
      </c>
      <c r="N39" s="38"/>
      <c r="O39" s="26"/>
      <c r="P39" s="28">
        <f>SUM(P23:P38)</f>
        <v>220.24815402266515</v>
      </c>
      <c r="Q39" s="38"/>
      <c r="R39" s="168">
        <f t="shared" si="5"/>
        <v>1.0681540226651407</v>
      </c>
      <c r="S39" s="124">
        <f t="shared" si="6"/>
        <v>4.8734100860714511E-3</v>
      </c>
      <c r="T39" s="38"/>
    </row>
    <row r="40" spans="1:360" s="277" customFormat="1" x14ac:dyDescent="0.25">
      <c r="A40" s="303" t="str">
        <f>[4]Rates!$A$58</f>
        <v>RAL14_GS</v>
      </c>
      <c r="B40" s="302"/>
      <c r="C40" s="305"/>
      <c r="D40" s="319" t="s">
        <v>58</v>
      </c>
      <c r="E40" s="334">
        <f>$F$18</f>
        <v>10000</v>
      </c>
      <c r="F40" s="308"/>
      <c r="G40" s="309">
        <f t="shared" ref="G40:G46" si="9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60" x14ac:dyDescent="0.25">
      <c r="A41" s="139" t="str">
        <f>[4]Rates!$A$66</f>
        <v>RAL16_GS</v>
      </c>
      <c r="B41" s="30" t="str">
        <f>[4]Rates!$B$66</f>
        <v xml:space="preserve">Disposition of Deferral/Variance Accounts (2016) </v>
      </c>
      <c r="C41" s="15"/>
      <c r="D41" s="99" t="s">
        <v>58</v>
      </c>
      <c r="E41" s="137">
        <f t="shared" ref="E41:E44" si="10">$F$18</f>
        <v>10000</v>
      </c>
      <c r="F41" s="16">
        <f>IF($A41&lt;&gt;"",VLOOKUP($A41,[4]Rates!$A$1:$R$65536,12,FALSE),0)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2.9999999999999996</v>
      </c>
      <c r="Q41" s="21"/>
      <c r="R41" s="167">
        <f t="shared" si="5"/>
        <v>2.9999999999999996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[4]Rates!$A$67</f>
        <v>RALP16_GS</v>
      </c>
      <c r="B42" s="30" t="str">
        <f>[4]Rates!$B$67</f>
        <v xml:space="preserve">Disposition of Deferral/Variance Accounts - Power (2016) </v>
      </c>
      <c r="C42" s="15"/>
      <c r="D42" s="99" t="s">
        <v>58</v>
      </c>
      <c r="E42" s="137">
        <f t="shared" si="10"/>
        <v>10000</v>
      </c>
      <c r="F42" s="16">
        <f>IF($A42&lt;&gt;"",VLOOKUP($A42,[4]Rates!$A$1:$R$65536,12,FALSE),0)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-26</v>
      </c>
      <c r="K42" s="21"/>
      <c r="L42" s="167">
        <f t="shared" si="2"/>
        <v>-26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26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[4]Rates!$A$54</f>
        <v>LV_GS</v>
      </c>
      <c r="B44" s="31" t="s">
        <v>18</v>
      </c>
      <c r="C44" s="15"/>
      <c r="D44" s="99" t="s">
        <v>58</v>
      </c>
      <c r="E44" s="137">
        <f t="shared" si="10"/>
        <v>10000</v>
      </c>
      <c r="F44" s="16">
        <f>IF($A44&lt;&gt;"",VLOOKUP($A44,[4]Rates!$A$1:$R$65536,12,FALSE),0)</f>
        <v>2.9999999999999997E-4</v>
      </c>
      <c r="G44" s="18">
        <f t="shared" si="9"/>
        <v>2.9999999999999996</v>
      </c>
      <c r="H44" s="38"/>
      <c r="I44" s="16">
        <f>IF($A44&lt;&gt;"",VLOOKUP($A44,[4]Rates!$A$1:$R$65536,14,FALSE),0)</f>
        <v>2.9999999999999997E-4</v>
      </c>
      <c r="J44" s="18">
        <f t="shared" si="11"/>
        <v>2.9999999999999996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4.0000000000000002E-4</v>
      </c>
      <c r="P44" s="18">
        <f t="shared" si="12"/>
        <v>4</v>
      </c>
      <c r="Q44" s="38"/>
      <c r="R44" s="167">
        <f t="shared" si="5"/>
        <v>1.0000000000000004</v>
      </c>
      <c r="S44" s="123">
        <f t="shared" si="6"/>
        <v>0.33333333333333354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6">
        <f>$F$18*(1+$F$74)-$F$18</f>
        <v>345</v>
      </c>
      <c r="F45" s="32">
        <f>IF(ISBLANK(D16)=TRUE, 0, IF(D16="TOU", 0.64*$F$55+0.18*$F$56+0.18*$F$57, IF(AND(D16="non-TOU", E59&gt;0), F59,F58)))</f>
        <v>0.11183999999999999</v>
      </c>
      <c r="G45" s="18">
        <f>E45*F45</f>
        <v>38.584800000000001</v>
      </c>
      <c r="H45" s="288">
        <f>$F$18*(1+$O$74)-$F$18</f>
        <v>369</v>
      </c>
      <c r="I45" s="32">
        <f>0.64*$F$55+0.18*$F$56+0.18*$F$57</f>
        <v>0.11183999999999999</v>
      </c>
      <c r="J45" s="18">
        <f>$E45*I45</f>
        <v>38.584800000000001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41.26896</v>
      </c>
      <c r="Q45" s="38"/>
      <c r="R45" s="169">
        <f t="shared" si="5"/>
        <v>2.6841599999999985</v>
      </c>
      <c r="S45" s="123">
        <f t="shared" si="6"/>
        <v>6.9565217391304307E-2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9"/>
        <v>0.79</v>
      </c>
      <c r="H46" s="281"/>
      <c r="I46" s="32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7"/>
      <c r="F47" s="35"/>
      <c r="G47" s="37">
        <f>SUM(G40:G46)+G39</f>
        <v>209.1448</v>
      </c>
      <c r="H47" s="281"/>
      <c r="I47" s="35"/>
      <c r="J47" s="37">
        <f>SUM(J40:J46)+J39</f>
        <v>235.5548</v>
      </c>
      <c r="K47" s="38"/>
      <c r="L47" s="170">
        <f t="shared" si="2"/>
        <v>26.409999999999997</v>
      </c>
      <c r="M47" s="125">
        <f>IF((G47)=0,"",(L47/G47))</f>
        <v>0.12627614934724649</v>
      </c>
      <c r="N47" s="38"/>
      <c r="O47" s="35"/>
      <c r="P47" s="37">
        <f>SUM(P40:P46)+P39</f>
        <v>269.30711402266513</v>
      </c>
      <c r="Q47" s="38"/>
      <c r="R47" s="170">
        <f t="shared" si="5"/>
        <v>33.752314022665132</v>
      </c>
      <c r="S47" s="125">
        <f t="shared" si="6"/>
        <v>0.14328858517281384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[4]Rates!$A$76</f>
        <v>TN_GS</v>
      </c>
      <c r="B48" s="19" t="s">
        <v>22</v>
      </c>
      <c r="C48" s="19"/>
      <c r="D48" s="101" t="s">
        <v>58</v>
      </c>
      <c r="E48" s="137">
        <f>F18*(1+F74)</f>
        <v>10345</v>
      </c>
      <c r="F48" s="20">
        <f>IF($A48&lt;&gt;"",VLOOKUP($A48,[4]Rates!$A$1:$R$65536,12,FALSE),0)</f>
        <v>7.1999999999999998E-3</v>
      </c>
      <c r="G48" s="18">
        <f>E48*F48</f>
        <v>74.483999999999995</v>
      </c>
      <c r="H48" s="283">
        <f>F18*(1+O74)</f>
        <v>10369</v>
      </c>
      <c r="I48" s="20">
        <f>IF($A48&lt;&gt;"",VLOOKUP($A48,[4]Rates!$A$1:$R$65536,14,FALSE),0)</f>
        <v>7.1999999999999998E-3</v>
      </c>
      <c r="J48" s="18">
        <f>$E48*I48</f>
        <v>74.483999999999995</v>
      </c>
      <c r="K48" s="38"/>
      <c r="L48" s="171">
        <f>J48-G48</f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7.3000000000000001E-3</v>
      </c>
      <c r="P48" s="18">
        <f>$H48*O48</f>
        <v>75.693700000000007</v>
      </c>
      <c r="Q48" s="38"/>
      <c r="R48" s="171">
        <f t="shared" si="5"/>
        <v>1.2097000000000122</v>
      </c>
      <c r="S48" s="123">
        <f t="shared" si="6"/>
        <v>1.6241071908060956E-2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[4]Rates!$A$77</f>
        <v>TC_GS</v>
      </c>
      <c r="B49" s="40" t="s">
        <v>23</v>
      </c>
      <c r="C49" s="19"/>
      <c r="D49" s="101" t="s">
        <v>58</v>
      </c>
      <c r="E49" s="137">
        <f>E48</f>
        <v>10345</v>
      </c>
      <c r="F49" s="20">
        <f>IF($A49&lt;&gt;"",VLOOKUP($A49,[4]Rates!$A$1:$R$65536,12,FALSE),0)</f>
        <v>3.0000000000000001E-3</v>
      </c>
      <c r="G49" s="18">
        <f>E49*F49</f>
        <v>31.035</v>
      </c>
      <c r="H49" s="283">
        <f>H48</f>
        <v>10369</v>
      </c>
      <c r="I49" s="20">
        <f>IF($A49&lt;&gt;"",VLOOKUP($A49,[4]Rates!$A$1:$R$65536,14,FALSE),0)</f>
        <v>3.0000000000000001E-3</v>
      </c>
      <c r="J49" s="18">
        <f>$E49*I49</f>
        <v>31.035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3.3E-3</v>
      </c>
      <c r="P49" s="18">
        <f>$H49*O49</f>
        <v>34.217700000000001</v>
      </c>
      <c r="Q49" s="38"/>
      <c r="R49" s="171">
        <f t="shared" si="5"/>
        <v>3.1827000000000005</v>
      </c>
      <c r="S49" s="123">
        <f t="shared" si="6"/>
        <v>0.10255195746737555</v>
      </c>
      <c r="T49" s="38"/>
    </row>
    <row r="50" spans="1:360" x14ac:dyDescent="0.25">
      <c r="B50" s="33" t="s">
        <v>24</v>
      </c>
      <c r="C50" s="25"/>
      <c r="D50" s="41"/>
      <c r="E50" s="287"/>
      <c r="F50" s="41"/>
      <c r="G50" s="37">
        <f>SUM(G47:G49)</f>
        <v>314.66380000000004</v>
      </c>
      <c r="H50" s="282"/>
      <c r="I50" s="41"/>
      <c r="J50" s="37">
        <f>SUM(J47:J49)</f>
        <v>341.07380000000001</v>
      </c>
      <c r="K50" s="109"/>
      <c r="L50" s="172">
        <f t="shared" si="2"/>
        <v>26.409999999999968</v>
      </c>
      <c r="M50" s="125">
        <f t="shared" si="13"/>
        <v>8.3930849370025928E-2</v>
      </c>
      <c r="N50" s="109"/>
      <c r="O50" s="41"/>
      <c r="P50" s="37">
        <f>SUM(P47:P49)</f>
        <v>379.21851402266515</v>
      </c>
      <c r="Q50" s="109"/>
      <c r="R50" s="172">
        <f t="shared" si="5"/>
        <v>38.144714022665141</v>
      </c>
      <c r="S50" s="125">
        <f t="shared" si="6"/>
        <v>0.11183712739783924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10345</v>
      </c>
      <c r="F51" s="43">
        <v>3.5999999999999999E-3</v>
      </c>
      <c r="G51" s="44">
        <f t="shared" ref="G51:G59" si="14">E51*F51</f>
        <v>37.241999999999997</v>
      </c>
      <c r="H51" s="283">
        <f>H49</f>
        <v>10369</v>
      </c>
      <c r="I51" s="43">
        <v>3.5999999999999999E-3</v>
      </c>
      <c r="J51" s="44">
        <f>$E51*I51</f>
        <v>37.241999999999997</v>
      </c>
      <c r="K51" s="17"/>
      <c r="L51" s="173">
        <f t="shared" si="2"/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37.328400000000002</v>
      </c>
      <c r="Q51" s="17"/>
      <c r="R51" s="173">
        <f>P51-J51</f>
        <v>8.6400000000004695E-2</v>
      </c>
      <c r="S51" s="126">
        <f t="shared" si="6"/>
        <v>2.3199613339778932E-3</v>
      </c>
      <c r="T51" s="17"/>
    </row>
    <row r="52" spans="1:360" x14ac:dyDescent="0.25">
      <c r="B52" s="42" t="s">
        <v>26</v>
      </c>
      <c r="C52" s="15"/>
      <c r="D52" s="99" t="s">
        <v>58</v>
      </c>
      <c r="E52" s="137">
        <f>E49</f>
        <v>10345</v>
      </c>
      <c r="F52" s="43">
        <v>1.2999999999999999E-3</v>
      </c>
      <c r="G52" s="44">
        <f t="shared" si="14"/>
        <v>13.448499999999999</v>
      </c>
      <c r="H52" s="283">
        <f>H49</f>
        <v>10369</v>
      </c>
      <c r="I52" s="43">
        <v>1.2999999999999999E-3</v>
      </c>
      <c r="J52" s="44">
        <f>$E52*I52</f>
        <v>13.448499999999999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13.479699999999999</v>
      </c>
      <c r="Q52" s="17"/>
      <c r="R52" s="173">
        <f t="shared" si="5"/>
        <v>3.1200000000000117E-2</v>
      </c>
      <c r="S52" s="126">
        <f t="shared" si="6"/>
        <v>2.3199613339777757E-3</v>
      </c>
      <c r="T52" s="1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4"/>
        <v>0.25</v>
      </c>
      <c r="H53" s="283"/>
      <c r="I53" s="43">
        <v>0.25</v>
      </c>
      <c r="J53" s="44">
        <f t="shared" ref="J53:J54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43">
        <v>0.25</v>
      </c>
      <c r="P53" s="44">
        <f t="shared" ref="P53:P54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37">
        <f>F18</f>
        <v>10000</v>
      </c>
      <c r="F54" s="43">
        <v>7.0000000000000001E-3</v>
      </c>
      <c r="G54" s="44">
        <f t="shared" si="14"/>
        <v>70</v>
      </c>
      <c r="H54" s="283"/>
      <c r="I54" s="43">
        <v>7.0000000000000001E-3</v>
      </c>
      <c r="J54" s="44">
        <f t="shared" si="15"/>
        <v>70</v>
      </c>
      <c r="K54" s="17"/>
      <c r="L54" s="173">
        <f t="shared" si="2"/>
        <v>0</v>
      </c>
      <c r="M54" s="126">
        <f t="shared" si="13"/>
        <v>0</v>
      </c>
      <c r="N54" s="17"/>
      <c r="O54" s="43">
        <v>7.0000000000000001E-3</v>
      </c>
      <c r="P54" s="44">
        <f t="shared" si="16"/>
        <v>70</v>
      </c>
      <c r="Q54" s="17"/>
      <c r="R54" s="173">
        <f t="shared" si="5"/>
        <v>0</v>
      </c>
      <c r="S54" s="126">
        <f t="shared" si="6"/>
        <v>0</v>
      </c>
      <c r="T54" s="17"/>
    </row>
    <row r="55" spans="1:360" x14ac:dyDescent="0.25">
      <c r="B55" s="31" t="s">
        <v>29</v>
      </c>
      <c r="C55" s="15"/>
      <c r="D55" s="99" t="s">
        <v>58</v>
      </c>
      <c r="E55" s="137">
        <f>0.64*$F$18</f>
        <v>6400</v>
      </c>
      <c r="F55" s="46">
        <f>Residential!F55</f>
        <v>8.6999999999999994E-2</v>
      </c>
      <c r="G55" s="44">
        <f t="shared" si="14"/>
        <v>556.79999999999995</v>
      </c>
      <c r="H55" s="289">
        <f>0.64*$F$18</f>
        <v>6400</v>
      </c>
      <c r="I55" s="46">
        <f>F55</f>
        <v>8.6999999999999994E-2</v>
      </c>
      <c r="J55" s="44">
        <f>$H55*I55</f>
        <v>556.79999999999995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>$H55*O55</f>
        <v>556.79999999999995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37">
        <f>0.18*$F$18</f>
        <v>1800</v>
      </c>
      <c r="F56" s="46">
        <f>Residential!F56</f>
        <v>0.13200000000000001</v>
      </c>
      <c r="G56" s="44">
        <f t="shared" si="14"/>
        <v>237.60000000000002</v>
      </c>
      <c r="H56" s="289">
        <f>0.18*$F$18</f>
        <v>1800</v>
      </c>
      <c r="I56" s="46">
        <f t="shared" ref="I56:I59" si="17">F56</f>
        <v>0.13200000000000001</v>
      </c>
      <c r="J56" s="44">
        <f>$H56*I56</f>
        <v>237.60000000000002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>$H56*O56</f>
        <v>237.60000000000002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37">
        <f>0.18*$F$18</f>
        <v>1800</v>
      </c>
      <c r="F57" s="46">
        <f>Residential!F57</f>
        <v>0.18</v>
      </c>
      <c r="G57" s="44">
        <f t="shared" si="14"/>
        <v>324</v>
      </c>
      <c r="H57" s="289">
        <f>0.18*$F$18</f>
        <v>1800</v>
      </c>
      <c r="I57" s="46">
        <f t="shared" si="17"/>
        <v>0.18</v>
      </c>
      <c r="J57" s="44">
        <f>$H57*I57</f>
        <v>324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>$H57*O57</f>
        <v>324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37">
        <f>F18</f>
        <v>10000</v>
      </c>
      <c r="F58" s="43">
        <v>1.1000000000000001E-3</v>
      </c>
      <c r="G58" s="44">
        <f>E58*F58</f>
        <v>11</v>
      </c>
      <c r="H58" s="289"/>
      <c r="I58" s="43">
        <v>1.1000000000000001E-3</v>
      </c>
      <c r="J58" s="44">
        <f>$E58*I58</f>
        <v>11</v>
      </c>
      <c r="K58" s="110"/>
      <c r="L58" s="174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>$E58*O58</f>
        <v>11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4"/>
        <v>0</v>
      </c>
      <c r="H59" s="289"/>
      <c r="I59" s="46">
        <f t="shared" si="17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1565.0043000000001</v>
      </c>
      <c r="H61" s="57"/>
      <c r="I61" s="56"/>
      <c r="J61" s="58">
        <f>SUM(J51:J58,J50)</f>
        <v>1591.4142999999999</v>
      </c>
      <c r="K61" s="57"/>
      <c r="L61" s="176">
        <f>J61-G61</f>
        <v>26.409999999999854</v>
      </c>
      <c r="M61" s="128">
        <f>IF((G61)=0,"",(L61/G61))</f>
        <v>1.6875352994237685E-2</v>
      </c>
      <c r="N61" s="57"/>
      <c r="O61" s="56"/>
      <c r="P61" s="58">
        <f>SUM(P51:P58,P50)</f>
        <v>1629.676614022665</v>
      </c>
      <c r="Q61" s="57"/>
      <c r="R61" s="176">
        <f>P61-J61</f>
        <v>38.262314022665123</v>
      </c>
      <c r="S61" s="128">
        <f>IF((J61)=0,"",(R61/J61))</f>
        <v>2.4042962302566417E-2</v>
      </c>
      <c r="T61" s="57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203.45055900000003</v>
      </c>
      <c r="H62" s="61"/>
      <c r="I62" s="60">
        <v>0.13</v>
      </c>
      <c r="J62" s="62">
        <f>J61*I62</f>
        <v>206.883859</v>
      </c>
      <c r="K62" s="61"/>
      <c r="L62" s="176">
        <f>J62-G62</f>
        <v>3.4332999999999743</v>
      </c>
      <c r="M62" s="129">
        <f>IF((G62)=0,"",(L62/G62))</f>
        <v>1.687535299423765E-2</v>
      </c>
      <c r="N62" s="61"/>
      <c r="O62" s="60">
        <v>0.13</v>
      </c>
      <c r="P62" s="62">
        <f>P61*O62</f>
        <v>211.85795982294647</v>
      </c>
      <c r="Q62" s="61"/>
      <c r="R62" s="176">
        <f t="shared" si="5"/>
        <v>4.9741008229464683</v>
      </c>
      <c r="S62" s="129">
        <f t="shared" ref="S62:S64" si="19">IF((J62)=0,"",(R62/J62))</f>
        <v>2.4042962302566428E-2</v>
      </c>
      <c r="T62" s="61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1768.4548590000002</v>
      </c>
      <c r="H63" s="61"/>
      <c r="I63" s="64"/>
      <c r="J63" s="62">
        <f>J61+J62</f>
        <v>1798.2981589999999</v>
      </c>
      <c r="K63" s="61"/>
      <c r="L63" s="176">
        <f>J63-G63</f>
        <v>29.843299999999772</v>
      </c>
      <c r="M63" s="129">
        <f>IF((G63)=0,"",(L63/G63))</f>
        <v>1.687535299423765E-2</v>
      </c>
      <c r="N63" s="61"/>
      <c r="O63" s="64"/>
      <c r="P63" s="62">
        <f>P61+P62</f>
        <v>1841.5345738456115</v>
      </c>
      <c r="Q63" s="61"/>
      <c r="R63" s="176">
        <f t="shared" si="5"/>
        <v>43.236414845611534</v>
      </c>
      <c r="S63" s="129">
        <f t="shared" si="19"/>
        <v>2.4042962302566386E-2</v>
      </c>
      <c r="T63" s="61"/>
    </row>
    <row r="64" spans="1:360" ht="15" customHeight="1" x14ac:dyDescent="0.25">
      <c r="B64" s="406" t="s">
        <v>35</v>
      </c>
      <c r="C64" s="406"/>
      <c r="D64" s="40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96"/>
      <c r="F65" s="66"/>
      <c r="G65" s="67">
        <f>G63+G64</f>
        <v>1768.4548590000002</v>
      </c>
      <c r="H65" s="57"/>
      <c r="I65" s="66"/>
      <c r="J65" s="67">
        <f>J63+J64</f>
        <v>1798.2981589999999</v>
      </c>
      <c r="K65" s="57"/>
      <c r="L65" s="178">
        <f>J65-G65</f>
        <v>29.843299999999772</v>
      </c>
      <c r="M65" s="131">
        <f>IF((G65)=0,"",(L65/G65))</f>
        <v>1.687535299423765E-2</v>
      </c>
      <c r="N65" s="57"/>
      <c r="O65" s="66"/>
      <c r="P65" s="67">
        <f>P63+P64</f>
        <v>1841.5345738456115</v>
      </c>
      <c r="Q65" s="57"/>
      <c r="R65" s="178">
        <f t="shared" si="5"/>
        <v>43.236414845611534</v>
      </c>
      <c r="S65" s="131">
        <f>IF((J65)=0,"",(R65/J65))</f>
        <v>2.4042962302566386E-2</v>
      </c>
      <c r="T65" s="57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446.60430000000008</v>
      </c>
      <c r="H67" s="74"/>
      <c r="I67" s="73"/>
      <c r="J67" s="75">
        <f>SUM(J58:J59,J50,J51:J54)</f>
        <v>473.01430000000005</v>
      </c>
      <c r="K67" s="74"/>
      <c r="L67" s="180">
        <f>J67-G67</f>
        <v>26.409999999999968</v>
      </c>
      <c r="M67" s="128">
        <f>IF((G67)=0,"",(L67/G67))</f>
        <v>5.9135122523450767E-2</v>
      </c>
      <c r="N67" s="74"/>
      <c r="O67" s="73"/>
      <c r="P67" s="75">
        <f>SUM(P58:P59,P50,P51:P54)</f>
        <v>511.27661402266511</v>
      </c>
      <c r="Q67" s="74"/>
      <c r="R67" s="180">
        <f t="shared" si="5"/>
        <v>38.262314022665066</v>
      </c>
      <c r="S67" s="128">
        <f>IF((J67)=0,"",(R67/J67))</f>
        <v>8.0890395961950967E-2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58.05855900000001</v>
      </c>
      <c r="H68" s="78"/>
      <c r="I68" s="77">
        <v>0.13</v>
      </c>
      <c r="J68" s="79">
        <f>J67*I68</f>
        <v>61.491859000000005</v>
      </c>
      <c r="K68" s="78"/>
      <c r="L68" s="180">
        <f>J68-G68</f>
        <v>3.4332999999999956</v>
      </c>
      <c r="M68" s="129">
        <f>IF((G68)=0,"",(L68/G68))</f>
        <v>5.913512252345076E-2</v>
      </c>
      <c r="N68" s="78"/>
      <c r="O68" s="77">
        <v>0.13</v>
      </c>
      <c r="P68" s="79">
        <f>P67*O68</f>
        <v>66.465959822946473</v>
      </c>
      <c r="Q68" s="78"/>
      <c r="R68" s="180">
        <f t="shared" si="5"/>
        <v>4.9741008229464683</v>
      </c>
      <c r="S68" s="129">
        <f t="shared" ref="S68:S71" si="20">IF((J68)=0,"",(R68/J68))</f>
        <v>8.089039596195112E-2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504.66285900000008</v>
      </c>
      <c r="H69" s="78"/>
      <c r="I69" s="81"/>
      <c r="J69" s="79">
        <f>J67+J68</f>
        <v>534.50615900000003</v>
      </c>
      <c r="K69" s="78"/>
      <c r="L69" s="180">
        <f>J69-G69</f>
        <v>29.843299999999942</v>
      </c>
      <c r="M69" s="129">
        <f>IF((G69)=0,"",(L69/G69))</f>
        <v>5.9135122523450726E-2</v>
      </c>
      <c r="N69" s="78"/>
      <c r="O69" s="81"/>
      <c r="P69" s="79">
        <f>P67+P68</f>
        <v>577.74257384561156</v>
      </c>
      <c r="Q69" s="78"/>
      <c r="R69" s="180">
        <f t="shared" si="5"/>
        <v>43.236414845611534</v>
      </c>
      <c r="S69" s="129">
        <f t="shared" si="20"/>
        <v>8.0890395961950981E-2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98"/>
      <c r="F70" s="73">
        <v>0.1</v>
      </c>
      <c r="G70" s="82">
        <f>-G69*F70</f>
        <v>-50.46628590000001</v>
      </c>
      <c r="H70" s="78"/>
      <c r="I70" s="81"/>
      <c r="J70" s="82"/>
      <c r="K70" s="78"/>
      <c r="L70" s="181">
        <f>J70-G70</f>
        <v>50.46628590000001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99"/>
      <c r="F71" s="83"/>
      <c r="G71" s="84">
        <f>SUM(G69:G70)</f>
        <v>454.19657310000008</v>
      </c>
      <c r="H71" s="74"/>
      <c r="I71" s="83"/>
      <c r="J71" s="84">
        <f>SUM(J69:J70)</f>
        <v>534.50615900000003</v>
      </c>
      <c r="K71" s="74"/>
      <c r="L71" s="182">
        <f>J71-G71</f>
        <v>80.309585899999945</v>
      </c>
      <c r="M71" s="132">
        <f>IF((G71)=0,"",(L71/G71))</f>
        <v>0.17681680280383413</v>
      </c>
      <c r="N71" s="74"/>
      <c r="O71" s="83"/>
      <c r="P71" s="84">
        <f>SUM(P69:P70)</f>
        <v>577.74257384561156</v>
      </c>
      <c r="Q71" s="74"/>
      <c r="R71" s="182">
        <f t="shared" si="5"/>
        <v>43.236414845611534</v>
      </c>
      <c r="S71" s="132">
        <f t="shared" si="20"/>
        <v>8.0890395961950981E-2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8" spans="1:360" x14ac:dyDescent="0.25">
      <c r="A78" s="2" t="s">
        <v>41</v>
      </c>
    </row>
    <row r="79" spans="1:360" x14ac:dyDescent="0.25">
      <c r="A79" s="2" t="s">
        <v>42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0"/>
  <sheetViews>
    <sheetView topLeftCell="B34" zoomScale="70" zoomScaleNormal="70" workbookViewId="0">
      <selection activeCell="S16" sqref="S16"/>
    </sheetView>
  </sheetViews>
  <sheetFormatPr defaultRowHeight="15" outlineLevelRow="1" outlineLevelCol="1" x14ac:dyDescent="0.25"/>
  <cols>
    <col min="1" max="1" width="13.7109375" style="2" hidden="1" customWidth="1" outlineLevel="1"/>
    <col min="2" max="2" width="76.85546875" style="2" customWidth="1" collapsed="1"/>
    <col min="3" max="3" width="1.28515625" style="2" customWidth="1"/>
    <col min="4" max="4" width="11.28515625" style="2" customWidth="1"/>
    <col min="5" max="5" width="11" style="187" customWidth="1"/>
    <col min="6" max="6" width="12.28515625" style="2" customWidth="1"/>
    <col min="7" max="7" width="12.42578125" style="2" customWidth="1"/>
    <col min="8" max="8" width="1.85546875" style="2" customWidth="1"/>
    <col min="9" max="10" width="13.5703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2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1.285156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183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18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18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185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186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186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186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123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73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188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188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4"/>
      <c r="D17" s="5"/>
      <c r="E17" s="188"/>
      <c r="F17" s="5"/>
      <c r="G17" s="5"/>
      <c r="H17" s="5"/>
      <c r="K17" s="5"/>
      <c r="L17" s="163"/>
      <c r="M17" s="119"/>
      <c r="N17" s="5"/>
      <c r="O17" s="5"/>
      <c r="P17" s="5"/>
      <c r="Q17" s="5"/>
      <c r="R17" s="163"/>
      <c r="S17" s="119"/>
      <c r="T17" s="5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4</v>
      </c>
      <c r="E18" s="189"/>
      <c r="F18" s="9">
        <v>15000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5.75" customHeight="1" x14ac:dyDescent="0.25">
      <c r="B20" s="7"/>
      <c r="D20" s="10"/>
      <c r="E20" s="189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90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91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[4]Rates!$A$48</f>
        <v>Fix_GS</v>
      </c>
      <c r="B23" s="15" t="s">
        <v>12</v>
      </c>
      <c r="C23" s="15"/>
      <c r="D23" s="99" t="s">
        <v>57</v>
      </c>
      <c r="E23" s="137">
        <v>1</v>
      </c>
      <c r="F23" s="114">
        <f>IF($A23&lt;&gt;"",VLOOKUP($A23,[4]Rates!$A$1:$R$65536,12,FALSE),0)</f>
        <v>26.08</v>
      </c>
      <c r="G23" s="18">
        <f t="shared" ref="G23:G38" si="0">E23*F23</f>
        <v>26.08</v>
      </c>
      <c r="H23" s="38"/>
      <c r="I23" s="114">
        <f>IF($A23&lt;&gt;"",VLOOKUP($A23,[4]Rates!$A$1:$R$65536,14,FALSE),0)</f>
        <v>28.75</v>
      </c>
      <c r="J23" s="18">
        <f>$E23*I23</f>
        <v>28.75</v>
      </c>
      <c r="K23" s="38"/>
      <c r="L23" s="167">
        <f>J23-G23</f>
        <v>2.6700000000000017</v>
      </c>
      <c r="M23" s="123">
        <f>IF((G23)=0,"",(L23/G23))</f>
        <v>0.10237730061349701</v>
      </c>
      <c r="N23" s="38"/>
      <c r="O23" s="114">
        <f>IF($A23&lt;&gt;"",VLOOKUP($A23,[4]Rates!$A$1:$R$65536,15,FALSE),0)</f>
        <v>29.03815402266514</v>
      </c>
      <c r="P23" s="18">
        <f>$E23*O23</f>
        <v>29.03815402266514</v>
      </c>
      <c r="Q23" s="38"/>
      <c r="R23" s="167">
        <f>P23-J23</f>
        <v>0.28815402266513956</v>
      </c>
      <c r="S23" s="123">
        <f>IF((J23)=0,"",(R23/J23))</f>
        <v>1.0022748614439638E-2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3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59" si="2">J24-G24</f>
        <v>0</v>
      </c>
      <c r="M24" s="123" t="str">
        <f t="shared" ref="M24:M45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1" si="5">P24-J24</f>
        <v>0</v>
      </c>
      <c r="S24" s="123" t="str">
        <f t="shared" ref="S24:S59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[4]Rates!$A$50</f>
        <v>PPE_GS</v>
      </c>
      <c r="B25" s="313" t="s">
        <v>71</v>
      </c>
      <c r="C25" s="305"/>
      <c r="D25" s="306" t="s">
        <v>57</v>
      </c>
      <c r="E25" s="307">
        <v>1</v>
      </c>
      <c r="F25" s="314">
        <f>IF($A25&lt;&gt;"",VLOOKUP($A25,[4]Rates!$A$1:$R$65536,12,FALSE),0)</f>
        <v>0.55000000000000004</v>
      </c>
      <c r="G25" s="309">
        <f t="shared" si="0"/>
        <v>0.55000000000000004</v>
      </c>
      <c r="H25" s="310"/>
      <c r="I25" s="314">
        <f>IF($A25&lt;&gt;"",VLOOKUP($A25,[4]Rates!$A$1:$R$65536,14,FALSE),0)</f>
        <v>0.55000000000000004</v>
      </c>
      <c r="J25" s="309">
        <f t="shared" si="1"/>
        <v>0.55000000000000004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-0.55000000000000004</v>
      </c>
      <c r="S25" s="312">
        <f t="shared" si="6"/>
        <v>-1</v>
      </c>
      <c r="T25" s="310"/>
    </row>
    <row r="26" spans="1:360" s="277" customFormat="1" x14ac:dyDescent="0.25">
      <c r="A26" s="303" t="str">
        <f>[4]Rates!$A$51</f>
        <v>ICMF_GS</v>
      </c>
      <c r="B26" s="313" t="s">
        <v>72</v>
      </c>
      <c r="C26" s="305"/>
      <c r="D26" s="306" t="s">
        <v>57</v>
      </c>
      <c r="E26" s="307">
        <v>1</v>
      </c>
      <c r="F26" s="314">
        <f>IF($A26&lt;&gt;"",VLOOKUP($A26,[4]Rates!$A$1:$R$65536,12,FALSE),0)</f>
        <v>0.14000000000000001</v>
      </c>
      <c r="G26" s="309">
        <f t="shared" si="0"/>
        <v>0.14000000000000001</v>
      </c>
      <c r="H26" s="310"/>
      <c r="I26" s="3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-0.14000000000000001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139</v>
      </c>
      <c r="B27" s="22" t="s">
        <v>140</v>
      </c>
      <c r="C27" s="15"/>
      <c r="D27" s="319" t="s">
        <v>57</v>
      </c>
      <c r="E27" s="13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7.55</v>
      </c>
      <c r="J27" s="18">
        <f t="shared" si="1"/>
        <v>7.55</v>
      </c>
      <c r="K27" s="38"/>
      <c r="L27" s="167">
        <f t="shared" si="2"/>
        <v>7.55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-7.55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3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[4]Rates!$A$53</f>
        <v>Var_GS</v>
      </c>
      <c r="B29" s="15" t="s">
        <v>14</v>
      </c>
      <c r="C29" s="15"/>
      <c r="D29" s="99" t="s">
        <v>58</v>
      </c>
      <c r="E29" s="137">
        <f>$F$18</f>
        <v>15000</v>
      </c>
      <c r="F29" s="16">
        <f>IF($A29&lt;&gt;"",VLOOKUP($A29,[4]Rates!$A$1:$R$65536,12,FALSE),0)</f>
        <v>1.3899999999999999E-2</v>
      </c>
      <c r="G29" s="18">
        <f t="shared" si="0"/>
        <v>208.5</v>
      </c>
      <c r="H29" s="38"/>
      <c r="I29" s="16">
        <f>IF($A29&lt;&gt;"",VLOOKUP($A29,[4]Rates!$A$1:$R$65536,14,FALSE),0)</f>
        <v>1.5299999999999999E-2</v>
      </c>
      <c r="J29" s="18">
        <f t="shared" si="1"/>
        <v>229.5</v>
      </c>
      <c r="K29" s="38"/>
      <c r="L29" s="167">
        <f t="shared" si="2"/>
        <v>21</v>
      </c>
      <c r="M29" s="123">
        <f t="shared" si="3"/>
        <v>0.10071942446043165</v>
      </c>
      <c r="N29" s="38"/>
      <c r="O29" s="16">
        <f>IF($A29&lt;&gt;"",VLOOKUP($A29,[4]Rates!$A$1:$R$65536,15,FALSE),0)</f>
        <v>1.89E-2</v>
      </c>
      <c r="P29" s="18">
        <f t="shared" si="4"/>
        <v>283.5</v>
      </c>
      <c r="Q29" s="38"/>
      <c r="R29" s="167">
        <f t="shared" si="5"/>
        <v>54</v>
      </c>
      <c r="S29" s="123">
        <f t="shared" si="6"/>
        <v>0.23529411764705882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58</v>
      </c>
      <c r="E30" s="137">
        <f t="shared" ref="E30" si="7">$F$18</f>
        <v>15000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141</v>
      </c>
      <c r="B31" s="22" t="s">
        <v>142</v>
      </c>
      <c r="C31" s="15"/>
      <c r="D31" s="99" t="s">
        <v>58</v>
      </c>
      <c r="E31" s="137">
        <f>$F$18</f>
        <v>15000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4.0000000000000001E-3</v>
      </c>
      <c r="J31" s="18">
        <f t="shared" si="1"/>
        <v>60</v>
      </c>
      <c r="K31" s="38"/>
      <c r="L31" s="167">
        <f t="shared" si="2"/>
        <v>60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-60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[4]Rates!$A$60</f>
        <v>ICMV_GS</v>
      </c>
      <c r="B32" s="304" t="s">
        <v>72</v>
      </c>
      <c r="C32" s="305"/>
      <c r="D32" s="306" t="s">
        <v>58</v>
      </c>
      <c r="E32" s="307">
        <f t="shared" ref="E32:E35" si="8">$F$18</f>
        <v>15000</v>
      </c>
      <c r="F32" s="308">
        <f>IF($A32&lt;&gt;"",VLOOKUP($A32,[4]Rates!$A$1:$R$65536,12,FALSE),0)</f>
        <v>1E-4</v>
      </c>
      <c r="G32" s="309">
        <f t="shared" si="0"/>
        <v>1.5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-1.5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[4]Rates!$A69</f>
        <v>2RAL16_GS</v>
      </c>
      <c r="B33" s="23" t="str">
        <f>[4]Rates!$B69</f>
        <v xml:space="preserve">Disposition of Deferral/Variance Accounts - Group 2 Accounts (2016) </v>
      </c>
      <c r="C33" s="15"/>
      <c r="D33" s="99" t="s">
        <v>58</v>
      </c>
      <c r="E33" s="137">
        <f t="shared" si="8"/>
        <v>15000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</v>
      </c>
      <c r="J33" s="18">
        <f t="shared" si="1"/>
        <v>0</v>
      </c>
      <c r="K33" s="38"/>
      <c r="L33" s="167">
        <f t="shared" si="2"/>
        <v>0</v>
      </c>
      <c r="M33" s="123" t="str">
        <f t="shared" si="3"/>
        <v/>
      </c>
      <c r="N33" s="38"/>
      <c r="O33" s="16">
        <f>IF($A33&lt;&gt;"",VLOOKUP($A33,[4]Rates!$A$1:$R$65536,15,FALSE),0)</f>
        <v>2.0000000000000001E-4</v>
      </c>
      <c r="P33" s="18">
        <f t="shared" si="4"/>
        <v>3</v>
      </c>
      <c r="Q33" s="38"/>
      <c r="R33" s="167">
        <f t="shared" si="5"/>
        <v>3</v>
      </c>
      <c r="S33" s="123" t="str">
        <f t="shared" si="6"/>
        <v/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[4]Rates!$A70</f>
        <v>LRVA16_GS</v>
      </c>
      <c r="B34" s="23" t="str">
        <f>[4]Rates!$B70</f>
        <v>Lost Revenue Adjustment Mechanism Variance Account (LRAMVA) (2016)</v>
      </c>
      <c r="C34" s="15"/>
      <c r="D34" s="99" t="s">
        <v>58</v>
      </c>
      <c r="E34" s="137">
        <f t="shared" si="8"/>
        <v>15000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2.0000000000000001E-4</v>
      </c>
      <c r="J34" s="18">
        <f t="shared" si="1"/>
        <v>3</v>
      </c>
      <c r="K34" s="38"/>
      <c r="L34" s="167">
        <f t="shared" si="2"/>
        <v>3</v>
      </c>
      <c r="M34" s="123" t="str">
        <f t="shared" si="3"/>
        <v/>
      </c>
      <c r="N34" s="38"/>
      <c r="O34" s="16">
        <f>IF($A34&lt;&gt;"",VLOOKUP($A34,[4]Rates!$A$1:$R$65536,15,FALSE),0)</f>
        <v>0</v>
      </c>
      <c r="P34" s="18">
        <f t="shared" si="4"/>
        <v>0</v>
      </c>
      <c r="Q34" s="38"/>
      <c r="R34" s="167">
        <f t="shared" si="5"/>
        <v>-3</v>
      </c>
      <c r="S34" s="123">
        <f t="shared" si="6"/>
        <v>-1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[4]Rates!$A71</f>
        <v>PPE16_GS</v>
      </c>
      <c r="B35" s="23" t="str">
        <f>[4]Rates!$B71</f>
        <v>Account 1575 (2016)</v>
      </c>
      <c r="C35" s="15"/>
      <c r="D35" s="99" t="s">
        <v>58</v>
      </c>
      <c r="E35" s="137">
        <f t="shared" si="8"/>
        <v>15000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-1.1999999999999999E-3</v>
      </c>
      <c r="J35" s="18">
        <f t="shared" si="1"/>
        <v>-18</v>
      </c>
      <c r="K35" s="38"/>
      <c r="L35" s="167">
        <f t="shared" si="2"/>
        <v>-18</v>
      </c>
      <c r="M35" s="123" t="str">
        <f t="shared" si="3"/>
        <v/>
      </c>
      <c r="N35" s="38"/>
      <c r="O35" s="16">
        <f>IF($A35&lt;&gt;"",VLOOKUP($A35,[4]Rates!$A$1:$R$65536,15,FALSE),0)</f>
        <v>0</v>
      </c>
      <c r="P35" s="18">
        <f t="shared" si="4"/>
        <v>0</v>
      </c>
      <c r="Q35" s="38"/>
      <c r="R35" s="167">
        <f t="shared" si="5"/>
        <v>18</v>
      </c>
      <c r="S35" s="123">
        <f t="shared" si="6"/>
        <v>-1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[4]Rates!$A72</f>
        <v>SG16_GS</v>
      </c>
      <c r="B36" s="23" t="str">
        <f>[4]Rates!$B72</f>
        <v>Smart Grid True-up (2016)</v>
      </c>
      <c r="C36" s="15"/>
      <c r="D36" s="99" t="s">
        <v>57</v>
      </c>
      <c r="E36" s="137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-0.67</v>
      </c>
      <c r="J36" s="18">
        <f t="shared" si="1"/>
        <v>-0.67</v>
      </c>
      <c r="K36" s="38"/>
      <c r="L36" s="167">
        <f t="shared" si="2"/>
        <v>-0.67</v>
      </c>
      <c r="M36" s="123" t="str">
        <f t="shared" si="3"/>
        <v/>
      </c>
      <c r="N36" s="38"/>
      <c r="O36" s="16">
        <f>IF($A36&lt;&gt;"",VLOOKUP($A36,[4]Rates!$A$1:$R$65536,15,FALSE),0)</f>
        <v>0</v>
      </c>
      <c r="P36" s="18">
        <f t="shared" si="4"/>
        <v>0</v>
      </c>
      <c r="Q36" s="38"/>
      <c r="R36" s="167">
        <f t="shared" si="5"/>
        <v>0.67</v>
      </c>
      <c r="S36" s="123">
        <f t="shared" si="6"/>
        <v>-1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x14ac:dyDescent="0.25">
      <c r="A37" s="139" t="str">
        <f>[4]Rates!$A73</f>
        <v>SMA16_GS</v>
      </c>
      <c r="B37" s="23" t="str">
        <f>[4]Rates!$B73</f>
        <v>Recovery of Stranded Meter Assets (2016)</v>
      </c>
      <c r="C37" s="15"/>
      <c r="D37" s="99" t="s">
        <v>57</v>
      </c>
      <c r="E37" s="137">
        <v>1</v>
      </c>
      <c r="F37" s="16">
        <f>IF($A37&lt;&gt;"",VLOOKUP($A37,[4]Rates!$A$1:$R$65536,12,FALSE),0)</f>
        <v>0</v>
      </c>
      <c r="G37" s="18">
        <f t="shared" si="0"/>
        <v>0</v>
      </c>
      <c r="H37" s="38"/>
      <c r="I37" s="114">
        <f>IF($A37&lt;&gt;"",VLOOKUP($A37,[4]Rates!$A$1:$R$65536,14,FALSE),0)</f>
        <v>0</v>
      </c>
      <c r="J37" s="18">
        <f t="shared" si="1"/>
        <v>0</v>
      </c>
      <c r="K37" s="38"/>
      <c r="L37" s="167">
        <f t="shared" si="2"/>
        <v>0</v>
      </c>
      <c r="M37" s="123" t="str">
        <f t="shared" si="3"/>
        <v/>
      </c>
      <c r="N37" s="38"/>
      <c r="O37" s="114">
        <f>IF($A37&lt;&gt;"",VLOOKUP($A37,[4]Rates!$A$1:$R$65536,15,FALSE),0)</f>
        <v>0.21</v>
      </c>
      <c r="P37" s="18">
        <f t="shared" si="4"/>
        <v>0.21</v>
      </c>
      <c r="Q37" s="38"/>
      <c r="R37" s="167">
        <f t="shared" si="5"/>
        <v>0.21</v>
      </c>
      <c r="S37" s="123" t="str">
        <f t="shared" si="6"/>
        <v/>
      </c>
      <c r="T37" s="38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</row>
    <row r="38" spans="1:360" s="277" customFormat="1" x14ac:dyDescent="0.25">
      <c r="A38" s="303" t="str">
        <f>[4]Rates!$A$65</f>
        <v>LRVA_GS</v>
      </c>
      <c r="B38" s="304"/>
      <c r="C38" s="305"/>
      <c r="D38" s="319" t="s">
        <v>58</v>
      </c>
      <c r="E38" s="334">
        <f>E35</f>
        <v>15000</v>
      </c>
      <c r="F38" s="308"/>
      <c r="G38" s="309">
        <f t="shared" si="0"/>
        <v>0</v>
      </c>
      <c r="H38" s="310"/>
      <c r="I38" s="308">
        <f>IF($A38&lt;&gt;"",VLOOKUP($A38,[4]Rates!$A$1:$R$65536,14,FALSE),0)</f>
        <v>0</v>
      </c>
      <c r="J38" s="309">
        <f t="shared" si="1"/>
        <v>0</v>
      </c>
      <c r="K38" s="310"/>
      <c r="L38" s="311">
        <f t="shared" si="2"/>
        <v>0</v>
      </c>
      <c r="M38" s="312" t="str">
        <f t="shared" si="3"/>
        <v/>
      </c>
      <c r="N38" s="310"/>
      <c r="O38" s="308">
        <f>IF($A38&lt;&gt;"",VLOOKUP($A38,[4]Rates!$A$1:$R$65536,15,FALSE),0)</f>
        <v>0</v>
      </c>
      <c r="P38" s="309">
        <f t="shared" si="4"/>
        <v>0</v>
      </c>
      <c r="Q38" s="310"/>
      <c r="R38" s="311">
        <f t="shared" si="5"/>
        <v>0</v>
      </c>
      <c r="S38" s="312" t="str">
        <f t="shared" si="6"/>
        <v/>
      </c>
      <c r="T38" s="310"/>
    </row>
    <row r="39" spans="1:360" s="29" customFormat="1" x14ac:dyDescent="0.25">
      <c r="A39" s="139"/>
      <c r="B39" s="24" t="s">
        <v>17</v>
      </c>
      <c r="C39" s="25"/>
      <c r="D39" s="100"/>
      <c r="E39" s="192"/>
      <c r="F39" s="26"/>
      <c r="G39" s="28">
        <f>SUM(G23:G38)</f>
        <v>236.77</v>
      </c>
      <c r="H39" s="38"/>
      <c r="I39" s="26"/>
      <c r="J39" s="28">
        <f>SUM(J23:J38)</f>
        <v>310.68</v>
      </c>
      <c r="K39" s="38"/>
      <c r="L39" s="168">
        <f t="shared" si="2"/>
        <v>73.91</v>
      </c>
      <c r="M39" s="124">
        <f>IF((G39)=0,"",(L39/G39))</f>
        <v>0.31215947966380875</v>
      </c>
      <c r="N39" s="38"/>
      <c r="O39" s="26"/>
      <c r="P39" s="28">
        <f>SUM(P23:P38)</f>
        <v>315.74815402266512</v>
      </c>
      <c r="Q39" s="38"/>
      <c r="R39" s="168">
        <f t="shared" si="5"/>
        <v>5.0681540226651123</v>
      </c>
      <c r="S39" s="124">
        <f t="shared" si="6"/>
        <v>1.6313100369077869E-2</v>
      </c>
      <c r="T39" s="38"/>
    </row>
    <row r="40" spans="1:360" s="277" customFormat="1" x14ac:dyDescent="0.25">
      <c r="A40" s="303" t="str">
        <f>[4]Rates!$A$58</f>
        <v>RAL14_GS</v>
      </c>
      <c r="B40" s="302"/>
      <c r="C40" s="305"/>
      <c r="D40" s="319" t="s">
        <v>58</v>
      </c>
      <c r="E40" s="334">
        <f>$F$18</f>
        <v>15000</v>
      </c>
      <c r="F40" s="308"/>
      <c r="G40" s="309">
        <f t="shared" ref="G40:G46" si="9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</row>
    <row r="41" spans="1:360" x14ac:dyDescent="0.25">
      <c r="A41" s="139" t="str">
        <f>[4]Rates!$A$66</f>
        <v>RAL16_GS</v>
      </c>
      <c r="B41" s="30" t="str">
        <f>[4]Rates!$B$66</f>
        <v xml:space="preserve">Disposition of Deferral/Variance Accounts (2016) </v>
      </c>
      <c r="C41" s="15"/>
      <c r="D41" s="99" t="s">
        <v>58</v>
      </c>
      <c r="E41" s="137">
        <f t="shared" ref="E41:E44" si="10">$F$18</f>
        <v>15000</v>
      </c>
      <c r="F41" s="16">
        <f>IF($A41&lt;&gt;"",VLOOKUP($A41,[4]Rates!$A$1:$R$65536,12,FALSE),0)</f>
        <v>0</v>
      </c>
      <c r="G41" s="18">
        <f t="shared" si="9"/>
        <v>0</v>
      </c>
      <c r="H41" s="21"/>
      <c r="I41" s="16">
        <f>IF($A41&lt;&gt;"",VLOOKUP($A41,[4]Rates!$A$1:$R$65536,14,FALSE),0)</f>
        <v>0</v>
      </c>
      <c r="J41" s="18">
        <f t="shared" ref="J41:J46" si="11">$E41*I41</f>
        <v>0</v>
      </c>
      <c r="K41" s="21"/>
      <c r="L41" s="167">
        <f t="shared" si="2"/>
        <v>0</v>
      </c>
      <c r="M41" s="123" t="str">
        <f t="shared" si="3"/>
        <v/>
      </c>
      <c r="N41" s="21"/>
      <c r="O41" s="16">
        <f>IF($A41&lt;&gt;"",VLOOKUP($A41,[4]Rates!$A$1:$R$65536,15,FALSE),0)</f>
        <v>2.9999999999999997E-4</v>
      </c>
      <c r="P41" s="18">
        <f t="shared" ref="P41:P46" si="12">$E41*O41</f>
        <v>4.5</v>
      </c>
      <c r="Q41" s="21"/>
      <c r="R41" s="167">
        <f t="shared" si="5"/>
        <v>4.5</v>
      </c>
      <c r="S41" s="123" t="str">
        <f t="shared" si="6"/>
        <v/>
      </c>
      <c r="T41" s="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[4]Rates!$A$67</f>
        <v>RALP16_GS</v>
      </c>
      <c r="B42" s="30" t="str">
        <f>[4]Rates!$B$67</f>
        <v xml:space="preserve">Disposition of Deferral/Variance Accounts - Power (2016) </v>
      </c>
      <c r="C42" s="15"/>
      <c r="D42" s="99" t="s">
        <v>58</v>
      </c>
      <c r="E42" s="137">
        <f t="shared" si="10"/>
        <v>15000</v>
      </c>
      <c r="F42" s="16">
        <f>IF($A42&lt;&gt;"",VLOOKUP($A42,[4]Rates!$A$1:$R$65536,12,FALSE),0)</f>
        <v>0</v>
      </c>
      <c r="G42" s="18">
        <f t="shared" si="9"/>
        <v>0</v>
      </c>
      <c r="H42" s="21"/>
      <c r="I42" s="16">
        <f>IF($A42&lt;&gt;"",VLOOKUP($A42,[4]Rates!$A$1:$R$65536,14,FALSE),0)</f>
        <v>-2.5999999999999999E-3</v>
      </c>
      <c r="J42" s="18">
        <f t="shared" si="11"/>
        <v>-39</v>
      </c>
      <c r="K42" s="21"/>
      <c r="L42" s="167">
        <f t="shared" si="2"/>
        <v>-39</v>
      </c>
      <c r="M42" s="123" t="str">
        <f t="shared" si="3"/>
        <v/>
      </c>
      <c r="N42" s="21"/>
      <c r="O42" s="16">
        <f>IF($A42&lt;&gt;"",VLOOKUP($A42,[4]Rates!$A$1:$R$65536,15,FALSE),0)</f>
        <v>0</v>
      </c>
      <c r="P42" s="18">
        <f t="shared" si="12"/>
        <v>0</v>
      </c>
      <c r="Q42" s="21"/>
      <c r="R42" s="167">
        <f t="shared" si="5"/>
        <v>39</v>
      </c>
      <c r="S42" s="123">
        <f t="shared" si="6"/>
        <v>-1</v>
      </c>
      <c r="T42" s="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/>
      <c r="B43" s="30"/>
      <c r="C43" s="15"/>
      <c r="D43" s="99"/>
      <c r="E43" s="137"/>
      <c r="F43" s="16">
        <f>IF($A43&lt;&gt;"",VLOOKUP($A43,[4]Rates!$A$1:$R$65536,12,FALSE),0)</f>
        <v>0</v>
      </c>
      <c r="G43" s="18">
        <f t="shared" si="9"/>
        <v>0</v>
      </c>
      <c r="H43" s="21"/>
      <c r="I43" s="16">
        <f>IF($A43&lt;&gt;"",VLOOKUP($A43,[4]Rates!$A$1:$R$65536,14,FALSE),0)</f>
        <v>0</v>
      </c>
      <c r="J43" s="18">
        <f t="shared" si="11"/>
        <v>0</v>
      </c>
      <c r="K43" s="21"/>
      <c r="L43" s="167">
        <f t="shared" si="2"/>
        <v>0</v>
      </c>
      <c r="M43" s="123" t="str">
        <f t="shared" si="3"/>
        <v/>
      </c>
      <c r="N43" s="21"/>
      <c r="O43" s="16">
        <f>IF($A43&lt;&gt;"",VLOOKUP($A43,[4]Rates!$A$1:$R$65536,15,FALSE),0)</f>
        <v>0</v>
      </c>
      <c r="P43" s="18">
        <f t="shared" si="12"/>
        <v>0</v>
      </c>
      <c r="Q43" s="21"/>
      <c r="R43" s="167">
        <f t="shared" si="5"/>
        <v>0</v>
      </c>
      <c r="S43" s="123" t="str">
        <f t="shared" si="6"/>
        <v/>
      </c>
      <c r="T43" s="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[4]Rates!$A$54</f>
        <v>LV_GS</v>
      </c>
      <c r="B44" s="31" t="s">
        <v>18</v>
      </c>
      <c r="C44" s="15"/>
      <c r="D44" s="99" t="s">
        <v>58</v>
      </c>
      <c r="E44" s="137">
        <f t="shared" si="10"/>
        <v>15000</v>
      </c>
      <c r="F44" s="16">
        <f>IF($A44&lt;&gt;"",VLOOKUP($A44,[4]Rates!$A$1:$R$65536,12,FALSE),0)</f>
        <v>2.9999999999999997E-4</v>
      </c>
      <c r="G44" s="18">
        <f t="shared" si="9"/>
        <v>4.5</v>
      </c>
      <c r="H44" s="38"/>
      <c r="I44" s="16">
        <f>IF($A44&lt;&gt;"",VLOOKUP($A44,[4]Rates!$A$1:$R$65536,14,FALSE),0)</f>
        <v>2.9999999999999997E-4</v>
      </c>
      <c r="J44" s="18">
        <f t="shared" si="11"/>
        <v>4.5</v>
      </c>
      <c r="K44" s="38"/>
      <c r="L44" s="167">
        <f t="shared" si="2"/>
        <v>0</v>
      </c>
      <c r="M44" s="123">
        <f t="shared" si="3"/>
        <v>0</v>
      </c>
      <c r="N44" s="38"/>
      <c r="O44" s="16">
        <f>IF($A44&lt;&gt;"",VLOOKUP($A44,[4]Rates!$A$1:$R$65536,15,FALSE),0)</f>
        <v>4.0000000000000002E-4</v>
      </c>
      <c r="P44" s="18">
        <f t="shared" si="12"/>
        <v>6</v>
      </c>
      <c r="Q44" s="38"/>
      <c r="R44" s="167">
        <f t="shared" si="5"/>
        <v>1.5</v>
      </c>
      <c r="S44" s="123">
        <f t="shared" si="6"/>
        <v>0.33333333333333331</v>
      </c>
      <c r="T44" s="38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1" t="s">
        <v>19</v>
      </c>
      <c r="C45" s="15"/>
      <c r="D45" s="99"/>
      <c r="E45" s="286">
        <f>$F$18*(1+$F$74)-$F$18</f>
        <v>517.5</v>
      </c>
      <c r="F45" s="32">
        <f>IF(ISBLANK(D16)=TRUE, 0, IF(D16="TOU", 0.64*$F$55+0.18*$F$56+0.18*$F$57, IF(AND(D16="non-TOU", E59&gt;0), F59,F58)))</f>
        <v>0.11183999999999999</v>
      </c>
      <c r="G45" s="18">
        <f>E45*F45</f>
        <v>57.877199999999995</v>
      </c>
      <c r="H45" s="288">
        <f>$F$18*(1+$O$74)-$F$18</f>
        <v>553.49999999999818</v>
      </c>
      <c r="I45" s="32">
        <f>0.64*$F$55+0.18*$F$56+0.18*$F$57</f>
        <v>0.11183999999999999</v>
      </c>
      <c r="J45" s="18">
        <f>$E45*I45</f>
        <v>57.877199999999995</v>
      </c>
      <c r="K45" s="38"/>
      <c r="L45" s="169">
        <f t="shared" si="2"/>
        <v>0</v>
      </c>
      <c r="M45" s="123">
        <f t="shared" si="3"/>
        <v>0</v>
      </c>
      <c r="N45" s="38"/>
      <c r="O45" s="32">
        <f>0.64*$F$55+0.18*$F$56+0.18*$F$57</f>
        <v>0.11183999999999999</v>
      </c>
      <c r="P45" s="18">
        <f>$H45*O45</f>
        <v>61.903439999999797</v>
      </c>
      <c r="Q45" s="38"/>
      <c r="R45" s="169">
        <f t="shared" si="5"/>
        <v>4.0262399999998024</v>
      </c>
      <c r="S45" s="123">
        <f t="shared" si="6"/>
        <v>6.9565217391300935E-2</v>
      </c>
      <c r="T45" s="3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1" t="s">
        <v>20</v>
      </c>
      <c r="C46" s="15"/>
      <c r="D46" s="99" t="s">
        <v>57</v>
      </c>
      <c r="E46" s="137">
        <v>1</v>
      </c>
      <c r="F46" s="32">
        <v>0.79</v>
      </c>
      <c r="G46" s="18">
        <f t="shared" si="9"/>
        <v>0.79</v>
      </c>
      <c r="H46" s="281"/>
      <c r="I46" s="32">
        <v>0.79</v>
      </c>
      <c r="J46" s="18">
        <f t="shared" si="11"/>
        <v>0.79</v>
      </c>
      <c r="K46" s="38"/>
      <c r="L46" s="169">
        <f t="shared" si="2"/>
        <v>0</v>
      </c>
      <c r="M46" s="123"/>
      <c r="N46" s="38"/>
      <c r="O46" s="32">
        <v>0.79</v>
      </c>
      <c r="P46" s="18">
        <f t="shared" si="12"/>
        <v>0.79</v>
      </c>
      <c r="Q46" s="38"/>
      <c r="R46" s="169">
        <f t="shared" si="5"/>
        <v>0</v>
      </c>
      <c r="S46" s="123">
        <f t="shared" si="6"/>
        <v>0</v>
      </c>
      <c r="T46" s="3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/>
      <c r="B47" s="33" t="s">
        <v>21</v>
      </c>
      <c r="C47" s="34"/>
      <c r="D47" s="35"/>
      <c r="E47" s="287"/>
      <c r="F47" s="35"/>
      <c r="G47" s="37">
        <f>SUM(G40:G46)+G39</f>
        <v>299.93720000000002</v>
      </c>
      <c r="H47" s="281"/>
      <c r="I47" s="35"/>
      <c r="J47" s="37">
        <f>SUM(J40:J46)+J39</f>
        <v>334.84719999999999</v>
      </c>
      <c r="K47" s="38"/>
      <c r="L47" s="170">
        <f t="shared" si="2"/>
        <v>34.909999999999968</v>
      </c>
      <c r="M47" s="125">
        <f>IF((G47)=0,"",(L47/G47))</f>
        <v>0.1163910311891955</v>
      </c>
      <c r="N47" s="38"/>
      <c r="O47" s="35"/>
      <c r="P47" s="37">
        <f>SUM(P40:P46)+P39</f>
        <v>388.9415940226649</v>
      </c>
      <c r="Q47" s="38"/>
      <c r="R47" s="170">
        <f t="shared" si="5"/>
        <v>54.094394022664915</v>
      </c>
      <c r="S47" s="125">
        <f t="shared" si="6"/>
        <v>0.1615494889091649</v>
      </c>
      <c r="T47" s="3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 t="str">
        <f>[4]Rates!$A$76</f>
        <v>TN_GS</v>
      </c>
      <c r="B48" s="19" t="s">
        <v>22</v>
      </c>
      <c r="C48" s="19"/>
      <c r="D48" s="101" t="s">
        <v>58</v>
      </c>
      <c r="E48" s="137">
        <f>F18*(1+F74)</f>
        <v>15517.5</v>
      </c>
      <c r="F48" s="20">
        <f>IF($A48&lt;&gt;"",VLOOKUP($A48,[4]Rates!$A$1:$R$65536,12,FALSE),0)</f>
        <v>7.1999999999999998E-3</v>
      </c>
      <c r="G48" s="18">
        <f>E48*F48</f>
        <v>111.726</v>
      </c>
      <c r="H48" s="283">
        <f>F18*(1+O74)</f>
        <v>15553.499999999998</v>
      </c>
      <c r="I48" s="20">
        <f>IF($A48&lt;&gt;"",VLOOKUP($A48,[4]Rates!$A$1:$R$65536,14,FALSE),0)</f>
        <v>7.1999999999999998E-3</v>
      </c>
      <c r="J48" s="18">
        <f>$E48*I48</f>
        <v>111.726</v>
      </c>
      <c r="K48" s="38"/>
      <c r="L48" s="171">
        <f>J48-G48</f>
        <v>0</v>
      </c>
      <c r="M48" s="123">
        <f t="shared" ref="M48:M59" si="13">IF((G48)=0,"",(L48/G48))</f>
        <v>0</v>
      </c>
      <c r="N48" s="38"/>
      <c r="O48" s="20">
        <f>IF($A48&lt;&gt;"",VLOOKUP($A48,[4]Rates!$A$1:$R$65536,15,FALSE),0)</f>
        <v>7.3000000000000001E-3</v>
      </c>
      <c r="P48" s="18">
        <f>$H48*O48</f>
        <v>113.54054999999998</v>
      </c>
      <c r="Q48" s="38"/>
      <c r="R48" s="171">
        <f t="shared" si="5"/>
        <v>1.8145499999999828</v>
      </c>
      <c r="S48" s="123">
        <f t="shared" si="6"/>
        <v>1.6241071908060636E-2</v>
      </c>
      <c r="T48" s="3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 t="str">
        <f>[4]Rates!$A$77</f>
        <v>TC_GS</v>
      </c>
      <c r="B49" s="40" t="s">
        <v>23</v>
      </c>
      <c r="C49" s="19"/>
      <c r="D49" s="101" t="s">
        <v>58</v>
      </c>
      <c r="E49" s="137">
        <f>E48</f>
        <v>15517.5</v>
      </c>
      <c r="F49" s="20">
        <f>IF($A49&lt;&gt;"",VLOOKUP($A49,[4]Rates!$A$1:$R$65536,12,FALSE),0)</f>
        <v>3.0000000000000001E-3</v>
      </c>
      <c r="G49" s="18">
        <f>E49*F49</f>
        <v>46.552500000000002</v>
      </c>
      <c r="H49" s="283">
        <f>H48</f>
        <v>15553.499999999998</v>
      </c>
      <c r="I49" s="20">
        <f>IF($A49&lt;&gt;"",VLOOKUP($A49,[4]Rates!$A$1:$R$65536,14,FALSE),0)</f>
        <v>3.0000000000000001E-3</v>
      </c>
      <c r="J49" s="18">
        <f>$E49*I49</f>
        <v>46.552500000000002</v>
      </c>
      <c r="K49" s="38"/>
      <c r="L49" s="171">
        <f t="shared" si="2"/>
        <v>0</v>
      </c>
      <c r="M49" s="123">
        <f t="shared" si="13"/>
        <v>0</v>
      </c>
      <c r="N49" s="38"/>
      <c r="O49" s="20">
        <f>IF($A49&lt;&gt;"",VLOOKUP($A49,[4]Rates!$A$1:$R$65536,15,FALSE),0)</f>
        <v>3.3E-3</v>
      </c>
      <c r="P49" s="18">
        <f>$H49*O49</f>
        <v>51.32654999999999</v>
      </c>
      <c r="Q49" s="38"/>
      <c r="R49" s="171">
        <f t="shared" si="5"/>
        <v>4.7740499999999884</v>
      </c>
      <c r="S49" s="123">
        <f t="shared" si="6"/>
        <v>0.10255195746737529</v>
      </c>
      <c r="T49" s="38"/>
    </row>
    <row r="50" spans="1:360" x14ac:dyDescent="0.25">
      <c r="B50" s="33" t="s">
        <v>24</v>
      </c>
      <c r="C50" s="25"/>
      <c r="D50" s="41"/>
      <c r="E50" s="287"/>
      <c r="F50" s="41"/>
      <c r="G50" s="37">
        <f>SUM(G47:G49)</f>
        <v>458.21570000000003</v>
      </c>
      <c r="H50" s="282"/>
      <c r="I50" s="41"/>
      <c r="J50" s="37">
        <f>SUM(J47:J49)</f>
        <v>493.12569999999999</v>
      </c>
      <c r="K50" s="109"/>
      <c r="L50" s="172">
        <f t="shared" si="2"/>
        <v>34.909999999999968</v>
      </c>
      <c r="M50" s="125">
        <f t="shared" si="13"/>
        <v>7.6186826422577764E-2</v>
      </c>
      <c r="N50" s="109"/>
      <c r="O50" s="41"/>
      <c r="P50" s="37">
        <f>SUM(P47:P49)</f>
        <v>553.80869402266489</v>
      </c>
      <c r="Q50" s="109"/>
      <c r="R50" s="172">
        <f t="shared" si="5"/>
        <v>60.6829940226649</v>
      </c>
      <c r="S50" s="125">
        <f t="shared" si="6"/>
        <v>0.12305786135799635</v>
      </c>
      <c r="T50" s="109"/>
    </row>
    <row r="51" spans="1:360" x14ac:dyDescent="0.25">
      <c r="B51" s="42" t="s">
        <v>25</v>
      </c>
      <c r="C51" s="15"/>
      <c r="D51" s="99" t="s">
        <v>58</v>
      </c>
      <c r="E51" s="137">
        <f>E49</f>
        <v>15517.5</v>
      </c>
      <c r="F51" s="43">
        <v>3.5999999999999999E-3</v>
      </c>
      <c r="G51" s="44">
        <f t="shared" ref="G51:G59" si="14">E51*F51</f>
        <v>55.863</v>
      </c>
      <c r="H51" s="283">
        <f>H49</f>
        <v>15553.499999999998</v>
      </c>
      <c r="I51" s="43">
        <v>3.5999999999999999E-3</v>
      </c>
      <c r="J51" s="44">
        <f>$E51*I51</f>
        <v>55.863</v>
      </c>
      <c r="K51" s="17"/>
      <c r="L51" s="173">
        <f t="shared" si="2"/>
        <v>0</v>
      </c>
      <c r="M51" s="126">
        <f t="shared" si="13"/>
        <v>0</v>
      </c>
      <c r="N51" s="17"/>
      <c r="O51" s="43">
        <f>I51</f>
        <v>3.5999999999999999E-3</v>
      </c>
      <c r="P51" s="44">
        <f>$H51*O51</f>
        <v>55.992599999999989</v>
      </c>
      <c r="Q51" s="17"/>
      <c r="R51" s="173">
        <f>P51-J51</f>
        <v>0.12959999999998928</v>
      </c>
      <c r="S51" s="126">
        <f t="shared" si="6"/>
        <v>2.3199613339775754E-3</v>
      </c>
      <c r="T51" s="17"/>
    </row>
    <row r="52" spans="1:360" x14ac:dyDescent="0.25">
      <c r="B52" s="42" t="s">
        <v>26</v>
      </c>
      <c r="C52" s="15"/>
      <c r="D52" s="99" t="s">
        <v>58</v>
      </c>
      <c r="E52" s="137">
        <f>E49</f>
        <v>15517.5</v>
      </c>
      <c r="F52" s="43">
        <v>1.2999999999999999E-3</v>
      </c>
      <c r="G52" s="44">
        <f t="shared" si="14"/>
        <v>20.172750000000001</v>
      </c>
      <c r="H52" s="283">
        <f>H49</f>
        <v>15553.499999999998</v>
      </c>
      <c r="I52" s="43">
        <v>1.2999999999999999E-3</v>
      </c>
      <c r="J52" s="44">
        <f>$E52*I52</f>
        <v>20.172750000000001</v>
      </c>
      <c r="K52" s="17"/>
      <c r="L52" s="173">
        <f t="shared" si="2"/>
        <v>0</v>
      </c>
      <c r="M52" s="126">
        <f t="shared" si="13"/>
        <v>0</v>
      </c>
      <c r="N52" s="17"/>
      <c r="O52" s="43">
        <v>1.2999999999999999E-3</v>
      </c>
      <c r="P52" s="44">
        <f>$H52*O52</f>
        <v>20.219549999999998</v>
      </c>
      <c r="Q52" s="17"/>
      <c r="R52" s="173">
        <f t="shared" si="5"/>
        <v>4.679999999999751E-2</v>
      </c>
      <c r="S52" s="126">
        <f t="shared" si="6"/>
        <v>2.3199613339776434E-3</v>
      </c>
      <c r="T52" s="17"/>
    </row>
    <row r="53" spans="1:360" x14ac:dyDescent="0.25">
      <c r="B53" s="15" t="s">
        <v>27</v>
      </c>
      <c r="C53" s="15"/>
      <c r="D53" s="99" t="s">
        <v>57</v>
      </c>
      <c r="E53" s="137">
        <v>1</v>
      </c>
      <c r="F53" s="134">
        <v>0.25</v>
      </c>
      <c r="G53" s="44">
        <f t="shared" si="14"/>
        <v>0.25</v>
      </c>
      <c r="H53" s="283"/>
      <c r="I53" s="43">
        <v>0.25</v>
      </c>
      <c r="J53" s="44">
        <f t="shared" ref="J53:J54" si="15">$E53*I53</f>
        <v>0.25</v>
      </c>
      <c r="K53" s="17"/>
      <c r="L53" s="173">
        <f t="shared" si="2"/>
        <v>0</v>
      </c>
      <c r="M53" s="126">
        <f t="shared" si="13"/>
        <v>0</v>
      </c>
      <c r="N53" s="17"/>
      <c r="O53" s="43">
        <v>0.25</v>
      </c>
      <c r="P53" s="44">
        <f t="shared" ref="P53:P54" si="16">$E53*O53</f>
        <v>0.25</v>
      </c>
      <c r="Q53" s="17"/>
      <c r="R53" s="173">
        <f t="shared" si="5"/>
        <v>0</v>
      </c>
      <c r="S53" s="126">
        <f t="shared" si="6"/>
        <v>0</v>
      </c>
      <c r="T53" s="17"/>
    </row>
    <row r="54" spans="1:360" x14ac:dyDescent="0.25">
      <c r="B54" s="15" t="s">
        <v>28</v>
      </c>
      <c r="C54" s="15"/>
      <c r="D54" s="99" t="s">
        <v>58</v>
      </c>
      <c r="E54" s="137">
        <f>F18</f>
        <v>15000</v>
      </c>
      <c r="F54" s="43">
        <v>7.0000000000000001E-3</v>
      </c>
      <c r="G54" s="44">
        <f t="shared" si="14"/>
        <v>105</v>
      </c>
      <c r="H54" s="283"/>
      <c r="I54" s="43">
        <v>7.0000000000000001E-3</v>
      </c>
      <c r="J54" s="44">
        <f t="shared" si="15"/>
        <v>105</v>
      </c>
      <c r="K54" s="17"/>
      <c r="L54" s="173">
        <f t="shared" si="2"/>
        <v>0</v>
      </c>
      <c r="M54" s="126">
        <f t="shared" si="13"/>
        <v>0</v>
      </c>
      <c r="N54" s="17"/>
      <c r="O54" s="43">
        <v>7.0000000000000001E-3</v>
      </c>
      <c r="P54" s="44">
        <f t="shared" si="16"/>
        <v>105</v>
      </c>
      <c r="Q54" s="17"/>
      <c r="R54" s="173">
        <f t="shared" si="5"/>
        <v>0</v>
      </c>
      <c r="S54" s="126">
        <f t="shared" si="6"/>
        <v>0</v>
      </c>
      <c r="T54" s="17"/>
    </row>
    <row r="55" spans="1:360" x14ac:dyDescent="0.25">
      <c r="B55" s="31" t="s">
        <v>29</v>
      </c>
      <c r="C55" s="15"/>
      <c r="D55" s="99" t="s">
        <v>58</v>
      </c>
      <c r="E55" s="137">
        <f>0.64*$F$18</f>
        <v>9600</v>
      </c>
      <c r="F55" s="46">
        <f>Residential!F55</f>
        <v>8.6999999999999994E-2</v>
      </c>
      <c r="G55" s="44">
        <f t="shared" si="14"/>
        <v>835.19999999999993</v>
      </c>
      <c r="H55" s="289">
        <f>0.64*$F$18</f>
        <v>9600</v>
      </c>
      <c r="I55" s="46">
        <f>F55</f>
        <v>8.6999999999999994E-2</v>
      </c>
      <c r="J55" s="44">
        <f>$H55*I55</f>
        <v>835.19999999999993</v>
      </c>
      <c r="K55" s="17"/>
      <c r="L55" s="174">
        <f t="shared" si="2"/>
        <v>0</v>
      </c>
      <c r="M55" s="126">
        <f t="shared" si="13"/>
        <v>0</v>
      </c>
      <c r="N55" s="17"/>
      <c r="O55" s="46">
        <f>I55</f>
        <v>8.6999999999999994E-2</v>
      </c>
      <c r="P55" s="44">
        <f>$H55*O55</f>
        <v>835.19999999999993</v>
      </c>
      <c r="Q55" s="17"/>
      <c r="R55" s="174">
        <f t="shared" si="5"/>
        <v>0</v>
      </c>
      <c r="S55" s="126">
        <f t="shared" si="6"/>
        <v>0</v>
      </c>
      <c r="T55" s="17"/>
    </row>
    <row r="56" spans="1:360" x14ac:dyDescent="0.25">
      <c r="B56" s="31" t="s">
        <v>30</v>
      </c>
      <c r="C56" s="15"/>
      <c r="D56" s="99" t="s">
        <v>58</v>
      </c>
      <c r="E56" s="137">
        <f>0.18*$F$18</f>
        <v>2700</v>
      </c>
      <c r="F56" s="46">
        <f>Residential!F56</f>
        <v>0.13200000000000001</v>
      </c>
      <c r="G56" s="44">
        <f t="shared" si="14"/>
        <v>356.40000000000003</v>
      </c>
      <c r="H56" s="289">
        <f>0.18*$F$18</f>
        <v>2700</v>
      </c>
      <c r="I56" s="46">
        <f t="shared" ref="I56:I59" si="17">F56</f>
        <v>0.13200000000000001</v>
      </c>
      <c r="J56" s="44">
        <f>$H56*I56</f>
        <v>356.40000000000003</v>
      </c>
      <c r="K56" s="17"/>
      <c r="L56" s="174">
        <f t="shared" si="2"/>
        <v>0</v>
      </c>
      <c r="M56" s="126">
        <f t="shared" si="13"/>
        <v>0</v>
      </c>
      <c r="N56" s="17"/>
      <c r="O56" s="46">
        <f t="shared" ref="O56:O59" si="18">I56</f>
        <v>0.13200000000000001</v>
      </c>
      <c r="P56" s="44">
        <f>$H56*O56</f>
        <v>356.40000000000003</v>
      </c>
      <c r="Q56" s="17"/>
      <c r="R56" s="174">
        <f t="shared" si="5"/>
        <v>0</v>
      </c>
      <c r="S56" s="126">
        <f t="shared" si="6"/>
        <v>0</v>
      </c>
      <c r="T56" s="17"/>
    </row>
    <row r="57" spans="1:360" x14ac:dyDescent="0.25">
      <c r="B57" s="7" t="s">
        <v>31</v>
      </c>
      <c r="C57" s="15"/>
      <c r="D57" s="99" t="s">
        <v>58</v>
      </c>
      <c r="E57" s="137">
        <f>0.18*$F$18</f>
        <v>2700</v>
      </c>
      <c r="F57" s="46">
        <f>Residential!F57</f>
        <v>0.18</v>
      </c>
      <c r="G57" s="44">
        <f t="shared" si="14"/>
        <v>486</v>
      </c>
      <c r="H57" s="289">
        <f>0.18*$F$18</f>
        <v>2700</v>
      </c>
      <c r="I57" s="46">
        <f t="shared" si="17"/>
        <v>0.18</v>
      </c>
      <c r="J57" s="44">
        <f>$H57*I57</f>
        <v>486</v>
      </c>
      <c r="K57" s="17"/>
      <c r="L57" s="174">
        <f t="shared" si="2"/>
        <v>0</v>
      </c>
      <c r="M57" s="126">
        <f t="shared" si="13"/>
        <v>0</v>
      </c>
      <c r="N57" s="17"/>
      <c r="O57" s="46">
        <f t="shared" si="18"/>
        <v>0.18</v>
      </c>
      <c r="P57" s="44">
        <f>$H57*O57</f>
        <v>486</v>
      </c>
      <c r="Q57" s="17"/>
      <c r="R57" s="174">
        <f t="shared" si="5"/>
        <v>0</v>
      </c>
      <c r="S57" s="126">
        <f t="shared" si="6"/>
        <v>0</v>
      </c>
      <c r="T57" s="17"/>
    </row>
    <row r="58" spans="1:360" s="51" customFormat="1" x14ac:dyDescent="0.2">
      <c r="B58" s="48" t="s">
        <v>136</v>
      </c>
      <c r="C58" s="49"/>
      <c r="D58" s="102" t="s">
        <v>58</v>
      </c>
      <c r="E58" s="137">
        <f>F18</f>
        <v>15000</v>
      </c>
      <c r="F58" s="43">
        <v>1.1000000000000001E-3</v>
      </c>
      <c r="G58" s="44">
        <f>E58*F58</f>
        <v>16.5</v>
      </c>
      <c r="H58" s="289"/>
      <c r="I58" s="43">
        <v>1.1000000000000001E-3</v>
      </c>
      <c r="J58" s="44">
        <f>$E58*I58</f>
        <v>16.5</v>
      </c>
      <c r="K58" s="110"/>
      <c r="L58" s="174">
        <f t="shared" si="2"/>
        <v>0</v>
      </c>
      <c r="M58" s="126">
        <f t="shared" si="13"/>
        <v>0</v>
      </c>
      <c r="N58" s="110"/>
      <c r="O58" s="46">
        <f t="shared" si="18"/>
        <v>1.1000000000000001E-3</v>
      </c>
      <c r="P58" s="44">
        <f>$E58*O58</f>
        <v>16.5</v>
      </c>
      <c r="Q58" s="110"/>
      <c r="R58" s="174">
        <f t="shared" si="5"/>
        <v>0</v>
      </c>
      <c r="S58" s="126">
        <f t="shared" si="6"/>
        <v>0</v>
      </c>
      <c r="T58" s="110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</row>
    <row r="59" spans="1:360" s="51" customFormat="1" ht="15.75" thickBot="1" x14ac:dyDescent="0.25">
      <c r="B59" s="48"/>
      <c r="C59" s="49"/>
      <c r="D59" s="102"/>
      <c r="E59" s="137"/>
      <c r="F59" s="46"/>
      <c r="G59" s="44">
        <f t="shared" si="14"/>
        <v>0</v>
      </c>
      <c r="H59" s="289"/>
      <c r="I59" s="46">
        <f t="shared" si="17"/>
        <v>0</v>
      </c>
      <c r="J59" s="44">
        <f>$H59*I59</f>
        <v>0</v>
      </c>
      <c r="K59" s="110"/>
      <c r="L59" s="174">
        <f t="shared" si="2"/>
        <v>0</v>
      </c>
      <c r="M59" s="126" t="str">
        <f t="shared" si="13"/>
        <v/>
      </c>
      <c r="N59" s="110"/>
      <c r="O59" s="46">
        <f t="shared" si="18"/>
        <v>0</v>
      </c>
      <c r="P59" s="44">
        <f>$H59*O59</f>
        <v>0</v>
      </c>
      <c r="Q59" s="110"/>
      <c r="R59" s="174">
        <f t="shared" si="5"/>
        <v>0</v>
      </c>
      <c r="S59" s="126" t="str">
        <f t="shared" si="6"/>
        <v/>
      </c>
      <c r="T59" s="110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</row>
    <row r="60" spans="1:360" ht="15.75" thickBot="1" x14ac:dyDescent="0.3">
      <c r="B60" s="52"/>
      <c r="C60" s="53"/>
      <c r="D60" s="103"/>
      <c r="E60" s="193"/>
      <c r="F60" s="85"/>
      <c r="G60" s="86"/>
      <c r="H60" s="17"/>
      <c r="I60" s="85"/>
      <c r="J60" s="86"/>
      <c r="K60" s="17"/>
      <c r="L60" s="175"/>
      <c r="M60" s="127"/>
      <c r="N60" s="17"/>
      <c r="O60" s="85"/>
      <c r="P60" s="86"/>
      <c r="Q60" s="17"/>
      <c r="R60" s="175"/>
      <c r="S60" s="127"/>
      <c r="T60" s="17"/>
    </row>
    <row r="61" spans="1:360" x14ac:dyDescent="0.25">
      <c r="B61" s="55" t="s">
        <v>32</v>
      </c>
      <c r="C61" s="15"/>
      <c r="D61" s="15"/>
      <c r="E61" s="194"/>
      <c r="F61" s="56"/>
      <c r="G61" s="58">
        <f>SUM(G51:G58,G50)</f>
        <v>2333.6014500000001</v>
      </c>
      <c r="H61" s="57"/>
      <c r="I61" s="56"/>
      <c r="J61" s="58">
        <f>SUM(J51:J58,J50)</f>
        <v>2368.51145</v>
      </c>
      <c r="K61" s="57"/>
      <c r="L61" s="176">
        <f>J61-G61</f>
        <v>34.909999999999854</v>
      </c>
      <c r="M61" s="128">
        <f>IF((G61)=0,"",(L61/G61))</f>
        <v>1.4959709593941096E-2</v>
      </c>
      <c r="N61" s="57"/>
      <c r="O61" s="56"/>
      <c r="P61" s="58">
        <f>SUM(P51:P58,P50)</f>
        <v>2429.3708440226646</v>
      </c>
      <c r="Q61" s="57"/>
      <c r="R61" s="176">
        <f>P61-J61</f>
        <v>60.859394022664674</v>
      </c>
      <c r="S61" s="128">
        <f>IF((J61)=0,"",(R61/J61))</f>
        <v>2.5695207858363815E-2</v>
      </c>
      <c r="T61" s="57"/>
    </row>
    <row r="62" spans="1:360" x14ac:dyDescent="0.25">
      <c r="B62" s="59" t="s">
        <v>33</v>
      </c>
      <c r="C62" s="15"/>
      <c r="D62" s="15"/>
      <c r="E62" s="195"/>
      <c r="F62" s="60">
        <v>0.13</v>
      </c>
      <c r="G62" s="62">
        <f>G61*F62</f>
        <v>303.36818850000003</v>
      </c>
      <c r="H62" s="61"/>
      <c r="I62" s="60">
        <v>0.13</v>
      </c>
      <c r="J62" s="62">
        <f>J61*I62</f>
        <v>307.90648850000002</v>
      </c>
      <c r="K62" s="61"/>
      <c r="L62" s="176">
        <f>J62-G62</f>
        <v>4.5382999999999925</v>
      </c>
      <c r="M62" s="129">
        <f>IF((G62)=0,"",(L62/G62))</f>
        <v>1.4959709593941132E-2</v>
      </c>
      <c r="N62" s="61"/>
      <c r="O62" s="60">
        <v>0.13</v>
      </c>
      <c r="P62" s="62">
        <f>P61*O62</f>
        <v>315.81820972294639</v>
      </c>
      <c r="Q62" s="61"/>
      <c r="R62" s="176">
        <f t="shared" si="5"/>
        <v>7.9117212229463689</v>
      </c>
      <c r="S62" s="129">
        <f t="shared" ref="S62:S64" si="19">IF((J62)=0,"",(R62/J62))</f>
        <v>2.5695207858363687E-2</v>
      </c>
      <c r="T62" s="61"/>
    </row>
    <row r="63" spans="1:360" x14ac:dyDescent="0.25">
      <c r="B63" s="63" t="s">
        <v>34</v>
      </c>
      <c r="C63" s="15"/>
      <c r="D63" s="15"/>
      <c r="E63" s="195"/>
      <c r="F63" s="64"/>
      <c r="G63" s="62">
        <f>G61+G62</f>
        <v>2636.9696385000002</v>
      </c>
      <c r="H63" s="61"/>
      <c r="I63" s="64"/>
      <c r="J63" s="62">
        <f>J61+J62</f>
        <v>2676.4179384999998</v>
      </c>
      <c r="K63" s="61"/>
      <c r="L63" s="176">
        <f>J63-G63</f>
        <v>39.448299999999563</v>
      </c>
      <c r="M63" s="129">
        <f>IF((G63)=0,"",(L63/G63))</f>
        <v>1.4959709593940992E-2</v>
      </c>
      <c r="N63" s="61"/>
      <c r="O63" s="64"/>
      <c r="P63" s="62">
        <f>P61+P62</f>
        <v>2745.1890537456111</v>
      </c>
      <c r="Q63" s="61"/>
      <c r="R63" s="176">
        <f t="shared" si="5"/>
        <v>68.771115245611327</v>
      </c>
      <c r="S63" s="129">
        <f t="shared" si="19"/>
        <v>2.5695207858363909E-2</v>
      </c>
      <c r="T63" s="61"/>
    </row>
    <row r="64" spans="1:360" ht="15" customHeight="1" x14ac:dyDescent="0.25">
      <c r="B64" s="406" t="s">
        <v>35</v>
      </c>
      <c r="C64" s="406"/>
      <c r="D64" s="406"/>
      <c r="E64" s="195"/>
      <c r="F64" s="56">
        <v>0</v>
      </c>
      <c r="G64" s="65">
        <f>-G63*F64</f>
        <v>0</v>
      </c>
      <c r="H64" s="61"/>
      <c r="I64" s="64"/>
      <c r="J64" s="65"/>
      <c r="K64" s="61"/>
      <c r="L64" s="177">
        <f>J64-G64</f>
        <v>0</v>
      </c>
      <c r="M64" s="130" t="str">
        <f>IF((G64)=0,"",(L64/G64))</f>
        <v/>
      </c>
      <c r="N64" s="61"/>
      <c r="O64" s="64"/>
      <c r="P64" s="65"/>
      <c r="Q64" s="61"/>
      <c r="R64" s="177">
        <f t="shared" si="5"/>
        <v>0</v>
      </c>
      <c r="S64" s="130" t="str">
        <f t="shared" si="19"/>
        <v/>
      </c>
      <c r="T64" s="61"/>
    </row>
    <row r="65" spans="1:360" ht="15.75" customHeight="1" thickBot="1" x14ac:dyDescent="0.3">
      <c r="B65" s="407" t="s">
        <v>36</v>
      </c>
      <c r="C65" s="407"/>
      <c r="D65" s="407"/>
      <c r="E65" s="196"/>
      <c r="F65" s="66"/>
      <c r="G65" s="67">
        <f>G63+G64</f>
        <v>2636.9696385000002</v>
      </c>
      <c r="H65" s="57"/>
      <c r="I65" s="66"/>
      <c r="J65" s="67">
        <f>J63+J64</f>
        <v>2676.4179384999998</v>
      </c>
      <c r="K65" s="57"/>
      <c r="L65" s="178">
        <f>J65-G65</f>
        <v>39.448299999999563</v>
      </c>
      <c r="M65" s="131">
        <f>IF((G65)=0,"",(L65/G65))</f>
        <v>1.4959709593940992E-2</v>
      </c>
      <c r="N65" s="57"/>
      <c r="O65" s="66"/>
      <c r="P65" s="67">
        <f>P63+P64</f>
        <v>2745.1890537456111</v>
      </c>
      <c r="Q65" s="57"/>
      <c r="R65" s="178">
        <f t="shared" si="5"/>
        <v>68.771115245611327</v>
      </c>
      <c r="S65" s="131">
        <f>IF((J65)=0,"",(R65/J65))</f>
        <v>2.5695207858363909E-2</v>
      </c>
      <c r="T65" s="57"/>
    </row>
    <row r="66" spans="1:360" s="51" customFormat="1" ht="15.75" thickBot="1" x14ac:dyDescent="0.25">
      <c r="B66" s="68"/>
      <c r="C66" s="69"/>
      <c r="D66" s="70"/>
      <c r="E66" s="197"/>
      <c r="F66" s="85"/>
      <c r="G66" s="86"/>
      <c r="H66" s="110"/>
      <c r="I66" s="85"/>
      <c r="J66" s="86"/>
      <c r="K66" s="110"/>
      <c r="L66" s="179"/>
      <c r="M66" s="127"/>
      <c r="N66" s="110"/>
      <c r="O66" s="85"/>
      <c r="P66" s="86"/>
      <c r="Q66" s="110"/>
      <c r="R66" s="179"/>
      <c r="S66" s="127"/>
      <c r="T66" s="110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</row>
    <row r="67" spans="1:360" s="51" customFormat="1" ht="12.75" hidden="1" outlineLevel="1" x14ac:dyDescent="0.2">
      <c r="B67" s="72" t="s">
        <v>37</v>
      </c>
      <c r="C67" s="49"/>
      <c r="D67" s="49"/>
      <c r="E67" s="198"/>
      <c r="F67" s="73"/>
      <c r="G67" s="75">
        <f>SUM(G58:G59,G50,G51:G54)</f>
        <v>656.00144999999998</v>
      </c>
      <c r="H67" s="74"/>
      <c r="I67" s="73"/>
      <c r="J67" s="75">
        <f>SUM(J58:J59,J50,J51:J54)</f>
        <v>690.91144999999995</v>
      </c>
      <c r="K67" s="74"/>
      <c r="L67" s="180">
        <f>J67-G67</f>
        <v>34.909999999999968</v>
      </c>
      <c r="M67" s="128">
        <f>IF((G67)=0,"",(L67/G67))</f>
        <v>5.3216345787040514E-2</v>
      </c>
      <c r="N67" s="74"/>
      <c r="O67" s="73"/>
      <c r="P67" s="75">
        <f>SUM(P58:P59,P50,P51:P54)</f>
        <v>751.77084402266496</v>
      </c>
      <c r="Q67" s="74"/>
      <c r="R67" s="180">
        <f t="shared" si="5"/>
        <v>60.859394022665015</v>
      </c>
      <c r="S67" s="128">
        <f>IF((J67)=0,"",(R67/J67))</f>
        <v>8.8085664266622038E-2</v>
      </c>
      <c r="T67" s="74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</row>
    <row r="68" spans="1:360" s="51" customFormat="1" ht="12.75" hidden="1" outlineLevel="1" x14ac:dyDescent="0.2">
      <c r="B68" s="76" t="s">
        <v>33</v>
      </c>
      <c r="C68" s="49"/>
      <c r="D68" s="49"/>
      <c r="E68" s="198"/>
      <c r="F68" s="77">
        <v>0.13</v>
      </c>
      <c r="G68" s="79">
        <f>G67*F68</f>
        <v>85.280188499999994</v>
      </c>
      <c r="H68" s="78"/>
      <c r="I68" s="77">
        <v>0.13</v>
      </c>
      <c r="J68" s="79">
        <f>J67*I68</f>
        <v>89.818488500000001</v>
      </c>
      <c r="K68" s="78"/>
      <c r="L68" s="180">
        <f>J68-G68</f>
        <v>4.5383000000000067</v>
      </c>
      <c r="M68" s="129">
        <f>IF((G68)=0,"",(L68/G68))</f>
        <v>5.3216345787040646E-2</v>
      </c>
      <c r="N68" s="78"/>
      <c r="O68" s="77">
        <v>0.13</v>
      </c>
      <c r="P68" s="79">
        <f>P67*O68</f>
        <v>97.730209722946455</v>
      </c>
      <c r="Q68" s="78"/>
      <c r="R68" s="180">
        <f t="shared" si="5"/>
        <v>7.9117212229464542</v>
      </c>
      <c r="S68" s="129">
        <f t="shared" ref="S68:S71" si="20">IF((J68)=0,"",(R68/J68))</f>
        <v>8.8085664266622052E-2</v>
      </c>
      <c r="T68" s="7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  <c r="IX68" s="98"/>
      <c r="IY68" s="98"/>
      <c r="IZ68" s="98"/>
      <c r="JA68" s="98"/>
      <c r="JB68" s="98"/>
      <c r="JC68" s="98"/>
      <c r="JD68" s="98"/>
      <c r="JE68" s="98"/>
      <c r="JF68" s="98"/>
      <c r="JG68" s="98"/>
      <c r="JH68" s="98"/>
      <c r="JI68" s="98"/>
      <c r="JJ68" s="98"/>
      <c r="JK68" s="98"/>
      <c r="JL68" s="98"/>
      <c r="JM68" s="98"/>
      <c r="JN68" s="98"/>
      <c r="JO68" s="98"/>
      <c r="JP68" s="98"/>
      <c r="JQ68" s="98"/>
      <c r="JR68" s="98"/>
      <c r="JS68" s="98"/>
      <c r="JT68" s="98"/>
      <c r="JU68" s="98"/>
      <c r="JV68" s="98"/>
      <c r="JW68" s="98"/>
      <c r="JX68" s="98"/>
      <c r="JY68" s="98"/>
      <c r="JZ68" s="98"/>
      <c r="KA68" s="98"/>
      <c r="KB68" s="98"/>
      <c r="KC68" s="98"/>
      <c r="KD68" s="98"/>
      <c r="KE68" s="98"/>
      <c r="KF68" s="98"/>
      <c r="KG68" s="98"/>
      <c r="KH68" s="98"/>
      <c r="KI68" s="98"/>
      <c r="KJ68" s="98"/>
      <c r="KK68" s="98"/>
      <c r="KL68" s="98"/>
      <c r="KM68" s="98"/>
      <c r="KN68" s="98"/>
      <c r="KO68" s="98"/>
      <c r="KP68" s="98"/>
      <c r="KQ68" s="98"/>
      <c r="KR68" s="98"/>
      <c r="KS68" s="98"/>
      <c r="KT68" s="98"/>
      <c r="KU68" s="98"/>
      <c r="KV68" s="98"/>
      <c r="KW68" s="98"/>
      <c r="KX68" s="98"/>
      <c r="KY68" s="98"/>
      <c r="KZ68" s="98"/>
      <c r="LA68" s="98"/>
      <c r="LB68" s="98"/>
      <c r="LC68" s="98"/>
      <c r="LD68" s="98"/>
      <c r="LE68" s="98"/>
      <c r="LF68" s="98"/>
      <c r="LG68" s="98"/>
      <c r="LH68" s="98"/>
      <c r="LI68" s="98"/>
      <c r="LJ68" s="98"/>
      <c r="LK68" s="98"/>
      <c r="LL68" s="98"/>
      <c r="LM68" s="98"/>
      <c r="LN68" s="98"/>
      <c r="LO68" s="98"/>
      <c r="LP68" s="98"/>
      <c r="LQ68" s="98"/>
      <c r="LR68" s="98"/>
      <c r="LS68" s="98"/>
      <c r="LT68" s="98"/>
      <c r="LU68" s="98"/>
      <c r="LV68" s="98"/>
      <c r="LW68" s="98"/>
      <c r="LX68" s="98"/>
      <c r="LY68" s="98"/>
      <c r="LZ68" s="98"/>
      <c r="MA68" s="98"/>
      <c r="MB68" s="98"/>
      <c r="MC68" s="98"/>
      <c r="MD68" s="98"/>
      <c r="ME68" s="98"/>
      <c r="MF68" s="98"/>
      <c r="MG68" s="98"/>
      <c r="MH68" s="98"/>
      <c r="MI68" s="98"/>
      <c r="MJ68" s="98"/>
      <c r="MK68" s="98"/>
      <c r="ML68" s="98"/>
      <c r="MM68" s="98"/>
      <c r="MN68" s="98"/>
      <c r="MO68" s="98"/>
      <c r="MP68" s="98"/>
      <c r="MQ68" s="98"/>
      <c r="MR68" s="98"/>
      <c r="MS68" s="98"/>
      <c r="MT68" s="98"/>
      <c r="MU68" s="98"/>
      <c r="MV68" s="98"/>
    </row>
    <row r="69" spans="1:360" s="51" customFormat="1" ht="12.75" hidden="1" outlineLevel="1" x14ac:dyDescent="0.2">
      <c r="B69" s="80" t="s">
        <v>34</v>
      </c>
      <c r="C69" s="49"/>
      <c r="D69" s="49"/>
      <c r="E69" s="198"/>
      <c r="F69" s="81"/>
      <c r="G69" s="79">
        <f>G67+G68</f>
        <v>741.28163849999999</v>
      </c>
      <c r="H69" s="78"/>
      <c r="I69" s="81"/>
      <c r="J69" s="79">
        <f>J67+J68</f>
        <v>780.72993849999989</v>
      </c>
      <c r="K69" s="78"/>
      <c r="L69" s="180">
        <f>J69-G69</f>
        <v>39.448299999999904</v>
      </c>
      <c r="M69" s="129">
        <f>IF((G69)=0,"",(L69/G69))</f>
        <v>5.3216345787040431E-2</v>
      </c>
      <c r="N69" s="78"/>
      <c r="O69" s="81"/>
      <c r="P69" s="79">
        <f>P67+P68</f>
        <v>849.50105374561144</v>
      </c>
      <c r="Q69" s="78"/>
      <c r="R69" s="180">
        <f t="shared" si="5"/>
        <v>68.771115245611554</v>
      </c>
      <c r="S69" s="129">
        <f t="shared" si="20"/>
        <v>8.8085664266622163E-2</v>
      </c>
      <c r="T69" s="7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customHeight="1" outlineLevel="1" x14ac:dyDescent="0.2">
      <c r="B70" s="408" t="s">
        <v>35</v>
      </c>
      <c r="C70" s="408"/>
      <c r="D70" s="408"/>
      <c r="E70" s="198"/>
      <c r="F70" s="73">
        <v>0.1</v>
      </c>
      <c r="G70" s="82">
        <f>-G69*F70</f>
        <v>-74.128163850000007</v>
      </c>
      <c r="H70" s="78"/>
      <c r="I70" s="81"/>
      <c r="J70" s="82"/>
      <c r="K70" s="78"/>
      <c r="L70" s="181">
        <f>J70-G70</f>
        <v>74.128163850000007</v>
      </c>
      <c r="M70" s="130">
        <f>IF((G70)=0,"",(L70/G70))</f>
        <v>-1</v>
      </c>
      <c r="N70" s="78"/>
      <c r="O70" s="81"/>
      <c r="P70" s="82"/>
      <c r="Q70" s="78"/>
      <c r="R70" s="181">
        <f t="shared" si="5"/>
        <v>0</v>
      </c>
      <c r="S70" s="130" t="str">
        <f t="shared" si="20"/>
        <v/>
      </c>
      <c r="T70" s="7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3.5" hidden="1" customHeight="1" outlineLevel="1" thickBot="1" x14ac:dyDescent="0.25">
      <c r="B71" s="403" t="s">
        <v>38</v>
      </c>
      <c r="C71" s="403"/>
      <c r="D71" s="403"/>
      <c r="E71" s="199"/>
      <c r="F71" s="83"/>
      <c r="G71" s="84">
        <f>SUM(G69:G70)</f>
        <v>667.15347465000002</v>
      </c>
      <c r="H71" s="74"/>
      <c r="I71" s="83"/>
      <c r="J71" s="84">
        <f>SUM(J69:J70)</f>
        <v>780.72993849999989</v>
      </c>
      <c r="K71" s="74"/>
      <c r="L71" s="182">
        <f>J71-G71</f>
        <v>113.57646384999987</v>
      </c>
      <c r="M71" s="132">
        <f>IF((G71)=0,"",(L71/G71))</f>
        <v>0.17024038420782264</v>
      </c>
      <c r="N71" s="74"/>
      <c r="O71" s="83"/>
      <c r="P71" s="84">
        <f>SUM(P69:P70)</f>
        <v>849.50105374561144</v>
      </c>
      <c r="Q71" s="74"/>
      <c r="R71" s="182">
        <f t="shared" si="5"/>
        <v>68.771115245611554</v>
      </c>
      <c r="S71" s="132">
        <f t="shared" si="20"/>
        <v>8.8085664266622163E-2</v>
      </c>
      <c r="T71" s="74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5.75" hidden="1" outlineLevel="1" thickBot="1" x14ac:dyDescent="0.25">
      <c r="B72" s="68"/>
      <c r="C72" s="69"/>
      <c r="D72" s="70"/>
      <c r="E72" s="197"/>
      <c r="F72" s="85"/>
      <c r="G72" s="91"/>
      <c r="H72" s="110"/>
      <c r="I72" s="85"/>
      <c r="J72" s="91"/>
      <c r="K72" s="110"/>
      <c r="L72" s="175"/>
      <c r="M72" s="133"/>
      <c r="N72" s="110"/>
      <c r="O72" s="85"/>
      <c r="P72" s="91"/>
      <c r="Q72" s="110"/>
      <c r="R72" s="175"/>
      <c r="S72" s="133"/>
      <c r="T72" s="110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collapsed="1" x14ac:dyDescent="0.25">
      <c r="J73" s="47"/>
      <c r="P73" s="47"/>
    </row>
    <row r="74" spans="1:360" x14ac:dyDescent="0.25">
      <c r="B74" s="8" t="s">
        <v>39</v>
      </c>
      <c r="F74" s="87">
        <v>3.4500000000000003E-2</v>
      </c>
      <c r="I74" s="87">
        <v>3.4500000000000003E-2</v>
      </c>
      <c r="O74" s="87">
        <v>3.6900000000000002E-2</v>
      </c>
    </row>
    <row r="76" spans="1:360" x14ac:dyDescent="0.25">
      <c r="A76" s="88" t="s">
        <v>40</v>
      </c>
    </row>
    <row r="78" spans="1:360" x14ac:dyDescent="0.25">
      <c r="A78" s="2" t="s">
        <v>41</v>
      </c>
    </row>
    <row r="79" spans="1:360" x14ac:dyDescent="0.25">
      <c r="A79" s="2" t="s">
        <v>42</v>
      </c>
    </row>
    <row r="81" spans="1:360" x14ac:dyDescent="0.25">
      <c r="A81" s="7" t="s">
        <v>43</v>
      </c>
      <c r="M81" s="2"/>
      <c r="S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</row>
    <row r="82" spans="1:360" x14ac:dyDescent="0.25">
      <c r="A82" s="7" t="s">
        <v>44</v>
      </c>
      <c r="M82" s="2"/>
      <c r="S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</row>
    <row r="84" spans="1:360" x14ac:dyDescent="0.25">
      <c r="A84" s="2" t="s">
        <v>45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2" t="s">
        <v>46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6" spans="1:360" x14ac:dyDescent="0.25">
      <c r="A86" s="2" t="s">
        <v>47</v>
      </c>
      <c r="M86" s="2"/>
      <c r="S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</row>
    <row r="87" spans="1:360" x14ac:dyDescent="0.25">
      <c r="A87" s="2" t="s">
        <v>48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49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90" spans="1:360" x14ac:dyDescent="0.25">
      <c r="A90" s="89"/>
      <c r="B90" s="2" t="s">
        <v>50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</sheetData>
  <mergeCells count="14">
    <mergeCell ref="O20:P20"/>
    <mergeCell ref="R20:S20"/>
    <mergeCell ref="B71:D71"/>
    <mergeCell ref="D21:D22"/>
    <mergeCell ref="B64:D64"/>
    <mergeCell ref="B65:D65"/>
    <mergeCell ref="B70:D70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sqref="D16">
      <formula1>"TOU, non-TOU"</formula1>
    </dataValidation>
    <dataValidation type="list" allowBlank="1" showInputMessage="1" showErrorMessage="1" prompt="Select Charge Unit - monthly, per kWh, per kW" sqref="D48:D49 D40:D46 D66 D51:D60 D72 D23:D38">
      <formula1>"Monthly, per kWh, per kW"</formula1>
    </dataValidation>
  </dataValidation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62"/>
  <sheetViews>
    <sheetView view="pageBreakPreview" topLeftCell="A39" zoomScale="85" zoomScaleNormal="70" zoomScaleSheetLayoutView="85" workbookViewId="0">
      <selection activeCell="J74" sqref="J74"/>
    </sheetView>
  </sheetViews>
  <sheetFormatPr defaultRowHeight="16.5" outlineLevelRow="1" x14ac:dyDescent="0.3"/>
  <cols>
    <col min="1" max="1" width="11.28515625" style="222" customWidth="1"/>
    <col min="2" max="2" width="23.28515625" style="202" customWidth="1"/>
    <col min="3" max="4" width="16.7109375" style="202" customWidth="1"/>
    <col min="5" max="5" width="17" style="202" customWidth="1"/>
    <col min="6" max="7" width="21.5703125" style="202" customWidth="1"/>
    <col min="8" max="10" width="13.28515625" style="202" customWidth="1"/>
    <col min="11" max="11" width="3.140625" style="202" customWidth="1"/>
    <col min="12" max="13" width="12.7109375" style="202" customWidth="1"/>
    <col min="14" max="14" width="3.5703125" style="202" customWidth="1"/>
    <col min="15" max="15" width="12.7109375" style="202" customWidth="1"/>
    <col min="16" max="16" width="14.85546875" style="202" customWidth="1"/>
    <col min="17" max="17" width="3.5703125" style="202" customWidth="1"/>
    <col min="18" max="20" width="12.7109375" style="202" customWidth="1"/>
    <col min="21" max="21" width="9.140625" style="202"/>
    <col min="22" max="22" width="11.140625" style="202" customWidth="1"/>
    <col min="23" max="198" width="9.140625" style="202"/>
    <col min="199" max="199" width="11.28515625" style="202" customWidth="1"/>
    <col min="200" max="200" width="27.140625" style="202" customWidth="1"/>
    <col min="201" max="201" width="13.7109375" style="202" customWidth="1"/>
    <col min="202" max="202" width="14.140625" style="202" customWidth="1"/>
    <col min="203" max="207" width="13.42578125" style="202" customWidth="1"/>
    <col min="208" max="208" width="9.140625" style="202"/>
    <col min="209" max="212" width="13.42578125" style="202" customWidth="1"/>
    <col min="213" max="213" width="9.140625" style="202"/>
    <col min="214" max="217" width="13.42578125" style="202" customWidth="1"/>
    <col min="218" max="218" width="9.140625" style="202"/>
    <col min="219" max="222" width="13.42578125" style="202" customWidth="1"/>
    <col min="223" max="223" width="9.140625" style="202"/>
    <col min="224" max="227" width="13.42578125" style="202" customWidth="1"/>
    <col min="228" max="454" width="9.140625" style="202"/>
    <col min="455" max="455" width="11.28515625" style="202" customWidth="1"/>
    <col min="456" max="456" width="27.140625" style="202" customWidth="1"/>
    <col min="457" max="457" width="13.7109375" style="202" customWidth="1"/>
    <col min="458" max="458" width="14.140625" style="202" customWidth="1"/>
    <col min="459" max="463" width="13.42578125" style="202" customWidth="1"/>
    <col min="464" max="464" width="9.140625" style="202"/>
    <col min="465" max="468" width="13.42578125" style="202" customWidth="1"/>
    <col min="469" max="469" width="9.140625" style="202"/>
    <col min="470" max="473" width="13.42578125" style="202" customWidth="1"/>
    <col min="474" max="474" width="9.140625" style="202"/>
    <col min="475" max="478" width="13.42578125" style="202" customWidth="1"/>
    <col min="479" max="479" width="9.140625" style="202"/>
    <col min="480" max="483" width="13.42578125" style="202" customWidth="1"/>
    <col min="484" max="710" width="9.140625" style="202"/>
    <col min="711" max="711" width="11.28515625" style="202" customWidth="1"/>
    <col min="712" max="712" width="27.140625" style="202" customWidth="1"/>
    <col min="713" max="713" width="13.7109375" style="202" customWidth="1"/>
    <col min="714" max="714" width="14.140625" style="202" customWidth="1"/>
    <col min="715" max="719" width="13.42578125" style="202" customWidth="1"/>
    <col min="720" max="720" width="9.140625" style="202"/>
    <col min="721" max="724" width="13.42578125" style="202" customWidth="1"/>
    <col min="725" max="725" width="9.140625" style="202"/>
    <col min="726" max="729" width="13.42578125" style="202" customWidth="1"/>
    <col min="730" max="730" width="9.140625" style="202"/>
    <col min="731" max="734" width="13.42578125" style="202" customWidth="1"/>
    <col min="735" max="735" width="9.140625" style="202"/>
    <col min="736" max="739" width="13.42578125" style="202" customWidth="1"/>
    <col min="740" max="966" width="9.140625" style="202"/>
    <col min="967" max="967" width="11.28515625" style="202" customWidth="1"/>
    <col min="968" max="968" width="27.140625" style="202" customWidth="1"/>
    <col min="969" max="969" width="13.7109375" style="202" customWidth="1"/>
    <col min="970" max="970" width="14.140625" style="202" customWidth="1"/>
    <col min="971" max="975" width="13.42578125" style="202" customWidth="1"/>
    <col min="976" max="976" width="9.140625" style="202"/>
    <col min="977" max="980" width="13.42578125" style="202" customWidth="1"/>
    <col min="981" max="981" width="9.140625" style="202"/>
    <col min="982" max="985" width="13.42578125" style="202" customWidth="1"/>
    <col min="986" max="986" width="9.140625" style="202"/>
    <col min="987" max="990" width="13.42578125" style="202" customWidth="1"/>
    <col min="991" max="991" width="9.140625" style="202"/>
    <col min="992" max="995" width="13.42578125" style="202" customWidth="1"/>
    <col min="996" max="1222" width="9.140625" style="202"/>
    <col min="1223" max="1223" width="11.28515625" style="202" customWidth="1"/>
    <col min="1224" max="1224" width="27.140625" style="202" customWidth="1"/>
    <col min="1225" max="1225" width="13.7109375" style="202" customWidth="1"/>
    <col min="1226" max="1226" width="14.140625" style="202" customWidth="1"/>
    <col min="1227" max="1231" width="13.42578125" style="202" customWidth="1"/>
    <col min="1232" max="1232" width="9.140625" style="202"/>
    <col min="1233" max="1236" width="13.42578125" style="202" customWidth="1"/>
    <col min="1237" max="1237" width="9.140625" style="202"/>
    <col min="1238" max="1241" width="13.42578125" style="202" customWidth="1"/>
    <col min="1242" max="1242" width="9.140625" style="202"/>
    <col min="1243" max="1246" width="13.42578125" style="202" customWidth="1"/>
    <col min="1247" max="1247" width="9.140625" style="202"/>
    <col min="1248" max="1251" width="13.42578125" style="202" customWidth="1"/>
    <col min="1252" max="1478" width="9.140625" style="202"/>
    <col min="1479" max="1479" width="11.28515625" style="202" customWidth="1"/>
    <col min="1480" max="1480" width="27.140625" style="202" customWidth="1"/>
    <col min="1481" max="1481" width="13.7109375" style="202" customWidth="1"/>
    <col min="1482" max="1482" width="14.140625" style="202" customWidth="1"/>
    <col min="1483" max="1487" width="13.42578125" style="202" customWidth="1"/>
    <col min="1488" max="1488" width="9.140625" style="202"/>
    <col min="1489" max="1492" width="13.42578125" style="202" customWidth="1"/>
    <col min="1493" max="1493" width="9.140625" style="202"/>
    <col min="1494" max="1497" width="13.42578125" style="202" customWidth="1"/>
    <col min="1498" max="1498" width="9.140625" style="202"/>
    <col min="1499" max="1502" width="13.42578125" style="202" customWidth="1"/>
    <col min="1503" max="1503" width="9.140625" style="202"/>
    <col min="1504" max="1507" width="13.42578125" style="202" customWidth="1"/>
    <col min="1508" max="1734" width="9.140625" style="202"/>
    <col min="1735" max="1735" width="11.28515625" style="202" customWidth="1"/>
    <col min="1736" max="1736" width="27.140625" style="202" customWidth="1"/>
    <col min="1737" max="1737" width="13.7109375" style="202" customWidth="1"/>
    <col min="1738" max="1738" width="14.140625" style="202" customWidth="1"/>
    <col min="1739" max="1743" width="13.42578125" style="202" customWidth="1"/>
    <col min="1744" max="1744" width="9.140625" style="202"/>
    <col min="1745" max="1748" width="13.42578125" style="202" customWidth="1"/>
    <col min="1749" max="1749" width="9.140625" style="202"/>
    <col min="1750" max="1753" width="13.42578125" style="202" customWidth="1"/>
    <col min="1754" max="1754" width="9.140625" style="202"/>
    <col min="1755" max="1758" width="13.42578125" style="202" customWidth="1"/>
    <col min="1759" max="1759" width="9.140625" style="202"/>
    <col min="1760" max="1763" width="13.42578125" style="202" customWidth="1"/>
    <col min="1764" max="1990" width="9.140625" style="202"/>
    <col min="1991" max="1991" width="11.28515625" style="202" customWidth="1"/>
    <col min="1992" max="1992" width="27.140625" style="202" customWidth="1"/>
    <col min="1993" max="1993" width="13.7109375" style="202" customWidth="1"/>
    <col min="1994" max="1994" width="14.140625" style="202" customWidth="1"/>
    <col min="1995" max="1999" width="13.42578125" style="202" customWidth="1"/>
    <col min="2000" max="2000" width="9.140625" style="202"/>
    <col min="2001" max="2004" width="13.42578125" style="202" customWidth="1"/>
    <col min="2005" max="2005" width="9.140625" style="202"/>
    <col min="2006" max="2009" width="13.42578125" style="202" customWidth="1"/>
    <col min="2010" max="2010" width="9.140625" style="202"/>
    <col min="2011" max="2014" width="13.42578125" style="202" customWidth="1"/>
    <col min="2015" max="2015" width="9.140625" style="202"/>
    <col min="2016" max="2019" width="13.42578125" style="202" customWidth="1"/>
    <col min="2020" max="2246" width="9.140625" style="202"/>
    <col min="2247" max="2247" width="11.28515625" style="202" customWidth="1"/>
    <col min="2248" max="2248" width="27.140625" style="202" customWidth="1"/>
    <col min="2249" max="2249" width="13.7109375" style="202" customWidth="1"/>
    <col min="2250" max="2250" width="14.140625" style="202" customWidth="1"/>
    <col min="2251" max="2255" width="13.42578125" style="202" customWidth="1"/>
    <col min="2256" max="2256" width="9.140625" style="202"/>
    <col min="2257" max="2260" width="13.42578125" style="202" customWidth="1"/>
    <col min="2261" max="2261" width="9.140625" style="202"/>
    <col min="2262" max="2265" width="13.42578125" style="202" customWidth="1"/>
    <col min="2266" max="2266" width="9.140625" style="202"/>
    <col min="2267" max="2270" width="13.42578125" style="202" customWidth="1"/>
    <col min="2271" max="2271" width="9.140625" style="202"/>
    <col min="2272" max="2275" width="13.42578125" style="202" customWidth="1"/>
    <col min="2276" max="2502" width="9.140625" style="202"/>
    <col min="2503" max="2503" width="11.28515625" style="202" customWidth="1"/>
    <col min="2504" max="2504" width="27.140625" style="202" customWidth="1"/>
    <col min="2505" max="2505" width="13.7109375" style="202" customWidth="1"/>
    <col min="2506" max="2506" width="14.140625" style="202" customWidth="1"/>
    <col min="2507" max="2511" width="13.42578125" style="202" customWidth="1"/>
    <col min="2512" max="2512" width="9.140625" style="202"/>
    <col min="2513" max="2516" width="13.42578125" style="202" customWidth="1"/>
    <col min="2517" max="2517" width="9.140625" style="202"/>
    <col min="2518" max="2521" width="13.42578125" style="202" customWidth="1"/>
    <col min="2522" max="2522" width="9.140625" style="202"/>
    <col min="2523" max="2526" width="13.42578125" style="202" customWidth="1"/>
    <col min="2527" max="2527" width="9.140625" style="202"/>
    <col min="2528" max="2531" width="13.42578125" style="202" customWidth="1"/>
    <col min="2532" max="2758" width="9.140625" style="202"/>
    <col min="2759" max="2759" width="11.28515625" style="202" customWidth="1"/>
    <col min="2760" max="2760" width="27.140625" style="202" customWidth="1"/>
    <col min="2761" max="2761" width="13.7109375" style="202" customWidth="1"/>
    <col min="2762" max="2762" width="14.140625" style="202" customWidth="1"/>
    <col min="2763" max="2767" width="13.42578125" style="202" customWidth="1"/>
    <col min="2768" max="2768" width="9.140625" style="202"/>
    <col min="2769" max="2772" width="13.42578125" style="202" customWidth="1"/>
    <col min="2773" max="2773" width="9.140625" style="202"/>
    <col min="2774" max="2777" width="13.42578125" style="202" customWidth="1"/>
    <col min="2778" max="2778" width="9.140625" style="202"/>
    <col min="2779" max="2782" width="13.42578125" style="202" customWidth="1"/>
    <col min="2783" max="2783" width="9.140625" style="202"/>
    <col min="2784" max="2787" width="13.42578125" style="202" customWidth="1"/>
    <col min="2788" max="3014" width="9.140625" style="202"/>
    <col min="3015" max="3015" width="11.28515625" style="202" customWidth="1"/>
    <col min="3016" max="3016" width="27.140625" style="202" customWidth="1"/>
    <col min="3017" max="3017" width="13.7109375" style="202" customWidth="1"/>
    <col min="3018" max="3018" width="14.140625" style="202" customWidth="1"/>
    <col min="3019" max="3023" width="13.42578125" style="202" customWidth="1"/>
    <col min="3024" max="3024" width="9.140625" style="202"/>
    <col min="3025" max="3028" width="13.42578125" style="202" customWidth="1"/>
    <col min="3029" max="3029" width="9.140625" style="202"/>
    <col min="3030" max="3033" width="13.42578125" style="202" customWidth="1"/>
    <col min="3034" max="3034" width="9.140625" style="202"/>
    <col min="3035" max="3038" width="13.42578125" style="202" customWidth="1"/>
    <col min="3039" max="3039" width="9.140625" style="202"/>
    <col min="3040" max="3043" width="13.42578125" style="202" customWidth="1"/>
    <col min="3044" max="3270" width="9.140625" style="202"/>
    <col min="3271" max="3271" width="11.28515625" style="202" customWidth="1"/>
    <col min="3272" max="3272" width="27.140625" style="202" customWidth="1"/>
    <col min="3273" max="3273" width="13.7109375" style="202" customWidth="1"/>
    <col min="3274" max="3274" width="14.140625" style="202" customWidth="1"/>
    <col min="3275" max="3279" width="13.42578125" style="202" customWidth="1"/>
    <col min="3280" max="3280" width="9.140625" style="202"/>
    <col min="3281" max="3284" width="13.42578125" style="202" customWidth="1"/>
    <col min="3285" max="3285" width="9.140625" style="202"/>
    <col min="3286" max="3289" width="13.42578125" style="202" customWidth="1"/>
    <col min="3290" max="3290" width="9.140625" style="202"/>
    <col min="3291" max="3294" width="13.42578125" style="202" customWidth="1"/>
    <col min="3295" max="3295" width="9.140625" style="202"/>
    <col min="3296" max="3299" width="13.42578125" style="202" customWidth="1"/>
    <col min="3300" max="3526" width="9.140625" style="202"/>
    <col min="3527" max="3527" width="11.28515625" style="202" customWidth="1"/>
    <col min="3528" max="3528" width="27.140625" style="202" customWidth="1"/>
    <col min="3529" max="3529" width="13.7109375" style="202" customWidth="1"/>
    <col min="3530" max="3530" width="14.140625" style="202" customWidth="1"/>
    <col min="3531" max="3535" width="13.42578125" style="202" customWidth="1"/>
    <col min="3536" max="3536" width="9.140625" style="202"/>
    <col min="3537" max="3540" width="13.42578125" style="202" customWidth="1"/>
    <col min="3541" max="3541" width="9.140625" style="202"/>
    <col min="3542" max="3545" width="13.42578125" style="202" customWidth="1"/>
    <col min="3546" max="3546" width="9.140625" style="202"/>
    <col min="3547" max="3550" width="13.42578125" style="202" customWidth="1"/>
    <col min="3551" max="3551" width="9.140625" style="202"/>
    <col min="3552" max="3555" width="13.42578125" style="202" customWidth="1"/>
    <col min="3556" max="3782" width="9.140625" style="202"/>
    <col min="3783" max="3783" width="11.28515625" style="202" customWidth="1"/>
    <col min="3784" max="3784" width="27.140625" style="202" customWidth="1"/>
    <col min="3785" max="3785" width="13.7109375" style="202" customWidth="1"/>
    <col min="3786" max="3786" width="14.140625" style="202" customWidth="1"/>
    <col min="3787" max="3791" width="13.42578125" style="202" customWidth="1"/>
    <col min="3792" max="3792" width="9.140625" style="202"/>
    <col min="3793" max="3796" width="13.42578125" style="202" customWidth="1"/>
    <col min="3797" max="3797" width="9.140625" style="202"/>
    <col min="3798" max="3801" width="13.42578125" style="202" customWidth="1"/>
    <col min="3802" max="3802" width="9.140625" style="202"/>
    <col min="3803" max="3806" width="13.42578125" style="202" customWidth="1"/>
    <col min="3807" max="3807" width="9.140625" style="202"/>
    <col min="3808" max="3811" width="13.42578125" style="202" customWidth="1"/>
    <col min="3812" max="4038" width="9.140625" style="202"/>
    <col min="4039" max="4039" width="11.28515625" style="202" customWidth="1"/>
    <col min="4040" max="4040" width="27.140625" style="202" customWidth="1"/>
    <col min="4041" max="4041" width="13.7109375" style="202" customWidth="1"/>
    <col min="4042" max="4042" width="14.140625" style="202" customWidth="1"/>
    <col min="4043" max="4047" width="13.42578125" style="202" customWidth="1"/>
    <col min="4048" max="4048" width="9.140625" style="202"/>
    <col min="4049" max="4052" width="13.42578125" style="202" customWidth="1"/>
    <col min="4053" max="4053" width="9.140625" style="202"/>
    <col min="4054" max="4057" width="13.42578125" style="202" customWidth="1"/>
    <col min="4058" max="4058" width="9.140625" style="202"/>
    <col min="4059" max="4062" width="13.42578125" style="202" customWidth="1"/>
    <col min="4063" max="4063" width="9.140625" style="202"/>
    <col min="4064" max="4067" width="13.42578125" style="202" customWidth="1"/>
    <col min="4068" max="4294" width="9.140625" style="202"/>
    <col min="4295" max="4295" width="11.28515625" style="202" customWidth="1"/>
    <col min="4296" max="4296" width="27.140625" style="202" customWidth="1"/>
    <col min="4297" max="4297" width="13.7109375" style="202" customWidth="1"/>
    <col min="4298" max="4298" width="14.140625" style="202" customWidth="1"/>
    <col min="4299" max="4303" width="13.42578125" style="202" customWidth="1"/>
    <col min="4304" max="4304" width="9.140625" style="202"/>
    <col min="4305" max="4308" width="13.42578125" style="202" customWidth="1"/>
    <col min="4309" max="4309" width="9.140625" style="202"/>
    <col min="4310" max="4313" width="13.42578125" style="202" customWidth="1"/>
    <col min="4314" max="4314" width="9.140625" style="202"/>
    <col min="4315" max="4318" width="13.42578125" style="202" customWidth="1"/>
    <col min="4319" max="4319" width="9.140625" style="202"/>
    <col min="4320" max="4323" width="13.42578125" style="202" customWidth="1"/>
    <col min="4324" max="4550" width="9.140625" style="202"/>
    <col min="4551" max="4551" width="11.28515625" style="202" customWidth="1"/>
    <col min="4552" max="4552" width="27.140625" style="202" customWidth="1"/>
    <col min="4553" max="4553" width="13.7109375" style="202" customWidth="1"/>
    <col min="4554" max="4554" width="14.140625" style="202" customWidth="1"/>
    <col min="4555" max="4559" width="13.42578125" style="202" customWidth="1"/>
    <col min="4560" max="4560" width="9.140625" style="202"/>
    <col min="4561" max="4564" width="13.42578125" style="202" customWidth="1"/>
    <col min="4565" max="4565" width="9.140625" style="202"/>
    <col min="4566" max="4569" width="13.42578125" style="202" customWidth="1"/>
    <col min="4570" max="4570" width="9.140625" style="202"/>
    <col min="4571" max="4574" width="13.42578125" style="202" customWidth="1"/>
    <col min="4575" max="4575" width="9.140625" style="202"/>
    <col min="4576" max="4579" width="13.42578125" style="202" customWidth="1"/>
    <col min="4580" max="4806" width="9.140625" style="202"/>
    <col min="4807" max="4807" width="11.28515625" style="202" customWidth="1"/>
    <col min="4808" max="4808" width="27.140625" style="202" customWidth="1"/>
    <col min="4809" max="4809" width="13.7109375" style="202" customWidth="1"/>
    <col min="4810" max="4810" width="14.140625" style="202" customWidth="1"/>
    <col min="4811" max="4815" width="13.42578125" style="202" customWidth="1"/>
    <col min="4816" max="4816" width="9.140625" style="202"/>
    <col min="4817" max="4820" width="13.42578125" style="202" customWidth="1"/>
    <col min="4821" max="4821" width="9.140625" style="202"/>
    <col min="4822" max="4825" width="13.42578125" style="202" customWidth="1"/>
    <col min="4826" max="4826" width="9.140625" style="202"/>
    <col min="4827" max="4830" width="13.42578125" style="202" customWidth="1"/>
    <col min="4831" max="4831" width="9.140625" style="202"/>
    <col min="4832" max="4835" width="13.42578125" style="202" customWidth="1"/>
    <col min="4836" max="5062" width="9.140625" style="202"/>
    <col min="5063" max="5063" width="11.28515625" style="202" customWidth="1"/>
    <col min="5064" max="5064" width="27.140625" style="202" customWidth="1"/>
    <col min="5065" max="5065" width="13.7109375" style="202" customWidth="1"/>
    <col min="5066" max="5066" width="14.140625" style="202" customWidth="1"/>
    <col min="5067" max="5071" width="13.42578125" style="202" customWidth="1"/>
    <col min="5072" max="5072" width="9.140625" style="202"/>
    <col min="5073" max="5076" width="13.42578125" style="202" customWidth="1"/>
    <col min="5077" max="5077" width="9.140625" style="202"/>
    <col min="5078" max="5081" width="13.42578125" style="202" customWidth="1"/>
    <col min="5082" max="5082" width="9.140625" style="202"/>
    <col min="5083" max="5086" width="13.42578125" style="202" customWidth="1"/>
    <col min="5087" max="5087" width="9.140625" style="202"/>
    <col min="5088" max="5091" width="13.42578125" style="202" customWidth="1"/>
    <col min="5092" max="5318" width="9.140625" style="202"/>
    <col min="5319" max="5319" width="11.28515625" style="202" customWidth="1"/>
    <col min="5320" max="5320" width="27.140625" style="202" customWidth="1"/>
    <col min="5321" max="5321" width="13.7109375" style="202" customWidth="1"/>
    <col min="5322" max="5322" width="14.140625" style="202" customWidth="1"/>
    <col min="5323" max="5327" width="13.42578125" style="202" customWidth="1"/>
    <col min="5328" max="5328" width="9.140625" style="202"/>
    <col min="5329" max="5332" width="13.42578125" style="202" customWidth="1"/>
    <col min="5333" max="5333" width="9.140625" style="202"/>
    <col min="5334" max="5337" width="13.42578125" style="202" customWidth="1"/>
    <col min="5338" max="5338" width="9.140625" style="202"/>
    <col min="5339" max="5342" width="13.42578125" style="202" customWidth="1"/>
    <col min="5343" max="5343" width="9.140625" style="202"/>
    <col min="5344" max="5347" width="13.42578125" style="202" customWidth="1"/>
    <col min="5348" max="5574" width="9.140625" style="202"/>
    <col min="5575" max="5575" width="11.28515625" style="202" customWidth="1"/>
    <col min="5576" max="5576" width="27.140625" style="202" customWidth="1"/>
    <col min="5577" max="5577" width="13.7109375" style="202" customWidth="1"/>
    <col min="5578" max="5578" width="14.140625" style="202" customWidth="1"/>
    <col min="5579" max="5583" width="13.42578125" style="202" customWidth="1"/>
    <col min="5584" max="5584" width="9.140625" style="202"/>
    <col min="5585" max="5588" width="13.42578125" style="202" customWidth="1"/>
    <col min="5589" max="5589" width="9.140625" style="202"/>
    <col min="5590" max="5593" width="13.42578125" style="202" customWidth="1"/>
    <col min="5594" max="5594" width="9.140625" style="202"/>
    <col min="5595" max="5598" width="13.42578125" style="202" customWidth="1"/>
    <col min="5599" max="5599" width="9.140625" style="202"/>
    <col min="5600" max="5603" width="13.42578125" style="202" customWidth="1"/>
    <col min="5604" max="5830" width="9.140625" style="202"/>
    <col min="5831" max="5831" width="11.28515625" style="202" customWidth="1"/>
    <col min="5832" max="5832" width="27.140625" style="202" customWidth="1"/>
    <col min="5833" max="5833" width="13.7109375" style="202" customWidth="1"/>
    <col min="5834" max="5834" width="14.140625" style="202" customWidth="1"/>
    <col min="5835" max="5839" width="13.42578125" style="202" customWidth="1"/>
    <col min="5840" max="5840" width="9.140625" style="202"/>
    <col min="5841" max="5844" width="13.42578125" style="202" customWidth="1"/>
    <col min="5845" max="5845" width="9.140625" style="202"/>
    <col min="5846" max="5849" width="13.42578125" style="202" customWidth="1"/>
    <col min="5850" max="5850" width="9.140625" style="202"/>
    <col min="5851" max="5854" width="13.42578125" style="202" customWidth="1"/>
    <col min="5855" max="5855" width="9.140625" style="202"/>
    <col min="5856" max="5859" width="13.42578125" style="202" customWidth="1"/>
    <col min="5860" max="6086" width="9.140625" style="202"/>
    <col min="6087" max="6087" width="11.28515625" style="202" customWidth="1"/>
    <col min="6088" max="6088" width="27.140625" style="202" customWidth="1"/>
    <col min="6089" max="6089" width="13.7109375" style="202" customWidth="1"/>
    <col min="6090" max="6090" width="14.140625" style="202" customWidth="1"/>
    <col min="6091" max="6095" width="13.42578125" style="202" customWidth="1"/>
    <col min="6096" max="6096" width="9.140625" style="202"/>
    <col min="6097" max="6100" width="13.42578125" style="202" customWidth="1"/>
    <col min="6101" max="6101" width="9.140625" style="202"/>
    <col min="6102" max="6105" width="13.42578125" style="202" customWidth="1"/>
    <col min="6106" max="6106" width="9.140625" style="202"/>
    <col min="6107" max="6110" width="13.42578125" style="202" customWidth="1"/>
    <col min="6111" max="6111" width="9.140625" style="202"/>
    <col min="6112" max="6115" width="13.42578125" style="202" customWidth="1"/>
    <col min="6116" max="6342" width="9.140625" style="202"/>
    <col min="6343" max="6343" width="11.28515625" style="202" customWidth="1"/>
    <col min="6344" max="6344" width="27.140625" style="202" customWidth="1"/>
    <col min="6345" max="6345" width="13.7109375" style="202" customWidth="1"/>
    <col min="6346" max="6346" width="14.140625" style="202" customWidth="1"/>
    <col min="6347" max="6351" width="13.42578125" style="202" customWidth="1"/>
    <col min="6352" max="6352" width="9.140625" style="202"/>
    <col min="6353" max="6356" width="13.42578125" style="202" customWidth="1"/>
    <col min="6357" max="6357" width="9.140625" style="202"/>
    <col min="6358" max="6361" width="13.42578125" style="202" customWidth="1"/>
    <col min="6362" max="6362" width="9.140625" style="202"/>
    <col min="6363" max="6366" width="13.42578125" style="202" customWidth="1"/>
    <col min="6367" max="6367" width="9.140625" style="202"/>
    <col min="6368" max="6371" width="13.42578125" style="202" customWidth="1"/>
    <col min="6372" max="6598" width="9.140625" style="202"/>
    <col min="6599" max="6599" width="11.28515625" style="202" customWidth="1"/>
    <col min="6600" max="6600" width="27.140625" style="202" customWidth="1"/>
    <col min="6601" max="6601" width="13.7109375" style="202" customWidth="1"/>
    <col min="6602" max="6602" width="14.140625" style="202" customWidth="1"/>
    <col min="6603" max="6607" width="13.42578125" style="202" customWidth="1"/>
    <col min="6608" max="6608" width="9.140625" style="202"/>
    <col min="6609" max="6612" width="13.42578125" style="202" customWidth="1"/>
    <col min="6613" max="6613" width="9.140625" style="202"/>
    <col min="6614" max="6617" width="13.42578125" style="202" customWidth="1"/>
    <col min="6618" max="6618" width="9.140625" style="202"/>
    <col min="6619" max="6622" width="13.42578125" style="202" customWidth="1"/>
    <col min="6623" max="6623" width="9.140625" style="202"/>
    <col min="6624" max="6627" width="13.42578125" style="202" customWidth="1"/>
    <col min="6628" max="6854" width="9.140625" style="202"/>
    <col min="6855" max="6855" width="11.28515625" style="202" customWidth="1"/>
    <col min="6856" max="6856" width="27.140625" style="202" customWidth="1"/>
    <col min="6857" max="6857" width="13.7109375" style="202" customWidth="1"/>
    <col min="6858" max="6858" width="14.140625" style="202" customWidth="1"/>
    <col min="6859" max="6863" width="13.42578125" style="202" customWidth="1"/>
    <col min="6864" max="6864" width="9.140625" style="202"/>
    <col min="6865" max="6868" width="13.42578125" style="202" customWidth="1"/>
    <col min="6869" max="6869" width="9.140625" style="202"/>
    <col min="6870" max="6873" width="13.42578125" style="202" customWidth="1"/>
    <col min="6874" max="6874" width="9.140625" style="202"/>
    <col min="6875" max="6878" width="13.42578125" style="202" customWidth="1"/>
    <col min="6879" max="6879" width="9.140625" style="202"/>
    <col min="6880" max="6883" width="13.42578125" style="202" customWidth="1"/>
    <col min="6884" max="7110" width="9.140625" style="202"/>
    <col min="7111" max="7111" width="11.28515625" style="202" customWidth="1"/>
    <col min="7112" max="7112" width="27.140625" style="202" customWidth="1"/>
    <col min="7113" max="7113" width="13.7109375" style="202" customWidth="1"/>
    <col min="7114" max="7114" width="14.140625" style="202" customWidth="1"/>
    <col min="7115" max="7119" width="13.42578125" style="202" customWidth="1"/>
    <col min="7120" max="7120" width="9.140625" style="202"/>
    <col min="7121" max="7124" width="13.42578125" style="202" customWidth="1"/>
    <col min="7125" max="7125" width="9.140625" style="202"/>
    <col min="7126" max="7129" width="13.42578125" style="202" customWidth="1"/>
    <col min="7130" max="7130" width="9.140625" style="202"/>
    <col min="7131" max="7134" width="13.42578125" style="202" customWidth="1"/>
    <col min="7135" max="7135" width="9.140625" style="202"/>
    <col min="7136" max="7139" width="13.42578125" style="202" customWidth="1"/>
    <col min="7140" max="7366" width="9.140625" style="202"/>
    <col min="7367" max="7367" width="11.28515625" style="202" customWidth="1"/>
    <col min="7368" max="7368" width="27.140625" style="202" customWidth="1"/>
    <col min="7369" max="7369" width="13.7109375" style="202" customWidth="1"/>
    <col min="7370" max="7370" width="14.140625" style="202" customWidth="1"/>
    <col min="7371" max="7375" width="13.42578125" style="202" customWidth="1"/>
    <col min="7376" max="7376" width="9.140625" style="202"/>
    <col min="7377" max="7380" width="13.42578125" style="202" customWidth="1"/>
    <col min="7381" max="7381" width="9.140625" style="202"/>
    <col min="7382" max="7385" width="13.42578125" style="202" customWidth="1"/>
    <col min="7386" max="7386" width="9.140625" style="202"/>
    <col min="7387" max="7390" width="13.42578125" style="202" customWidth="1"/>
    <col min="7391" max="7391" width="9.140625" style="202"/>
    <col min="7392" max="7395" width="13.42578125" style="202" customWidth="1"/>
    <col min="7396" max="7622" width="9.140625" style="202"/>
    <col min="7623" max="7623" width="11.28515625" style="202" customWidth="1"/>
    <col min="7624" max="7624" width="27.140625" style="202" customWidth="1"/>
    <col min="7625" max="7625" width="13.7109375" style="202" customWidth="1"/>
    <col min="7626" max="7626" width="14.140625" style="202" customWidth="1"/>
    <col min="7627" max="7631" width="13.42578125" style="202" customWidth="1"/>
    <col min="7632" max="7632" width="9.140625" style="202"/>
    <col min="7633" max="7636" width="13.42578125" style="202" customWidth="1"/>
    <col min="7637" max="7637" width="9.140625" style="202"/>
    <col min="7638" max="7641" width="13.42578125" style="202" customWidth="1"/>
    <col min="7642" max="7642" width="9.140625" style="202"/>
    <col min="7643" max="7646" width="13.42578125" style="202" customWidth="1"/>
    <col min="7647" max="7647" width="9.140625" style="202"/>
    <col min="7648" max="7651" width="13.42578125" style="202" customWidth="1"/>
    <col min="7652" max="7878" width="9.140625" style="202"/>
    <col min="7879" max="7879" width="11.28515625" style="202" customWidth="1"/>
    <col min="7880" max="7880" width="27.140625" style="202" customWidth="1"/>
    <col min="7881" max="7881" width="13.7109375" style="202" customWidth="1"/>
    <col min="7882" max="7882" width="14.140625" style="202" customWidth="1"/>
    <col min="7883" max="7887" width="13.42578125" style="202" customWidth="1"/>
    <col min="7888" max="7888" width="9.140625" style="202"/>
    <col min="7889" max="7892" width="13.42578125" style="202" customWidth="1"/>
    <col min="7893" max="7893" width="9.140625" style="202"/>
    <col min="7894" max="7897" width="13.42578125" style="202" customWidth="1"/>
    <col min="7898" max="7898" width="9.140625" style="202"/>
    <col min="7899" max="7902" width="13.42578125" style="202" customWidth="1"/>
    <col min="7903" max="7903" width="9.140625" style="202"/>
    <col min="7904" max="7907" width="13.42578125" style="202" customWidth="1"/>
    <col min="7908" max="8134" width="9.140625" style="202"/>
    <col min="8135" max="8135" width="11.28515625" style="202" customWidth="1"/>
    <col min="8136" max="8136" width="27.140625" style="202" customWidth="1"/>
    <col min="8137" max="8137" width="13.7109375" style="202" customWidth="1"/>
    <col min="8138" max="8138" width="14.140625" style="202" customWidth="1"/>
    <col min="8139" max="8143" width="13.42578125" style="202" customWidth="1"/>
    <col min="8144" max="8144" width="9.140625" style="202"/>
    <col min="8145" max="8148" width="13.42578125" style="202" customWidth="1"/>
    <col min="8149" max="8149" width="9.140625" style="202"/>
    <col min="8150" max="8153" width="13.42578125" style="202" customWidth="1"/>
    <col min="8154" max="8154" width="9.140625" style="202"/>
    <col min="8155" max="8158" width="13.42578125" style="202" customWidth="1"/>
    <col min="8159" max="8159" width="9.140625" style="202"/>
    <col min="8160" max="8163" width="13.42578125" style="202" customWidth="1"/>
    <col min="8164" max="8390" width="9.140625" style="202"/>
    <col min="8391" max="8391" width="11.28515625" style="202" customWidth="1"/>
    <col min="8392" max="8392" width="27.140625" style="202" customWidth="1"/>
    <col min="8393" max="8393" width="13.7109375" style="202" customWidth="1"/>
    <col min="8394" max="8394" width="14.140625" style="202" customWidth="1"/>
    <col min="8395" max="8399" width="13.42578125" style="202" customWidth="1"/>
    <col min="8400" max="8400" width="9.140625" style="202"/>
    <col min="8401" max="8404" width="13.42578125" style="202" customWidth="1"/>
    <col min="8405" max="8405" width="9.140625" style="202"/>
    <col min="8406" max="8409" width="13.42578125" style="202" customWidth="1"/>
    <col min="8410" max="8410" width="9.140625" style="202"/>
    <col min="8411" max="8414" width="13.42578125" style="202" customWidth="1"/>
    <col min="8415" max="8415" width="9.140625" style="202"/>
    <col min="8416" max="8419" width="13.42578125" style="202" customWidth="1"/>
    <col min="8420" max="8646" width="9.140625" style="202"/>
    <col min="8647" max="8647" width="11.28515625" style="202" customWidth="1"/>
    <col min="8648" max="8648" width="27.140625" style="202" customWidth="1"/>
    <col min="8649" max="8649" width="13.7109375" style="202" customWidth="1"/>
    <col min="8650" max="8650" width="14.140625" style="202" customWidth="1"/>
    <col min="8651" max="8655" width="13.42578125" style="202" customWidth="1"/>
    <col min="8656" max="8656" width="9.140625" style="202"/>
    <col min="8657" max="8660" width="13.42578125" style="202" customWidth="1"/>
    <col min="8661" max="8661" width="9.140625" style="202"/>
    <col min="8662" max="8665" width="13.42578125" style="202" customWidth="1"/>
    <col min="8666" max="8666" width="9.140625" style="202"/>
    <col min="8667" max="8670" width="13.42578125" style="202" customWidth="1"/>
    <col min="8671" max="8671" width="9.140625" style="202"/>
    <col min="8672" max="8675" width="13.42578125" style="202" customWidth="1"/>
    <col min="8676" max="8902" width="9.140625" style="202"/>
    <col min="8903" max="8903" width="11.28515625" style="202" customWidth="1"/>
    <col min="8904" max="8904" width="27.140625" style="202" customWidth="1"/>
    <col min="8905" max="8905" width="13.7109375" style="202" customWidth="1"/>
    <col min="8906" max="8906" width="14.140625" style="202" customWidth="1"/>
    <col min="8907" max="8911" width="13.42578125" style="202" customWidth="1"/>
    <col min="8912" max="8912" width="9.140625" style="202"/>
    <col min="8913" max="8916" width="13.42578125" style="202" customWidth="1"/>
    <col min="8917" max="8917" width="9.140625" style="202"/>
    <col min="8918" max="8921" width="13.42578125" style="202" customWidth="1"/>
    <col min="8922" max="8922" width="9.140625" style="202"/>
    <col min="8923" max="8926" width="13.42578125" style="202" customWidth="1"/>
    <col min="8927" max="8927" width="9.140625" style="202"/>
    <col min="8928" max="8931" width="13.42578125" style="202" customWidth="1"/>
    <col min="8932" max="9158" width="9.140625" style="202"/>
    <col min="9159" max="9159" width="11.28515625" style="202" customWidth="1"/>
    <col min="9160" max="9160" width="27.140625" style="202" customWidth="1"/>
    <col min="9161" max="9161" width="13.7109375" style="202" customWidth="1"/>
    <col min="9162" max="9162" width="14.140625" style="202" customWidth="1"/>
    <col min="9163" max="9167" width="13.42578125" style="202" customWidth="1"/>
    <col min="9168" max="9168" width="9.140625" style="202"/>
    <col min="9169" max="9172" width="13.42578125" style="202" customWidth="1"/>
    <col min="9173" max="9173" width="9.140625" style="202"/>
    <col min="9174" max="9177" width="13.42578125" style="202" customWidth="1"/>
    <col min="9178" max="9178" width="9.140625" style="202"/>
    <col min="9179" max="9182" width="13.42578125" style="202" customWidth="1"/>
    <col min="9183" max="9183" width="9.140625" style="202"/>
    <col min="9184" max="9187" width="13.42578125" style="202" customWidth="1"/>
    <col min="9188" max="9414" width="9.140625" style="202"/>
    <col min="9415" max="9415" width="11.28515625" style="202" customWidth="1"/>
    <col min="9416" max="9416" width="27.140625" style="202" customWidth="1"/>
    <col min="9417" max="9417" width="13.7109375" style="202" customWidth="1"/>
    <col min="9418" max="9418" width="14.140625" style="202" customWidth="1"/>
    <col min="9419" max="9423" width="13.42578125" style="202" customWidth="1"/>
    <col min="9424" max="9424" width="9.140625" style="202"/>
    <col min="9425" max="9428" width="13.42578125" style="202" customWidth="1"/>
    <col min="9429" max="9429" width="9.140625" style="202"/>
    <col min="9430" max="9433" width="13.42578125" style="202" customWidth="1"/>
    <col min="9434" max="9434" width="9.140625" style="202"/>
    <col min="9435" max="9438" width="13.42578125" style="202" customWidth="1"/>
    <col min="9439" max="9439" width="9.140625" style="202"/>
    <col min="9440" max="9443" width="13.42578125" style="202" customWidth="1"/>
    <col min="9444" max="9670" width="9.140625" style="202"/>
    <col min="9671" max="9671" width="11.28515625" style="202" customWidth="1"/>
    <col min="9672" max="9672" width="27.140625" style="202" customWidth="1"/>
    <col min="9673" max="9673" width="13.7109375" style="202" customWidth="1"/>
    <col min="9674" max="9674" width="14.140625" style="202" customWidth="1"/>
    <col min="9675" max="9679" width="13.42578125" style="202" customWidth="1"/>
    <col min="9680" max="9680" width="9.140625" style="202"/>
    <col min="9681" max="9684" width="13.42578125" style="202" customWidth="1"/>
    <col min="9685" max="9685" width="9.140625" style="202"/>
    <col min="9686" max="9689" width="13.42578125" style="202" customWidth="1"/>
    <col min="9690" max="9690" width="9.140625" style="202"/>
    <col min="9691" max="9694" width="13.42578125" style="202" customWidth="1"/>
    <col min="9695" max="9695" width="9.140625" style="202"/>
    <col min="9696" max="9699" width="13.42578125" style="202" customWidth="1"/>
    <col min="9700" max="9926" width="9.140625" style="202"/>
    <col min="9927" max="9927" width="11.28515625" style="202" customWidth="1"/>
    <col min="9928" max="9928" width="27.140625" style="202" customWidth="1"/>
    <col min="9929" max="9929" width="13.7109375" style="202" customWidth="1"/>
    <col min="9930" max="9930" width="14.140625" style="202" customWidth="1"/>
    <col min="9931" max="9935" width="13.42578125" style="202" customWidth="1"/>
    <col min="9936" max="9936" width="9.140625" style="202"/>
    <col min="9937" max="9940" width="13.42578125" style="202" customWidth="1"/>
    <col min="9941" max="9941" width="9.140625" style="202"/>
    <col min="9942" max="9945" width="13.42578125" style="202" customWidth="1"/>
    <col min="9946" max="9946" width="9.140625" style="202"/>
    <col min="9947" max="9950" width="13.42578125" style="202" customWidth="1"/>
    <col min="9951" max="9951" width="9.140625" style="202"/>
    <col min="9952" max="9955" width="13.42578125" style="202" customWidth="1"/>
    <col min="9956" max="10182" width="9.140625" style="202"/>
    <col min="10183" max="10183" width="11.28515625" style="202" customWidth="1"/>
    <col min="10184" max="10184" width="27.140625" style="202" customWidth="1"/>
    <col min="10185" max="10185" width="13.7109375" style="202" customWidth="1"/>
    <col min="10186" max="10186" width="14.140625" style="202" customWidth="1"/>
    <col min="10187" max="10191" width="13.42578125" style="202" customWidth="1"/>
    <col min="10192" max="10192" width="9.140625" style="202"/>
    <col min="10193" max="10196" width="13.42578125" style="202" customWidth="1"/>
    <col min="10197" max="10197" width="9.140625" style="202"/>
    <col min="10198" max="10201" width="13.42578125" style="202" customWidth="1"/>
    <col min="10202" max="10202" width="9.140625" style="202"/>
    <col min="10203" max="10206" width="13.42578125" style="202" customWidth="1"/>
    <col min="10207" max="10207" width="9.140625" style="202"/>
    <col min="10208" max="10211" width="13.42578125" style="202" customWidth="1"/>
    <col min="10212" max="10438" width="9.140625" style="202"/>
    <col min="10439" max="10439" width="11.28515625" style="202" customWidth="1"/>
    <col min="10440" max="10440" width="27.140625" style="202" customWidth="1"/>
    <col min="10441" max="10441" width="13.7109375" style="202" customWidth="1"/>
    <col min="10442" max="10442" width="14.140625" style="202" customWidth="1"/>
    <col min="10443" max="10447" width="13.42578125" style="202" customWidth="1"/>
    <col min="10448" max="10448" width="9.140625" style="202"/>
    <col min="10449" max="10452" width="13.42578125" style="202" customWidth="1"/>
    <col min="10453" max="10453" width="9.140625" style="202"/>
    <col min="10454" max="10457" width="13.42578125" style="202" customWidth="1"/>
    <col min="10458" max="10458" width="9.140625" style="202"/>
    <col min="10459" max="10462" width="13.42578125" style="202" customWidth="1"/>
    <col min="10463" max="10463" width="9.140625" style="202"/>
    <col min="10464" max="10467" width="13.42578125" style="202" customWidth="1"/>
    <col min="10468" max="10694" width="9.140625" style="202"/>
    <col min="10695" max="10695" width="11.28515625" style="202" customWidth="1"/>
    <col min="10696" max="10696" width="27.140625" style="202" customWidth="1"/>
    <col min="10697" max="10697" width="13.7109375" style="202" customWidth="1"/>
    <col min="10698" max="10698" width="14.140625" style="202" customWidth="1"/>
    <col min="10699" max="10703" width="13.42578125" style="202" customWidth="1"/>
    <col min="10704" max="10704" width="9.140625" style="202"/>
    <col min="10705" max="10708" width="13.42578125" style="202" customWidth="1"/>
    <col min="10709" max="10709" width="9.140625" style="202"/>
    <col min="10710" max="10713" width="13.42578125" style="202" customWidth="1"/>
    <col min="10714" max="10714" width="9.140625" style="202"/>
    <col min="10715" max="10718" width="13.42578125" style="202" customWidth="1"/>
    <col min="10719" max="10719" width="9.140625" style="202"/>
    <col min="10720" max="10723" width="13.42578125" style="202" customWidth="1"/>
    <col min="10724" max="10950" width="9.140625" style="202"/>
    <col min="10951" max="10951" width="11.28515625" style="202" customWidth="1"/>
    <col min="10952" max="10952" width="27.140625" style="202" customWidth="1"/>
    <col min="10953" max="10953" width="13.7109375" style="202" customWidth="1"/>
    <col min="10954" max="10954" width="14.140625" style="202" customWidth="1"/>
    <col min="10955" max="10959" width="13.42578125" style="202" customWidth="1"/>
    <col min="10960" max="10960" width="9.140625" style="202"/>
    <col min="10961" max="10964" width="13.42578125" style="202" customWidth="1"/>
    <col min="10965" max="10965" width="9.140625" style="202"/>
    <col min="10966" max="10969" width="13.42578125" style="202" customWidth="1"/>
    <col min="10970" max="10970" width="9.140625" style="202"/>
    <col min="10971" max="10974" width="13.42578125" style="202" customWidth="1"/>
    <col min="10975" max="10975" width="9.140625" style="202"/>
    <col min="10976" max="10979" width="13.42578125" style="202" customWidth="1"/>
    <col min="10980" max="11206" width="9.140625" style="202"/>
    <col min="11207" max="11207" width="11.28515625" style="202" customWidth="1"/>
    <col min="11208" max="11208" width="27.140625" style="202" customWidth="1"/>
    <col min="11209" max="11209" width="13.7109375" style="202" customWidth="1"/>
    <col min="11210" max="11210" width="14.140625" style="202" customWidth="1"/>
    <col min="11211" max="11215" width="13.42578125" style="202" customWidth="1"/>
    <col min="11216" max="11216" width="9.140625" style="202"/>
    <col min="11217" max="11220" width="13.42578125" style="202" customWidth="1"/>
    <col min="11221" max="11221" width="9.140625" style="202"/>
    <col min="11222" max="11225" width="13.42578125" style="202" customWidth="1"/>
    <col min="11226" max="11226" width="9.140625" style="202"/>
    <col min="11227" max="11230" width="13.42578125" style="202" customWidth="1"/>
    <col min="11231" max="11231" width="9.140625" style="202"/>
    <col min="11232" max="11235" width="13.42578125" style="202" customWidth="1"/>
    <col min="11236" max="11462" width="9.140625" style="202"/>
    <col min="11463" max="11463" width="11.28515625" style="202" customWidth="1"/>
    <col min="11464" max="11464" width="27.140625" style="202" customWidth="1"/>
    <col min="11465" max="11465" width="13.7109375" style="202" customWidth="1"/>
    <col min="11466" max="11466" width="14.140625" style="202" customWidth="1"/>
    <col min="11467" max="11471" width="13.42578125" style="202" customWidth="1"/>
    <col min="11472" max="11472" width="9.140625" style="202"/>
    <col min="11473" max="11476" width="13.42578125" style="202" customWidth="1"/>
    <col min="11477" max="11477" width="9.140625" style="202"/>
    <col min="11478" max="11481" width="13.42578125" style="202" customWidth="1"/>
    <col min="11482" max="11482" width="9.140625" style="202"/>
    <col min="11483" max="11486" width="13.42578125" style="202" customWidth="1"/>
    <col min="11487" max="11487" width="9.140625" style="202"/>
    <col min="11488" max="11491" width="13.42578125" style="202" customWidth="1"/>
    <col min="11492" max="11718" width="9.140625" style="202"/>
    <col min="11719" max="11719" width="11.28515625" style="202" customWidth="1"/>
    <col min="11720" max="11720" width="27.140625" style="202" customWidth="1"/>
    <col min="11721" max="11721" width="13.7109375" style="202" customWidth="1"/>
    <col min="11722" max="11722" width="14.140625" style="202" customWidth="1"/>
    <col min="11723" max="11727" width="13.42578125" style="202" customWidth="1"/>
    <col min="11728" max="11728" width="9.140625" style="202"/>
    <col min="11729" max="11732" width="13.42578125" style="202" customWidth="1"/>
    <col min="11733" max="11733" width="9.140625" style="202"/>
    <col min="11734" max="11737" width="13.42578125" style="202" customWidth="1"/>
    <col min="11738" max="11738" width="9.140625" style="202"/>
    <col min="11739" max="11742" width="13.42578125" style="202" customWidth="1"/>
    <col min="11743" max="11743" width="9.140625" style="202"/>
    <col min="11744" max="11747" width="13.42578125" style="202" customWidth="1"/>
    <col min="11748" max="11974" width="9.140625" style="202"/>
    <col min="11975" max="11975" width="11.28515625" style="202" customWidth="1"/>
    <col min="11976" max="11976" width="27.140625" style="202" customWidth="1"/>
    <col min="11977" max="11977" width="13.7109375" style="202" customWidth="1"/>
    <col min="11978" max="11978" width="14.140625" style="202" customWidth="1"/>
    <col min="11979" max="11983" width="13.42578125" style="202" customWidth="1"/>
    <col min="11984" max="11984" width="9.140625" style="202"/>
    <col min="11985" max="11988" width="13.42578125" style="202" customWidth="1"/>
    <col min="11989" max="11989" width="9.140625" style="202"/>
    <col min="11990" max="11993" width="13.42578125" style="202" customWidth="1"/>
    <col min="11994" max="11994" width="9.140625" style="202"/>
    <col min="11995" max="11998" width="13.42578125" style="202" customWidth="1"/>
    <col min="11999" max="11999" width="9.140625" style="202"/>
    <col min="12000" max="12003" width="13.42578125" style="202" customWidth="1"/>
    <col min="12004" max="12230" width="9.140625" style="202"/>
    <col min="12231" max="12231" width="11.28515625" style="202" customWidth="1"/>
    <col min="12232" max="12232" width="27.140625" style="202" customWidth="1"/>
    <col min="12233" max="12233" width="13.7109375" style="202" customWidth="1"/>
    <col min="12234" max="12234" width="14.140625" style="202" customWidth="1"/>
    <col min="12235" max="12239" width="13.42578125" style="202" customWidth="1"/>
    <col min="12240" max="12240" width="9.140625" style="202"/>
    <col min="12241" max="12244" width="13.42578125" style="202" customWidth="1"/>
    <col min="12245" max="12245" width="9.140625" style="202"/>
    <col min="12246" max="12249" width="13.42578125" style="202" customWidth="1"/>
    <col min="12250" max="12250" width="9.140625" style="202"/>
    <col min="12251" max="12254" width="13.42578125" style="202" customWidth="1"/>
    <col min="12255" max="12255" width="9.140625" style="202"/>
    <col min="12256" max="12259" width="13.42578125" style="202" customWidth="1"/>
    <col min="12260" max="12486" width="9.140625" style="202"/>
    <col min="12487" max="12487" width="11.28515625" style="202" customWidth="1"/>
    <col min="12488" max="12488" width="27.140625" style="202" customWidth="1"/>
    <col min="12489" max="12489" width="13.7109375" style="202" customWidth="1"/>
    <col min="12490" max="12490" width="14.140625" style="202" customWidth="1"/>
    <col min="12491" max="12495" width="13.42578125" style="202" customWidth="1"/>
    <col min="12496" max="12496" width="9.140625" style="202"/>
    <col min="12497" max="12500" width="13.42578125" style="202" customWidth="1"/>
    <col min="12501" max="12501" width="9.140625" style="202"/>
    <col min="12502" max="12505" width="13.42578125" style="202" customWidth="1"/>
    <col min="12506" max="12506" width="9.140625" style="202"/>
    <col min="12507" max="12510" width="13.42578125" style="202" customWidth="1"/>
    <col min="12511" max="12511" width="9.140625" style="202"/>
    <col min="12512" max="12515" width="13.42578125" style="202" customWidth="1"/>
    <col min="12516" max="12742" width="9.140625" style="202"/>
    <col min="12743" max="12743" width="11.28515625" style="202" customWidth="1"/>
    <col min="12744" max="12744" width="27.140625" style="202" customWidth="1"/>
    <col min="12745" max="12745" width="13.7109375" style="202" customWidth="1"/>
    <col min="12746" max="12746" width="14.140625" style="202" customWidth="1"/>
    <col min="12747" max="12751" width="13.42578125" style="202" customWidth="1"/>
    <col min="12752" max="12752" width="9.140625" style="202"/>
    <col min="12753" max="12756" width="13.42578125" style="202" customWidth="1"/>
    <col min="12757" max="12757" width="9.140625" style="202"/>
    <col min="12758" max="12761" width="13.42578125" style="202" customWidth="1"/>
    <col min="12762" max="12762" width="9.140625" style="202"/>
    <col min="12763" max="12766" width="13.42578125" style="202" customWidth="1"/>
    <col min="12767" max="12767" width="9.140625" style="202"/>
    <col min="12768" max="12771" width="13.42578125" style="202" customWidth="1"/>
    <col min="12772" max="12998" width="9.140625" style="202"/>
    <col min="12999" max="12999" width="11.28515625" style="202" customWidth="1"/>
    <col min="13000" max="13000" width="27.140625" style="202" customWidth="1"/>
    <col min="13001" max="13001" width="13.7109375" style="202" customWidth="1"/>
    <col min="13002" max="13002" width="14.140625" style="202" customWidth="1"/>
    <col min="13003" max="13007" width="13.42578125" style="202" customWidth="1"/>
    <col min="13008" max="13008" width="9.140625" style="202"/>
    <col min="13009" max="13012" width="13.42578125" style="202" customWidth="1"/>
    <col min="13013" max="13013" width="9.140625" style="202"/>
    <col min="13014" max="13017" width="13.42578125" style="202" customWidth="1"/>
    <col min="13018" max="13018" width="9.140625" style="202"/>
    <col min="13019" max="13022" width="13.42578125" style="202" customWidth="1"/>
    <col min="13023" max="13023" width="9.140625" style="202"/>
    <col min="13024" max="13027" width="13.42578125" style="202" customWidth="1"/>
    <col min="13028" max="13254" width="9.140625" style="202"/>
    <col min="13255" max="13255" width="11.28515625" style="202" customWidth="1"/>
    <col min="13256" max="13256" width="27.140625" style="202" customWidth="1"/>
    <col min="13257" max="13257" width="13.7109375" style="202" customWidth="1"/>
    <col min="13258" max="13258" width="14.140625" style="202" customWidth="1"/>
    <col min="13259" max="13263" width="13.42578125" style="202" customWidth="1"/>
    <col min="13264" max="13264" width="9.140625" style="202"/>
    <col min="13265" max="13268" width="13.42578125" style="202" customWidth="1"/>
    <col min="13269" max="13269" width="9.140625" style="202"/>
    <col min="13270" max="13273" width="13.42578125" style="202" customWidth="1"/>
    <col min="13274" max="13274" width="9.140625" style="202"/>
    <col min="13275" max="13278" width="13.42578125" style="202" customWidth="1"/>
    <col min="13279" max="13279" width="9.140625" style="202"/>
    <col min="13280" max="13283" width="13.42578125" style="202" customWidth="1"/>
    <col min="13284" max="13510" width="9.140625" style="202"/>
    <col min="13511" max="13511" width="11.28515625" style="202" customWidth="1"/>
    <col min="13512" max="13512" width="27.140625" style="202" customWidth="1"/>
    <col min="13513" max="13513" width="13.7109375" style="202" customWidth="1"/>
    <col min="13514" max="13514" width="14.140625" style="202" customWidth="1"/>
    <col min="13515" max="13519" width="13.42578125" style="202" customWidth="1"/>
    <col min="13520" max="13520" width="9.140625" style="202"/>
    <col min="13521" max="13524" width="13.42578125" style="202" customWidth="1"/>
    <col min="13525" max="13525" width="9.140625" style="202"/>
    <col min="13526" max="13529" width="13.42578125" style="202" customWidth="1"/>
    <col min="13530" max="13530" width="9.140625" style="202"/>
    <col min="13531" max="13534" width="13.42578125" style="202" customWidth="1"/>
    <col min="13535" max="13535" width="9.140625" style="202"/>
    <col min="13536" max="13539" width="13.42578125" style="202" customWidth="1"/>
    <col min="13540" max="13766" width="9.140625" style="202"/>
    <col min="13767" max="13767" width="11.28515625" style="202" customWidth="1"/>
    <col min="13768" max="13768" width="27.140625" style="202" customWidth="1"/>
    <col min="13769" max="13769" width="13.7109375" style="202" customWidth="1"/>
    <col min="13770" max="13770" width="14.140625" style="202" customWidth="1"/>
    <col min="13771" max="13775" width="13.42578125" style="202" customWidth="1"/>
    <col min="13776" max="13776" width="9.140625" style="202"/>
    <col min="13777" max="13780" width="13.42578125" style="202" customWidth="1"/>
    <col min="13781" max="13781" width="9.140625" style="202"/>
    <col min="13782" max="13785" width="13.42578125" style="202" customWidth="1"/>
    <col min="13786" max="13786" width="9.140625" style="202"/>
    <col min="13787" max="13790" width="13.42578125" style="202" customWidth="1"/>
    <col min="13791" max="13791" width="9.140625" style="202"/>
    <col min="13792" max="13795" width="13.42578125" style="202" customWidth="1"/>
    <col min="13796" max="14022" width="9.140625" style="202"/>
    <col min="14023" max="14023" width="11.28515625" style="202" customWidth="1"/>
    <col min="14024" max="14024" width="27.140625" style="202" customWidth="1"/>
    <col min="14025" max="14025" width="13.7109375" style="202" customWidth="1"/>
    <col min="14026" max="14026" width="14.140625" style="202" customWidth="1"/>
    <col min="14027" max="14031" width="13.42578125" style="202" customWidth="1"/>
    <col min="14032" max="14032" width="9.140625" style="202"/>
    <col min="14033" max="14036" width="13.42578125" style="202" customWidth="1"/>
    <col min="14037" max="14037" width="9.140625" style="202"/>
    <col min="14038" max="14041" width="13.42578125" style="202" customWidth="1"/>
    <col min="14042" max="14042" width="9.140625" style="202"/>
    <col min="14043" max="14046" width="13.42578125" style="202" customWidth="1"/>
    <col min="14047" max="14047" width="9.140625" style="202"/>
    <col min="14048" max="14051" width="13.42578125" style="202" customWidth="1"/>
    <col min="14052" max="14278" width="9.140625" style="202"/>
    <col min="14279" max="14279" width="11.28515625" style="202" customWidth="1"/>
    <col min="14280" max="14280" width="27.140625" style="202" customWidth="1"/>
    <col min="14281" max="14281" width="13.7109375" style="202" customWidth="1"/>
    <col min="14282" max="14282" width="14.140625" style="202" customWidth="1"/>
    <col min="14283" max="14287" width="13.42578125" style="202" customWidth="1"/>
    <col min="14288" max="14288" width="9.140625" style="202"/>
    <col min="14289" max="14292" width="13.42578125" style="202" customWidth="1"/>
    <col min="14293" max="14293" width="9.140625" style="202"/>
    <col min="14294" max="14297" width="13.42578125" style="202" customWidth="1"/>
    <col min="14298" max="14298" width="9.140625" style="202"/>
    <col min="14299" max="14302" width="13.42578125" style="202" customWidth="1"/>
    <col min="14303" max="14303" width="9.140625" style="202"/>
    <col min="14304" max="14307" width="13.42578125" style="202" customWidth="1"/>
    <col min="14308" max="14534" width="9.140625" style="202"/>
    <col min="14535" max="14535" width="11.28515625" style="202" customWidth="1"/>
    <col min="14536" max="14536" width="27.140625" style="202" customWidth="1"/>
    <col min="14537" max="14537" width="13.7109375" style="202" customWidth="1"/>
    <col min="14538" max="14538" width="14.140625" style="202" customWidth="1"/>
    <col min="14539" max="14543" width="13.42578125" style="202" customWidth="1"/>
    <col min="14544" max="14544" width="9.140625" style="202"/>
    <col min="14545" max="14548" width="13.42578125" style="202" customWidth="1"/>
    <col min="14549" max="14549" width="9.140625" style="202"/>
    <col min="14550" max="14553" width="13.42578125" style="202" customWidth="1"/>
    <col min="14554" max="14554" width="9.140625" style="202"/>
    <col min="14555" max="14558" width="13.42578125" style="202" customWidth="1"/>
    <col min="14559" max="14559" width="9.140625" style="202"/>
    <col min="14560" max="14563" width="13.42578125" style="202" customWidth="1"/>
    <col min="14564" max="14790" width="9.140625" style="202"/>
    <col min="14791" max="14791" width="11.28515625" style="202" customWidth="1"/>
    <col min="14792" max="14792" width="27.140625" style="202" customWidth="1"/>
    <col min="14793" max="14793" width="13.7109375" style="202" customWidth="1"/>
    <col min="14794" max="14794" width="14.140625" style="202" customWidth="1"/>
    <col min="14795" max="14799" width="13.42578125" style="202" customWidth="1"/>
    <col min="14800" max="14800" width="9.140625" style="202"/>
    <col min="14801" max="14804" width="13.42578125" style="202" customWidth="1"/>
    <col min="14805" max="14805" width="9.140625" style="202"/>
    <col min="14806" max="14809" width="13.42578125" style="202" customWidth="1"/>
    <col min="14810" max="14810" width="9.140625" style="202"/>
    <col min="14811" max="14814" width="13.42578125" style="202" customWidth="1"/>
    <col min="14815" max="14815" width="9.140625" style="202"/>
    <col min="14816" max="14819" width="13.42578125" style="202" customWidth="1"/>
    <col min="14820" max="15046" width="9.140625" style="202"/>
    <col min="15047" max="15047" width="11.28515625" style="202" customWidth="1"/>
    <col min="15048" max="15048" width="27.140625" style="202" customWidth="1"/>
    <col min="15049" max="15049" width="13.7109375" style="202" customWidth="1"/>
    <col min="15050" max="15050" width="14.140625" style="202" customWidth="1"/>
    <col min="15051" max="15055" width="13.42578125" style="202" customWidth="1"/>
    <col min="15056" max="15056" width="9.140625" style="202"/>
    <col min="15057" max="15060" width="13.42578125" style="202" customWidth="1"/>
    <col min="15061" max="15061" width="9.140625" style="202"/>
    <col min="15062" max="15065" width="13.42578125" style="202" customWidth="1"/>
    <col min="15066" max="15066" width="9.140625" style="202"/>
    <col min="15067" max="15070" width="13.42578125" style="202" customWidth="1"/>
    <col min="15071" max="15071" width="9.140625" style="202"/>
    <col min="15072" max="15075" width="13.42578125" style="202" customWidth="1"/>
    <col min="15076" max="15302" width="9.140625" style="202"/>
    <col min="15303" max="15303" width="11.28515625" style="202" customWidth="1"/>
    <col min="15304" max="15304" width="27.140625" style="202" customWidth="1"/>
    <col min="15305" max="15305" width="13.7109375" style="202" customWidth="1"/>
    <col min="15306" max="15306" width="14.140625" style="202" customWidth="1"/>
    <col min="15307" max="15311" width="13.42578125" style="202" customWidth="1"/>
    <col min="15312" max="15312" width="9.140625" style="202"/>
    <col min="15313" max="15316" width="13.42578125" style="202" customWidth="1"/>
    <col min="15317" max="15317" width="9.140625" style="202"/>
    <col min="15318" max="15321" width="13.42578125" style="202" customWidth="1"/>
    <col min="15322" max="15322" width="9.140625" style="202"/>
    <col min="15323" max="15326" width="13.42578125" style="202" customWidth="1"/>
    <col min="15327" max="15327" width="9.140625" style="202"/>
    <col min="15328" max="15331" width="13.42578125" style="202" customWidth="1"/>
    <col min="15332" max="15558" width="9.140625" style="202"/>
    <col min="15559" max="15559" width="11.28515625" style="202" customWidth="1"/>
    <col min="15560" max="15560" width="27.140625" style="202" customWidth="1"/>
    <col min="15561" max="15561" width="13.7109375" style="202" customWidth="1"/>
    <col min="15562" max="15562" width="14.140625" style="202" customWidth="1"/>
    <col min="15563" max="15567" width="13.42578125" style="202" customWidth="1"/>
    <col min="15568" max="15568" width="9.140625" style="202"/>
    <col min="15569" max="15572" width="13.42578125" style="202" customWidth="1"/>
    <col min="15573" max="15573" width="9.140625" style="202"/>
    <col min="15574" max="15577" width="13.42578125" style="202" customWidth="1"/>
    <col min="15578" max="15578" width="9.140625" style="202"/>
    <col min="15579" max="15582" width="13.42578125" style="202" customWidth="1"/>
    <col min="15583" max="15583" width="9.140625" style="202"/>
    <col min="15584" max="15587" width="13.42578125" style="202" customWidth="1"/>
    <col min="15588" max="15814" width="9.140625" style="202"/>
    <col min="15815" max="15815" width="11.28515625" style="202" customWidth="1"/>
    <col min="15816" max="15816" width="27.140625" style="202" customWidth="1"/>
    <col min="15817" max="15817" width="13.7109375" style="202" customWidth="1"/>
    <col min="15818" max="15818" width="14.140625" style="202" customWidth="1"/>
    <col min="15819" max="15823" width="13.42578125" style="202" customWidth="1"/>
    <col min="15824" max="15824" width="9.140625" style="202"/>
    <col min="15825" max="15828" width="13.42578125" style="202" customWidth="1"/>
    <col min="15829" max="15829" width="9.140625" style="202"/>
    <col min="15830" max="15833" width="13.42578125" style="202" customWidth="1"/>
    <col min="15834" max="15834" width="9.140625" style="202"/>
    <col min="15835" max="15838" width="13.42578125" style="202" customWidth="1"/>
    <col min="15839" max="15839" width="9.140625" style="202"/>
    <col min="15840" max="15843" width="13.42578125" style="202" customWidth="1"/>
    <col min="15844" max="16070" width="9.140625" style="202"/>
    <col min="16071" max="16071" width="11.28515625" style="202" customWidth="1"/>
    <col min="16072" max="16072" width="27.140625" style="202" customWidth="1"/>
    <col min="16073" max="16073" width="13.7109375" style="202" customWidth="1"/>
    <col min="16074" max="16074" width="14.140625" style="202" customWidth="1"/>
    <col min="16075" max="16079" width="13.42578125" style="202" customWidth="1"/>
    <col min="16080" max="16080" width="9.140625" style="202"/>
    <col min="16081" max="16084" width="13.42578125" style="202" customWidth="1"/>
    <col min="16085" max="16085" width="9.140625" style="202"/>
    <col min="16086" max="16089" width="13.42578125" style="202" customWidth="1"/>
    <col min="16090" max="16090" width="9.140625" style="202"/>
    <col min="16091" max="16094" width="13.42578125" style="202" customWidth="1"/>
    <col min="16095" max="16095" width="9.140625" style="202"/>
    <col min="16096" max="16099" width="13.42578125" style="202" customWidth="1"/>
    <col min="16100" max="16384" width="9.140625" style="202"/>
  </cols>
  <sheetData>
    <row r="1" spans="1:11" ht="22.5" hidden="1" customHeight="1" outlineLevel="1" x14ac:dyDescent="0.3">
      <c r="A1" s="223"/>
      <c r="B1" s="201" t="s">
        <v>132</v>
      </c>
    </row>
    <row r="2" spans="1:11" ht="17.25" hidden="1" outlineLevel="1" thickBot="1" x14ac:dyDescent="0.35">
      <c r="A2" s="224" t="s">
        <v>93</v>
      </c>
      <c r="B2" s="201" t="s">
        <v>94</v>
      </c>
    </row>
    <row r="3" spans="1:11" ht="33" hidden="1" customHeight="1" outlineLevel="1" thickBot="1" x14ac:dyDescent="0.35">
      <c r="A3" s="224"/>
      <c r="F3" s="387" t="s">
        <v>95</v>
      </c>
      <c r="G3" s="389"/>
      <c r="I3" s="387" t="s">
        <v>96</v>
      </c>
      <c r="J3" s="389"/>
    </row>
    <row r="4" spans="1:11" ht="33" hidden="1" customHeight="1" outlineLevel="1" x14ac:dyDescent="0.3">
      <c r="A4" s="224"/>
      <c r="B4" s="390" t="s">
        <v>67</v>
      </c>
      <c r="C4" s="392" t="s">
        <v>98</v>
      </c>
      <c r="D4" s="225" t="s">
        <v>99</v>
      </c>
      <c r="E4" s="225" t="s">
        <v>134</v>
      </c>
      <c r="F4" s="394" t="s">
        <v>101</v>
      </c>
      <c r="G4" s="395"/>
      <c r="I4" s="390" t="s">
        <v>101</v>
      </c>
      <c r="J4" s="395"/>
    </row>
    <row r="5" spans="1:11" ht="17.25" hidden="1" outlineLevel="1" thickBot="1" x14ac:dyDescent="0.35">
      <c r="A5" s="224"/>
      <c r="B5" s="391"/>
      <c r="C5" s="393"/>
      <c r="D5" s="226" t="s">
        <v>102</v>
      </c>
      <c r="E5" s="226" t="s">
        <v>64</v>
      </c>
      <c r="F5" s="226" t="s">
        <v>65</v>
      </c>
      <c r="G5" s="227" t="s">
        <v>66</v>
      </c>
      <c r="I5" s="275" t="s">
        <v>65</v>
      </c>
      <c r="J5" s="227" t="s">
        <v>66</v>
      </c>
    </row>
    <row r="6" spans="1:11" hidden="1" outlineLevel="1" x14ac:dyDescent="0.3">
      <c r="A6" s="224"/>
      <c r="B6" s="203" t="s">
        <v>133</v>
      </c>
      <c r="C6" s="204" t="s">
        <v>64</v>
      </c>
      <c r="D6" s="228">
        <v>80000</v>
      </c>
      <c r="E6" s="228">
        <v>60</v>
      </c>
      <c r="F6" s="229">
        <f>'GSG60'!L$50</f>
        <v>139.83799999999997</v>
      </c>
      <c r="G6" s="230">
        <f>'GSG60'!M$50</f>
        <v>0.39986846244030755</v>
      </c>
      <c r="H6" s="272"/>
      <c r="I6" s="231">
        <f>'GSG60'!R$50</f>
        <v>-35.687999999999988</v>
      </c>
      <c r="J6" s="230">
        <f>'GSG60'!S$50</f>
        <v>-7.2899899499129783E-2</v>
      </c>
      <c r="K6" s="272"/>
    </row>
    <row r="7" spans="1:11" hidden="1" outlineLevel="1" x14ac:dyDescent="0.3">
      <c r="A7" s="224"/>
      <c r="B7" s="209" t="s">
        <v>133</v>
      </c>
      <c r="C7" s="210" t="s">
        <v>64</v>
      </c>
      <c r="D7" s="232">
        <v>80000</v>
      </c>
      <c r="E7" s="232">
        <v>100</v>
      </c>
      <c r="F7" s="233">
        <f>'GSG100'!L$50</f>
        <v>238.17000000000007</v>
      </c>
      <c r="G7" s="234">
        <f>'GSG100'!M$50</f>
        <v>0.49067759945610762</v>
      </c>
      <c r="H7" s="272"/>
      <c r="I7" s="235">
        <f>'GSG100'!R$50</f>
        <v>-56.240000000000009</v>
      </c>
      <c r="J7" s="234">
        <f>'GSG100'!S$50</f>
        <v>-7.7726795289955228E-2</v>
      </c>
      <c r="K7" s="272"/>
    </row>
    <row r="8" spans="1:11" hidden="1" outlineLevel="1" x14ac:dyDescent="0.3">
      <c r="A8" s="224"/>
      <c r="B8" s="209" t="s">
        <v>133</v>
      </c>
      <c r="C8" s="210" t="s">
        <v>64</v>
      </c>
      <c r="D8" s="232">
        <v>80000</v>
      </c>
      <c r="E8" s="232">
        <v>250</v>
      </c>
      <c r="F8" s="233">
        <f>'Summary Tables'!G8</f>
        <v>606.91500000000008</v>
      </c>
      <c r="G8" s="234">
        <f>'Summary Tables'!I8</f>
        <v>0.61046178295899189</v>
      </c>
      <c r="H8" s="272"/>
      <c r="I8" s="235">
        <f>'Summary Tables'!K8</f>
        <v>-133.30999999999995</v>
      </c>
      <c r="J8" s="234">
        <f>'Summary Tables'!L8</f>
        <v>-8.326124770080659E-2</v>
      </c>
      <c r="K8" s="272"/>
    </row>
    <row r="9" spans="1:11" hidden="1" outlineLevel="1" x14ac:dyDescent="0.3">
      <c r="A9" s="224"/>
      <c r="B9" s="209" t="s">
        <v>133</v>
      </c>
      <c r="C9" s="210" t="s">
        <v>64</v>
      </c>
      <c r="D9" s="232">
        <v>80000</v>
      </c>
      <c r="E9" s="232">
        <v>500</v>
      </c>
      <c r="F9" s="233">
        <f>'GSG500'!L$50</f>
        <v>1221.4899999999998</v>
      </c>
      <c r="G9" s="234">
        <f>'GSG500'!M$50</f>
        <v>0.6630640704813292</v>
      </c>
      <c r="I9" s="235">
        <f>'GSG500'!R$50</f>
        <v>-261.75999999999976</v>
      </c>
      <c r="J9" s="234">
        <f>'GSG500'!S$50</f>
        <v>-8.5439732609149707E-2</v>
      </c>
    </row>
    <row r="10" spans="1:11" hidden="1" outlineLevel="1" x14ac:dyDescent="0.3">
      <c r="A10" s="224"/>
      <c r="B10" s="209" t="s">
        <v>133</v>
      </c>
      <c r="C10" s="210" t="s">
        <v>64</v>
      </c>
      <c r="D10" s="232">
        <v>80000</v>
      </c>
      <c r="E10" s="232">
        <v>1000</v>
      </c>
      <c r="F10" s="233">
        <f>'GSG1000'!L$50</f>
        <v>2450.64</v>
      </c>
      <c r="G10" s="234">
        <f>'GSG1000'!M$50</f>
        <v>0.69262532537823007</v>
      </c>
      <c r="I10" s="235">
        <f>'GSG1000'!R$50</f>
        <v>-518.66000000000076</v>
      </c>
      <c r="J10" s="234">
        <f>'GSG1000'!S$50</f>
        <v>-8.660456215988778E-2</v>
      </c>
    </row>
    <row r="11" spans="1:11" hidden="1" outlineLevel="1" x14ac:dyDescent="0.3">
      <c r="A11" s="224"/>
      <c r="B11" s="209"/>
      <c r="C11" s="210"/>
      <c r="D11" s="238"/>
      <c r="E11" s="232"/>
      <c r="F11" s="233"/>
      <c r="G11" s="234"/>
      <c r="I11" s="235"/>
      <c r="J11" s="234"/>
    </row>
    <row r="12" spans="1:11" ht="17.25" hidden="1" outlineLevel="1" thickBot="1" x14ac:dyDescent="0.35">
      <c r="A12" s="224"/>
      <c r="B12" s="216"/>
      <c r="C12" s="217"/>
      <c r="D12" s="240"/>
      <c r="E12" s="240"/>
      <c r="F12" s="241"/>
      <c r="G12" s="242"/>
      <c r="I12" s="243"/>
      <c r="J12" s="242"/>
    </row>
    <row r="13" spans="1:11" hidden="1" outlineLevel="1" x14ac:dyDescent="0.3">
      <c r="A13" s="224"/>
    </row>
    <row r="14" spans="1:11" hidden="1" outlineLevel="1" x14ac:dyDescent="0.3">
      <c r="A14" s="224" t="s">
        <v>106</v>
      </c>
      <c r="B14" s="201" t="s">
        <v>107</v>
      </c>
    </row>
    <row r="15" spans="1:11" ht="17.25" hidden="1" outlineLevel="1" thickBot="1" x14ac:dyDescent="0.35">
      <c r="A15" s="224"/>
      <c r="F15" s="374"/>
      <c r="G15" s="374"/>
    </row>
    <row r="16" spans="1:11" ht="33" hidden="1" customHeight="1" outlineLevel="1" x14ac:dyDescent="0.3">
      <c r="A16" s="224"/>
      <c r="B16" s="377" t="s">
        <v>97</v>
      </c>
      <c r="C16" s="379" t="s">
        <v>98</v>
      </c>
      <c r="D16" s="225" t="s">
        <v>99</v>
      </c>
      <c r="E16" s="225" t="s">
        <v>134</v>
      </c>
      <c r="F16" s="381" t="s">
        <v>108</v>
      </c>
      <c r="G16" s="373"/>
      <c r="I16" s="372" t="s">
        <v>108</v>
      </c>
      <c r="J16" s="373"/>
    </row>
    <row r="17" spans="1:11" ht="17.25" hidden="1" outlineLevel="1" thickBot="1" x14ac:dyDescent="0.35">
      <c r="A17" s="224"/>
      <c r="B17" s="378"/>
      <c r="C17" s="380"/>
      <c r="D17" s="226" t="s">
        <v>102</v>
      </c>
      <c r="E17" s="226" t="s">
        <v>64</v>
      </c>
      <c r="F17" s="226" t="s">
        <v>65</v>
      </c>
      <c r="G17" s="227" t="s">
        <v>66</v>
      </c>
      <c r="I17" s="275" t="s">
        <v>65</v>
      </c>
      <c r="J17" s="227" t="s">
        <v>66</v>
      </c>
    </row>
    <row r="18" spans="1:11" hidden="1" outlineLevel="1" x14ac:dyDescent="0.3">
      <c r="A18" s="224"/>
      <c r="B18" s="203" t="str">
        <f t="shared" ref="B18:E22" si="0">B6</f>
        <v>GS&gt;50</v>
      </c>
      <c r="C18" s="204" t="str">
        <f t="shared" si="0"/>
        <v>kW</v>
      </c>
      <c r="D18" s="205">
        <f t="shared" si="0"/>
        <v>80000</v>
      </c>
      <c r="E18" s="205">
        <f t="shared" si="0"/>
        <v>60</v>
      </c>
      <c r="F18" s="206">
        <f>'GSG60'!L$53</f>
        <v>139.83799999999997</v>
      </c>
      <c r="G18" s="207">
        <f>'GSG60'!M$53</f>
        <v>0.23493577143164346</v>
      </c>
      <c r="H18" s="272"/>
      <c r="I18" s="208">
        <f>'GSG60'!R$53</f>
        <v>-29.879999999999995</v>
      </c>
      <c r="J18" s="207">
        <f>'GSG60'!S$53</f>
        <v>-4.0649964084369071E-2</v>
      </c>
      <c r="K18" s="272"/>
    </row>
    <row r="19" spans="1:11" hidden="1" outlineLevel="1" x14ac:dyDescent="0.3">
      <c r="A19" s="224"/>
      <c r="B19" s="209" t="str">
        <f t="shared" si="0"/>
        <v>GS&gt;50</v>
      </c>
      <c r="C19" s="210" t="str">
        <f t="shared" si="0"/>
        <v>kW</v>
      </c>
      <c r="D19" s="211">
        <f t="shared" si="0"/>
        <v>80000</v>
      </c>
      <c r="E19" s="211">
        <f t="shared" ref="E19" si="1">E7</f>
        <v>100</v>
      </c>
      <c r="F19" s="212">
        <f>'GSG100'!L$53</f>
        <v>238.17000000000007</v>
      </c>
      <c r="G19" s="213">
        <f>'GSG100'!M$53</f>
        <v>0.26623964586337578</v>
      </c>
      <c r="H19" s="272"/>
      <c r="I19" s="214">
        <f>'GSG100'!R$53</f>
        <v>-46.559999999999945</v>
      </c>
      <c r="J19" s="213">
        <f>'GSG100'!S$53</f>
        <v>-4.1103872027120035E-2</v>
      </c>
      <c r="K19" s="272"/>
    </row>
    <row r="20" spans="1:11" hidden="1" outlineLevel="1" x14ac:dyDescent="0.3">
      <c r="A20" s="224"/>
      <c r="B20" s="209" t="str">
        <f t="shared" si="0"/>
        <v>GS&gt;50</v>
      </c>
      <c r="C20" s="210" t="str">
        <f t="shared" si="0"/>
        <v>kW</v>
      </c>
      <c r="D20" s="215">
        <f t="shared" si="0"/>
        <v>80000</v>
      </c>
      <c r="E20" s="215">
        <f t="shared" ref="E20" si="2">E8</f>
        <v>250</v>
      </c>
      <c r="F20" s="212">
        <f>'Summary Tables'!G20</f>
        <v>606.91499999999996</v>
      </c>
      <c r="G20" s="213">
        <f>'Summary Tables'!I20</f>
        <v>0.30087896725066182</v>
      </c>
      <c r="H20" s="272"/>
      <c r="I20" s="214">
        <f>'Summary Tables'!K20</f>
        <v>-109.11000000000013</v>
      </c>
      <c r="J20" s="213">
        <f>'Summary Tables'!L20</f>
        <v>-4.1580683331713754E-2</v>
      </c>
      <c r="K20" s="272"/>
    </row>
    <row r="21" spans="1:11" hidden="1" outlineLevel="1" x14ac:dyDescent="0.3">
      <c r="A21" s="224"/>
      <c r="B21" s="209" t="str">
        <f t="shared" si="0"/>
        <v>GS&gt;50</v>
      </c>
      <c r="C21" s="210" t="str">
        <f t="shared" si="0"/>
        <v>kW</v>
      </c>
      <c r="D21" s="215">
        <f t="shared" si="0"/>
        <v>80000</v>
      </c>
      <c r="E21" s="215">
        <f t="shared" ref="E21" si="3">E9</f>
        <v>500</v>
      </c>
      <c r="F21" s="212">
        <f>'GSG500'!L$53</f>
        <v>1221.4899999999998</v>
      </c>
      <c r="G21" s="213">
        <f>'GSG500'!M$53</f>
        <v>0.31416196641538641</v>
      </c>
      <c r="I21" s="214">
        <f>'GSG500'!R$53</f>
        <v>-213.36000000000058</v>
      </c>
      <c r="J21" s="213">
        <f>'GSG500'!S$53</f>
        <v>-4.1756856727950355E-2</v>
      </c>
    </row>
    <row r="22" spans="1:11" hidden="1" outlineLevel="1" x14ac:dyDescent="0.3">
      <c r="A22" s="224"/>
      <c r="B22" s="209" t="str">
        <f t="shared" si="0"/>
        <v>GS&gt;50</v>
      </c>
      <c r="C22" s="210" t="str">
        <f t="shared" si="0"/>
        <v>kW</v>
      </c>
      <c r="D22" s="215">
        <f t="shared" si="0"/>
        <v>80000</v>
      </c>
      <c r="E22" s="215">
        <f t="shared" ref="E22" si="4">E10</f>
        <v>1000</v>
      </c>
      <c r="F22" s="212">
        <f>'GSG1000'!L$53</f>
        <v>2450.6399999999994</v>
      </c>
      <c r="G22" s="213">
        <f>'GSG1000'!M$53</f>
        <v>0.32118521780500359</v>
      </c>
      <c r="I22" s="214">
        <f>'GSG1000'!R$53</f>
        <v>-421.86000000000058</v>
      </c>
      <c r="J22" s="213">
        <f>'GSG1000'!S$53</f>
        <v>-4.1848574940256768E-2</v>
      </c>
    </row>
    <row r="23" spans="1:11" hidden="1" outlineLevel="1" x14ac:dyDescent="0.3">
      <c r="A23" s="224"/>
      <c r="B23" s="209"/>
      <c r="C23" s="210"/>
      <c r="D23" s="215"/>
      <c r="E23" s="211"/>
      <c r="F23" s="212">
        <f>IF($A23&lt;&gt;"",VLOOKUP($A23,[4]Rates!$A$1:$R$65536,12,FALSE),0)</f>
        <v>0</v>
      </c>
      <c r="G23" s="213"/>
      <c r="I23" s="214"/>
      <c r="J23" s="213"/>
    </row>
    <row r="24" spans="1:11" ht="17.25" hidden="1" outlineLevel="1" thickBot="1" x14ac:dyDescent="0.35">
      <c r="A24" s="224"/>
      <c r="B24" s="216"/>
      <c r="C24" s="217"/>
      <c r="D24" s="218"/>
      <c r="E24" s="218"/>
      <c r="F24" s="219"/>
      <c r="G24" s="220"/>
      <c r="I24" s="221"/>
      <c r="J24" s="220"/>
    </row>
    <row r="25" spans="1:11" hidden="1" outlineLevel="1" x14ac:dyDescent="0.3">
      <c r="A25" s="224"/>
    </row>
    <row r="26" spans="1:11" hidden="1" outlineLevel="1" x14ac:dyDescent="0.3">
      <c r="A26" s="224"/>
    </row>
    <row r="27" spans="1:11" hidden="1" outlineLevel="1" x14ac:dyDescent="0.3">
      <c r="A27" s="224" t="s">
        <v>109</v>
      </c>
      <c r="B27" s="201" t="s">
        <v>110</v>
      </c>
    </row>
    <row r="28" spans="1:11" ht="17.25" hidden="1" outlineLevel="1" thickBot="1" x14ac:dyDescent="0.35">
      <c r="F28" s="374">
        <v>2016</v>
      </c>
      <c r="G28" s="374"/>
      <c r="I28" s="409">
        <v>2017</v>
      </c>
      <c r="J28" s="409"/>
    </row>
    <row r="29" spans="1:11" ht="33" hidden="1" customHeight="1" outlineLevel="1" x14ac:dyDescent="0.3">
      <c r="B29" s="377" t="s">
        <v>97</v>
      </c>
      <c r="C29" s="379" t="s">
        <v>98</v>
      </c>
      <c r="D29" s="225" t="s">
        <v>99</v>
      </c>
      <c r="E29" s="225" t="s">
        <v>134</v>
      </c>
      <c r="F29" s="381" t="s">
        <v>111</v>
      </c>
      <c r="G29" s="373"/>
      <c r="I29" s="372" t="s">
        <v>111</v>
      </c>
      <c r="J29" s="373"/>
    </row>
    <row r="30" spans="1:11" ht="17.25" hidden="1" outlineLevel="1" thickBot="1" x14ac:dyDescent="0.35">
      <c r="B30" s="378"/>
      <c r="C30" s="380"/>
      <c r="D30" s="226" t="s">
        <v>102</v>
      </c>
      <c r="E30" s="226" t="s">
        <v>64</v>
      </c>
      <c r="F30" s="226" t="s">
        <v>65</v>
      </c>
      <c r="G30" s="227" t="s">
        <v>66</v>
      </c>
      <c r="I30" s="275" t="s">
        <v>65</v>
      </c>
      <c r="J30" s="227" t="s">
        <v>66</v>
      </c>
    </row>
    <row r="31" spans="1:11" hidden="1" outlineLevel="1" x14ac:dyDescent="0.3">
      <c r="B31" s="203" t="str">
        <f>B18</f>
        <v>GS&gt;50</v>
      </c>
      <c r="C31" s="204" t="str">
        <f>C18</f>
        <v>kW</v>
      </c>
      <c r="D31" s="205">
        <f>D18</f>
        <v>80000</v>
      </c>
      <c r="E31" s="205">
        <v>60</v>
      </c>
      <c r="F31" s="206">
        <f>'GSG60'!L$68</f>
        <v>158.01693999999952</v>
      </c>
      <c r="G31" s="207">
        <f>'GSG60'!M$68</f>
        <v>1.2823444467528892E-2</v>
      </c>
      <c r="I31" s="208">
        <f>'GSG60'!R$68</f>
        <v>-8.4364896000006411</v>
      </c>
      <c r="J31" s="207">
        <f>'GSG60'!S$68</f>
        <v>-6.7597257705785761E-4</v>
      </c>
    </row>
    <row r="32" spans="1:11" hidden="1" outlineLevel="1" x14ac:dyDescent="0.3">
      <c r="B32" s="209" t="str">
        <f t="shared" ref="B32:D35" si="5">B19</f>
        <v>GS&gt;50</v>
      </c>
      <c r="C32" s="210" t="str">
        <f t="shared" si="5"/>
        <v>kW</v>
      </c>
      <c r="D32" s="211">
        <f t="shared" si="5"/>
        <v>80000</v>
      </c>
      <c r="E32" s="211">
        <v>100</v>
      </c>
      <c r="F32" s="212">
        <f>'GSG100'!L$68</f>
        <v>269.13210000000072</v>
      </c>
      <c r="G32" s="213">
        <f>'GSG100'!M$68</f>
        <v>2.1257164620366753E-2</v>
      </c>
      <c r="I32" s="214">
        <f>'GSG100'!R$68</f>
        <v>-27.284889599999588</v>
      </c>
      <c r="J32" s="213">
        <f>'GSG100'!S$68</f>
        <v>-2.1102160418829574E-3</v>
      </c>
    </row>
    <row r="33" spans="1:10" hidden="1" outlineLevel="1" x14ac:dyDescent="0.3">
      <c r="A33" s="202"/>
      <c r="B33" s="209" t="str">
        <f t="shared" si="5"/>
        <v>GS&gt;50</v>
      </c>
      <c r="C33" s="210" t="str">
        <f t="shared" si="5"/>
        <v>kW</v>
      </c>
      <c r="D33" s="211">
        <f t="shared" si="5"/>
        <v>80000</v>
      </c>
      <c r="E33" s="215">
        <v>250</v>
      </c>
      <c r="F33" s="212">
        <f>'Summary Tables'!G33</f>
        <v>685.81394999999975</v>
      </c>
      <c r="G33" s="213">
        <f>'Summary Tables'!I33</f>
        <v>4.9235436138277126E-2</v>
      </c>
      <c r="I33" s="214">
        <f>'Summary Tables'!K33</f>
        <v>-97.966389600000184</v>
      </c>
      <c r="J33" s="213">
        <f>'Summary Tables'!L33</f>
        <v>-6.703098911917566E-3</v>
      </c>
    </row>
    <row r="34" spans="1:10" hidden="1" outlineLevel="1" x14ac:dyDescent="0.3">
      <c r="A34" s="202"/>
      <c r="B34" s="209" t="str">
        <f t="shared" si="5"/>
        <v>GS&gt;50</v>
      </c>
      <c r="C34" s="210" t="str">
        <f t="shared" si="5"/>
        <v>kW</v>
      </c>
      <c r="D34" s="211">
        <f t="shared" si="5"/>
        <v>80000</v>
      </c>
      <c r="E34" s="215">
        <v>500</v>
      </c>
      <c r="F34" s="212">
        <f>'GSG500'!L$68</f>
        <v>1380.2837</v>
      </c>
      <c r="G34" s="213">
        <f>'GSG500'!M$68</f>
        <v>8.6034100745481901E-2</v>
      </c>
      <c r="I34" s="214">
        <f>'GSG500'!R$68</f>
        <v>-215.76888959999997</v>
      </c>
      <c r="J34" s="213">
        <f>'GSG500'!S$68</f>
        <v>-1.2383620341567715E-2</v>
      </c>
    </row>
    <row r="35" spans="1:10" hidden="1" outlineLevel="1" x14ac:dyDescent="0.3">
      <c r="A35" s="202"/>
      <c r="B35" s="209" t="str">
        <f t="shared" si="5"/>
        <v>GS&gt;50</v>
      </c>
      <c r="C35" s="210" t="str">
        <f t="shared" si="5"/>
        <v>kW</v>
      </c>
      <c r="D35" s="211">
        <f t="shared" si="5"/>
        <v>80000</v>
      </c>
      <c r="E35" s="215">
        <v>1000</v>
      </c>
      <c r="F35" s="212">
        <f>'GSG1000'!L$68</f>
        <v>2769.2231999999967</v>
      </c>
      <c r="G35" s="213">
        <f>'GSG1000'!M$68</f>
        <v>0.13660472964611586</v>
      </c>
      <c r="I35" s="214">
        <f>'GSG1000'!R$68</f>
        <v>-451.37388959999589</v>
      </c>
      <c r="J35" s="213">
        <f>'GSG1000'!S$68</f>
        <v>-1.9590014113781792E-2</v>
      </c>
    </row>
    <row r="36" spans="1:10" hidden="1" outlineLevel="1" x14ac:dyDescent="0.3">
      <c r="A36" s="202"/>
      <c r="B36" s="209"/>
      <c r="C36" s="210"/>
      <c r="D36" s="211"/>
      <c r="E36" s="211"/>
      <c r="F36" s="212"/>
      <c r="G36" s="213"/>
      <c r="I36" s="214"/>
      <c r="J36" s="213"/>
    </row>
    <row r="37" spans="1:10" ht="17.25" hidden="1" outlineLevel="1" thickBot="1" x14ac:dyDescent="0.35">
      <c r="A37" s="202"/>
      <c r="B37" s="216"/>
      <c r="C37" s="217"/>
      <c r="D37" s="218"/>
      <c r="E37" s="218"/>
      <c r="F37" s="219"/>
      <c r="G37" s="220"/>
      <c r="I37" s="221"/>
      <c r="J37" s="220"/>
    </row>
    <row r="38" spans="1:10" hidden="1" outlineLevel="1" x14ac:dyDescent="0.3"/>
    <row r="39" spans="1:10" collapsed="1" x14ac:dyDescent="0.3"/>
    <row r="40" spans="1:10" ht="17.25" thickBot="1" x14ac:dyDescent="0.35">
      <c r="A40" s="202"/>
      <c r="B40" s="201" t="s">
        <v>157</v>
      </c>
    </row>
    <row r="41" spans="1:10" ht="33" x14ac:dyDescent="0.3">
      <c r="A41" s="202"/>
      <c r="B41" s="375" t="s">
        <v>97</v>
      </c>
      <c r="C41" s="266" t="s">
        <v>118</v>
      </c>
      <c r="D41" s="266" t="s">
        <v>124</v>
      </c>
      <c r="E41" s="266" t="s">
        <v>134</v>
      </c>
      <c r="F41" s="383" t="s">
        <v>117</v>
      </c>
      <c r="G41" s="385"/>
    </row>
    <row r="42" spans="1:10" ht="17.25" thickBot="1" x14ac:dyDescent="0.35">
      <c r="A42" s="202"/>
      <c r="B42" s="376"/>
      <c r="C42" s="267" t="s">
        <v>119</v>
      </c>
      <c r="D42" s="267" t="s">
        <v>120</v>
      </c>
      <c r="E42" s="267" t="s">
        <v>64</v>
      </c>
      <c r="F42" s="320">
        <v>2016</v>
      </c>
      <c r="G42" s="255">
        <v>2017</v>
      </c>
    </row>
    <row r="43" spans="1:10" x14ac:dyDescent="0.3">
      <c r="A43" s="202"/>
      <c r="B43" s="209" t="s">
        <v>133</v>
      </c>
      <c r="C43" s="263" t="s">
        <v>64</v>
      </c>
      <c r="D43" s="278">
        <f t="shared" ref="D43:D47" si="6">D31</f>
        <v>80000</v>
      </c>
      <c r="E43" s="278">
        <v>60</v>
      </c>
      <c r="F43" s="270">
        <f t="shared" ref="F43:F47" si="7">G6</f>
        <v>0.39986846244030755</v>
      </c>
      <c r="G43" s="258">
        <f t="shared" ref="G43:G47" si="8">J6</f>
        <v>-7.2899899499129783E-2</v>
      </c>
    </row>
    <row r="44" spans="1:10" x14ac:dyDescent="0.3">
      <c r="A44" s="202"/>
      <c r="B44" s="209" t="s">
        <v>133</v>
      </c>
      <c r="C44" s="264" t="s">
        <v>64</v>
      </c>
      <c r="D44" s="279">
        <f t="shared" si="6"/>
        <v>80000</v>
      </c>
      <c r="E44" s="279">
        <v>100</v>
      </c>
      <c r="F44" s="271">
        <f t="shared" si="7"/>
        <v>0.49067759945610762</v>
      </c>
      <c r="G44" s="260">
        <f t="shared" si="8"/>
        <v>-7.7726795289955228E-2</v>
      </c>
    </row>
    <row r="45" spans="1:10" x14ac:dyDescent="0.3">
      <c r="A45" s="202"/>
      <c r="B45" s="326" t="s">
        <v>133</v>
      </c>
      <c r="C45" s="327" t="s">
        <v>64</v>
      </c>
      <c r="D45" s="328">
        <f t="shared" si="6"/>
        <v>80000</v>
      </c>
      <c r="E45" s="328">
        <v>250</v>
      </c>
      <c r="F45" s="330">
        <f t="shared" si="7"/>
        <v>0.61046178295899189</v>
      </c>
      <c r="G45" s="331">
        <f t="shared" si="8"/>
        <v>-8.326124770080659E-2</v>
      </c>
    </row>
    <row r="46" spans="1:10" x14ac:dyDescent="0.3">
      <c r="A46" s="202"/>
      <c r="B46" s="209" t="s">
        <v>133</v>
      </c>
      <c r="C46" s="264" t="s">
        <v>64</v>
      </c>
      <c r="D46" s="279">
        <f t="shared" si="6"/>
        <v>80000</v>
      </c>
      <c r="E46" s="279">
        <v>500</v>
      </c>
      <c r="F46" s="271">
        <f t="shared" si="7"/>
        <v>0.6630640704813292</v>
      </c>
      <c r="G46" s="260">
        <f t="shared" si="8"/>
        <v>-8.5439732609149707E-2</v>
      </c>
    </row>
    <row r="47" spans="1:10" ht="17.25" thickBot="1" x14ac:dyDescent="0.35">
      <c r="A47" s="202"/>
      <c r="B47" s="209" t="s">
        <v>133</v>
      </c>
      <c r="C47" s="264" t="s">
        <v>64</v>
      </c>
      <c r="D47" s="279">
        <f t="shared" si="6"/>
        <v>80000</v>
      </c>
      <c r="E47" s="279">
        <v>1000</v>
      </c>
      <c r="F47" s="271">
        <f t="shared" si="7"/>
        <v>0.69262532537823007</v>
      </c>
      <c r="G47" s="260">
        <f t="shared" si="8"/>
        <v>-8.660456215988778E-2</v>
      </c>
    </row>
    <row r="48" spans="1:10" ht="17.25" hidden="1" outlineLevel="1" thickBot="1" x14ac:dyDescent="0.35">
      <c r="A48" s="202"/>
      <c r="B48" s="209"/>
      <c r="C48" s="264"/>
      <c r="D48" s="279"/>
      <c r="E48" s="269"/>
      <c r="F48" s="271"/>
      <c r="G48" s="260"/>
    </row>
    <row r="49" spans="1:7" ht="17.25" hidden="1" outlineLevel="1" thickBot="1" x14ac:dyDescent="0.35">
      <c r="A49" s="202"/>
      <c r="B49" s="209"/>
      <c r="C49" s="264"/>
      <c r="D49" s="269"/>
      <c r="E49" s="269"/>
      <c r="F49" s="271"/>
      <c r="G49" s="260"/>
    </row>
    <row r="50" spans="1:7" ht="17.25" collapsed="1" thickBot="1" x14ac:dyDescent="0.35">
      <c r="A50" s="202"/>
      <c r="B50" s="256" t="s">
        <v>116</v>
      </c>
      <c r="C50" s="265"/>
      <c r="D50" s="265"/>
      <c r="E50" s="265"/>
      <c r="F50" s="280">
        <f>AVERAGE(F43:F48)</f>
        <v>0.5713394481429932</v>
      </c>
      <c r="G50" s="262">
        <f t="shared" ref="G50" si="9">AVERAGE(G43:G48)</f>
        <v>-8.1186447451785812E-2</v>
      </c>
    </row>
    <row r="52" spans="1:7" ht="17.25" thickBot="1" x14ac:dyDescent="0.35">
      <c r="A52" s="202"/>
    </row>
    <row r="53" spans="1:7" ht="33" x14ac:dyDescent="0.3">
      <c r="A53" s="202"/>
      <c r="B53" s="375" t="s">
        <v>97</v>
      </c>
      <c r="C53" s="266" t="s">
        <v>118</v>
      </c>
      <c r="D53" s="266" t="s">
        <v>124</v>
      </c>
      <c r="E53" s="266" t="s">
        <v>134</v>
      </c>
      <c r="F53" s="383" t="s">
        <v>110</v>
      </c>
      <c r="G53" s="385"/>
    </row>
    <row r="54" spans="1:7" ht="17.25" thickBot="1" x14ac:dyDescent="0.35">
      <c r="A54" s="202"/>
      <c r="B54" s="376"/>
      <c r="C54" s="267" t="s">
        <v>119</v>
      </c>
      <c r="D54" s="267" t="s">
        <v>120</v>
      </c>
      <c r="E54" s="267" t="s">
        <v>64</v>
      </c>
      <c r="F54" s="320">
        <v>2016</v>
      </c>
      <c r="G54" s="255">
        <v>2017</v>
      </c>
    </row>
    <row r="55" spans="1:7" x14ac:dyDescent="0.3">
      <c r="A55" s="202"/>
      <c r="B55" s="209" t="s">
        <v>133</v>
      </c>
      <c r="C55" s="263" t="s">
        <v>64</v>
      </c>
      <c r="D55" s="278">
        <f t="shared" ref="D55:D59" si="10">D43</f>
        <v>80000</v>
      </c>
      <c r="E55" s="278">
        <v>60</v>
      </c>
      <c r="F55" s="270">
        <f>G31</f>
        <v>1.2823444467528892E-2</v>
      </c>
      <c r="G55" s="258">
        <f>J31</f>
        <v>-6.7597257705785761E-4</v>
      </c>
    </row>
    <row r="56" spans="1:7" x14ac:dyDescent="0.3">
      <c r="A56" s="202"/>
      <c r="B56" s="209" t="s">
        <v>133</v>
      </c>
      <c r="C56" s="264" t="s">
        <v>64</v>
      </c>
      <c r="D56" s="279">
        <f t="shared" si="10"/>
        <v>80000</v>
      </c>
      <c r="E56" s="279">
        <v>100</v>
      </c>
      <c r="F56" s="271">
        <f t="shared" ref="F56:F59" si="11">G32</f>
        <v>2.1257164620366753E-2</v>
      </c>
      <c r="G56" s="260">
        <f t="shared" ref="G56:G59" si="12">J32</f>
        <v>-2.1102160418829574E-3</v>
      </c>
    </row>
    <row r="57" spans="1:7" x14ac:dyDescent="0.3">
      <c r="A57" s="202"/>
      <c r="B57" s="326" t="s">
        <v>133</v>
      </c>
      <c r="C57" s="327" t="s">
        <v>64</v>
      </c>
      <c r="D57" s="328">
        <f t="shared" si="10"/>
        <v>80000</v>
      </c>
      <c r="E57" s="328">
        <v>250</v>
      </c>
      <c r="F57" s="330">
        <f t="shared" si="11"/>
        <v>4.9235436138277126E-2</v>
      </c>
      <c r="G57" s="331">
        <f t="shared" si="12"/>
        <v>-6.703098911917566E-3</v>
      </c>
    </row>
    <row r="58" spans="1:7" x14ac:dyDescent="0.3">
      <c r="A58" s="202"/>
      <c r="B58" s="209" t="s">
        <v>133</v>
      </c>
      <c r="C58" s="264" t="s">
        <v>64</v>
      </c>
      <c r="D58" s="279">
        <f t="shared" si="10"/>
        <v>80000</v>
      </c>
      <c r="E58" s="279">
        <v>500</v>
      </c>
      <c r="F58" s="271">
        <f t="shared" si="11"/>
        <v>8.6034100745481901E-2</v>
      </c>
      <c r="G58" s="260">
        <f t="shared" si="12"/>
        <v>-1.2383620341567715E-2</v>
      </c>
    </row>
    <row r="59" spans="1:7" ht="17.25" thickBot="1" x14ac:dyDescent="0.35">
      <c r="A59" s="202"/>
      <c r="B59" s="209" t="s">
        <v>133</v>
      </c>
      <c r="C59" s="264" t="s">
        <v>64</v>
      </c>
      <c r="D59" s="279">
        <f t="shared" si="10"/>
        <v>80000</v>
      </c>
      <c r="E59" s="279">
        <v>1000</v>
      </c>
      <c r="F59" s="271">
        <f t="shared" si="11"/>
        <v>0.13660472964611586</v>
      </c>
      <c r="G59" s="260">
        <f t="shared" si="12"/>
        <v>-1.9590014113781792E-2</v>
      </c>
    </row>
    <row r="60" spans="1:7" ht="17.25" hidden="1" outlineLevel="1" thickBot="1" x14ac:dyDescent="0.35">
      <c r="A60" s="202"/>
      <c r="B60" s="209"/>
      <c r="C60" s="264"/>
      <c r="D60" s="279"/>
      <c r="E60" s="269"/>
      <c r="F60" s="271"/>
      <c r="G60" s="260"/>
    </row>
    <row r="61" spans="1:7" ht="17.25" hidden="1" outlineLevel="1" thickBot="1" x14ac:dyDescent="0.35">
      <c r="A61" s="202"/>
      <c r="B61" s="209"/>
      <c r="C61" s="264"/>
      <c r="D61" s="269"/>
      <c r="E61" s="269"/>
      <c r="F61" s="271"/>
      <c r="G61" s="260"/>
    </row>
    <row r="62" spans="1:7" ht="17.25" collapsed="1" thickBot="1" x14ac:dyDescent="0.35">
      <c r="A62" s="202"/>
      <c r="B62" s="256" t="s">
        <v>116</v>
      </c>
      <c r="C62" s="265"/>
      <c r="D62" s="265"/>
      <c r="E62" s="265"/>
      <c r="F62" s="280">
        <f>AVERAGE(F55:F61)</f>
        <v>6.1190975123554113E-2</v>
      </c>
      <c r="G62" s="262">
        <f t="shared" ref="G62" si="13">AVERAGE(G55:G61)</f>
        <v>-8.2925843972415769E-3</v>
      </c>
    </row>
  </sheetData>
  <mergeCells count="21">
    <mergeCell ref="F28:G28"/>
    <mergeCell ref="I28:J28"/>
    <mergeCell ref="B41:B42"/>
    <mergeCell ref="B53:B54"/>
    <mergeCell ref="B29:B30"/>
    <mergeCell ref="C29:C30"/>
    <mergeCell ref="F29:G29"/>
    <mergeCell ref="I29:J29"/>
    <mergeCell ref="F41:G41"/>
    <mergeCell ref="F53:G53"/>
    <mergeCell ref="F3:G3"/>
    <mergeCell ref="I3:J3"/>
    <mergeCell ref="F15:G15"/>
    <mergeCell ref="B16:B17"/>
    <mergeCell ref="C16:C17"/>
    <mergeCell ref="F16:G16"/>
    <mergeCell ref="I16:J16"/>
    <mergeCell ref="B4:B5"/>
    <mergeCell ref="C4:C5"/>
    <mergeCell ref="F4:G4"/>
    <mergeCell ref="I4:J4"/>
  </mergeCells>
  <conditionalFormatting sqref="G34:G37">
    <cfRule type="expression" dxfId="1" priority="5" stopIfTrue="1">
      <formula>ABS(G34)&gt;0.1</formula>
    </cfRule>
  </conditionalFormatting>
  <conditionalFormatting sqref="J32:J37">
    <cfRule type="expression" dxfId="0" priority="4" stopIfTrue="1">
      <formula>ABS(J32)&gt;0.1</formula>
    </cfRule>
  </conditionalFormatting>
  <pageMargins left="0.7" right="0.7" top="0.75" bottom="0.75" header="0.3" footer="0.3"/>
  <pageSetup scale="66" orientation="portrait" horizontalDpi="300" r:id="rId1"/>
  <rowBreaks count="1" manualBreakCount="1">
    <brk id="40" min="1" max="6" man="1"/>
  </rowBreaks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3"/>
  <sheetViews>
    <sheetView topLeftCell="B4" zoomScale="70" zoomScaleNormal="70" workbookViewId="0">
      <selection activeCell="F19" sqref="F19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5.28515625" style="2" customWidth="1"/>
    <col min="8" max="8" width="2.140625" style="2" customWidth="1"/>
    <col min="9" max="9" width="13.5703125" style="2" customWidth="1"/>
    <col min="10" max="10" width="16.42578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75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74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60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IF($A23&lt;&gt;"",VLOOKUP($A23,[4]Rates!$A$1:$R$65536,14,FALSE),0)</f>
        <v>138.47999999999999</v>
      </c>
      <c r="J23" s="18">
        <f>$E23*I23</f>
        <v>138.47999999999999</v>
      </c>
      <c r="K23" s="38"/>
      <c r="L23" s="167">
        <f>J23-G23</f>
        <v>0</v>
      </c>
      <c r="M23" s="123">
        <f>IF((G23)=0,"",(L23/G23))</f>
        <v>0</v>
      </c>
      <c r="N23" s="38"/>
      <c r="O23" s="114">
        <f>IF($A23&lt;&gt;"",VLOOKUP($A23,[4]Rates!$A$1:$R$65536,15,FALSE),0)</f>
        <v>138.47999999999999</v>
      </c>
      <c r="P23" s="18">
        <f>$E23*O23</f>
        <v>138.47999999999999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[4]Rates!$A$83</f>
        <v>PPE_GSL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6.99</v>
      </c>
      <c r="G25" s="309">
        <f t="shared" si="0"/>
        <v>6.99</v>
      </c>
      <c r="H25" s="310"/>
      <c r="I25" s="314">
        <f>IF($A25&lt;&gt;"",VLOOKUP($A25,[4]Rates!$A$1:$R$65536,14,FALSE),0)</f>
        <v>6.99</v>
      </c>
      <c r="J25" s="309">
        <f t="shared" si="1"/>
        <v>6.99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-6.99</v>
      </c>
      <c r="S25" s="312">
        <f t="shared" si="6"/>
        <v>-1</v>
      </c>
      <c r="T25" s="310"/>
    </row>
    <row r="26" spans="1:360" s="277" customFormat="1" x14ac:dyDescent="0.25">
      <c r="A26" s="303" t="str">
        <f>[4]Rates!$A$84</f>
        <v>ICMF_GSL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0.72</v>
      </c>
      <c r="G26" s="309">
        <f t="shared" si="0"/>
        <v>0.72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-0.72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143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-2.13</v>
      </c>
      <c r="J27" s="18">
        <f t="shared" si="1"/>
        <v>-2.13</v>
      </c>
      <c r="K27" s="38"/>
      <c r="L27" s="167">
        <f t="shared" si="2"/>
        <v>-2.13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2.13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[4]Rates!$A$86</f>
        <v>Var_GSL</v>
      </c>
      <c r="B29" s="15" t="s">
        <v>14</v>
      </c>
      <c r="C29" s="15"/>
      <c r="D29" s="99" t="s">
        <v>59</v>
      </c>
      <c r="E29" s="135">
        <f>$F$18</f>
        <v>60</v>
      </c>
      <c r="F29" s="16">
        <f>IF($A29&lt;&gt;"",VLOOKUP($A29,[4]Rates!$A$1:$R$65536,12,FALSE),0)</f>
        <v>3.3277999999999999</v>
      </c>
      <c r="G29" s="18">
        <f t="shared" si="0"/>
        <v>199.66800000000001</v>
      </c>
      <c r="H29" s="38"/>
      <c r="I29" s="16">
        <f>IF($A29&lt;&gt;"",VLOOKUP($A29,[4]Rates!$A$1:$R$65536,14,FALSE),0)</f>
        <v>3.7199</v>
      </c>
      <c r="J29" s="18">
        <f t="shared" si="1"/>
        <v>223.19399999999999</v>
      </c>
      <c r="K29" s="38"/>
      <c r="L29" s="167">
        <f t="shared" si="2"/>
        <v>23.525999999999982</v>
      </c>
      <c r="M29" s="123">
        <f t="shared" si="3"/>
        <v>0.11782559048019703</v>
      </c>
      <c r="N29" s="38"/>
      <c r="O29" s="16">
        <f>IF($A29&lt;&gt;"",VLOOKUP($A29,[4]Rates!$A$1:$R$65536,15,FALSE),0)</f>
        <v>4.3277999999999999</v>
      </c>
      <c r="P29" s="18">
        <f t="shared" si="4"/>
        <v>259.66800000000001</v>
      </c>
      <c r="Q29" s="38"/>
      <c r="R29" s="167">
        <f t="shared" si="5"/>
        <v>36.474000000000018</v>
      </c>
      <c r="S29" s="123">
        <f t="shared" si="6"/>
        <v>0.16341837146159852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60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144</v>
      </c>
      <c r="B31" s="22" t="s">
        <v>145</v>
      </c>
      <c r="C31" s="15"/>
      <c r="D31" s="99" t="s">
        <v>59</v>
      </c>
      <c r="E31" s="135">
        <f t="shared" si="7"/>
        <v>60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1.1617</v>
      </c>
      <c r="J31" s="18">
        <f t="shared" si="1"/>
        <v>69.701999999999998</v>
      </c>
      <c r="K31" s="38"/>
      <c r="L31" s="167">
        <f t="shared" si="2"/>
        <v>69.701999999999998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-69.701999999999998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[4]Rates!$A$92</f>
        <v>ICMV_GSL</v>
      </c>
      <c r="B32" s="304" t="s">
        <v>72</v>
      </c>
      <c r="C32" s="305"/>
      <c r="D32" s="306" t="s">
        <v>59</v>
      </c>
      <c r="E32" s="316">
        <f t="shared" si="7"/>
        <v>60</v>
      </c>
      <c r="F32" s="308">
        <f>IF($A32&lt;&gt;"",VLOOKUP($A32,[4]Rates!$A$1:$R$65536,12,FALSE),0)</f>
        <v>1.7299999999999999E-2</v>
      </c>
      <c r="G32" s="309">
        <f t="shared" si="0"/>
        <v>1.038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-1.038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[4]Rates!$A102</f>
        <v>2RAL16_GSL</v>
      </c>
      <c r="B33" s="23" t="str">
        <f>[4]Rates!$B$102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60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0.1273</v>
      </c>
      <c r="J33" s="18">
        <f t="shared" si="1"/>
        <v>7.6379999999999999</v>
      </c>
      <c r="K33" s="38"/>
      <c r="L33" s="167">
        <f t="shared" si="2"/>
        <v>7.6379999999999999</v>
      </c>
      <c r="M33" s="123" t="str">
        <f t="shared" si="3"/>
        <v/>
      </c>
      <c r="N33" s="38"/>
      <c r="O33" s="16">
        <f>IF($A33&lt;&gt;"",VLOOKUP($A33,[4]Rates!$A$1:$R$65536,15,FALSE),0)</f>
        <v>0.1273</v>
      </c>
      <c r="P33" s="18">
        <f t="shared" si="4"/>
        <v>7.6379999999999999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[4]Rates!$A103</f>
        <v>LRVA16_GSL</v>
      </c>
      <c r="B34" s="23" t="str">
        <f>[4]Rates!$B103</f>
        <v>Lost Revenue Adjustment Mechanism Variance Account (LRAMVA) (2016)</v>
      </c>
      <c r="C34" s="15"/>
      <c r="D34" s="99" t="s">
        <v>59</v>
      </c>
      <c r="E34" s="135">
        <f t="shared" si="7"/>
        <v>60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-1.9599999999999999E-2</v>
      </c>
      <c r="J34" s="18">
        <f t="shared" si="1"/>
        <v>-1.1759999999999999</v>
      </c>
      <c r="K34" s="38"/>
      <c r="L34" s="167">
        <f t="shared" si="2"/>
        <v>-1.1759999999999999</v>
      </c>
      <c r="M34" s="123" t="str">
        <f t="shared" si="3"/>
        <v/>
      </c>
      <c r="N34" s="38"/>
      <c r="O34" s="16">
        <f>IF($A34&lt;&gt;"",VLOOKUP($A34,[4]Rates!$A$1:$R$65536,15,FALSE),0)</f>
        <v>-1.9599999999999999E-2</v>
      </c>
      <c r="P34" s="18">
        <f t="shared" si="4"/>
        <v>-1.1759999999999999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[4]Rates!$A104</f>
        <v>PPE16_GSL</v>
      </c>
      <c r="B35" s="23" t="str">
        <f>[4]Rates!$B104</f>
        <v>Account 1575 (2016)</v>
      </c>
      <c r="C35" s="15"/>
      <c r="D35" s="99" t="s">
        <v>59</v>
      </c>
      <c r="E35" s="135">
        <f t="shared" si="7"/>
        <v>60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-0.1105</v>
      </c>
      <c r="J35" s="18">
        <f t="shared" si="1"/>
        <v>-6.63</v>
      </c>
      <c r="K35" s="38"/>
      <c r="L35" s="167">
        <f t="shared" si="2"/>
        <v>-6.63</v>
      </c>
      <c r="M35" s="123" t="str">
        <f t="shared" si="3"/>
        <v/>
      </c>
      <c r="N35" s="38"/>
      <c r="O35" s="16">
        <f>IF($A35&lt;&gt;"",VLOOKUP($A35,[4]Rates!$A$1:$R$65536,15,FALSE),0)</f>
        <v>-0.1105</v>
      </c>
      <c r="P35" s="18">
        <f t="shared" si="4"/>
        <v>-6.63</v>
      </c>
      <c r="Q35" s="38"/>
      <c r="R35" s="167">
        <f t="shared" si="5"/>
        <v>0</v>
      </c>
      <c r="S35" s="123">
        <f t="shared" si="6"/>
        <v>0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[4]Rates!$A105</f>
        <v>SG16_GSL</v>
      </c>
      <c r="B36" s="23" t="str">
        <f>[4]Rates!$B105</f>
        <v>Smart Grid True-up (2016)</v>
      </c>
      <c r="C36" s="15"/>
      <c r="D36" s="99" t="s">
        <v>57</v>
      </c>
      <c r="E36" s="135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IF($A36&lt;&gt;"",VLOOKUP($A36,[4]Rates!$A$1:$R$65536,15,FALSE),0)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7" customFormat="1" x14ac:dyDescent="0.25">
      <c r="A37" s="303" t="str">
        <f>[4]Rates!$A$98</f>
        <v>LRVA_GSL</v>
      </c>
      <c r="B37" s="304"/>
      <c r="C37" s="305"/>
      <c r="D37" s="319" t="s">
        <v>59</v>
      </c>
      <c r="E37" s="335">
        <f>E29</f>
        <v>60</v>
      </c>
      <c r="F37" s="308"/>
      <c r="G37" s="309">
        <f t="shared" si="0"/>
        <v>0</v>
      </c>
      <c r="H37" s="310"/>
      <c r="I37" s="308">
        <f>IF($A37&lt;&gt;"",VLOOKUP($A37,[4]Rates!$A$1:$R$65536,14,FALSE),0)</f>
        <v>0</v>
      </c>
      <c r="J37" s="309">
        <f t="shared" si="1"/>
        <v>0</v>
      </c>
      <c r="K37" s="310"/>
      <c r="L37" s="311">
        <f t="shared" si="2"/>
        <v>0</v>
      </c>
      <c r="M37" s="312" t="str">
        <f t="shared" si="3"/>
        <v/>
      </c>
      <c r="N37" s="310"/>
      <c r="O37" s="308">
        <f>IF($A37&lt;&gt;"",VLOOKUP($A37,[4]Rates!$A$1:$R$65536,15,FALSE),0)</f>
        <v>0</v>
      </c>
      <c r="P37" s="309">
        <f t="shared" si="4"/>
        <v>0</v>
      </c>
      <c r="Q37" s="310"/>
      <c r="R37" s="311">
        <f t="shared" si="5"/>
        <v>0</v>
      </c>
      <c r="S37" s="312" t="str">
        <f t="shared" si="6"/>
        <v/>
      </c>
      <c r="T37" s="310"/>
    </row>
    <row r="38" spans="1:360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346.89600000000002</v>
      </c>
      <c r="H39" s="38"/>
      <c r="I39" s="26"/>
      <c r="J39" s="28">
        <f>SUM(J23:J38)</f>
        <v>431.25799999999998</v>
      </c>
      <c r="K39" s="38"/>
      <c r="L39" s="168">
        <f t="shared" si="2"/>
        <v>84.361999999999966</v>
      </c>
      <c r="M39" s="124">
        <f>IF((G39)=0,"",(L39/G39))</f>
        <v>0.24319104284857698</v>
      </c>
      <c r="N39" s="38"/>
      <c r="O39" s="26"/>
      <c r="P39" s="28">
        <f>SUM(P23:P38)</f>
        <v>393.17</v>
      </c>
      <c r="Q39" s="38"/>
      <c r="R39" s="168">
        <f t="shared" si="5"/>
        <v>-38.087999999999965</v>
      </c>
      <c r="S39" s="124">
        <f t="shared" si="6"/>
        <v>-8.8318361630392861E-2</v>
      </c>
      <c r="T39" s="38"/>
    </row>
    <row r="40" spans="1:360" s="277" customFormat="1" x14ac:dyDescent="0.25">
      <c r="A40" s="303" t="str">
        <f>[4]Rates!$A$90</f>
        <v>RAL14_GSL</v>
      </c>
      <c r="B40" s="302"/>
      <c r="C40" s="305"/>
      <c r="D40" s="319" t="s">
        <v>59</v>
      </c>
      <c r="E40" s="335">
        <f>$F$18</f>
        <v>60</v>
      </c>
      <c r="F40" s="308"/>
      <c r="G40" s="309">
        <f t="shared" ref="G40:G49" si="8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  <c r="U40" s="368"/>
    </row>
    <row r="41" spans="1:360" x14ac:dyDescent="0.25">
      <c r="A41" s="139" t="str">
        <f>[4]Rates!$A99</f>
        <v>RAL16_GSL</v>
      </c>
      <c r="B41" s="30" t="str">
        <f>[4]Rates!$B99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60</v>
      </c>
      <c r="F41" s="16">
        <f>IF($A41&lt;&gt;"",VLOOKUP($A41,[4]Rates!$A$1:$R$65536,12,FALSE),0)</f>
        <v>0</v>
      </c>
      <c r="G41" s="18">
        <f t="shared" si="8"/>
        <v>0</v>
      </c>
      <c r="H41" s="21"/>
      <c r="I41" s="16">
        <f>IF($A41&lt;&gt;"",VLOOKUP($A41,[4]Rates!$A$1:$R$65536,14,FALSE),0)</f>
        <v>0.23380000000000001</v>
      </c>
      <c r="J41" s="18">
        <f t="shared" ref="J41:J47" si="10">$E41*I41</f>
        <v>14.028</v>
      </c>
      <c r="K41" s="21"/>
      <c r="L41" s="167">
        <f t="shared" si="2"/>
        <v>14.028</v>
      </c>
      <c r="M41" s="123" t="str">
        <f t="shared" si="3"/>
        <v/>
      </c>
      <c r="N41" s="21"/>
      <c r="O41" s="16">
        <f>IF($A41&lt;&gt;"",VLOOKUP($A41,[4]Rates!$A$1:$R$65536,15,FALSE),0)</f>
        <v>0.23380000000000001</v>
      </c>
      <c r="P41" s="18">
        <f t="shared" ref="P41:P49" si="11">$E41*O41</f>
        <v>14.028</v>
      </c>
      <c r="Q41" s="21"/>
      <c r="R41" s="167">
        <f t="shared" si="5"/>
        <v>0</v>
      </c>
      <c r="S41" s="123">
        <f t="shared" si="6"/>
        <v>0</v>
      </c>
      <c r="T41" s="244"/>
      <c r="U41" s="36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[4]Rates!$A100</f>
        <v>RALP16_GSL</v>
      </c>
      <c r="B42" s="30" t="str">
        <f>[4]Rates!$B100</f>
        <v xml:space="preserve">Disposition of Deferral/Variance Accounts - Power (2016) </v>
      </c>
      <c r="C42" s="15"/>
      <c r="D42" s="99" t="s">
        <v>59</v>
      </c>
      <c r="E42" s="135">
        <f t="shared" si="9"/>
        <v>60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-0.24490000000000001</v>
      </c>
      <c r="J42" s="18">
        <f t="shared" si="10"/>
        <v>-14.694000000000001</v>
      </c>
      <c r="K42" s="21"/>
      <c r="L42" s="167">
        <f t="shared" si="2"/>
        <v>-14.694000000000001</v>
      </c>
      <c r="M42" s="123" t="str">
        <f t="shared" si="3"/>
        <v/>
      </c>
      <c r="N42" s="21"/>
      <c r="O42" s="16">
        <f>IF($A42&lt;&gt;"",VLOOKUP($A42,[4]Rates!$A$1:$R$65536,15,FALSE),0)</f>
        <v>-0.24490000000000001</v>
      </c>
      <c r="P42" s="18">
        <f t="shared" si="11"/>
        <v>-14.694000000000001</v>
      </c>
      <c r="Q42" s="21"/>
      <c r="R42" s="167">
        <f t="shared" si="5"/>
        <v>0</v>
      </c>
      <c r="S42" s="123">
        <f t="shared" si="6"/>
        <v>0</v>
      </c>
      <c r="T42" s="244"/>
      <c r="U42" s="36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[4]Rates!$A101</f>
        <v>GA16_GSL</v>
      </c>
      <c r="B43" s="30" t="str">
        <f>[4]Rates!$B101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60</v>
      </c>
      <c r="F43" s="16">
        <f>IF($A43&lt;&gt;"",VLOOKUP($A43,[4]Rates!$A$1:$R$65536,12,FALSE),0)</f>
        <v>0</v>
      </c>
      <c r="G43" s="18">
        <f t="shared" si="8"/>
        <v>0</v>
      </c>
      <c r="H43" s="21"/>
      <c r="I43" s="16">
        <f>IF($A43&lt;&gt;"",VLOOKUP($A43,[4]Rates!$A$1:$R$65536,14,FALSE),0)</f>
        <v>0.86370000000000002</v>
      </c>
      <c r="J43" s="18">
        <f t="shared" si="10"/>
        <v>51.822000000000003</v>
      </c>
      <c r="K43" s="21"/>
      <c r="L43" s="167">
        <f t="shared" si="2"/>
        <v>51.822000000000003</v>
      </c>
      <c r="M43" s="123" t="str">
        <f t="shared" si="3"/>
        <v/>
      </c>
      <c r="N43" s="21"/>
      <c r="O43" s="16">
        <f>IF($A43&lt;&gt;"",VLOOKUP($A43,[4]Rates!$A$1:$R$65536,15,FALSE),0)</f>
        <v>0.86370000000000002</v>
      </c>
      <c r="P43" s="18">
        <f t="shared" si="11"/>
        <v>51.822000000000003</v>
      </c>
      <c r="Q43" s="21"/>
      <c r="R43" s="167">
        <f t="shared" si="5"/>
        <v>0</v>
      </c>
      <c r="S43" s="123">
        <f t="shared" si="6"/>
        <v>0</v>
      </c>
      <c r="T43" s="244"/>
      <c r="U43" s="36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[4]Rates!$A$91</f>
        <v>GA14_GSL</v>
      </c>
      <c r="B44" s="30" t="str">
        <f>[4]Rates!$B$91</f>
        <v xml:space="preserve">Disposition of Global Adjustment Sub-Account (2014) </v>
      </c>
      <c r="C44" s="15"/>
      <c r="D44" s="99" t="s">
        <v>59</v>
      </c>
      <c r="E44" s="135">
        <f>F18</f>
        <v>60</v>
      </c>
      <c r="F44" s="16">
        <f>IF($A44&lt;&gt;"",VLOOKUP($A44,[4]Rates!$A$1:$R$65536,12,FALSE),0)</f>
        <v>-7.1999999999999995E-2</v>
      </c>
      <c r="G44" s="18">
        <f t="shared" si="8"/>
        <v>-4.3199999999999994</v>
      </c>
      <c r="H44" s="244"/>
      <c r="I44" s="16">
        <f>IF($A44&lt;&gt;"",VLOOKUP($A44,[4]Rates!$A$1:$R$65536,14,FALSE),0)</f>
        <v>0</v>
      </c>
      <c r="J44" s="18">
        <f t="shared" si="10"/>
        <v>0</v>
      </c>
      <c r="K44" s="244"/>
      <c r="L44" s="167">
        <f t="shared" si="2"/>
        <v>4.3199999999999994</v>
      </c>
      <c r="M44" s="123"/>
      <c r="N44" s="244"/>
      <c r="O44" s="16">
        <f>IF($A44&lt;&gt;"",VLOOKUP($A44,[4]Rates!$A$1:$R$65536,15,FALSE),0)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/>
      <c r="N45" s="244"/>
      <c r="O45" s="16">
        <f>IF($A45&lt;&gt;"",VLOOKUP($A45,[4]Rates!$A$1:$R$65536,15,FALSE),0)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/>
      <c r="K46" s="244"/>
      <c r="L46" s="167"/>
      <c r="M46" s="123"/>
      <c r="N46" s="244"/>
      <c r="O46" s="16">
        <f>IF($A46&lt;&gt;"",VLOOKUP($A46,[4]Rates!$A$1:$R$65536,15,FALSE),0)</f>
        <v>0</v>
      </c>
      <c r="P46" s="18"/>
      <c r="Q46" s="244"/>
      <c r="R46" s="167"/>
      <c r="S46" s="123"/>
      <c r="T46" s="244"/>
      <c r="U46" s="36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[4]Rates!$A$87</f>
        <v>LV_GSL</v>
      </c>
      <c r="B47" s="31" t="s">
        <v>18</v>
      </c>
      <c r="C47" s="15"/>
      <c r="D47" s="99" t="s">
        <v>59</v>
      </c>
      <c r="E47" s="135">
        <f t="shared" si="9"/>
        <v>60</v>
      </c>
      <c r="F47" s="16">
        <f>IF($A47&lt;&gt;"",VLOOKUP($A47,[4]Rates!$A$1:$R$65536,12,FALSE),0)</f>
        <v>0.11890000000000001</v>
      </c>
      <c r="G47" s="18">
        <f t="shared" si="8"/>
        <v>7.1340000000000003</v>
      </c>
      <c r="H47" s="38"/>
      <c r="I47" s="16">
        <f>IF($A47&lt;&gt;"",VLOOKUP($A47,[4]Rates!$A$1:$R$65536,14,FALSE),0)</f>
        <v>0.11890000000000001</v>
      </c>
      <c r="J47" s="18">
        <f t="shared" si="10"/>
        <v>7.1340000000000003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0.15890000000000001</v>
      </c>
      <c r="P47" s="18">
        <f t="shared" si="11"/>
        <v>9.5340000000000007</v>
      </c>
      <c r="Q47" s="38"/>
      <c r="R47" s="167">
        <f t="shared" si="5"/>
        <v>2.4000000000000004</v>
      </c>
      <c r="S47" s="123">
        <f t="shared" si="6"/>
        <v>0.33641715727502108</v>
      </c>
      <c r="T47" s="38"/>
      <c r="U47" s="36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8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349.71000000000004</v>
      </c>
      <c r="H50" s="38"/>
      <c r="I50" s="35"/>
      <c r="J50" s="37">
        <f>SUM(J40:J49)+J39</f>
        <v>489.548</v>
      </c>
      <c r="K50" s="38"/>
      <c r="L50" s="170">
        <f t="shared" si="2"/>
        <v>139.83799999999997</v>
      </c>
      <c r="M50" s="125">
        <f>IF((G50)=0,"",(L50/G50))</f>
        <v>0.39986846244030755</v>
      </c>
      <c r="N50" s="38"/>
      <c r="O50" s="35"/>
      <c r="P50" s="37">
        <f>SUM(P40:P49)+P39</f>
        <v>453.86</v>
      </c>
      <c r="Q50" s="38"/>
      <c r="R50" s="170">
        <f t="shared" si="5"/>
        <v>-35.687999999999988</v>
      </c>
      <c r="S50" s="125">
        <f t="shared" si="6"/>
        <v>-7.2899899499129783E-2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[4]Rates!$A$108</f>
        <v>TN_GSL</v>
      </c>
      <c r="B51" s="19" t="s">
        <v>22</v>
      </c>
      <c r="C51" s="19"/>
      <c r="D51" s="101" t="s">
        <v>59</v>
      </c>
      <c r="E51" s="45">
        <f>F18</f>
        <v>60</v>
      </c>
      <c r="F51" s="20">
        <f>IF($A51&lt;&gt;"",VLOOKUP($A51,[4]Rates!$A$1:$R$65536,12,FALSE),0)</f>
        <v>2.9192</v>
      </c>
      <c r="G51" s="18">
        <f>E51*F51</f>
        <v>175.15199999999999</v>
      </c>
      <c r="H51" s="39">
        <v>250</v>
      </c>
      <c r="I51" s="20">
        <f>IF($A51&lt;&gt;"",VLOOKUP($A51,[4]Rates!$A$1:$R$65536,14,FALSE),0)</f>
        <v>2.9192</v>
      </c>
      <c r="J51" s="18">
        <f>$E51*I51</f>
        <v>175.15199999999999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IF($A51&lt;&gt;"",VLOOKUP($A51,[4]Rates!$A$1:$R$65536,15,FALSE),0)</f>
        <v>2.9268000000000001</v>
      </c>
      <c r="P51" s="18">
        <f>$E51*O51</f>
        <v>175.608</v>
      </c>
      <c r="Q51" s="38"/>
      <c r="R51" s="171">
        <f t="shared" si="5"/>
        <v>0.45600000000001728</v>
      </c>
      <c r="S51" s="123">
        <f t="shared" si="6"/>
        <v>2.6034530008222419E-3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[4]Rates!$A$109</f>
        <v>TC_GSL</v>
      </c>
      <c r="B52" s="40" t="s">
        <v>23</v>
      </c>
      <c r="C52" s="19"/>
      <c r="D52" s="101" t="s">
        <v>59</v>
      </c>
      <c r="E52" s="45">
        <f>E51</f>
        <v>60</v>
      </c>
      <c r="F52" s="20">
        <f>IF($A52&lt;&gt;"",VLOOKUP($A52,[4]Rates!$A$1:$R$65536,12,FALSE),0)</f>
        <v>1.1726000000000001</v>
      </c>
      <c r="G52" s="18">
        <f>E52*F52</f>
        <v>70.356000000000009</v>
      </c>
      <c r="H52" s="39">
        <v>250</v>
      </c>
      <c r="I52" s="20">
        <f>IF($A52&lt;&gt;"",VLOOKUP($A52,[4]Rates!$A$1:$R$65536,14,FALSE),0)</f>
        <v>1.1726000000000001</v>
      </c>
      <c r="J52" s="18">
        <f>$E52*I52</f>
        <v>70.356000000000009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IF($A52&lt;&gt;"",VLOOKUP($A52,[4]Rates!$A$1:$R$65536,15,FALSE),0)</f>
        <v>1.2618</v>
      </c>
      <c r="P52" s="18">
        <f>$E52*O52</f>
        <v>75.707999999999998</v>
      </c>
      <c r="Q52" s="38"/>
      <c r="R52" s="171">
        <f t="shared" si="5"/>
        <v>5.3519999999999897</v>
      </c>
      <c r="S52" s="123">
        <f t="shared" si="6"/>
        <v>7.6070271192222261E-2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595.21800000000007</v>
      </c>
      <c r="H53" s="17"/>
      <c r="I53" s="41"/>
      <c r="J53" s="37">
        <f>SUM(J50:J52)</f>
        <v>735.05600000000004</v>
      </c>
      <c r="K53" s="109"/>
      <c r="L53" s="172">
        <f t="shared" si="2"/>
        <v>139.83799999999997</v>
      </c>
      <c r="M53" s="125">
        <f t="shared" si="12"/>
        <v>0.23493577143164346</v>
      </c>
      <c r="N53" s="109"/>
      <c r="O53" s="41"/>
      <c r="P53" s="37">
        <f>SUM(P50:P52)</f>
        <v>705.17600000000004</v>
      </c>
      <c r="Q53" s="109"/>
      <c r="R53" s="172">
        <f t="shared" si="5"/>
        <v>-29.879999999999995</v>
      </c>
      <c r="S53" s="125">
        <f t="shared" si="6"/>
        <v>-4.0649964084369071E-2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63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63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63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8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63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63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63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63"/>
      <c r="U60" s="93"/>
    </row>
    <row r="61" spans="1:360" s="51" customFormat="1" x14ac:dyDescent="0.2">
      <c r="B61" s="48" t="s">
        <v>136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64"/>
      <c r="U61" s="367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64"/>
      <c r="U62" s="367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63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10904.8704</v>
      </c>
      <c r="H64" s="57"/>
      <c r="I64" s="56"/>
      <c r="J64" s="58">
        <f>SUM(J54:J61,J53)</f>
        <v>11044.7084</v>
      </c>
      <c r="K64" s="57"/>
      <c r="L64" s="176">
        <f>J64-G64</f>
        <v>139.83799999999974</v>
      </c>
      <c r="M64" s="128">
        <f>IF((G64)=0,"",(L64/G64))</f>
        <v>1.2823444467528908E-2</v>
      </c>
      <c r="N64" s="57"/>
      <c r="O64" s="56"/>
      <c r="P64" s="58">
        <f>SUM(P54:P61,P53)</f>
        <v>11037.242479999999</v>
      </c>
      <c r="Q64" s="57"/>
      <c r="R64" s="176">
        <f>P64-J64</f>
        <v>-7.4659200000005512</v>
      </c>
      <c r="S64" s="128">
        <f>IF((J64)=0,"",(R64/J64))</f>
        <v>-6.759725770578562E-4</v>
      </c>
      <c r="T64" s="365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1417.6331520000001</v>
      </c>
      <c r="H65" s="61"/>
      <c r="I65" s="60">
        <v>0.13</v>
      </c>
      <c r="J65" s="62">
        <f>J64*I65</f>
        <v>1435.8120919999999</v>
      </c>
      <c r="K65" s="61"/>
      <c r="L65" s="176">
        <f>J65-G65</f>
        <v>18.178939999999784</v>
      </c>
      <c r="M65" s="129">
        <f>IF((G65)=0,"",(L65/G65))</f>
        <v>1.2823444467528778E-2</v>
      </c>
      <c r="N65" s="61"/>
      <c r="O65" s="60">
        <v>0.13</v>
      </c>
      <c r="P65" s="62">
        <f>P64*O65</f>
        <v>1434.8415223999998</v>
      </c>
      <c r="Q65" s="61"/>
      <c r="R65" s="176">
        <f t="shared" si="5"/>
        <v>-0.97056960000008985</v>
      </c>
      <c r="S65" s="129">
        <f t="shared" ref="S65:S67" si="19">IF((J65)=0,"",(R65/J65))</f>
        <v>-6.7597257705786888E-4</v>
      </c>
      <c r="T65" s="366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12322.503552</v>
      </c>
      <c r="H66" s="61"/>
      <c r="I66" s="64"/>
      <c r="J66" s="62">
        <f>J64+J65</f>
        <v>12480.520492</v>
      </c>
      <c r="K66" s="61"/>
      <c r="L66" s="176">
        <f>J66-G66</f>
        <v>158.01693999999952</v>
      </c>
      <c r="M66" s="129">
        <f>IF((G66)=0,"",(L66/G66))</f>
        <v>1.2823444467528892E-2</v>
      </c>
      <c r="N66" s="61"/>
      <c r="O66" s="64"/>
      <c r="P66" s="62">
        <f>P64+P65</f>
        <v>12472.084002399999</v>
      </c>
      <c r="Q66" s="61"/>
      <c r="R66" s="176">
        <f t="shared" si="5"/>
        <v>-8.4364896000006411</v>
      </c>
      <c r="S66" s="129">
        <f t="shared" si="19"/>
        <v>-6.7597257705785761E-4</v>
      </c>
      <c r="T66" s="366"/>
      <c r="U66" s="93"/>
    </row>
    <row r="67" spans="1:360" ht="15" customHeight="1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6"/>
      <c r="U67" s="93"/>
    </row>
    <row r="68" spans="1:360" ht="15.75" customHeight="1" thickBot="1" x14ac:dyDescent="0.3">
      <c r="B68" s="407" t="s">
        <v>36</v>
      </c>
      <c r="C68" s="407"/>
      <c r="D68" s="407"/>
      <c r="E68" s="105"/>
      <c r="F68" s="66"/>
      <c r="G68" s="67">
        <f>G66+G67</f>
        <v>12322.503552</v>
      </c>
      <c r="H68" s="57"/>
      <c r="I68" s="66"/>
      <c r="J68" s="67">
        <f>J66+J67</f>
        <v>12480.520492</v>
      </c>
      <c r="K68" s="57"/>
      <c r="L68" s="178">
        <f>J68-G68</f>
        <v>158.01693999999952</v>
      </c>
      <c r="M68" s="131">
        <f>IF((G68)=0,"",(L68/G68))</f>
        <v>1.2823444467528892E-2</v>
      </c>
      <c r="N68" s="57"/>
      <c r="O68" s="66"/>
      <c r="P68" s="67">
        <f>P66+P67</f>
        <v>12472.084002399999</v>
      </c>
      <c r="Q68" s="57"/>
      <c r="R68" s="178">
        <f t="shared" si="5"/>
        <v>-8.4364896000006411</v>
      </c>
      <c r="S68" s="131">
        <f>IF((J68)=0,"",(R68/J68))</f>
        <v>-6.7597257705785761E-4</v>
      </c>
      <c r="T68" s="365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64"/>
      <c r="U69" s="36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1648.992</v>
      </c>
      <c r="H70" s="74"/>
      <c r="I70" s="73"/>
      <c r="J70" s="75">
        <f>SUM(J61:J62,J53,J54:J57)</f>
        <v>1788.83</v>
      </c>
      <c r="K70" s="74"/>
      <c r="L70" s="180">
        <f>J70-G70</f>
        <v>139.83799999999997</v>
      </c>
      <c r="M70" s="128">
        <f>IF((G70)=0,"",(L70/G70))</f>
        <v>8.4802109409869764E-2</v>
      </c>
      <c r="N70" s="74"/>
      <c r="O70" s="73"/>
      <c r="P70" s="75">
        <f>SUM(P61:P62,P53,P54:P57)</f>
        <v>1759.8908000000001</v>
      </c>
      <c r="Q70" s="74"/>
      <c r="R70" s="180">
        <f t="shared" si="5"/>
        <v>-28.939199999999801</v>
      </c>
      <c r="S70" s="128">
        <f>IF((J70)=0,"",(R70/J70))</f>
        <v>-1.6177725105236272E-2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214.36896000000002</v>
      </c>
      <c r="H71" s="78"/>
      <c r="I71" s="77">
        <v>0.13</v>
      </c>
      <c r="J71" s="79">
        <f>J70*I71</f>
        <v>232.5479</v>
      </c>
      <c r="K71" s="78"/>
      <c r="L71" s="180">
        <f>J71-G71</f>
        <v>18.178939999999983</v>
      </c>
      <c r="M71" s="129">
        <f>IF((G71)=0,"",(L71/G71))</f>
        <v>8.4802109409869708E-2</v>
      </c>
      <c r="N71" s="78"/>
      <c r="O71" s="77">
        <v>0.13</v>
      </c>
      <c r="P71" s="79">
        <f>P70*O71</f>
        <v>228.78580400000001</v>
      </c>
      <c r="Q71" s="78"/>
      <c r="R71" s="180">
        <f t="shared" si="5"/>
        <v>-3.7620959999999855</v>
      </c>
      <c r="S71" s="129">
        <f t="shared" ref="S71:S74" si="20">IF((J71)=0,"",(R71/J71))</f>
        <v>-1.617772510523632E-2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1863.36096</v>
      </c>
      <c r="H72" s="78"/>
      <c r="I72" s="81"/>
      <c r="J72" s="79">
        <f>J70+J71</f>
        <v>2021.3779</v>
      </c>
      <c r="K72" s="78"/>
      <c r="L72" s="180">
        <f>J72-G72</f>
        <v>158.01693999999998</v>
      </c>
      <c r="M72" s="129">
        <f>IF((G72)=0,"",(L72/G72))</f>
        <v>8.4802109409869778E-2</v>
      </c>
      <c r="N72" s="78"/>
      <c r="O72" s="81"/>
      <c r="P72" s="79">
        <f>P70+P71</f>
        <v>1988.6766040000002</v>
      </c>
      <c r="Q72" s="78"/>
      <c r="R72" s="180">
        <f t="shared" si="5"/>
        <v>-32.701295999999729</v>
      </c>
      <c r="S72" s="129">
        <f t="shared" si="20"/>
        <v>-1.6177725105236251E-2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03" t="s">
        <v>38</v>
      </c>
      <c r="C74" s="403"/>
      <c r="D74" s="403"/>
      <c r="E74" s="108"/>
      <c r="F74" s="83"/>
      <c r="G74" s="84">
        <f>SUM(G72:G73)</f>
        <v>1863.36096</v>
      </c>
      <c r="H74" s="74"/>
      <c r="I74" s="83"/>
      <c r="J74" s="84">
        <f>SUM(J72:J73)</f>
        <v>2021.3779</v>
      </c>
      <c r="K74" s="74"/>
      <c r="L74" s="182">
        <f>J74-G74</f>
        <v>158.01693999999998</v>
      </c>
      <c r="M74" s="132">
        <f>IF((G74)=0,"",(L74/G74))</f>
        <v>8.4802109409869778E-2</v>
      </c>
      <c r="N74" s="74"/>
      <c r="O74" s="83"/>
      <c r="P74" s="84">
        <f>SUM(P72:P73)</f>
        <v>1988.6766040000002</v>
      </c>
      <c r="Q74" s="74"/>
      <c r="R74" s="182">
        <f t="shared" si="5"/>
        <v>-32.701295999999729</v>
      </c>
      <c r="S74" s="132">
        <f t="shared" si="20"/>
        <v>-1.6177725105236251E-2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3"/>
  <sheetViews>
    <sheetView topLeftCell="B16" zoomScale="70" zoomScaleNormal="70" workbookViewId="0">
      <selection activeCell="F19" sqref="F19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5.28515625" style="2" customWidth="1"/>
    <col min="8" max="8" width="2.140625" style="2" customWidth="1"/>
    <col min="9" max="9" width="13.5703125" style="2" customWidth="1"/>
    <col min="10" max="10" width="16.42578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75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74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100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IF($A23&lt;&gt;"",VLOOKUP($A23,[4]Rates!$A$1:$R$65536,14,FALSE),0)</f>
        <v>138.47999999999999</v>
      </c>
      <c r="J23" s="18">
        <f>$E23*I23</f>
        <v>138.47999999999999</v>
      </c>
      <c r="K23" s="38"/>
      <c r="L23" s="167">
        <f>J23-G23</f>
        <v>0</v>
      </c>
      <c r="M23" s="123">
        <f>IF((G23)=0,"",(L23/G23))</f>
        <v>0</v>
      </c>
      <c r="N23" s="38"/>
      <c r="O23" s="114">
        <f>IF($A23&lt;&gt;"",VLOOKUP($A23,[4]Rates!$A$1:$R$65536,15,FALSE),0)</f>
        <v>138.47999999999999</v>
      </c>
      <c r="P23" s="18">
        <f>$E23*O23</f>
        <v>138.47999999999999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[4]Rates!$A$83</f>
        <v>PPE_GSL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6.99</v>
      </c>
      <c r="G25" s="309">
        <f t="shared" si="0"/>
        <v>6.99</v>
      </c>
      <c r="H25" s="310"/>
      <c r="I25" s="314">
        <f>IF($A25&lt;&gt;"",VLOOKUP($A25,[4]Rates!$A$1:$R$65536,14,FALSE),0)</f>
        <v>6.99</v>
      </c>
      <c r="J25" s="309">
        <f t="shared" si="1"/>
        <v>6.99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-6.99</v>
      </c>
      <c r="S25" s="312">
        <f t="shared" si="6"/>
        <v>-1</v>
      </c>
      <c r="T25" s="310"/>
    </row>
    <row r="26" spans="1:360" s="277" customFormat="1" x14ac:dyDescent="0.25">
      <c r="A26" s="303" t="str">
        <f>[4]Rates!$A$84</f>
        <v>ICMF_GSL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0.72</v>
      </c>
      <c r="G26" s="309">
        <f t="shared" si="0"/>
        <v>0.72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-0.72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143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-2.13</v>
      </c>
      <c r="J27" s="18">
        <f t="shared" si="1"/>
        <v>-2.13</v>
      </c>
      <c r="K27" s="38"/>
      <c r="L27" s="167">
        <f t="shared" si="2"/>
        <v>-2.13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2.13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[4]Rates!$A$86</f>
        <v>Var_GSL</v>
      </c>
      <c r="B29" s="15" t="s">
        <v>14</v>
      </c>
      <c r="C29" s="15"/>
      <c r="D29" s="99" t="s">
        <v>59</v>
      </c>
      <c r="E29" s="135">
        <f>$F$18</f>
        <v>100</v>
      </c>
      <c r="F29" s="16">
        <f>IF($A29&lt;&gt;"",VLOOKUP($A29,[4]Rates!$A$1:$R$65536,12,FALSE),0)</f>
        <v>3.3277999999999999</v>
      </c>
      <c r="G29" s="18">
        <f t="shared" si="0"/>
        <v>332.78</v>
      </c>
      <c r="H29" s="38"/>
      <c r="I29" s="16">
        <f>IF($A29&lt;&gt;"",VLOOKUP($A29,[4]Rates!$A$1:$R$65536,14,FALSE),0)</f>
        <v>3.7199</v>
      </c>
      <c r="J29" s="18">
        <f t="shared" si="1"/>
        <v>371.99</v>
      </c>
      <c r="K29" s="38"/>
      <c r="L29" s="167">
        <f t="shared" si="2"/>
        <v>39.210000000000036</v>
      </c>
      <c r="M29" s="123">
        <f t="shared" si="3"/>
        <v>0.11782559048019725</v>
      </c>
      <c r="N29" s="38"/>
      <c r="O29" s="16">
        <f>IF($A29&lt;&gt;"",VLOOKUP($A29,[4]Rates!$A$1:$R$65536,15,FALSE),0)</f>
        <v>4.3277999999999999</v>
      </c>
      <c r="P29" s="18">
        <f t="shared" si="4"/>
        <v>432.78</v>
      </c>
      <c r="Q29" s="38"/>
      <c r="R29" s="167">
        <f t="shared" si="5"/>
        <v>60.789999999999964</v>
      </c>
      <c r="S29" s="123">
        <f t="shared" si="6"/>
        <v>0.16341837146159832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100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144</v>
      </c>
      <c r="B31" s="22" t="s">
        <v>145</v>
      </c>
      <c r="C31" s="15"/>
      <c r="D31" s="99" t="s">
        <v>59</v>
      </c>
      <c r="E31" s="135">
        <f t="shared" si="7"/>
        <v>100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1.1617</v>
      </c>
      <c r="J31" s="18">
        <f t="shared" si="1"/>
        <v>116.17</v>
      </c>
      <c r="K31" s="38"/>
      <c r="L31" s="167">
        <f t="shared" si="2"/>
        <v>116.17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-116.17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[4]Rates!$A$92</f>
        <v>ICMV_GSL</v>
      </c>
      <c r="B32" s="304" t="s">
        <v>72</v>
      </c>
      <c r="C32" s="305"/>
      <c r="D32" s="306" t="s">
        <v>59</v>
      </c>
      <c r="E32" s="316">
        <f t="shared" si="7"/>
        <v>100</v>
      </c>
      <c r="F32" s="308">
        <f>IF($A32&lt;&gt;"",VLOOKUP($A32,[4]Rates!$A$1:$R$65536,12,FALSE),0)</f>
        <v>1.7299999999999999E-2</v>
      </c>
      <c r="G32" s="309">
        <f t="shared" si="0"/>
        <v>1.73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-1.73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[4]Rates!$A102</f>
        <v>2RAL16_GSL</v>
      </c>
      <c r="B33" s="23" t="str">
        <f>[4]Rates!$B$102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100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0.1273</v>
      </c>
      <c r="J33" s="18">
        <f t="shared" si="1"/>
        <v>12.73</v>
      </c>
      <c r="K33" s="38"/>
      <c r="L33" s="167">
        <f t="shared" si="2"/>
        <v>12.73</v>
      </c>
      <c r="M33" s="123" t="str">
        <f t="shared" si="3"/>
        <v/>
      </c>
      <c r="N33" s="38"/>
      <c r="O33" s="16">
        <f>IF($A33&lt;&gt;"",VLOOKUP($A33,[4]Rates!$A$1:$R$65536,15,FALSE),0)</f>
        <v>0.1273</v>
      </c>
      <c r="P33" s="18">
        <f t="shared" si="4"/>
        <v>12.73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[4]Rates!$A103</f>
        <v>LRVA16_GSL</v>
      </c>
      <c r="B34" s="23" t="str">
        <f>[4]Rates!$B103</f>
        <v>Lost Revenue Adjustment Mechanism Variance Account (LRAMVA) (2016)</v>
      </c>
      <c r="C34" s="15"/>
      <c r="D34" s="99" t="s">
        <v>59</v>
      </c>
      <c r="E34" s="135">
        <f t="shared" si="7"/>
        <v>100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-1.9599999999999999E-2</v>
      </c>
      <c r="J34" s="18">
        <f t="shared" si="1"/>
        <v>-1.96</v>
      </c>
      <c r="K34" s="38"/>
      <c r="L34" s="167">
        <f t="shared" si="2"/>
        <v>-1.96</v>
      </c>
      <c r="M34" s="123" t="str">
        <f t="shared" si="3"/>
        <v/>
      </c>
      <c r="N34" s="38"/>
      <c r="O34" s="16">
        <f>IF($A34&lt;&gt;"",VLOOKUP($A34,[4]Rates!$A$1:$R$65536,15,FALSE),0)</f>
        <v>-1.9599999999999999E-2</v>
      </c>
      <c r="P34" s="18">
        <f t="shared" si="4"/>
        <v>-1.96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[4]Rates!$A104</f>
        <v>PPE16_GSL</v>
      </c>
      <c r="B35" s="23" t="str">
        <f>[4]Rates!$B104</f>
        <v>Account 1575 (2016)</v>
      </c>
      <c r="C35" s="15"/>
      <c r="D35" s="99" t="s">
        <v>59</v>
      </c>
      <c r="E35" s="135">
        <f t="shared" si="7"/>
        <v>100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-0.1105</v>
      </c>
      <c r="J35" s="18">
        <f t="shared" si="1"/>
        <v>-11.05</v>
      </c>
      <c r="K35" s="38"/>
      <c r="L35" s="167">
        <f t="shared" si="2"/>
        <v>-11.05</v>
      </c>
      <c r="M35" s="123" t="str">
        <f t="shared" si="3"/>
        <v/>
      </c>
      <c r="N35" s="38"/>
      <c r="O35" s="16">
        <f>IF($A35&lt;&gt;"",VLOOKUP($A35,[4]Rates!$A$1:$R$65536,15,FALSE),0)</f>
        <v>-0.1105</v>
      </c>
      <c r="P35" s="18">
        <f t="shared" si="4"/>
        <v>-11.05</v>
      </c>
      <c r="Q35" s="38"/>
      <c r="R35" s="167">
        <f t="shared" si="5"/>
        <v>0</v>
      </c>
      <c r="S35" s="123">
        <f t="shared" si="6"/>
        <v>0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[4]Rates!$A105</f>
        <v>SG16_GSL</v>
      </c>
      <c r="B36" s="23" t="str">
        <f>[4]Rates!$B105</f>
        <v>Smart Grid True-up (2016)</v>
      </c>
      <c r="C36" s="15"/>
      <c r="D36" s="99" t="s">
        <v>57</v>
      </c>
      <c r="E36" s="135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IF($A36&lt;&gt;"",VLOOKUP($A36,[4]Rates!$A$1:$R$65536,15,FALSE),0)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7" customFormat="1" x14ac:dyDescent="0.25">
      <c r="A37" s="303" t="str">
        <f>[4]Rates!$A$98</f>
        <v>LRVA_GSL</v>
      </c>
      <c r="B37" s="304"/>
      <c r="C37" s="305"/>
      <c r="D37" s="319" t="s">
        <v>59</v>
      </c>
      <c r="E37" s="335">
        <f>E29</f>
        <v>100</v>
      </c>
      <c r="F37" s="308"/>
      <c r="G37" s="309">
        <f t="shared" si="0"/>
        <v>0</v>
      </c>
      <c r="H37" s="310"/>
      <c r="I37" s="308">
        <f>IF($A37&lt;&gt;"",VLOOKUP($A37,[4]Rates!$A$1:$R$65536,14,FALSE),0)</f>
        <v>0</v>
      </c>
      <c r="J37" s="309">
        <f t="shared" si="1"/>
        <v>0</v>
      </c>
      <c r="K37" s="310"/>
      <c r="L37" s="311">
        <f t="shared" si="2"/>
        <v>0</v>
      </c>
      <c r="M37" s="312" t="str">
        <f t="shared" si="3"/>
        <v/>
      </c>
      <c r="N37" s="310"/>
      <c r="O37" s="308">
        <f>IF($A37&lt;&gt;"",VLOOKUP($A37,[4]Rates!$A$1:$R$65536,15,FALSE),0)</f>
        <v>0</v>
      </c>
      <c r="P37" s="309">
        <f t="shared" si="4"/>
        <v>0</v>
      </c>
      <c r="Q37" s="310"/>
      <c r="R37" s="311">
        <f t="shared" si="5"/>
        <v>0</v>
      </c>
      <c r="S37" s="312" t="str">
        <f t="shared" si="6"/>
        <v/>
      </c>
      <c r="T37" s="310"/>
    </row>
    <row r="38" spans="1:360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480.7</v>
      </c>
      <c r="H39" s="38"/>
      <c r="I39" s="26"/>
      <c r="J39" s="28">
        <f>SUM(J23:J38)</f>
        <v>626.41000000000008</v>
      </c>
      <c r="K39" s="38"/>
      <c r="L39" s="168">
        <f t="shared" si="2"/>
        <v>145.71000000000009</v>
      </c>
      <c r="M39" s="124">
        <f>IF((G39)=0,"",(L39/G39))</f>
        <v>0.30312044934470583</v>
      </c>
      <c r="N39" s="38"/>
      <c r="O39" s="26"/>
      <c r="P39" s="28">
        <f>SUM(P23:P38)</f>
        <v>566.17000000000007</v>
      </c>
      <c r="Q39" s="38"/>
      <c r="R39" s="168">
        <f t="shared" si="5"/>
        <v>-60.240000000000009</v>
      </c>
      <c r="S39" s="124">
        <f t="shared" si="6"/>
        <v>-9.6167047141648448E-2</v>
      </c>
      <c r="T39" s="38"/>
    </row>
    <row r="40" spans="1:360" s="277" customFormat="1" x14ac:dyDescent="0.25">
      <c r="A40" s="303" t="str">
        <f>[4]Rates!$A$90</f>
        <v>RAL14_GSL</v>
      </c>
      <c r="B40" s="302"/>
      <c r="C40" s="305"/>
      <c r="D40" s="319" t="s">
        <v>59</v>
      </c>
      <c r="E40" s="335">
        <f>$F$18</f>
        <v>100</v>
      </c>
      <c r="F40" s="308"/>
      <c r="G40" s="309">
        <f t="shared" ref="G40:G49" si="8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  <c r="U40" s="368"/>
    </row>
    <row r="41" spans="1:360" x14ac:dyDescent="0.25">
      <c r="A41" s="139" t="str">
        <f>[4]Rates!$A99</f>
        <v>RAL16_GSL</v>
      </c>
      <c r="B41" s="30" t="str">
        <f>[4]Rates!$B99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100</v>
      </c>
      <c r="F41" s="16">
        <f>IF($A41&lt;&gt;"",VLOOKUP($A41,[4]Rates!$A$1:$R$65536,12,FALSE),0)</f>
        <v>0</v>
      </c>
      <c r="G41" s="18">
        <f t="shared" si="8"/>
        <v>0</v>
      </c>
      <c r="H41" s="21"/>
      <c r="I41" s="16">
        <f>IF($A41&lt;&gt;"",VLOOKUP($A41,[4]Rates!$A$1:$R$65536,14,FALSE),0)</f>
        <v>0.23380000000000001</v>
      </c>
      <c r="J41" s="18">
        <f t="shared" ref="J41:J47" si="10">$E41*I41</f>
        <v>23.380000000000003</v>
      </c>
      <c r="K41" s="21"/>
      <c r="L41" s="167">
        <f t="shared" si="2"/>
        <v>23.380000000000003</v>
      </c>
      <c r="M41" s="123" t="str">
        <f t="shared" si="3"/>
        <v/>
      </c>
      <c r="N41" s="21"/>
      <c r="O41" s="16">
        <f>IF($A41&lt;&gt;"",VLOOKUP($A41,[4]Rates!$A$1:$R$65536,15,FALSE),0)</f>
        <v>0.23380000000000001</v>
      </c>
      <c r="P41" s="18">
        <f t="shared" ref="P41:P49" si="11">$E41*O41</f>
        <v>23.380000000000003</v>
      </c>
      <c r="Q41" s="21"/>
      <c r="R41" s="167">
        <f t="shared" si="5"/>
        <v>0</v>
      </c>
      <c r="S41" s="123">
        <f t="shared" si="6"/>
        <v>0</v>
      </c>
      <c r="T41" s="244"/>
      <c r="U41" s="36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[4]Rates!$A100</f>
        <v>RALP16_GSL</v>
      </c>
      <c r="B42" s="30" t="str">
        <f>[4]Rates!$B100</f>
        <v xml:space="preserve">Disposition of Deferral/Variance Accounts - Power (2016) </v>
      </c>
      <c r="C42" s="15"/>
      <c r="D42" s="99" t="s">
        <v>59</v>
      </c>
      <c r="E42" s="135">
        <f t="shared" si="9"/>
        <v>100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-0.24490000000000001</v>
      </c>
      <c r="J42" s="18">
        <f t="shared" si="10"/>
        <v>-24.490000000000002</v>
      </c>
      <c r="K42" s="21"/>
      <c r="L42" s="167">
        <f t="shared" si="2"/>
        <v>-24.490000000000002</v>
      </c>
      <c r="M42" s="123" t="str">
        <f t="shared" si="3"/>
        <v/>
      </c>
      <c r="N42" s="21"/>
      <c r="O42" s="16">
        <f>IF($A42&lt;&gt;"",VLOOKUP($A42,[4]Rates!$A$1:$R$65536,15,FALSE),0)</f>
        <v>-0.24490000000000001</v>
      </c>
      <c r="P42" s="18">
        <f t="shared" si="11"/>
        <v>-24.490000000000002</v>
      </c>
      <c r="Q42" s="21"/>
      <c r="R42" s="167">
        <f t="shared" si="5"/>
        <v>0</v>
      </c>
      <c r="S42" s="123">
        <f t="shared" si="6"/>
        <v>0</v>
      </c>
      <c r="T42" s="244"/>
      <c r="U42" s="36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[4]Rates!$A101</f>
        <v>GA16_GSL</v>
      </c>
      <c r="B43" s="30" t="str">
        <f>[4]Rates!$B101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100</v>
      </c>
      <c r="F43" s="16">
        <f>IF($A43&lt;&gt;"",VLOOKUP($A43,[4]Rates!$A$1:$R$65536,12,FALSE),0)</f>
        <v>0</v>
      </c>
      <c r="G43" s="18">
        <f t="shared" si="8"/>
        <v>0</v>
      </c>
      <c r="H43" s="21"/>
      <c r="I43" s="16">
        <f>IF($A43&lt;&gt;"",VLOOKUP($A43,[4]Rates!$A$1:$R$65536,14,FALSE),0)</f>
        <v>0.86370000000000002</v>
      </c>
      <c r="J43" s="18">
        <f t="shared" si="10"/>
        <v>86.37</v>
      </c>
      <c r="K43" s="21"/>
      <c r="L43" s="167">
        <f t="shared" si="2"/>
        <v>86.37</v>
      </c>
      <c r="M43" s="123" t="str">
        <f t="shared" si="3"/>
        <v/>
      </c>
      <c r="N43" s="21"/>
      <c r="O43" s="16">
        <f>IF($A43&lt;&gt;"",VLOOKUP($A43,[4]Rates!$A$1:$R$65536,15,FALSE),0)</f>
        <v>0.86370000000000002</v>
      </c>
      <c r="P43" s="18">
        <f t="shared" si="11"/>
        <v>86.37</v>
      </c>
      <c r="Q43" s="21"/>
      <c r="R43" s="167">
        <f t="shared" si="5"/>
        <v>0</v>
      </c>
      <c r="S43" s="123">
        <f t="shared" si="6"/>
        <v>0</v>
      </c>
      <c r="T43" s="244"/>
      <c r="U43" s="36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[4]Rates!$A$91</f>
        <v>GA14_GSL</v>
      </c>
      <c r="B44" s="30" t="str">
        <f>[4]Rates!$B$91</f>
        <v xml:space="preserve">Disposition of Global Adjustment Sub-Account (2014) </v>
      </c>
      <c r="C44" s="15"/>
      <c r="D44" s="99" t="s">
        <v>59</v>
      </c>
      <c r="E44" s="135">
        <f>F18</f>
        <v>100</v>
      </c>
      <c r="F44" s="16">
        <f>IF($A44&lt;&gt;"",VLOOKUP($A44,[4]Rates!$A$1:$R$65536,12,FALSE),0)</f>
        <v>-7.1999999999999995E-2</v>
      </c>
      <c r="G44" s="18">
        <f t="shared" si="8"/>
        <v>-7.1999999999999993</v>
      </c>
      <c r="H44" s="244"/>
      <c r="I44" s="16">
        <f>IF($A44&lt;&gt;"",VLOOKUP($A44,[4]Rates!$A$1:$R$65536,14,FALSE),0)</f>
        <v>0</v>
      </c>
      <c r="J44" s="18">
        <f t="shared" si="10"/>
        <v>0</v>
      </c>
      <c r="K44" s="244"/>
      <c r="L44" s="167">
        <f t="shared" si="2"/>
        <v>7.1999999999999993</v>
      </c>
      <c r="M44" s="123"/>
      <c r="N44" s="244"/>
      <c r="O44" s="16">
        <f>IF($A44&lt;&gt;"",VLOOKUP($A44,[4]Rates!$A$1:$R$65536,15,FALSE),0)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/>
      <c r="N45" s="244"/>
      <c r="O45" s="16">
        <f>IF($A45&lt;&gt;"",VLOOKUP($A45,[4]Rates!$A$1:$R$65536,15,FALSE),0)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/>
      <c r="K46" s="244"/>
      <c r="L46" s="167"/>
      <c r="M46" s="123"/>
      <c r="N46" s="244"/>
      <c r="O46" s="16">
        <f>IF($A46&lt;&gt;"",VLOOKUP($A46,[4]Rates!$A$1:$R$65536,15,FALSE),0)</f>
        <v>0</v>
      </c>
      <c r="P46" s="18"/>
      <c r="Q46" s="244"/>
      <c r="R46" s="167"/>
      <c r="S46" s="123"/>
      <c r="T46" s="244"/>
      <c r="U46" s="36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[4]Rates!$A$87</f>
        <v>LV_GSL</v>
      </c>
      <c r="B47" s="31" t="s">
        <v>18</v>
      </c>
      <c r="C47" s="15"/>
      <c r="D47" s="99" t="s">
        <v>59</v>
      </c>
      <c r="E47" s="135">
        <f t="shared" si="9"/>
        <v>100</v>
      </c>
      <c r="F47" s="16">
        <f>IF($A47&lt;&gt;"",VLOOKUP($A47,[4]Rates!$A$1:$R$65536,12,FALSE),0)</f>
        <v>0.11890000000000001</v>
      </c>
      <c r="G47" s="18">
        <f t="shared" si="8"/>
        <v>11.89</v>
      </c>
      <c r="H47" s="38"/>
      <c r="I47" s="16">
        <f>IF($A47&lt;&gt;"",VLOOKUP($A47,[4]Rates!$A$1:$R$65536,14,FALSE),0)</f>
        <v>0.11890000000000001</v>
      </c>
      <c r="J47" s="18">
        <f t="shared" si="10"/>
        <v>11.89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0.15890000000000001</v>
      </c>
      <c r="P47" s="18">
        <f t="shared" si="11"/>
        <v>15.89</v>
      </c>
      <c r="Q47" s="38"/>
      <c r="R47" s="167">
        <f t="shared" si="5"/>
        <v>4</v>
      </c>
      <c r="S47" s="123">
        <f t="shared" si="6"/>
        <v>0.33641715727502103</v>
      </c>
      <c r="T47" s="38"/>
      <c r="U47" s="36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8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485.39</v>
      </c>
      <c r="H50" s="38"/>
      <c r="I50" s="35"/>
      <c r="J50" s="37">
        <f>SUM(J40:J49)+J39</f>
        <v>723.56000000000006</v>
      </c>
      <c r="K50" s="38"/>
      <c r="L50" s="170">
        <f t="shared" si="2"/>
        <v>238.17000000000007</v>
      </c>
      <c r="M50" s="125">
        <f>IF((G50)=0,"",(L50/G50))</f>
        <v>0.49067759945610762</v>
      </c>
      <c r="N50" s="38"/>
      <c r="O50" s="35"/>
      <c r="P50" s="37">
        <f>SUM(P40:P49)+P39</f>
        <v>667.32</v>
      </c>
      <c r="Q50" s="38"/>
      <c r="R50" s="170">
        <f t="shared" si="5"/>
        <v>-56.240000000000009</v>
      </c>
      <c r="S50" s="125">
        <f t="shared" si="6"/>
        <v>-7.7726795289955228E-2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[4]Rates!$A$108</f>
        <v>TN_GSL</v>
      </c>
      <c r="B51" s="19" t="s">
        <v>22</v>
      </c>
      <c r="C51" s="19"/>
      <c r="D51" s="101" t="s">
        <v>59</v>
      </c>
      <c r="E51" s="45">
        <f>F18</f>
        <v>100</v>
      </c>
      <c r="F51" s="20">
        <f>IF($A51&lt;&gt;"",VLOOKUP($A51,[4]Rates!$A$1:$R$65536,12,FALSE),0)</f>
        <v>2.9192</v>
      </c>
      <c r="G51" s="18">
        <f>E51*F51</f>
        <v>291.92</v>
      </c>
      <c r="H51" s="39">
        <v>250</v>
      </c>
      <c r="I51" s="20">
        <f>IF($A51&lt;&gt;"",VLOOKUP($A51,[4]Rates!$A$1:$R$65536,14,FALSE),0)</f>
        <v>2.9192</v>
      </c>
      <c r="J51" s="18">
        <f>$E51*I51</f>
        <v>291.92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IF($A51&lt;&gt;"",VLOOKUP($A51,[4]Rates!$A$1:$R$65536,15,FALSE),0)</f>
        <v>2.9268000000000001</v>
      </c>
      <c r="P51" s="18">
        <f>$E51*O51</f>
        <v>292.68</v>
      </c>
      <c r="Q51" s="38"/>
      <c r="R51" s="171">
        <f t="shared" si="5"/>
        <v>0.75999999999999091</v>
      </c>
      <c r="S51" s="123">
        <f t="shared" si="6"/>
        <v>2.6034530008221118E-3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[4]Rates!$A$109</f>
        <v>TC_GSL</v>
      </c>
      <c r="B52" s="40" t="s">
        <v>23</v>
      </c>
      <c r="C52" s="19"/>
      <c r="D52" s="101" t="s">
        <v>59</v>
      </c>
      <c r="E52" s="45">
        <f>E51</f>
        <v>100</v>
      </c>
      <c r="F52" s="20">
        <f>IF($A52&lt;&gt;"",VLOOKUP($A52,[4]Rates!$A$1:$R$65536,12,FALSE),0)</f>
        <v>1.1726000000000001</v>
      </c>
      <c r="G52" s="18">
        <f>E52*F52</f>
        <v>117.26</v>
      </c>
      <c r="H52" s="39">
        <v>250</v>
      </c>
      <c r="I52" s="20">
        <f>IF($A52&lt;&gt;"",VLOOKUP($A52,[4]Rates!$A$1:$R$65536,14,FALSE),0)</f>
        <v>1.1726000000000001</v>
      </c>
      <c r="J52" s="18">
        <f>$E52*I52</f>
        <v>117.26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IF($A52&lt;&gt;"",VLOOKUP($A52,[4]Rates!$A$1:$R$65536,15,FALSE),0)</f>
        <v>1.2618</v>
      </c>
      <c r="P52" s="18">
        <f>$E52*O52</f>
        <v>126.18</v>
      </c>
      <c r="Q52" s="38"/>
      <c r="R52" s="171">
        <f t="shared" si="5"/>
        <v>8.9200000000000017</v>
      </c>
      <c r="S52" s="123">
        <f t="shared" si="6"/>
        <v>7.6070271192222427E-2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894.56999999999994</v>
      </c>
      <c r="H53" s="17"/>
      <c r="I53" s="41"/>
      <c r="J53" s="37">
        <f>SUM(J50:J52)</f>
        <v>1132.74</v>
      </c>
      <c r="K53" s="109"/>
      <c r="L53" s="172">
        <f t="shared" si="2"/>
        <v>238.17000000000007</v>
      </c>
      <c r="M53" s="125">
        <f t="shared" si="12"/>
        <v>0.26623964586337578</v>
      </c>
      <c r="N53" s="109"/>
      <c r="O53" s="41"/>
      <c r="P53" s="37">
        <f>SUM(P50:P52)</f>
        <v>1086.18</v>
      </c>
      <c r="Q53" s="109"/>
      <c r="R53" s="172">
        <f t="shared" si="5"/>
        <v>-46.559999999999945</v>
      </c>
      <c r="S53" s="125">
        <f t="shared" si="6"/>
        <v>-4.1103872027120035E-2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63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63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63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8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63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63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63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63"/>
      <c r="U60" s="93"/>
    </row>
    <row r="61" spans="1:360" s="51" customFormat="1" x14ac:dyDescent="0.2">
      <c r="B61" s="48" t="s">
        <v>136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64"/>
      <c r="U61" s="367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64"/>
      <c r="U62" s="367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63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11204.222399999999</v>
      </c>
      <c r="H64" s="57"/>
      <c r="I64" s="56"/>
      <c r="J64" s="58">
        <f>SUM(J54:J61,J53)</f>
        <v>11442.392399999999</v>
      </c>
      <c r="K64" s="57"/>
      <c r="L64" s="176">
        <f>J64-G64</f>
        <v>238.17000000000007</v>
      </c>
      <c r="M64" s="128">
        <f>IF((G64)=0,"",(L64/G64))</f>
        <v>2.1257164620366701E-2</v>
      </c>
      <c r="N64" s="57"/>
      <c r="O64" s="56"/>
      <c r="P64" s="58">
        <f>SUM(P54:P61,P53)</f>
        <v>11418.24648</v>
      </c>
      <c r="Q64" s="57"/>
      <c r="R64" s="176">
        <f>P64-J64</f>
        <v>-24.145919999999023</v>
      </c>
      <c r="S64" s="128">
        <f>IF((J64)=0,"",(R64/J64))</f>
        <v>-2.1102160418829041E-3</v>
      </c>
      <c r="T64" s="365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1456.548912</v>
      </c>
      <c r="H65" s="61"/>
      <c r="I65" s="60">
        <v>0.13</v>
      </c>
      <c r="J65" s="62">
        <f>J64*I65</f>
        <v>1487.5110119999999</v>
      </c>
      <c r="K65" s="61"/>
      <c r="L65" s="176">
        <f>J65-G65</f>
        <v>30.962099999999964</v>
      </c>
      <c r="M65" s="129">
        <f>IF((G65)=0,"",(L65/G65))</f>
        <v>2.125716462036667E-2</v>
      </c>
      <c r="N65" s="61"/>
      <c r="O65" s="60">
        <v>0.13</v>
      </c>
      <c r="P65" s="62">
        <f>P64*O65</f>
        <v>1484.3720424000001</v>
      </c>
      <c r="Q65" s="61"/>
      <c r="R65" s="176">
        <f t="shared" si="5"/>
        <v>-3.1389695999998821</v>
      </c>
      <c r="S65" s="129">
        <f t="shared" ref="S65:S67" si="19">IF((J65)=0,"",(R65/J65))</f>
        <v>-2.1102160418829102E-3</v>
      </c>
      <c r="T65" s="366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12660.771311999999</v>
      </c>
      <c r="H66" s="61"/>
      <c r="I66" s="64"/>
      <c r="J66" s="62">
        <f>J64+J65</f>
        <v>12929.903412</v>
      </c>
      <c r="K66" s="61"/>
      <c r="L66" s="176">
        <f>J66-G66</f>
        <v>269.13210000000072</v>
      </c>
      <c r="M66" s="129">
        <f>IF((G66)=0,"",(L66/G66))</f>
        <v>2.1257164620366753E-2</v>
      </c>
      <c r="N66" s="61"/>
      <c r="O66" s="64"/>
      <c r="P66" s="62">
        <f>P64+P65</f>
        <v>12902.6185224</v>
      </c>
      <c r="Q66" s="61"/>
      <c r="R66" s="176">
        <f t="shared" si="5"/>
        <v>-27.284889599999588</v>
      </c>
      <c r="S66" s="129">
        <f t="shared" si="19"/>
        <v>-2.1102160418829574E-3</v>
      </c>
      <c r="T66" s="366"/>
      <c r="U66" s="93"/>
    </row>
    <row r="67" spans="1:360" ht="15" customHeight="1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6"/>
      <c r="U67" s="93"/>
    </row>
    <row r="68" spans="1:360" ht="15.75" customHeight="1" thickBot="1" x14ac:dyDescent="0.3">
      <c r="B68" s="407" t="s">
        <v>36</v>
      </c>
      <c r="C68" s="407"/>
      <c r="D68" s="407"/>
      <c r="E68" s="105"/>
      <c r="F68" s="66"/>
      <c r="G68" s="67">
        <f>G66+G67</f>
        <v>12660.771311999999</v>
      </c>
      <c r="H68" s="57"/>
      <c r="I68" s="66"/>
      <c r="J68" s="67">
        <f>J66+J67</f>
        <v>12929.903412</v>
      </c>
      <c r="K68" s="57"/>
      <c r="L68" s="178">
        <f>J68-G68</f>
        <v>269.13210000000072</v>
      </c>
      <c r="M68" s="131">
        <f>IF((G68)=0,"",(L68/G68))</f>
        <v>2.1257164620366753E-2</v>
      </c>
      <c r="N68" s="57"/>
      <c r="O68" s="66"/>
      <c r="P68" s="67">
        <f>P66+P67</f>
        <v>12902.6185224</v>
      </c>
      <c r="Q68" s="57"/>
      <c r="R68" s="178">
        <f t="shared" si="5"/>
        <v>-27.284889599999588</v>
      </c>
      <c r="S68" s="131">
        <f>IF((J68)=0,"",(R68/J68))</f>
        <v>-2.1102160418829574E-3</v>
      </c>
      <c r="T68" s="365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64"/>
      <c r="U69" s="36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1948.3439999999998</v>
      </c>
      <c r="H70" s="74"/>
      <c r="I70" s="73"/>
      <c r="J70" s="75">
        <f>SUM(J61:J62,J53,J54:J57)</f>
        <v>2186.5140000000001</v>
      </c>
      <c r="K70" s="74"/>
      <c r="L70" s="180">
        <f>J70-G70</f>
        <v>238.1700000000003</v>
      </c>
      <c r="M70" s="128">
        <f>IF((G70)=0,"",(L70/G70))</f>
        <v>0.12224227343836629</v>
      </c>
      <c r="N70" s="74"/>
      <c r="O70" s="73"/>
      <c r="P70" s="75">
        <f>SUM(P61:P62,P53,P54:P57)</f>
        <v>2140.8948</v>
      </c>
      <c r="Q70" s="74"/>
      <c r="R70" s="180">
        <f t="shared" si="5"/>
        <v>-45.619200000000092</v>
      </c>
      <c r="S70" s="128">
        <f>IF((J70)=0,"",(R70/J70))</f>
        <v>-2.0863895680521639E-2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253.28471999999999</v>
      </c>
      <c r="H71" s="78"/>
      <c r="I71" s="77">
        <v>0.13</v>
      </c>
      <c r="J71" s="79">
        <f>J70*I71</f>
        <v>284.24682000000001</v>
      </c>
      <c r="K71" s="78"/>
      <c r="L71" s="180">
        <f>J71-G71</f>
        <v>30.962100000000021</v>
      </c>
      <c r="M71" s="129">
        <f>IF((G71)=0,"",(L71/G71))</f>
        <v>0.1222422734383662</v>
      </c>
      <c r="N71" s="78"/>
      <c r="O71" s="77">
        <v>0.13</v>
      </c>
      <c r="P71" s="79">
        <f>P70*O71</f>
        <v>278.31632400000001</v>
      </c>
      <c r="Q71" s="78"/>
      <c r="R71" s="180">
        <f t="shared" si="5"/>
        <v>-5.9304960000000051</v>
      </c>
      <c r="S71" s="129">
        <f t="shared" ref="S71:S74" si="20">IF((J71)=0,"",(R71/J71))</f>
        <v>-2.0863895680521615E-2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2201.6287199999997</v>
      </c>
      <c r="H72" s="78"/>
      <c r="I72" s="81"/>
      <c r="J72" s="79">
        <f>J70+J71</f>
        <v>2470.76082</v>
      </c>
      <c r="K72" s="78"/>
      <c r="L72" s="180">
        <f>J72-G72</f>
        <v>269.13210000000026</v>
      </c>
      <c r="M72" s="129">
        <f>IF((G72)=0,"",(L72/G72))</f>
        <v>0.12224227343836626</v>
      </c>
      <c r="N72" s="78"/>
      <c r="O72" s="81"/>
      <c r="P72" s="79">
        <f>P70+P71</f>
        <v>2419.2111239999999</v>
      </c>
      <c r="Q72" s="78"/>
      <c r="R72" s="180">
        <f t="shared" si="5"/>
        <v>-51.54969600000004</v>
      </c>
      <c r="S72" s="129">
        <f t="shared" si="20"/>
        <v>-2.0863895680521615E-2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03" t="s">
        <v>38</v>
      </c>
      <c r="C74" s="403"/>
      <c r="D74" s="403"/>
      <c r="E74" s="108"/>
      <c r="F74" s="83"/>
      <c r="G74" s="84">
        <f>SUM(G72:G73)</f>
        <v>2201.6287199999997</v>
      </c>
      <c r="H74" s="74"/>
      <c r="I74" s="83"/>
      <c r="J74" s="84">
        <f>SUM(J72:J73)</f>
        <v>2470.76082</v>
      </c>
      <c r="K74" s="74"/>
      <c r="L74" s="182">
        <f>J74-G74</f>
        <v>269.13210000000026</v>
      </c>
      <c r="M74" s="132">
        <f>IF((G74)=0,"",(L74/G74))</f>
        <v>0.12224227343836626</v>
      </c>
      <c r="N74" s="74"/>
      <c r="O74" s="83"/>
      <c r="P74" s="84">
        <f>SUM(P72:P73)</f>
        <v>2419.2111239999999</v>
      </c>
      <c r="Q74" s="74"/>
      <c r="R74" s="182">
        <f t="shared" si="5"/>
        <v>-51.54969600000004</v>
      </c>
      <c r="S74" s="132">
        <f t="shared" si="20"/>
        <v>-2.0863895680521615E-2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3"/>
  <sheetViews>
    <sheetView topLeftCell="B10" zoomScale="70" zoomScaleNormal="70" workbookViewId="0">
      <selection activeCell="F19" sqref="F19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5.28515625" style="2" customWidth="1"/>
    <col min="8" max="8" width="2.140625" style="2" customWidth="1"/>
    <col min="9" max="9" width="13.5703125" style="2" customWidth="1"/>
    <col min="10" max="10" width="16.42578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75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74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500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IF($A23&lt;&gt;"",VLOOKUP($A23,[4]Rates!$A$1:$R$65536,14,FALSE),0)</f>
        <v>138.47999999999999</v>
      </c>
      <c r="J23" s="18">
        <f>$E23*I23</f>
        <v>138.47999999999999</v>
      </c>
      <c r="K23" s="38"/>
      <c r="L23" s="167">
        <f>J23-G23</f>
        <v>0</v>
      </c>
      <c r="M23" s="123">
        <f>IF((G23)=0,"",(L23/G23))</f>
        <v>0</v>
      </c>
      <c r="N23" s="38"/>
      <c r="O23" s="114">
        <f>IF($A23&lt;&gt;"",VLOOKUP($A23,[4]Rates!$A$1:$R$65536,15,FALSE),0)</f>
        <v>138.47999999999999</v>
      </c>
      <c r="P23" s="18">
        <f>$E23*O23</f>
        <v>138.47999999999999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[4]Rates!$A$83</f>
        <v>PPE_GSL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6.99</v>
      </c>
      <c r="G25" s="309">
        <f t="shared" si="0"/>
        <v>6.99</v>
      </c>
      <c r="H25" s="310"/>
      <c r="I25" s="314">
        <f>IF($A25&lt;&gt;"",VLOOKUP($A25,[4]Rates!$A$1:$R$65536,14,FALSE),0)</f>
        <v>6.99</v>
      </c>
      <c r="J25" s="309">
        <f t="shared" si="1"/>
        <v>6.99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-6.99</v>
      </c>
      <c r="S25" s="312">
        <f t="shared" si="6"/>
        <v>-1</v>
      </c>
      <c r="T25" s="310"/>
    </row>
    <row r="26" spans="1:360" s="277" customFormat="1" x14ac:dyDescent="0.25">
      <c r="A26" s="303" t="str">
        <f>[4]Rates!$A$84</f>
        <v>ICMF_GSL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0.72</v>
      </c>
      <c r="G26" s="309">
        <f t="shared" si="0"/>
        <v>0.72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-0.72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143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-2.13</v>
      </c>
      <c r="J27" s="18">
        <f t="shared" si="1"/>
        <v>-2.13</v>
      </c>
      <c r="K27" s="38"/>
      <c r="L27" s="167">
        <f t="shared" si="2"/>
        <v>-2.13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2.13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[4]Rates!$A$86</f>
        <v>Var_GSL</v>
      </c>
      <c r="B29" s="15" t="s">
        <v>14</v>
      </c>
      <c r="C29" s="15"/>
      <c r="D29" s="99" t="s">
        <v>59</v>
      </c>
      <c r="E29" s="135">
        <f>$F$18</f>
        <v>500</v>
      </c>
      <c r="F29" s="16">
        <f>IF($A29&lt;&gt;"",VLOOKUP($A29,[4]Rates!$A$1:$R$65536,12,FALSE),0)</f>
        <v>3.3277999999999999</v>
      </c>
      <c r="G29" s="18">
        <f t="shared" si="0"/>
        <v>1663.8999999999999</v>
      </c>
      <c r="H29" s="38"/>
      <c r="I29" s="16">
        <f>IF($A29&lt;&gt;"",VLOOKUP($A29,[4]Rates!$A$1:$R$65536,14,FALSE),0)</f>
        <v>3.7199</v>
      </c>
      <c r="J29" s="18">
        <f t="shared" si="1"/>
        <v>1859.95</v>
      </c>
      <c r="K29" s="38"/>
      <c r="L29" s="167">
        <f t="shared" si="2"/>
        <v>196.05000000000018</v>
      </c>
      <c r="M29" s="123">
        <f t="shared" si="3"/>
        <v>0.11782559048019725</v>
      </c>
      <c r="N29" s="38"/>
      <c r="O29" s="16">
        <f>IF($A29&lt;&gt;"",VLOOKUP($A29,[4]Rates!$A$1:$R$65536,15,FALSE),0)</f>
        <v>4.3277999999999999</v>
      </c>
      <c r="P29" s="18">
        <f t="shared" si="4"/>
        <v>2163.9</v>
      </c>
      <c r="Q29" s="38"/>
      <c r="R29" s="167">
        <f t="shared" si="5"/>
        <v>303.95000000000005</v>
      </c>
      <c r="S29" s="123">
        <f t="shared" si="6"/>
        <v>0.16341837146159846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500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144</v>
      </c>
      <c r="B31" s="22" t="s">
        <v>145</v>
      </c>
      <c r="C31" s="15"/>
      <c r="D31" s="99" t="s">
        <v>59</v>
      </c>
      <c r="E31" s="135">
        <f t="shared" si="7"/>
        <v>500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1.1617</v>
      </c>
      <c r="J31" s="18">
        <f t="shared" si="1"/>
        <v>580.85</v>
      </c>
      <c r="K31" s="38"/>
      <c r="L31" s="167">
        <f t="shared" si="2"/>
        <v>580.85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-580.85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[4]Rates!$A$92</f>
        <v>ICMV_GSL</v>
      </c>
      <c r="B32" s="304" t="s">
        <v>72</v>
      </c>
      <c r="C32" s="305"/>
      <c r="D32" s="306" t="s">
        <v>59</v>
      </c>
      <c r="E32" s="316">
        <f t="shared" si="7"/>
        <v>500</v>
      </c>
      <c r="F32" s="308">
        <f>IF($A32&lt;&gt;"",VLOOKUP($A32,[4]Rates!$A$1:$R$65536,12,FALSE),0)</f>
        <v>1.7299999999999999E-2</v>
      </c>
      <c r="G32" s="309">
        <f t="shared" si="0"/>
        <v>8.65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-8.65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[4]Rates!$A102</f>
        <v>2RAL16_GSL</v>
      </c>
      <c r="B33" s="23" t="str">
        <f>[4]Rates!$B$102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500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0.1273</v>
      </c>
      <c r="J33" s="18">
        <f t="shared" si="1"/>
        <v>63.65</v>
      </c>
      <c r="K33" s="38"/>
      <c r="L33" s="167">
        <f t="shared" si="2"/>
        <v>63.65</v>
      </c>
      <c r="M33" s="123" t="str">
        <f t="shared" si="3"/>
        <v/>
      </c>
      <c r="N33" s="38"/>
      <c r="O33" s="16">
        <f>IF($A33&lt;&gt;"",VLOOKUP($A33,[4]Rates!$A$1:$R$65536,15,FALSE),0)</f>
        <v>0.1273</v>
      </c>
      <c r="P33" s="18">
        <f t="shared" si="4"/>
        <v>63.65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[4]Rates!$A103</f>
        <v>LRVA16_GSL</v>
      </c>
      <c r="B34" s="23" t="str">
        <f>[4]Rates!$B103</f>
        <v>Lost Revenue Adjustment Mechanism Variance Account (LRAMVA) (2016)</v>
      </c>
      <c r="C34" s="15"/>
      <c r="D34" s="99" t="s">
        <v>59</v>
      </c>
      <c r="E34" s="135">
        <f t="shared" si="7"/>
        <v>500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-1.9599999999999999E-2</v>
      </c>
      <c r="J34" s="18">
        <f t="shared" si="1"/>
        <v>-9.7999999999999989</v>
      </c>
      <c r="K34" s="38"/>
      <c r="L34" s="167">
        <f t="shared" si="2"/>
        <v>-9.7999999999999989</v>
      </c>
      <c r="M34" s="123" t="str">
        <f t="shared" si="3"/>
        <v/>
      </c>
      <c r="N34" s="38"/>
      <c r="O34" s="16">
        <f>IF($A34&lt;&gt;"",VLOOKUP($A34,[4]Rates!$A$1:$R$65536,15,FALSE),0)</f>
        <v>-1.9599999999999999E-2</v>
      </c>
      <c r="P34" s="18">
        <f t="shared" si="4"/>
        <v>-9.7999999999999989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[4]Rates!$A104</f>
        <v>PPE16_GSL</v>
      </c>
      <c r="B35" s="23" t="str">
        <f>[4]Rates!$B104</f>
        <v>Account 1575 (2016)</v>
      </c>
      <c r="C35" s="15"/>
      <c r="D35" s="99" t="s">
        <v>59</v>
      </c>
      <c r="E35" s="135">
        <f t="shared" si="7"/>
        <v>500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-0.1105</v>
      </c>
      <c r="J35" s="18">
        <f t="shared" si="1"/>
        <v>-55.25</v>
      </c>
      <c r="K35" s="38"/>
      <c r="L35" s="167">
        <f t="shared" si="2"/>
        <v>-55.25</v>
      </c>
      <c r="M35" s="123" t="str">
        <f t="shared" si="3"/>
        <v/>
      </c>
      <c r="N35" s="38"/>
      <c r="O35" s="16">
        <f>IF($A35&lt;&gt;"",VLOOKUP($A35,[4]Rates!$A$1:$R$65536,15,FALSE),0)</f>
        <v>-0.1105</v>
      </c>
      <c r="P35" s="18">
        <f t="shared" si="4"/>
        <v>-55.25</v>
      </c>
      <c r="Q35" s="38"/>
      <c r="R35" s="167">
        <f t="shared" si="5"/>
        <v>0</v>
      </c>
      <c r="S35" s="123">
        <f t="shared" si="6"/>
        <v>0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[4]Rates!$A105</f>
        <v>SG16_GSL</v>
      </c>
      <c r="B36" s="23" t="str">
        <f>[4]Rates!$B105</f>
        <v>Smart Grid True-up (2016)</v>
      </c>
      <c r="C36" s="15"/>
      <c r="D36" s="99" t="s">
        <v>57</v>
      </c>
      <c r="E36" s="135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IF($A36&lt;&gt;"",VLOOKUP($A36,[4]Rates!$A$1:$R$65536,15,FALSE),0)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7" customFormat="1" x14ac:dyDescent="0.25">
      <c r="A37" s="303" t="str">
        <f>[4]Rates!$A$98</f>
        <v>LRVA_GSL</v>
      </c>
      <c r="B37" s="304"/>
      <c r="C37" s="305"/>
      <c r="D37" s="319" t="s">
        <v>59</v>
      </c>
      <c r="E37" s="335">
        <f>E29</f>
        <v>500</v>
      </c>
      <c r="F37" s="308"/>
      <c r="G37" s="309">
        <f t="shared" si="0"/>
        <v>0</v>
      </c>
      <c r="H37" s="310"/>
      <c r="I37" s="308">
        <f>IF($A37&lt;&gt;"",VLOOKUP($A37,[4]Rates!$A$1:$R$65536,14,FALSE),0)</f>
        <v>0</v>
      </c>
      <c r="J37" s="309">
        <f t="shared" si="1"/>
        <v>0</v>
      </c>
      <c r="K37" s="310"/>
      <c r="L37" s="311">
        <f t="shared" si="2"/>
        <v>0</v>
      </c>
      <c r="M37" s="312" t="str">
        <f t="shared" si="3"/>
        <v/>
      </c>
      <c r="N37" s="310"/>
      <c r="O37" s="308">
        <f>IF($A37&lt;&gt;"",VLOOKUP($A37,[4]Rates!$A$1:$R$65536,15,FALSE),0)</f>
        <v>0</v>
      </c>
      <c r="P37" s="309">
        <f t="shared" si="4"/>
        <v>0</v>
      </c>
      <c r="Q37" s="310"/>
      <c r="R37" s="311">
        <f t="shared" si="5"/>
        <v>0</v>
      </c>
      <c r="S37" s="312" t="str">
        <f t="shared" si="6"/>
        <v/>
      </c>
      <c r="T37" s="310"/>
    </row>
    <row r="38" spans="1:360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1818.74</v>
      </c>
      <c r="H39" s="38"/>
      <c r="I39" s="26"/>
      <c r="J39" s="28">
        <f>SUM(J23:J38)</f>
        <v>2577.9299999999998</v>
      </c>
      <c r="K39" s="38"/>
      <c r="L39" s="168">
        <f t="shared" si="2"/>
        <v>759.18999999999983</v>
      </c>
      <c r="M39" s="124">
        <f>IF((G39)=0,"",(L39/G39))</f>
        <v>0.41742635011051599</v>
      </c>
      <c r="N39" s="38"/>
      <c r="O39" s="26"/>
      <c r="P39" s="28">
        <f>SUM(P23:P38)</f>
        <v>2296.17</v>
      </c>
      <c r="Q39" s="38"/>
      <c r="R39" s="168">
        <f t="shared" si="5"/>
        <v>-281.75999999999976</v>
      </c>
      <c r="S39" s="124">
        <f t="shared" si="6"/>
        <v>-0.10929699409991729</v>
      </c>
      <c r="T39" s="38"/>
    </row>
    <row r="40" spans="1:360" s="277" customFormat="1" x14ac:dyDescent="0.25">
      <c r="A40" s="303" t="str">
        <f>[4]Rates!$A$90</f>
        <v>RAL14_GSL</v>
      </c>
      <c r="B40" s="302"/>
      <c r="C40" s="305"/>
      <c r="D40" s="319" t="s">
        <v>59</v>
      </c>
      <c r="E40" s="335">
        <f>$F$18</f>
        <v>500</v>
      </c>
      <c r="F40" s="308"/>
      <c r="G40" s="309">
        <f t="shared" ref="G40:G49" si="8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  <c r="U40" s="368"/>
    </row>
    <row r="41" spans="1:360" x14ac:dyDescent="0.25">
      <c r="A41" s="139" t="str">
        <f>[4]Rates!$A99</f>
        <v>RAL16_GSL</v>
      </c>
      <c r="B41" s="30" t="str">
        <f>[4]Rates!$B99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500</v>
      </c>
      <c r="F41" s="16">
        <f>IF($A41&lt;&gt;"",VLOOKUP($A41,[4]Rates!$A$1:$R$65536,12,FALSE),0)</f>
        <v>0</v>
      </c>
      <c r="G41" s="18">
        <f t="shared" si="8"/>
        <v>0</v>
      </c>
      <c r="H41" s="21"/>
      <c r="I41" s="16">
        <f>IF($A41&lt;&gt;"",VLOOKUP($A41,[4]Rates!$A$1:$R$65536,14,FALSE),0)</f>
        <v>0.23380000000000001</v>
      </c>
      <c r="J41" s="18">
        <f t="shared" ref="J41:J47" si="10">$E41*I41</f>
        <v>116.9</v>
      </c>
      <c r="K41" s="21"/>
      <c r="L41" s="167">
        <f t="shared" si="2"/>
        <v>116.9</v>
      </c>
      <c r="M41" s="123" t="str">
        <f t="shared" si="3"/>
        <v/>
      </c>
      <c r="N41" s="21"/>
      <c r="O41" s="16">
        <f>IF($A41&lt;&gt;"",VLOOKUP($A41,[4]Rates!$A$1:$R$65536,15,FALSE),0)</f>
        <v>0.23380000000000001</v>
      </c>
      <c r="P41" s="18">
        <f t="shared" ref="P41:P49" si="11">$E41*O41</f>
        <v>116.9</v>
      </c>
      <c r="Q41" s="21"/>
      <c r="R41" s="167">
        <f t="shared" si="5"/>
        <v>0</v>
      </c>
      <c r="S41" s="123">
        <f t="shared" si="6"/>
        <v>0</v>
      </c>
      <c r="T41" s="244"/>
      <c r="U41" s="36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[4]Rates!$A100</f>
        <v>RALP16_GSL</v>
      </c>
      <c r="B42" s="30" t="str">
        <f>[4]Rates!$B100</f>
        <v xml:space="preserve">Disposition of Deferral/Variance Accounts - Power (2016) </v>
      </c>
      <c r="C42" s="15"/>
      <c r="D42" s="99" t="s">
        <v>59</v>
      </c>
      <c r="E42" s="135">
        <f t="shared" si="9"/>
        <v>500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-0.24490000000000001</v>
      </c>
      <c r="J42" s="18">
        <f t="shared" si="10"/>
        <v>-122.45</v>
      </c>
      <c r="K42" s="21"/>
      <c r="L42" s="167">
        <f t="shared" si="2"/>
        <v>-122.45</v>
      </c>
      <c r="M42" s="123" t="str">
        <f t="shared" si="3"/>
        <v/>
      </c>
      <c r="N42" s="21"/>
      <c r="O42" s="16">
        <f>IF($A42&lt;&gt;"",VLOOKUP($A42,[4]Rates!$A$1:$R$65536,15,FALSE),0)</f>
        <v>-0.24490000000000001</v>
      </c>
      <c r="P42" s="18">
        <f t="shared" si="11"/>
        <v>-122.45</v>
      </c>
      <c r="Q42" s="21"/>
      <c r="R42" s="167">
        <f t="shared" si="5"/>
        <v>0</v>
      </c>
      <c r="S42" s="123">
        <f t="shared" si="6"/>
        <v>0</v>
      </c>
      <c r="T42" s="244"/>
      <c r="U42" s="36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[4]Rates!$A101</f>
        <v>GA16_GSL</v>
      </c>
      <c r="B43" s="30" t="str">
        <f>[4]Rates!$B101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500</v>
      </c>
      <c r="F43" s="16">
        <f>IF($A43&lt;&gt;"",VLOOKUP($A43,[4]Rates!$A$1:$R$65536,12,FALSE),0)</f>
        <v>0</v>
      </c>
      <c r="G43" s="18">
        <f t="shared" si="8"/>
        <v>0</v>
      </c>
      <c r="H43" s="21"/>
      <c r="I43" s="16">
        <f>IF($A43&lt;&gt;"",VLOOKUP($A43,[4]Rates!$A$1:$R$65536,14,FALSE),0)</f>
        <v>0.86370000000000002</v>
      </c>
      <c r="J43" s="18">
        <f t="shared" si="10"/>
        <v>431.85</v>
      </c>
      <c r="K43" s="21"/>
      <c r="L43" s="167">
        <f t="shared" si="2"/>
        <v>431.85</v>
      </c>
      <c r="M43" s="123" t="str">
        <f t="shared" si="3"/>
        <v/>
      </c>
      <c r="N43" s="21"/>
      <c r="O43" s="16">
        <f>IF($A43&lt;&gt;"",VLOOKUP($A43,[4]Rates!$A$1:$R$65536,15,FALSE),0)</f>
        <v>0.86370000000000002</v>
      </c>
      <c r="P43" s="18">
        <f t="shared" si="11"/>
        <v>431.85</v>
      </c>
      <c r="Q43" s="21"/>
      <c r="R43" s="167">
        <f t="shared" si="5"/>
        <v>0</v>
      </c>
      <c r="S43" s="123">
        <f t="shared" si="6"/>
        <v>0</v>
      </c>
      <c r="T43" s="244"/>
      <c r="U43" s="36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[4]Rates!$A$91</f>
        <v>GA14_GSL</v>
      </c>
      <c r="B44" s="30" t="str">
        <f>[4]Rates!$B$91</f>
        <v xml:space="preserve">Disposition of Global Adjustment Sub-Account (2014) </v>
      </c>
      <c r="C44" s="15"/>
      <c r="D44" s="99" t="s">
        <v>59</v>
      </c>
      <c r="E44" s="135">
        <f>F18</f>
        <v>500</v>
      </c>
      <c r="F44" s="16">
        <f>IF($A44&lt;&gt;"",VLOOKUP($A44,[4]Rates!$A$1:$R$65536,12,FALSE),0)</f>
        <v>-7.1999999999999995E-2</v>
      </c>
      <c r="G44" s="18">
        <f t="shared" si="8"/>
        <v>-36</v>
      </c>
      <c r="H44" s="244"/>
      <c r="I44" s="16">
        <f>IF($A44&lt;&gt;"",VLOOKUP($A44,[4]Rates!$A$1:$R$65536,14,FALSE),0)</f>
        <v>0</v>
      </c>
      <c r="J44" s="18">
        <f t="shared" si="10"/>
        <v>0</v>
      </c>
      <c r="K44" s="244"/>
      <c r="L44" s="167">
        <f t="shared" si="2"/>
        <v>36</v>
      </c>
      <c r="M44" s="123"/>
      <c r="N44" s="244"/>
      <c r="O44" s="16">
        <f>IF($A44&lt;&gt;"",VLOOKUP($A44,[4]Rates!$A$1:$R$65536,15,FALSE),0)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/>
      <c r="N45" s="244"/>
      <c r="O45" s="16">
        <f>IF($A45&lt;&gt;"",VLOOKUP($A45,[4]Rates!$A$1:$R$65536,15,FALSE),0)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/>
      <c r="K46" s="244"/>
      <c r="L46" s="167"/>
      <c r="M46" s="123"/>
      <c r="N46" s="244"/>
      <c r="O46" s="16">
        <f>IF($A46&lt;&gt;"",VLOOKUP($A46,[4]Rates!$A$1:$R$65536,15,FALSE),0)</f>
        <v>0</v>
      </c>
      <c r="P46" s="18"/>
      <c r="Q46" s="244"/>
      <c r="R46" s="167"/>
      <c r="S46" s="123"/>
      <c r="T46" s="244"/>
      <c r="U46" s="36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[4]Rates!$A$87</f>
        <v>LV_GSL</v>
      </c>
      <c r="B47" s="31" t="s">
        <v>18</v>
      </c>
      <c r="C47" s="15"/>
      <c r="D47" s="99" t="s">
        <v>59</v>
      </c>
      <c r="E47" s="135">
        <f t="shared" si="9"/>
        <v>500</v>
      </c>
      <c r="F47" s="16">
        <f>IF($A47&lt;&gt;"",VLOOKUP($A47,[4]Rates!$A$1:$R$65536,12,FALSE),0)</f>
        <v>0.11890000000000001</v>
      </c>
      <c r="G47" s="18">
        <f t="shared" si="8"/>
        <v>59.45</v>
      </c>
      <c r="H47" s="38"/>
      <c r="I47" s="16">
        <f>IF($A47&lt;&gt;"",VLOOKUP($A47,[4]Rates!$A$1:$R$65536,14,FALSE),0)</f>
        <v>0.11890000000000001</v>
      </c>
      <c r="J47" s="18">
        <f t="shared" si="10"/>
        <v>59.45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0.15890000000000001</v>
      </c>
      <c r="P47" s="18">
        <f t="shared" si="11"/>
        <v>79.45</v>
      </c>
      <c r="Q47" s="38"/>
      <c r="R47" s="167">
        <f t="shared" si="5"/>
        <v>20</v>
      </c>
      <c r="S47" s="123">
        <f t="shared" si="6"/>
        <v>0.33641715727502103</v>
      </c>
      <c r="T47" s="38"/>
      <c r="U47" s="36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8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1842.19</v>
      </c>
      <c r="H50" s="38"/>
      <c r="I50" s="35"/>
      <c r="J50" s="37">
        <f>SUM(J40:J49)+J39</f>
        <v>3063.68</v>
      </c>
      <c r="K50" s="38"/>
      <c r="L50" s="170">
        <f t="shared" si="2"/>
        <v>1221.4899999999998</v>
      </c>
      <c r="M50" s="125">
        <f>IF((G50)=0,"",(L50/G50))</f>
        <v>0.6630640704813292</v>
      </c>
      <c r="N50" s="38"/>
      <c r="O50" s="35"/>
      <c r="P50" s="37">
        <f>SUM(P40:P49)+P39</f>
        <v>2801.92</v>
      </c>
      <c r="Q50" s="38"/>
      <c r="R50" s="170">
        <f t="shared" si="5"/>
        <v>-261.75999999999976</v>
      </c>
      <c r="S50" s="125">
        <f t="shared" si="6"/>
        <v>-8.5439732609149707E-2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[4]Rates!$A$108</f>
        <v>TN_GSL</v>
      </c>
      <c r="B51" s="19" t="s">
        <v>22</v>
      </c>
      <c r="C51" s="19"/>
      <c r="D51" s="101" t="s">
        <v>59</v>
      </c>
      <c r="E51" s="45">
        <f>F18</f>
        <v>500</v>
      </c>
      <c r="F51" s="20">
        <f>IF($A51&lt;&gt;"",VLOOKUP($A51,[4]Rates!$A$1:$R$65536,12,FALSE),0)</f>
        <v>2.9192</v>
      </c>
      <c r="G51" s="18">
        <f>E51*F51</f>
        <v>1459.6</v>
      </c>
      <c r="H51" s="39">
        <v>250</v>
      </c>
      <c r="I51" s="20">
        <f>IF($A51&lt;&gt;"",VLOOKUP($A51,[4]Rates!$A$1:$R$65536,14,FALSE),0)</f>
        <v>2.9192</v>
      </c>
      <c r="J51" s="18">
        <f>$E51*I51</f>
        <v>1459.6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IF($A51&lt;&gt;"",VLOOKUP($A51,[4]Rates!$A$1:$R$65536,15,FALSE),0)</f>
        <v>2.9268000000000001</v>
      </c>
      <c r="P51" s="18">
        <f>$E51*O51</f>
        <v>1463.4</v>
      </c>
      <c r="Q51" s="38"/>
      <c r="R51" s="171">
        <f t="shared" si="5"/>
        <v>3.8000000000001819</v>
      </c>
      <c r="S51" s="123">
        <f t="shared" si="6"/>
        <v>2.603453000822268E-3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[4]Rates!$A$109</f>
        <v>TC_GSL</v>
      </c>
      <c r="B52" s="40" t="s">
        <v>23</v>
      </c>
      <c r="C52" s="19"/>
      <c r="D52" s="101" t="s">
        <v>59</v>
      </c>
      <c r="E52" s="45">
        <f>E51</f>
        <v>500</v>
      </c>
      <c r="F52" s="20">
        <f>IF($A52&lt;&gt;"",VLOOKUP($A52,[4]Rates!$A$1:$R$65536,12,FALSE),0)</f>
        <v>1.1726000000000001</v>
      </c>
      <c r="G52" s="18">
        <f>E52*F52</f>
        <v>586.30000000000007</v>
      </c>
      <c r="H52" s="39">
        <v>250</v>
      </c>
      <c r="I52" s="20">
        <f>IF($A52&lt;&gt;"",VLOOKUP($A52,[4]Rates!$A$1:$R$65536,14,FALSE),0)</f>
        <v>1.1726000000000001</v>
      </c>
      <c r="J52" s="18">
        <f>$E52*I52</f>
        <v>586.30000000000007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IF($A52&lt;&gt;"",VLOOKUP($A52,[4]Rates!$A$1:$R$65536,15,FALSE),0)</f>
        <v>1.2618</v>
      </c>
      <c r="P52" s="18">
        <f>$E52*O52</f>
        <v>630.9</v>
      </c>
      <c r="Q52" s="38"/>
      <c r="R52" s="171">
        <f t="shared" si="5"/>
        <v>44.599999999999909</v>
      </c>
      <c r="S52" s="123">
        <f t="shared" si="6"/>
        <v>7.6070271192222247E-2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3888.09</v>
      </c>
      <c r="H53" s="17"/>
      <c r="I53" s="41"/>
      <c r="J53" s="37">
        <f>SUM(J50:J52)</f>
        <v>5109.58</v>
      </c>
      <c r="K53" s="109"/>
      <c r="L53" s="172">
        <f t="shared" si="2"/>
        <v>1221.4899999999998</v>
      </c>
      <c r="M53" s="125">
        <f t="shared" si="12"/>
        <v>0.31416196641538641</v>
      </c>
      <c r="N53" s="109"/>
      <c r="O53" s="41"/>
      <c r="P53" s="37">
        <f>SUM(P50:P52)</f>
        <v>4896.2199999999993</v>
      </c>
      <c r="Q53" s="109"/>
      <c r="R53" s="172">
        <f t="shared" si="5"/>
        <v>-213.36000000000058</v>
      </c>
      <c r="S53" s="125">
        <f t="shared" si="6"/>
        <v>-4.1756856727950355E-2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63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63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63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8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63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63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63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63"/>
      <c r="U60" s="93"/>
    </row>
    <row r="61" spans="1:360" s="51" customFormat="1" x14ac:dyDescent="0.2">
      <c r="B61" s="48" t="s">
        <v>136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64"/>
      <c r="U61" s="367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64"/>
      <c r="U62" s="367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63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14197.742399999999</v>
      </c>
      <c r="H64" s="57"/>
      <c r="I64" s="56"/>
      <c r="J64" s="58">
        <f>SUM(J54:J61,J53)</f>
        <v>15419.232399999999</v>
      </c>
      <c r="K64" s="57"/>
      <c r="L64" s="176">
        <f>J64-G64</f>
        <v>1221.4899999999998</v>
      </c>
      <c r="M64" s="128">
        <f>IF((G64)=0,"",(L64/G64))</f>
        <v>8.6034100745481887E-2</v>
      </c>
      <c r="N64" s="57"/>
      <c r="O64" s="56"/>
      <c r="P64" s="58">
        <f>SUM(P54:P61,P53)</f>
        <v>15228.286479999999</v>
      </c>
      <c r="Q64" s="57"/>
      <c r="R64" s="176">
        <f>P64-J64</f>
        <v>-190.94592000000011</v>
      </c>
      <c r="S64" s="128">
        <f>IF((J64)=0,"",(R64/J64))</f>
        <v>-1.2383620341567725E-2</v>
      </c>
      <c r="T64" s="365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1845.706512</v>
      </c>
      <c r="H65" s="61"/>
      <c r="I65" s="60">
        <v>0.13</v>
      </c>
      <c r="J65" s="62">
        <f>J64*I65</f>
        <v>2004.5002119999999</v>
      </c>
      <c r="K65" s="61"/>
      <c r="L65" s="176">
        <f>J65-G65</f>
        <v>158.79369999999994</v>
      </c>
      <c r="M65" s="129">
        <f>IF((G65)=0,"",(L65/G65))</f>
        <v>8.6034100745481873E-2</v>
      </c>
      <c r="N65" s="61"/>
      <c r="O65" s="60">
        <v>0.13</v>
      </c>
      <c r="P65" s="62">
        <f>P64*O65</f>
        <v>1979.6772423999998</v>
      </c>
      <c r="Q65" s="61"/>
      <c r="R65" s="176">
        <f t="shared" si="5"/>
        <v>-24.822969600000079</v>
      </c>
      <c r="S65" s="129">
        <f t="shared" ref="S65:S67" si="19">IF((J65)=0,"",(R65/J65))</f>
        <v>-1.2383620341567756E-2</v>
      </c>
      <c r="T65" s="366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16043.448912</v>
      </c>
      <c r="H66" s="61"/>
      <c r="I66" s="64"/>
      <c r="J66" s="62">
        <f>J64+J65</f>
        <v>17423.732612</v>
      </c>
      <c r="K66" s="61"/>
      <c r="L66" s="176">
        <f>J66-G66</f>
        <v>1380.2837</v>
      </c>
      <c r="M66" s="129">
        <f>IF((G66)=0,"",(L66/G66))</f>
        <v>8.6034100745481901E-2</v>
      </c>
      <c r="N66" s="61"/>
      <c r="O66" s="64"/>
      <c r="P66" s="62">
        <f>P64+P65</f>
        <v>17207.9637224</v>
      </c>
      <c r="Q66" s="61"/>
      <c r="R66" s="176">
        <f t="shared" si="5"/>
        <v>-215.76888959999997</v>
      </c>
      <c r="S66" s="129">
        <f t="shared" si="19"/>
        <v>-1.2383620341567715E-2</v>
      </c>
      <c r="T66" s="366"/>
      <c r="U66" s="93"/>
    </row>
    <row r="67" spans="1:360" ht="15" customHeight="1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6"/>
      <c r="U67" s="93"/>
    </row>
    <row r="68" spans="1:360" ht="15.75" customHeight="1" thickBot="1" x14ac:dyDescent="0.3">
      <c r="B68" s="407" t="s">
        <v>36</v>
      </c>
      <c r="C68" s="407"/>
      <c r="D68" s="407"/>
      <c r="E68" s="105"/>
      <c r="F68" s="66"/>
      <c r="G68" s="67">
        <f>G66+G67</f>
        <v>16043.448912</v>
      </c>
      <c r="H68" s="57"/>
      <c r="I68" s="66"/>
      <c r="J68" s="67">
        <f>J66+J67</f>
        <v>17423.732612</v>
      </c>
      <c r="K68" s="57"/>
      <c r="L68" s="178">
        <f>J68-G68</f>
        <v>1380.2837</v>
      </c>
      <c r="M68" s="131">
        <f>IF((G68)=0,"",(L68/G68))</f>
        <v>8.6034100745481901E-2</v>
      </c>
      <c r="N68" s="57"/>
      <c r="O68" s="66"/>
      <c r="P68" s="67">
        <f>P66+P67</f>
        <v>17207.9637224</v>
      </c>
      <c r="Q68" s="57"/>
      <c r="R68" s="178">
        <f t="shared" si="5"/>
        <v>-215.76888959999997</v>
      </c>
      <c r="S68" s="131">
        <f>IF((J68)=0,"",(R68/J68))</f>
        <v>-1.2383620341567715E-2</v>
      </c>
      <c r="T68" s="365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64"/>
      <c r="U69" s="36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4941.8639999999996</v>
      </c>
      <c r="H70" s="74"/>
      <c r="I70" s="73"/>
      <c r="J70" s="75">
        <f>SUM(J61:J62,J53,J54:J57)</f>
        <v>6163.3539999999994</v>
      </c>
      <c r="K70" s="74"/>
      <c r="L70" s="180">
        <f>J70-G70</f>
        <v>1221.4899999999998</v>
      </c>
      <c r="M70" s="128">
        <f>IF((G70)=0,"",(L70/G70))</f>
        <v>0.24717191731702853</v>
      </c>
      <c r="N70" s="74"/>
      <c r="O70" s="73"/>
      <c r="P70" s="75">
        <f>SUM(P61:P62,P53,P54:P57)</f>
        <v>5950.9347999999991</v>
      </c>
      <c r="Q70" s="74"/>
      <c r="R70" s="180">
        <f t="shared" si="5"/>
        <v>-212.41920000000027</v>
      </c>
      <c r="S70" s="128">
        <f>IF((J70)=0,"",(R70/J70))</f>
        <v>-3.4464870912817969E-2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642.44232</v>
      </c>
      <c r="H71" s="78"/>
      <c r="I71" s="77">
        <v>0.13</v>
      </c>
      <c r="J71" s="79">
        <f>J70*I71</f>
        <v>801.23601999999994</v>
      </c>
      <c r="K71" s="78"/>
      <c r="L71" s="180">
        <f>J71-G71</f>
        <v>158.79369999999994</v>
      </c>
      <c r="M71" s="129">
        <f>IF((G71)=0,"",(L71/G71))</f>
        <v>0.24717191731702848</v>
      </c>
      <c r="N71" s="78"/>
      <c r="O71" s="77">
        <v>0.13</v>
      </c>
      <c r="P71" s="79">
        <f>P70*O71</f>
        <v>773.62152399999991</v>
      </c>
      <c r="Q71" s="78"/>
      <c r="R71" s="180">
        <f t="shared" si="5"/>
        <v>-27.614496000000031</v>
      </c>
      <c r="S71" s="129">
        <f t="shared" ref="S71:S74" si="20">IF((J71)=0,"",(R71/J71))</f>
        <v>-3.4464870912817962E-2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5584.3063199999997</v>
      </c>
      <c r="H72" s="78"/>
      <c r="I72" s="81"/>
      <c r="J72" s="79">
        <f>J70+J71</f>
        <v>6964.5900199999996</v>
      </c>
      <c r="K72" s="78"/>
      <c r="L72" s="180">
        <f>J72-G72</f>
        <v>1380.2837</v>
      </c>
      <c r="M72" s="129">
        <f>IF((G72)=0,"",(L72/G72))</f>
        <v>0.24717191731702856</v>
      </c>
      <c r="N72" s="78"/>
      <c r="O72" s="81"/>
      <c r="P72" s="79">
        <f>P70+P71</f>
        <v>6724.5563239999992</v>
      </c>
      <c r="Q72" s="78"/>
      <c r="R72" s="180">
        <f t="shared" si="5"/>
        <v>-240.03369600000042</v>
      </c>
      <c r="S72" s="129">
        <f t="shared" si="20"/>
        <v>-3.4464870912817983E-2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03" t="s">
        <v>38</v>
      </c>
      <c r="C74" s="403"/>
      <c r="D74" s="403"/>
      <c r="E74" s="108"/>
      <c r="F74" s="83"/>
      <c r="G74" s="84">
        <f>SUM(G72:G73)</f>
        <v>5584.3063199999997</v>
      </c>
      <c r="H74" s="74"/>
      <c r="I74" s="83"/>
      <c r="J74" s="84">
        <f>SUM(J72:J73)</f>
        <v>6964.5900199999996</v>
      </c>
      <c r="K74" s="74"/>
      <c r="L74" s="182">
        <f>J74-G74</f>
        <v>1380.2837</v>
      </c>
      <c r="M74" s="132">
        <f>IF((G74)=0,"",(L74/G74))</f>
        <v>0.24717191731702856</v>
      </c>
      <c r="N74" s="74"/>
      <c r="O74" s="83"/>
      <c r="P74" s="84">
        <f>SUM(P72:P73)</f>
        <v>6724.5563239999992</v>
      </c>
      <c r="Q74" s="74"/>
      <c r="R74" s="182">
        <f t="shared" si="5"/>
        <v>-240.03369600000042</v>
      </c>
      <c r="S74" s="132">
        <f t="shared" si="20"/>
        <v>-3.4464870912817983E-2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V93"/>
  <sheetViews>
    <sheetView topLeftCell="B1" zoomScale="70" zoomScaleNormal="70" workbookViewId="0">
      <selection activeCell="F19" sqref="F19"/>
    </sheetView>
  </sheetViews>
  <sheetFormatPr defaultRowHeight="15" outlineLevelRow="1" outlineLevelCol="1" x14ac:dyDescent="0.25"/>
  <cols>
    <col min="1" max="1" width="12.7109375" style="2" hidden="1" customWidth="1" outlineLevel="1"/>
    <col min="2" max="2" width="73" style="2" customWidth="1" collapsed="1"/>
    <col min="3" max="3" width="1.28515625" style="2" customWidth="1"/>
    <col min="4" max="4" width="11.28515625" style="2" customWidth="1"/>
    <col min="5" max="5" width="11" style="2" customWidth="1"/>
    <col min="6" max="6" width="12.28515625" style="2" customWidth="1"/>
    <col min="7" max="7" width="15.28515625" style="2" customWidth="1"/>
    <col min="8" max="8" width="2.140625" style="2" customWidth="1"/>
    <col min="9" max="9" width="13.5703125" style="2" customWidth="1"/>
    <col min="10" max="10" width="16.42578125" style="2" customWidth="1"/>
    <col min="11" max="11" width="1" style="2" customWidth="1"/>
    <col min="12" max="12" width="12.7109375" style="164" bestFit="1" customWidth="1"/>
    <col min="13" max="13" width="10.85546875" style="120" bestFit="1" customWidth="1"/>
    <col min="14" max="14" width="1.28515625" style="2" customWidth="1"/>
    <col min="15" max="15" width="12.140625" style="2" customWidth="1"/>
    <col min="16" max="16" width="15.140625" style="2" customWidth="1"/>
    <col min="17" max="17" width="1" style="2" customWidth="1"/>
    <col min="18" max="18" width="12.7109375" style="164" bestFit="1" customWidth="1"/>
    <col min="19" max="19" width="10.85546875" style="120" bestFit="1" customWidth="1"/>
    <col min="20" max="20" width="3.5703125" style="2" customWidth="1"/>
    <col min="21" max="360" width="9.140625" style="29"/>
    <col min="361" max="16384" width="9.140625" style="2"/>
  </cols>
  <sheetData>
    <row r="1" spans="1:360" s="1" customFormat="1" ht="16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3"/>
      <c r="K1" s="93"/>
      <c r="L1" s="161"/>
      <c r="M1" s="115"/>
      <c r="N1" s="92"/>
      <c r="O1" s="112" t="s">
        <v>52</v>
      </c>
      <c r="P1" s="112">
        <v>1</v>
      </c>
      <c r="Q1" s="113"/>
      <c r="R1" s="200">
        <v>2</v>
      </c>
      <c r="S1" s="115"/>
      <c r="T1" s="92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</row>
    <row r="2" spans="1:360" s="1" customFormat="1" ht="16.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3"/>
      <c r="K2" s="93"/>
      <c r="L2" s="161"/>
      <c r="M2" s="116"/>
      <c r="N2" s="94"/>
      <c r="O2" s="112" t="s">
        <v>53</v>
      </c>
      <c r="P2" s="112">
        <v>2</v>
      </c>
      <c r="Q2" s="113"/>
      <c r="R2" s="161"/>
      <c r="S2" s="116"/>
      <c r="T2" s="94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</row>
    <row r="3" spans="1:360" s="1" customFormat="1" ht="16.5" customHeight="1" x14ac:dyDescent="0.25">
      <c r="A3" s="396"/>
      <c r="B3" s="396"/>
      <c r="C3" s="396"/>
      <c r="D3" s="396"/>
      <c r="E3" s="396"/>
      <c r="F3" s="396"/>
      <c r="G3" s="396"/>
      <c r="H3" s="396"/>
      <c r="I3" s="396"/>
      <c r="J3" s="93"/>
      <c r="K3" s="93"/>
      <c r="L3" s="161"/>
      <c r="M3" s="116"/>
      <c r="N3" s="95"/>
      <c r="O3" s="93"/>
      <c r="P3" s="93"/>
      <c r="Q3" s="93"/>
      <c r="R3" s="161"/>
      <c r="S3" s="116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</row>
    <row r="4" spans="1:360" s="1" customFormat="1" ht="16.5" customHeight="1" x14ac:dyDescent="0.25">
      <c r="A4" s="94"/>
      <c r="B4" s="94"/>
      <c r="C4" s="94"/>
      <c r="D4" s="94"/>
      <c r="E4" s="94"/>
      <c r="F4" s="94"/>
      <c r="G4" s="94"/>
      <c r="H4" s="94"/>
      <c r="I4" s="96"/>
      <c r="J4" s="93"/>
      <c r="K4" s="93"/>
      <c r="L4" s="161"/>
      <c r="M4" s="116"/>
      <c r="N4" s="94"/>
      <c r="O4" s="96"/>
      <c r="P4" s="93"/>
      <c r="Q4" s="93"/>
      <c r="R4" s="161"/>
      <c r="S4" s="116"/>
      <c r="T4" s="94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</row>
    <row r="5" spans="1:360" s="1" customFormat="1" ht="16.5" customHeight="1" x14ac:dyDescent="0.25">
      <c r="A5" s="93"/>
      <c r="B5" s="93"/>
      <c r="C5" s="97"/>
      <c r="D5" s="97"/>
      <c r="E5" s="97"/>
      <c r="F5" s="93"/>
      <c r="G5" s="93"/>
      <c r="H5" s="93"/>
      <c r="I5" s="93"/>
      <c r="J5" s="93"/>
      <c r="K5" s="93"/>
      <c r="L5" s="161"/>
      <c r="M5" s="115"/>
      <c r="N5" s="93"/>
      <c r="O5" s="93"/>
      <c r="P5" s="93"/>
      <c r="Q5" s="93"/>
      <c r="R5" s="161"/>
      <c r="S5" s="115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</row>
    <row r="6" spans="1:360" s="1" customFormat="1" ht="16.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161"/>
      <c r="M6" s="115"/>
      <c r="N6" s="93"/>
      <c r="O6" s="93"/>
      <c r="P6" s="93"/>
      <c r="Q6" s="93"/>
      <c r="R6" s="161"/>
      <c r="S6" s="115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</row>
    <row r="7" spans="1:360" s="1" customFormat="1" ht="16.5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161"/>
      <c r="M7" s="115"/>
      <c r="N7" s="93"/>
      <c r="O7" s="93"/>
      <c r="P7" s="93"/>
      <c r="Q7" s="93"/>
      <c r="R7" s="161"/>
      <c r="S7" s="115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</row>
    <row r="8" spans="1:360" s="1" customFormat="1" ht="16.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111"/>
      <c r="M8" s="117"/>
      <c r="N8" s="93"/>
      <c r="O8" s="93"/>
      <c r="P8" s="93"/>
      <c r="Q8" s="93"/>
      <c r="R8" s="111"/>
      <c r="S8" s="11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</row>
    <row r="9" spans="1:360" ht="16.5" customHeight="1" x14ac:dyDescent="0.25">
      <c r="J9"/>
      <c r="K9"/>
      <c r="L9" s="162"/>
      <c r="M9" s="118"/>
      <c r="P9"/>
      <c r="Q9"/>
      <c r="R9" s="162"/>
      <c r="S9" s="118"/>
    </row>
    <row r="10" spans="1:360" ht="20.25" x14ac:dyDescent="0.3">
      <c r="B10" s="397" t="s">
        <v>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/>
      <c r="R10" s="2"/>
    </row>
    <row r="11" spans="1:360" ht="20.25" x14ac:dyDescent="0.3">
      <c r="B11" s="397" t="s">
        <v>75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/>
      <c r="R11" s="2"/>
    </row>
    <row r="12" spans="1:360" ht="16.5" customHeight="1" x14ac:dyDescent="0.25">
      <c r="J12"/>
      <c r="K12"/>
      <c r="L12" s="162"/>
      <c r="M12" s="118"/>
      <c r="P12"/>
      <c r="Q12"/>
      <c r="R12" s="162"/>
      <c r="S12" s="118"/>
    </row>
    <row r="13" spans="1:360" ht="16.5" customHeight="1" x14ac:dyDescent="0.25">
      <c r="J13"/>
      <c r="K13"/>
      <c r="L13" s="162"/>
      <c r="M13" s="118"/>
      <c r="P13"/>
      <c r="Q13"/>
      <c r="R13" s="162"/>
      <c r="S13" s="118"/>
    </row>
    <row r="14" spans="1:360" ht="16.5" customHeight="1" x14ac:dyDescent="0.25">
      <c r="B14" s="3" t="s">
        <v>1</v>
      </c>
      <c r="D14" s="398" t="s">
        <v>74</v>
      </c>
      <c r="E14" s="398"/>
      <c r="F14" s="398"/>
      <c r="G14" s="398"/>
      <c r="H14" s="398"/>
      <c r="I14" s="398"/>
      <c r="J14" s="398"/>
      <c r="K14" s="398"/>
      <c r="L14" s="398"/>
      <c r="M14" s="398"/>
      <c r="R14" s="2"/>
    </row>
    <row r="15" spans="1:360" ht="16.5" customHeight="1" x14ac:dyDescent="0.25">
      <c r="B15" s="4"/>
      <c r="D15" s="5"/>
      <c r="E15" s="5"/>
      <c r="F15" s="5"/>
      <c r="G15" s="5"/>
      <c r="H15" s="5"/>
      <c r="I15" s="5"/>
      <c r="J15" s="5"/>
      <c r="K15" s="5"/>
      <c r="L15" s="163"/>
      <c r="M15" s="119"/>
      <c r="N15" s="5"/>
      <c r="O15" s="5"/>
      <c r="P15" s="5"/>
      <c r="Q15" s="5"/>
      <c r="R15" s="163"/>
      <c r="S15" s="119"/>
      <c r="T15" s="5"/>
    </row>
    <row r="16" spans="1:360" ht="16.5" customHeight="1" x14ac:dyDescent="0.25">
      <c r="B16" s="3" t="s">
        <v>2</v>
      </c>
      <c r="D16" s="6" t="s">
        <v>3</v>
      </c>
      <c r="E16" s="5"/>
      <c r="F16" s="5"/>
      <c r="G16" s="5"/>
      <c r="H16" s="5"/>
      <c r="I16" s="5"/>
      <c r="J16" s="5"/>
      <c r="K16" s="5"/>
      <c r="L16" s="163"/>
      <c r="M16" s="119"/>
      <c r="N16" s="5"/>
      <c r="O16" s="5"/>
      <c r="P16" s="5"/>
      <c r="Q16" s="5"/>
      <c r="R16" s="163"/>
      <c r="S16" s="119"/>
      <c r="T16" s="5"/>
    </row>
    <row r="17" spans="1:360" ht="15.75" x14ac:dyDescent="0.25">
      <c r="B17" s="7"/>
      <c r="D17" s="8" t="s">
        <v>4</v>
      </c>
      <c r="E17" s="8"/>
      <c r="F17" s="9">
        <v>80000</v>
      </c>
      <c r="L17" s="163"/>
      <c r="R17" s="16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</row>
    <row r="18" spans="1:360" x14ac:dyDescent="0.25">
      <c r="B18" s="7"/>
      <c r="D18" s="8" t="s">
        <v>56</v>
      </c>
      <c r="E18" s="8"/>
      <c r="F18" s="9">
        <v>1000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</row>
    <row r="19" spans="1:360" x14ac:dyDescent="0.25">
      <c r="B19" s="7"/>
      <c r="D19" s="8"/>
      <c r="E19" s="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</row>
    <row r="20" spans="1:360" ht="44.25" customHeight="1" x14ac:dyDescent="0.25">
      <c r="B20" s="7"/>
      <c r="D20" s="10"/>
      <c r="E20" s="10"/>
      <c r="F20" s="399" t="s">
        <v>51</v>
      </c>
      <c r="G20" s="400"/>
      <c r="H20" s="29"/>
      <c r="I20" s="401">
        <f>Residential!I20</f>
        <v>2016</v>
      </c>
      <c r="J20" s="402"/>
      <c r="K20" s="29"/>
      <c r="L20" s="399" t="str">
        <f>Residential!L20</f>
        <v xml:space="preserve">Impact
2016  vs. 
2015 </v>
      </c>
      <c r="M20" s="400"/>
      <c r="N20" s="29"/>
      <c r="O20" s="401" t="str">
        <f>Residential!O20</f>
        <v xml:space="preserve">2017 TEST YEAR </v>
      </c>
      <c r="P20" s="402"/>
      <c r="Q20" s="29"/>
      <c r="R20" s="399" t="str">
        <f>Residential!R20</f>
        <v xml:space="preserve">Impact
2017 TEST vs. 
2016 </v>
      </c>
      <c r="S20" s="400"/>
      <c r="T20" s="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</row>
    <row r="21" spans="1:360" x14ac:dyDescent="0.25">
      <c r="B21" s="7"/>
      <c r="D21" s="404" t="s">
        <v>5</v>
      </c>
      <c r="E21" s="11" t="s">
        <v>7</v>
      </c>
      <c r="F21" s="11" t="s">
        <v>6</v>
      </c>
      <c r="G21" s="12" t="s">
        <v>8</v>
      </c>
      <c r="H21" s="29"/>
      <c r="I21" s="11" t="s">
        <v>6</v>
      </c>
      <c r="J21" s="12" t="s">
        <v>8</v>
      </c>
      <c r="K21" s="29"/>
      <c r="L21" s="165" t="s">
        <v>9</v>
      </c>
      <c r="M21" s="121" t="s">
        <v>10</v>
      </c>
      <c r="N21" s="29"/>
      <c r="O21" s="11" t="s">
        <v>6</v>
      </c>
      <c r="P21" s="12" t="s">
        <v>8</v>
      </c>
      <c r="Q21" s="29"/>
      <c r="R21" s="165" t="s">
        <v>9</v>
      </c>
      <c r="S21" s="121" t="s">
        <v>10</v>
      </c>
      <c r="T21" s="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</row>
    <row r="22" spans="1:360" x14ac:dyDescent="0.25">
      <c r="B22" s="7"/>
      <c r="D22" s="405"/>
      <c r="E22" s="13"/>
      <c r="F22" s="13" t="s">
        <v>11</v>
      </c>
      <c r="G22" s="14" t="s">
        <v>11</v>
      </c>
      <c r="H22" s="29"/>
      <c r="I22" s="13" t="s">
        <v>11</v>
      </c>
      <c r="J22" s="14" t="s">
        <v>11</v>
      </c>
      <c r="K22" s="29"/>
      <c r="L22" s="166"/>
      <c r="M22" s="122"/>
      <c r="N22" s="29"/>
      <c r="O22" s="13" t="s">
        <v>11</v>
      </c>
      <c r="P22" s="14" t="s">
        <v>11</v>
      </c>
      <c r="Q22" s="29"/>
      <c r="R22" s="166"/>
      <c r="S22" s="122"/>
      <c r="T22" s="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</row>
    <row r="23" spans="1:360" x14ac:dyDescent="0.25">
      <c r="A23" s="139" t="str">
        <f>[4]Rates!$A$81</f>
        <v>Fix_GSL</v>
      </c>
      <c r="B23" s="15" t="s">
        <v>12</v>
      </c>
      <c r="C23" s="15"/>
      <c r="D23" s="99" t="s">
        <v>57</v>
      </c>
      <c r="E23" s="17">
        <v>1</v>
      </c>
      <c r="F23" s="114">
        <f>IF($A23&lt;&gt;"",VLOOKUP($A23,[4]Rates!$A$1:$R$65536,12,FALSE),0)</f>
        <v>138.47999999999999</v>
      </c>
      <c r="G23" s="18">
        <f t="shared" ref="G23:G38" si="0">E23*F23</f>
        <v>138.47999999999999</v>
      </c>
      <c r="H23" s="38"/>
      <c r="I23" s="114">
        <f>IF($A23&lt;&gt;"",VLOOKUP($A23,[4]Rates!$A$1:$R$65536,14,FALSE),0)</f>
        <v>138.47999999999999</v>
      </c>
      <c r="J23" s="18">
        <f>$E23*I23</f>
        <v>138.47999999999999</v>
      </c>
      <c r="K23" s="38"/>
      <c r="L23" s="167">
        <f>J23-G23</f>
        <v>0</v>
      </c>
      <c r="M23" s="123">
        <f>IF((G23)=0,"",(L23/G23))</f>
        <v>0</v>
      </c>
      <c r="N23" s="38"/>
      <c r="O23" s="114">
        <f>IF($A23&lt;&gt;"",VLOOKUP($A23,[4]Rates!$A$1:$R$65536,15,FALSE),0)</f>
        <v>138.47999999999999</v>
      </c>
      <c r="P23" s="18">
        <f>$E23*O23</f>
        <v>138.47999999999999</v>
      </c>
      <c r="Q23" s="38"/>
      <c r="R23" s="167">
        <f>P23-J23</f>
        <v>0</v>
      </c>
      <c r="S23" s="123">
        <f>IF((J23)=0,"",(R23/J23))</f>
        <v>0</v>
      </c>
      <c r="T23" s="3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</row>
    <row r="24" spans="1:360" x14ac:dyDescent="0.25">
      <c r="A24" s="139"/>
      <c r="B24" s="15" t="s">
        <v>13</v>
      </c>
      <c r="C24" s="15"/>
      <c r="D24" s="99" t="s">
        <v>57</v>
      </c>
      <c r="E24" s="17">
        <v>1</v>
      </c>
      <c r="F24" s="114">
        <f>IF($A24&lt;&gt;"",VLOOKUP($A24,[4]Rates!$A$1:$R$65536,12,FALSE),0)</f>
        <v>0</v>
      </c>
      <c r="G24" s="18">
        <f t="shared" si="0"/>
        <v>0</v>
      </c>
      <c r="H24" s="38"/>
      <c r="I24" s="114">
        <f>IF($A24&lt;&gt;"",VLOOKUP($A24,[4]Rates!$A$1:$R$65536,14,FALSE),0)</f>
        <v>0</v>
      </c>
      <c r="J24" s="18">
        <f t="shared" ref="J24:J38" si="1">$E24*I24</f>
        <v>0</v>
      </c>
      <c r="K24" s="38"/>
      <c r="L24" s="167">
        <f t="shared" ref="L24:L62" si="2">J24-G24</f>
        <v>0</v>
      </c>
      <c r="M24" s="123" t="str">
        <f t="shared" ref="M24:M48" si="3">IF((G24)=0,"",(L24/G24))</f>
        <v/>
      </c>
      <c r="N24" s="38"/>
      <c r="O24" s="114">
        <f>IF($A24&lt;&gt;"",VLOOKUP($A24,[4]Rates!$A$1:$R$65536,15,FALSE),0)</f>
        <v>0</v>
      </c>
      <c r="P24" s="18">
        <f t="shared" ref="P24:P38" si="4">$E24*O24</f>
        <v>0</v>
      </c>
      <c r="Q24" s="38"/>
      <c r="R24" s="167">
        <f t="shared" ref="R24:R74" si="5">P24-J24</f>
        <v>0</v>
      </c>
      <c r="S24" s="123" t="str">
        <f t="shared" ref="S24:S62" si="6">IF((J24)=0,"",(R24/J24))</f>
        <v/>
      </c>
      <c r="T24" s="3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</row>
    <row r="25" spans="1:360" s="277" customFormat="1" x14ac:dyDescent="0.25">
      <c r="A25" s="303" t="str">
        <f>[4]Rates!$A$83</f>
        <v>PPE_GSL</v>
      </c>
      <c r="B25" s="313" t="s">
        <v>71</v>
      </c>
      <c r="C25" s="305"/>
      <c r="D25" s="306" t="s">
        <v>57</v>
      </c>
      <c r="E25" s="315">
        <v>1</v>
      </c>
      <c r="F25" s="314">
        <f>IF($A25&lt;&gt;"",VLOOKUP($A25,[4]Rates!$A$1:$R$65536,12,FALSE),0)</f>
        <v>6.99</v>
      </c>
      <c r="G25" s="309">
        <f t="shared" si="0"/>
        <v>6.99</v>
      </c>
      <c r="H25" s="310"/>
      <c r="I25" s="314">
        <f>IF($A25&lt;&gt;"",VLOOKUP($A25,[4]Rates!$A$1:$R$65536,14,FALSE),0)</f>
        <v>6.99</v>
      </c>
      <c r="J25" s="309">
        <f t="shared" si="1"/>
        <v>6.99</v>
      </c>
      <c r="K25" s="310"/>
      <c r="L25" s="311">
        <f>J25-G25</f>
        <v>0</v>
      </c>
      <c r="M25" s="312">
        <f t="shared" si="3"/>
        <v>0</v>
      </c>
      <c r="N25" s="310"/>
      <c r="O25" s="314">
        <f>IF($A25&lt;&gt;"",VLOOKUP($A25,[4]Rates!$A$1:$R$65536,15,FALSE),0)</f>
        <v>0</v>
      </c>
      <c r="P25" s="309">
        <f t="shared" si="4"/>
        <v>0</v>
      </c>
      <c r="Q25" s="310"/>
      <c r="R25" s="311">
        <f t="shared" si="5"/>
        <v>-6.99</v>
      </c>
      <c r="S25" s="312">
        <f t="shared" si="6"/>
        <v>-1</v>
      </c>
      <c r="T25" s="310"/>
    </row>
    <row r="26" spans="1:360" s="277" customFormat="1" x14ac:dyDescent="0.25">
      <c r="A26" s="303" t="str">
        <f>[4]Rates!$A$84</f>
        <v>ICMF_GSL</v>
      </c>
      <c r="B26" s="313" t="s">
        <v>72</v>
      </c>
      <c r="C26" s="305"/>
      <c r="D26" s="306" t="s">
        <v>57</v>
      </c>
      <c r="E26" s="315">
        <v>1</v>
      </c>
      <c r="F26" s="314">
        <f>IF($A26&lt;&gt;"",VLOOKUP($A26,[4]Rates!$A$1:$R$65536,12,FALSE),0)</f>
        <v>0.72</v>
      </c>
      <c r="G26" s="309">
        <f t="shared" si="0"/>
        <v>0.72</v>
      </c>
      <c r="H26" s="310"/>
      <c r="I26" s="114">
        <f>IF($A26&lt;&gt;"",VLOOKUP($A26,[4]Rates!$A$1:$R$65536,14,FALSE),0)</f>
        <v>0</v>
      </c>
      <c r="J26" s="309">
        <f t="shared" si="1"/>
        <v>0</v>
      </c>
      <c r="K26" s="310"/>
      <c r="L26" s="311">
        <f t="shared" si="2"/>
        <v>-0.72</v>
      </c>
      <c r="M26" s="312">
        <f t="shared" si="3"/>
        <v>-1</v>
      </c>
      <c r="N26" s="310"/>
      <c r="O26" s="314">
        <f>IF($A26&lt;&gt;"",VLOOKUP($A26,[4]Rates!$A$1:$R$65536,15,FALSE),0)</f>
        <v>0</v>
      </c>
      <c r="P26" s="309">
        <f t="shared" si="4"/>
        <v>0</v>
      </c>
      <c r="Q26" s="310"/>
      <c r="R26" s="311">
        <f t="shared" si="5"/>
        <v>0</v>
      </c>
      <c r="S26" s="312" t="str">
        <f t="shared" si="6"/>
        <v/>
      </c>
      <c r="T26" s="310"/>
    </row>
    <row r="27" spans="1:360" x14ac:dyDescent="0.25">
      <c r="A27" s="139" t="s">
        <v>143</v>
      </c>
      <c r="B27" s="22" t="s">
        <v>140</v>
      </c>
      <c r="C27" s="15"/>
      <c r="D27" s="319" t="s">
        <v>57</v>
      </c>
      <c r="E27" s="17">
        <v>1</v>
      </c>
      <c r="F27" s="114">
        <f>IF($A27&lt;&gt;"",VLOOKUP($A27,[4]Rates!$A$1:$R$65536,12,FALSE),0)</f>
        <v>0</v>
      </c>
      <c r="G27" s="18">
        <f t="shared" si="0"/>
        <v>0</v>
      </c>
      <c r="H27" s="38"/>
      <c r="I27" s="114">
        <f>IF($A27&lt;&gt;"",VLOOKUP($A27,[4]Rates!$A$1:$R$65536,14,FALSE),0)</f>
        <v>-2.13</v>
      </c>
      <c r="J27" s="18">
        <f t="shared" si="1"/>
        <v>-2.13</v>
      </c>
      <c r="K27" s="38"/>
      <c r="L27" s="167">
        <f t="shared" si="2"/>
        <v>-2.13</v>
      </c>
      <c r="M27" s="123" t="str">
        <f t="shared" si="3"/>
        <v/>
      </c>
      <c r="N27" s="38"/>
      <c r="O27" s="114">
        <f>IF($A27&lt;&gt;"",VLOOKUP($A27,[4]Rates!$A$1:$R$65536,15,FALSE),0)</f>
        <v>0</v>
      </c>
      <c r="P27" s="18">
        <f t="shared" si="4"/>
        <v>0</v>
      </c>
      <c r="Q27" s="38"/>
      <c r="R27" s="167">
        <f t="shared" si="5"/>
        <v>2.13</v>
      </c>
      <c r="S27" s="123">
        <f t="shared" si="6"/>
        <v>-1</v>
      </c>
      <c r="T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</row>
    <row r="28" spans="1:360" x14ac:dyDescent="0.25">
      <c r="A28" s="139"/>
      <c r="B28" s="22"/>
      <c r="C28" s="15"/>
      <c r="D28" s="99"/>
      <c r="E28" s="17">
        <v>1</v>
      </c>
      <c r="F28" s="114">
        <f>IF($A28&lt;&gt;"",VLOOKUP($A28,[4]Rates!$A$1:$R$65536,12,FALSE),0)</f>
        <v>0</v>
      </c>
      <c r="G28" s="18">
        <f t="shared" si="0"/>
        <v>0</v>
      </c>
      <c r="H28" s="38"/>
      <c r="I28" s="114">
        <f>IF($A28&lt;&gt;"",VLOOKUP($A28,[4]Rates!$A$1:$R$65536,14,FALSE),0)</f>
        <v>0</v>
      </c>
      <c r="J28" s="18">
        <f t="shared" si="1"/>
        <v>0</v>
      </c>
      <c r="K28" s="38"/>
      <c r="L28" s="167">
        <f t="shared" si="2"/>
        <v>0</v>
      </c>
      <c r="M28" s="123" t="str">
        <f t="shared" si="3"/>
        <v/>
      </c>
      <c r="N28" s="38"/>
      <c r="O28" s="114">
        <f>IF($A28&lt;&gt;"",VLOOKUP($A28,[4]Rates!$A$1:$R$65536,15,FALSE),0)</f>
        <v>0</v>
      </c>
      <c r="P28" s="18">
        <f t="shared" si="4"/>
        <v>0</v>
      </c>
      <c r="Q28" s="38"/>
      <c r="R28" s="167">
        <f t="shared" si="5"/>
        <v>0</v>
      </c>
      <c r="S28" s="123" t="str">
        <f t="shared" si="6"/>
        <v/>
      </c>
      <c r="T28" s="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</row>
    <row r="29" spans="1:360" x14ac:dyDescent="0.25">
      <c r="A29" s="139" t="str">
        <f>[4]Rates!$A$86</f>
        <v>Var_GSL</v>
      </c>
      <c r="B29" s="15" t="s">
        <v>14</v>
      </c>
      <c r="C29" s="15"/>
      <c r="D29" s="99" t="s">
        <v>59</v>
      </c>
      <c r="E29" s="135">
        <f>$F$18</f>
        <v>1000</v>
      </c>
      <c r="F29" s="16">
        <f>IF($A29&lt;&gt;"",VLOOKUP($A29,[4]Rates!$A$1:$R$65536,12,FALSE),0)</f>
        <v>3.3277999999999999</v>
      </c>
      <c r="G29" s="18">
        <f t="shared" si="0"/>
        <v>3327.7999999999997</v>
      </c>
      <c r="H29" s="38"/>
      <c r="I29" s="16">
        <f>IF($A29&lt;&gt;"",VLOOKUP($A29,[4]Rates!$A$1:$R$65536,14,FALSE),0)</f>
        <v>3.7199</v>
      </c>
      <c r="J29" s="18">
        <f t="shared" si="1"/>
        <v>3719.9</v>
      </c>
      <c r="K29" s="38"/>
      <c r="L29" s="167">
        <f t="shared" si="2"/>
        <v>392.10000000000036</v>
      </c>
      <c r="M29" s="123">
        <f t="shared" si="3"/>
        <v>0.11782559048019725</v>
      </c>
      <c r="N29" s="38"/>
      <c r="O29" s="16">
        <f>IF($A29&lt;&gt;"",VLOOKUP($A29,[4]Rates!$A$1:$R$65536,15,FALSE),0)</f>
        <v>4.3277999999999999</v>
      </c>
      <c r="P29" s="18">
        <f t="shared" si="4"/>
        <v>4327.8</v>
      </c>
      <c r="Q29" s="38"/>
      <c r="R29" s="167">
        <f t="shared" si="5"/>
        <v>607.90000000000009</v>
      </c>
      <c r="S29" s="123">
        <f t="shared" si="6"/>
        <v>0.16341837146159846</v>
      </c>
      <c r="T29" s="3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</row>
    <row r="30" spans="1:360" x14ac:dyDescent="0.25">
      <c r="A30" s="139"/>
      <c r="B30" s="15" t="s">
        <v>15</v>
      </c>
      <c r="C30" s="15"/>
      <c r="D30" s="99" t="s">
        <v>59</v>
      </c>
      <c r="E30" s="135">
        <f t="shared" ref="E30:E35" si="7">$F$18</f>
        <v>1000</v>
      </c>
      <c r="F30" s="16">
        <f>IF($A30&lt;&gt;"",VLOOKUP($A30,[4]Rates!$A$1:$R$65536,12,FALSE),0)</f>
        <v>0</v>
      </c>
      <c r="G30" s="18">
        <f t="shared" si="0"/>
        <v>0</v>
      </c>
      <c r="H30" s="38"/>
      <c r="I30" s="16">
        <f>IF($A30&lt;&gt;"",VLOOKUP($A30,[4]Rates!$A$1:$R$65536,14,FALSE),0)</f>
        <v>0</v>
      </c>
      <c r="J30" s="18">
        <f t="shared" si="1"/>
        <v>0</v>
      </c>
      <c r="K30" s="38"/>
      <c r="L30" s="167">
        <f t="shared" si="2"/>
        <v>0</v>
      </c>
      <c r="M30" s="123" t="str">
        <f t="shared" si="3"/>
        <v/>
      </c>
      <c r="N30" s="38"/>
      <c r="O30" s="16">
        <f>IF($A30&lt;&gt;"",VLOOKUP($A30,[4]Rates!$A$1:$R$65536,15,FALSE),0)</f>
        <v>0</v>
      </c>
      <c r="P30" s="18">
        <f t="shared" si="4"/>
        <v>0</v>
      </c>
      <c r="Q30" s="38"/>
      <c r="R30" s="167">
        <f t="shared" si="5"/>
        <v>0</v>
      </c>
      <c r="S30" s="123" t="str">
        <f t="shared" si="6"/>
        <v/>
      </c>
      <c r="T30" s="3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</row>
    <row r="31" spans="1:360" x14ac:dyDescent="0.25">
      <c r="A31" s="139" t="s">
        <v>144</v>
      </c>
      <c r="B31" s="22" t="s">
        <v>145</v>
      </c>
      <c r="C31" s="15"/>
      <c r="D31" s="99" t="s">
        <v>59</v>
      </c>
      <c r="E31" s="135">
        <f t="shared" si="7"/>
        <v>1000</v>
      </c>
      <c r="F31" s="16">
        <f>IF($A31&lt;&gt;"",VLOOKUP($A31,[4]Rates!$A$1:$R$65536,12,FALSE),0)</f>
        <v>0</v>
      </c>
      <c r="G31" s="18">
        <f t="shared" si="0"/>
        <v>0</v>
      </c>
      <c r="H31" s="38"/>
      <c r="I31" s="16">
        <f>IF($A31&lt;&gt;"",VLOOKUP($A31,[4]Rates!$A$1:$R$65536,14,FALSE),0)</f>
        <v>1.1617</v>
      </c>
      <c r="J31" s="18">
        <f t="shared" si="1"/>
        <v>1161.7</v>
      </c>
      <c r="K31" s="38"/>
      <c r="L31" s="167">
        <f t="shared" si="2"/>
        <v>1161.7</v>
      </c>
      <c r="M31" s="123" t="str">
        <f t="shared" si="3"/>
        <v/>
      </c>
      <c r="N31" s="38"/>
      <c r="O31" s="16">
        <f>IF($A31&lt;&gt;"",VLOOKUP($A31,[4]Rates!$A$1:$R$65536,15,FALSE),0)</f>
        <v>0</v>
      </c>
      <c r="P31" s="18">
        <f t="shared" si="4"/>
        <v>0</v>
      </c>
      <c r="Q31" s="38"/>
      <c r="R31" s="167">
        <f t="shared" si="5"/>
        <v>-1161.7</v>
      </c>
      <c r="S31" s="123">
        <f t="shared" si="6"/>
        <v>-1</v>
      </c>
      <c r="T31" s="3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</row>
    <row r="32" spans="1:360" s="277" customFormat="1" x14ac:dyDescent="0.25">
      <c r="A32" s="303" t="str">
        <f>[4]Rates!$A$92</f>
        <v>ICMV_GSL</v>
      </c>
      <c r="B32" s="304" t="s">
        <v>72</v>
      </c>
      <c r="C32" s="305"/>
      <c r="D32" s="306" t="s">
        <v>59</v>
      </c>
      <c r="E32" s="316">
        <f t="shared" si="7"/>
        <v>1000</v>
      </c>
      <c r="F32" s="308">
        <f>IF($A32&lt;&gt;"",VLOOKUP($A32,[4]Rates!$A$1:$R$65536,12,FALSE),0)</f>
        <v>1.7299999999999999E-2</v>
      </c>
      <c r="G32" s="309">
        <f t="shared" si="0"/>
        <v>17.3</v>
      </c>
      <c r="H32" s="310"/>
      <c r="I32" s="16">
        <f>IF($A32&lt;&gt;"",VLOOKUP($A32,[4]Rates!$A$1:$R$65536,14,FALSE),0)</f>
        <v>0</v>
      </c>
      <c r="J32" s="309">
        <f t="shared" si="1"/>
        <v>0</v>
      </c>
      <c r="K32" s="310"/>
      <c r="L32" s="311">
        <f t="shared" si="2"/>
        <v>-17.3</v>
      </c>
      <c r="M32" s="312">
        <f t="shared" si="3"/>
        <v>-1</v>
      </c>
      <c r="N32" s="310"/>
      <c r="O32" s="308">
        <f>IF($A32&lt;&gt;"",VLOOKUP($A32,[4]Rates!$A$1:$R$65536,15,FALSE),0)</f>
        <v>0</v>
      </c>
      <c r="P32" s="309">
        <f t="shared" si="4"/>
        <v>0</v>
      </c>
      <c r="Q32" s="310"/>
      <c r="R32" s="311">
        <f t="shared" si="5"/>
        <v>0</v>
      </c>
      <c r="S32" s="312" t="str">
        <f t="shared" si="6"/>
        <v/>
      </c>
      <c r="T32" s="310"/>
    </row>
    <row r="33" spans="1:360" x14ac:dyDescent="0.25">
      <c r="A33" s="139" t="str">
        <f>[4]Rates!$A102</f>
        <v>2RAL16_GSL</v>
      </c>
      <c r="B33" s="23" t="str">
        <f>[4]Rates!$B$102</f>
        <v xml:space="preserve">Disposition of Deferral/Variance Accounts - Group 2 Accounts (2016) </v>
      </c>
      <c r="C33" s="15"/>
      <c r="D33" s="99" t="s">
        <v>59</v>
      </c>
      <c r="E33" s="135">
        <f t="shared" si="7"/>
        <v>1000</v>
      </c>
      <c r="F33" s="16">
        <f>IF($A33&lt;&gt;"",VLOOKUP($A33,[4]Rates!$A$1:$R$65536,12,FALSE),0)</f>
        <v>0</v>
      </c>
      <c r="G33" s="18">
        <f t="shared" si="0"/>
        <v>0</v>
      </c>
      <c r="H33" s="38"/>
      <c r="I33" s="16">
        <f>IF($A33&lt;&gt;"",VLOOKUP($A33,[4]Rates!$A$1:$R$65536,14,FALSE),0)</f>
        <v>0.1273</v>
      </c>
      <c r="J33" s="18">
        <f t="shared" si="1"/>
        <v>127.3</v>
      </c>
      <c r="K33" s="38"/>
      <c r="L33" s="167">
        <f t="shared" si="2"/>
        <v>127.3</v>
      </c>
      <c r="M33" s="123" t="str">
        <f t="shared" si="3"/>
        <v/>
      </c>
      <c r="N33" s="38"/>
      <c r="O33" s="16">
        <f>IF($A33&lt;&gt;"",VLOOKUP($A33,[4]Rates!$A$1:$R$65536,15,FALSE),0)</f>
        <v>0.1273</v>
      </c>
      <c r="P33" s="18">
        <f t="shared" si="4"/>
        <v>127.3</v>
      </c>
      <c r="Q33" s="38"/>
      <c r="R33" s="167">
        <f t="shared" si="5"/>
        <v>0</v>
      </c>
      <c r="S33" s="123">
        <f t="shared" si="6"/>
        <v>0</v>
      </c>
      <c r="T33" s="38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</row>
    <row r="34" spans="1:360" x14ac:dyDescent="0.25">
      <c r="A34" s="139" t="str">
        <f>[4]Rates!$A103</f>
        <v>LRVA16_GSL</v>
      </c>
      <c r="B34" s="23" t="str">
        <f>[4]Rates!$B103</f>
        <v>Lost Revenue Adjustment Mechanism Variance Account (LRAMVA) (2016)</v>
      </c>
      <c r="C34" s="15"/>
      <c r="D34" s="99" t="s">
        <v>59</v>
      </c>
      <c r="E34" s="135">
        <f t="shared" si="7"/>
        <v>1000</v>
      </c>
      <c r="F34" s="16">
        <f>IF($A34&lt;&gt;"",VLOOKUP($A34,[4]Rates!$A$1:$R$65536,12,FALSE),0)</f>
        <v>0</v>
      </c>
      <c r="G34" s="18">
        <f t="shared" si="0"/>
        <v>0</v>
      </c>
      <c r="H34" s="38"/>
      <c r="I34" s="16">
        <f>IF($A34&lt;&gt;"",VLOOKUP($A34,[4]Rates!$A$1:$R$65536,14,FALSE),0)</f>
        <v>-1.9599999999999999E-2</v>
      </c>
      <c r="J34" s="18">
        <f t="shared" si="1"/>
        <v>-19.599999999999998</v>
      </c>
      <c r="K34" s="38"/>
      <c r="L34" s="167">
        <f t="shared" si="2"/>
        <v>-19.599999999999998</v>
      </c>
      <c r="M34" s="123" t="str">
        <f t="shared" si="3"/>
        <v/>
      </c>
      <c r="N34" s="38"/>
      <c r="O34" s="16">
        <f>IF($A34&lt;&gt;"",VLOOKUP($A34,[4]Rates!$A$1:$R$65536,15,FALSE),0)</f>
        <v>-1.9599999999999999E-2</v>
      </c>
      <c r="P34" s="18">
        <f t="shared" si="4"/>
        <v>-19.599999999999998</v>
      </c>
      <c r="Q34" s="38"/>
      <c r="R34" s="167">
        <f t="shared" si="5"/>
        <v>0</v>
      </c>
      <c r="S34" s="123">
        <f t="shared" si="6"/>
        <v>0</v>
      </c>
      <c r="T34" s="3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</row>
    <row r="35" spans="1:360" x14ac:dyDescent="0.25">
      <c r="A35" s="139" t="str">
        <f>[4]Rates!$A104</f>
        <v>PPE16_GSL</v>
      </c>
      <c r="B35" s="23" t="str">
        <f>[4]Rates!$B104</f>
        <v>Account 1575 (2016)</v>
      </c>
      <c r="C35" s="15"/>
      <c r="D35" s="99" t="s">
        <v>59</v>
      </c>
      <c r="E35" s="135">
        <f t="shared" si="7"/>
        <v>1000</v>
      </c>
      <c r="F35" s="16">
        <f>IF($A35&lt;&gt;"",VLOOKUP($A35,[4]Rates!$A$1:$R$65536,12,FALSE),0)</f>
        <v>0</v>
      </c>
      <c r="G35" s="18">
        <f t="shared" si="0"/>
        <v>0</v>
      </c>
      <c r="H35" s="38"/>
      <c r="I35" s="16">
        <f>IF($A35&lt;&gt;"",VLOOKUP($A35,[4]Rates!$A$1:$R$65536,14,FALSE),0)</f>
        <v>-0.1105</v>
      </c>
      <c r="J35" s="18">
        <f t="shared" si="1"/>
        <v>-110.5</v>
      </c>
      <c r="K35" s="38"/>
      <c r="L35" s="167">
        <f t="shared" si="2"/>
        <v>-110.5</v>
      </c>
      <c r="M35" s="123" t="str">
        <f t="shared" si="3"/>
        <v/>
      </c>
      <c r="N35" s="38"/>
      <c r="O35" s="16">
        <f>IF($A35&lt;&gt;"",VLOOKUP($A35,[4]Rates!$A$1:$R$65536,15,FALSE),0)</f>
        <v>-0.1105</v>
      </c>
      <c r="P35" s="18">
        <f t="shared" si="4"/>
        <v>-110.5</v>
      </c>
      <c r="Q35" s="38"/>
      <c r="R35" s="167">
        <f t="shared" si="5"/>
        <v>0</v>
      </c>
      <c r="S35" s="123">
        <f t="shared" si="6"/>
        <v>0</v>
      </c>
      <c r="T35" s="3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</row>
    <row r="36" spans="1:360" x14ac:dyDescent="0.25">
      <c r="A36" s="139" t="str">
        <f>[4]Rates!$A105</f>
        <v>SG16_GSL</v>
      </c>
      <c r="B36" s="23" t="str">
        <f>[4]Rates!$B105</f>
        <v>Smart Grid True-up (2016)</v>
      </c>
      <c r="C36" s="15"/>
      <c r="D36" s="99" t="s">
        <v>57</v>
      </c>
      <c r="E36" s="135">
        <v>1</v>
      </c>
      <c r="F36" s="16">
        <f>IF($A36&lt;&gt;"",VLOOKUP($A36,[4]Rates!$A$1:$R$65536,12,FALSE),0)</f>
        <v>0</v>
      </c>
      <c r="G36" s="18">
        <f t="shared" si="0"/>
        <v>0</v>
      </c>
      <c r="H36" s="38"/>
      <c r="I36" s="114">
        <f>IF($A36&lt;&gt;"",VLOOKUP($A36,[4]Rates!$A$1:$R$65536,14,FALSE),0)</f>
        <v>-4.8099999999999996</v>
      </c>
      <c r="J36" s="18">
        <f t="shared" si="1"/>
        <v>-4.8099999999999996</v>
      </c>
      <c r="K36" s="38"/>
      <c r="L36" s="167">
        <f t="shared" si="2"/>
        <v>-4.8099999999999996</v>
      </c>
      <c r="M36" s="123" t="str">
        <f t="shared" si="3"/>
        <v/>
      </c>
      <c r="N36" s="38"/>
      <c r="O36" s="16">
        <f>IF($A36&lt;&gt;"",VLOOKUP($A36,[4]Rates!$A$1:$R$65536,15,FALSE),0)</f>
        <v>-4.8099999999999996</v>
      </c>
      <c r="P36" s="18">
        <f t="shared" si="4"/>
        <v>-4.8099999999999996</v>
      </c>
      <c r="Q36" s="38"/>
      <c r="R36" s="167">
        <f t="shared" si="5"/>
        <v>0</v>
      </c>
      <c r="S36" s="123">
        <f t="shared" si="6"/>
        <v>0</v>
      </c>
      <c r="T36" s="3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</row>
    <row r="37" spans="1:360" s="277" customFormat="1" x14ac:dyDescent="0.25">
      <c r="A37" s="303" t="str">
        <f>[4]Rates!$A$98</f>
        <v>LRVA_GSL</v>
      </c>
      <c r="B37" s="304"/>
      <c r="C37" s="305"/>
      <c r="D37" s="319" t="s">
        <v>59</v>
      </c>
      <c r="E37" s="335">
        <f>E29</f>
        <v>1000</v>
      </c>
      <c r="F37" s="308"/>
      <c r="G37" s="309">
        <f t="shared" si="0"/>
        <v>0</v>
      </c>
      <c r="H37" s="310"/>
      <c r="I37" s="308">
        <f>IF($A37&lt;&gt;"",VLOOKUP($A37,[4]Rates!$A$1:$R$65536,14,FALSE),0)</f>
        <v>0</v>
      </c>
      <c r="J37" s="309">
        <f t="shared" si="1"/>
        <v>0</v>
      </c>
      <c r="K37" s="310"/>
      <c r="L37" s="311">
        <f t="shared" si="2"/>
        <v>0</v>
      </c>
      <c r="M37" s="312" t="str">
        <f t="shared" si="3"/>
        <v/>
      </c>
      <c r="N37" s="310"/>
      <c r="O37" s="308">
        <f>IF($A37&lt;&gt;"",VLOOKUP($A37,[4]Rates!$A$1:$R$65536,15,FALSE),0)</f>
        <v>0</v>
      </c>
      <c r="P37" s="309">
        <f t="shared" si="4"/>
        <v>0</v>
      </c>
      <c r="Q37" s="310"/>
      <c r="R37" s="311">
        <f t="shared" si="5"/>
        <v>0</v>
      </c>
      <c r="S37" s="312" t="str">
        <f t="shared" si="6"/>
        <v/>
      </c>
      <c r="T37" s="310"/>
    </row>
    <row r="38" spans="1:360" x14ac:dyDescent="0.25">
      <c r="A38" s="139"/>
      <c r="B38" s="23"/>
      <c r="C38" s="15"/>
      <c r="D38" s="99"/>
      <c r="E38" s="135"/>
      <c r="F38" s="16">
        <f>IF($A38&lt;&gt;"",VLOOKUP($A38,[4]Rates!$A$1:$R$65536,12,FALSE),0)</f>
        <v>0</v>
      </c>
      <c r="G38" s="18">
        <f t="shared" si="0"/>
        <v>0</v>
      </c>
      <c r="H38" s="38"/>
      <c r="I38" s="16">
        <f>IF($A38&lt;&gt;"",VLOOKUP($A38,[4]Rates!$A$1:$R$65536,14,FALSE),0)</f>
        <v>0</v>
      </c>
      <c r="J38" s="18">
        <f t="shared" si="1"/>
        <v>0</v>
      </c>
      <c r="K38" s="38"/>
      <c r="L38" s="167">
        <f t="shared" si="2"/>
        <v>0</v>
      </c>
      <c r="M38" s="123" t="str">
        <f t="shared" si="3"/>
        <v/>
      </c>
      <c r="N38" s="38"/>
      <c r="O38" s="16">
        <f>IF($A38&lt;&gt;"",VLOOKUP($A38,[4]Rates!$A$1:$R$65536,15,FALSE),0)</f>
        <v>0</v>
      </c>
      <c r="P38" s="18">
        <f t="shared" si="4"/>
        <v>0</v>
      </c>
      <c r="Q38" s="38"/>
      <c r="R38" s="167">
        <f t="shared" si="5"/>
        <v>0</v>
      </c>
      <c r="S38" s="123" t="str">
        <f t="shared" si="6"/>
        <v/>
      </c>
      <c r="T38" s="3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</row>
    <row r="39" spans="1:360" s="29" customFormat="1" x14ac:dyDescent="0.25">
      <c r="A39" s="139"/>
      <c r="B39" s="24" t="s">
        <v>17</v>
      </c>
      <c r="C39" s="25"/>
      <c r="D39" s="100"/>
      <c r="E39" s="27"/>
      <c r="F39" s="26"/>
      <c r="G39" s="28">
        <f>SUM(G23:G38)</f>
        <v>3491.29</v>
      </c>
      <c r="H39" s="38"/>
      <c r="I39" s="26"/>
      <c r="J39" s="28">
        <f>SUM(J23:J38)</f>
        <v>5017.33</v>
      </c>
      <c r="K39" s="38"/>
      <c r="L39" s="168">
        <f t="shared" si="2"/>
        <v>1526.04</v>
      </c>
      <c r="M39" s="124">
        <f>IF((G39)=0,"",(L39/G39))</f>
        <v>0.43709918110497836</v>
      </c>
      <c r="N39" s="38"/>
      <c r="O39" s="26"/>
      <c r="P39" s="28">
        <f>SUM(P23:P38)</f>
        <v>4458.6699999999992</v>
      </c>
      <c r="Q39" s="38"/>
      <c r="R39" s="168">
        <f t="shared" si="5"/>
        <v>-558.66000000000076</v>
      </c>
      <c r="S39" s="124">
        <f t="shared" si="6"/>
        <v>-0.11134607450576318</v>
      </c>
      <c r="T39" s="38"/>
    </row>
    <row r="40" spans="1:360" s="277" customFormat="1" x14ac:dyDescent="0.25">
      <c r="A40" s="303" t="str">
        <f>[4]Rates!$A$90</f>
        <v>RAL14_GSL</v>
      </c>
      <c r="B40" s="302"/>
      <c r="C40" s="305"/>
      <c r="D40" s="319" t="s">
        <v>59</v>
      </c>
      <c r="E40" s="335">
        <f>$F$18</f>
        <v>1000</v>
      </c>
      <c r="F40" s="308"/>
      <c r="G40" s="309">
        <f t="shared" ref="G40:G49" si="8">E40*F40</f>
        <v>0</v>
      </c>
      <c r="H40" s="310"/>
      <c r="I40" s="308">
        <f>IF($A40&lt;&gt;"",VLOOKUP($A40,[4]Rates!$A$1:$R$65536,14,FALSE),0)</f>
        <v>0</v>
      </c>
      <c r="J40" s="309">
        <f>$E40*I40</f>
        <v>0</v>
      </c>
      <c r="K40" s="310"/>
      <c r="L40" s="311">
        <f t="shared" si="2"/>
        <v>0</v>
      </c>
      <c r="M40" s="312" t="str">
        <f t="shared" si="3"/>
        <v/>
      </c>
      <c r="N40" s="310"/>
      <c r="O40" s="308">
        <f>IF($A40&lt;&gt;"",VLOOKUP($A40,[4]Rates!$A$1:$R$65536,15,FALSE),0)</f>
        <v>0</v>
      </c>
      <c r="P40" s="309">
        <f>$E40*O40</f>
        <v>0</v>
      </c>
      <c r="Q40" s="310"/>
      <c r="R40" s="311">
        <f t="shared" si="5"/>
        <v>0</v>
      </c>
      <c r="S40" s="312" t="str">
        <f t="shared" si="6"/>
        <v/>
      </c>
      <c r="T40" s="310"/>
      <c r="U40" s="368"/>
    </row>
    <row r="41" spans="1:360" x14ac:dyDescent="0.25">
      <c r="A41" s="139" t="str">
        <f>[4]Rates!$A99</f>
        <v>RAL16_GSL</v>
      </c>
      <c r="B41" s="30" t="str">
        <f>[4]Rates!$B99</f>
        <v xml:space="preserve">Disposition of Deferral/Variance Accounts (2016) </v>
      </c>
      <c r="C41" s="15"/>
      <c r="D41" s="99" t="s">
        <v>59</v>
      </c>
      <c r="E41" s="135">
        <f t="shared" ref="E41:E47" si="9">$F$18</f>
        <v>1000</v>
      </c>
      <c r="F41" s="16">
        <f>IF($A41&lt;&gt;"",VLOOKUP($A41,[4]Rates!$A$1:$R$65536,12,FALSE),0)</f>
        <v>0</v>
      </c>
      <c r="G41" s="18">
        <f t="shared" si="8"/>
        <v>0</v>
      </c>
      <c r="H41" s="21"/>
      <c r="I41" s="16">
        <f>IF($A41&lt;&gt;"",VLOOKUP($A41,[4]Rates!$A$1:$R$65536,14,FALSE),0)</f>
        <v>0.23380000000000001</v>
      </c>
      <c r="J41" s="18">
        <f t="shared" ref="J41:J47" si="10">$E41*I41</f>
        <v>233.8</v>
      </c>
      <c r="K41" s="21"/>
      <c r="L41" s="167">
        <f t="shared" si="2"/>
        <v>233.8</v>
      </c>
      <c r="M41" s="123" t="str">
        <f t="shared" si="3"/>
        <v/>
      </c>
      <c r="N41" s="21"/>
      <c r="O41" s="16">
        <f>IF($A41&lt;&gt;"",VLOOKUP($A41,[4]Rates!$A$1:$R$65536,15,FALSE),0)</f>
        <v>0.23380000000000001</v>
      </c>
      <c r="P41" s="18">
        <f t="shared" ref="P41:P49" si="11">$E41*O41</f>
        <v>233.8</v>
      </c>
      <c r="Q41" s="21"/>
      <c r="R41" s="167">
        <f t="shared" si="5"/>
        <v>0</v>
      </c>
      <c r="S41" s="123">
        <f t="shared" si="6"/>
        <v>0</v>
      </c>
      <c r="T41" s="244"/>
      <c r="U41" s="36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</row>
    <row r="42" spans="1:360" x14ac:dyDescent="0.25">
      <c r="A42" s="139" t="str">
        <f>[4]Rates!$A100</f>
        <v>RALP16_GSL</v>
      </c>
      <c r="B42" s="30" t="str">
        <f>[4]Rates!$B100</f>
        <v xml:space="preserve">Disposition of Deferral/Variance Accounts - Power (2016) </v>
      </c>
      <c r="C42" s="15"/>
      <c r="D42" s="99" t="s">
        <v>59</v>
      </c>
      <c r="E42" s="135">
        <f t="shared" si="9"/>
        <v>1000</v>
      </c>
      <c r="F42" s="16">
        <f>IF($A42&lt;&gt;"",VLOOKUP($A42,[4]Rates!$A$1:$R$65536,12,FALSE),0)</f>
        <v>0</v>
      </c>
      <c r="G42" s="18">
        <f t="shared" si="8"/>
        <v>0</v>
      </c>
      <c r="H42" s="21"/>
      <c r="I42" s="16">
        <f>IF($A42&lt;&gt;"",VLOOKUP($A42,[4]Rates!$A$1:$R$65536,14,FALSE),0)</f>
        <v>-0.24490000000000001</v>
      </c>
      <c r="J42" s="18">
        <f t="shared" si="10"/>
        <v>-244.9</v>
      </c>
      <c r="K42" s="21"/>
      <c r="L42" s="167">
        <f t="shared" si="2"/>
        <v>-244.9</v>
      </c>
      <c r="M42" s="123" t="str">
        <f t="shared" si="3"/>
        <v/>
      </c>
      <c r="N42" s="21"/>
      <c r="O42" s="16">
        <f>IF($A42&lt;&gt;"",VLOOKUP($A42,[4]Rates!$A$1:$R$65536,15,FALSE),0)</f>
        <v>-0.24490000000000001</v>
      </c>
      <c r="P42" s="18">
        <f t="shared" si="11"/>
        <v>-244.9</v>
      </c>
      <c r="Q42" s="21"/>
      <c r="R42" s="167">
        <f t="shared" si="5"/>
        <v>0</v>
      </c>
      <c r="S42" s="123">
        <f t="shared" si="6"/>
        <v>0</v>
      </c>
      <c r="T42" s="244"/>
      <c r="U42" s="36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</row>
    <row r="43" spans="1:360" x14ac:dyDescent="0.25">
      <c r="A43" s="139" t="str">
        <f>[4]Rates!$A101</f>
        <v>GA16_GSL</v>
      </c>
      <c r="B43" s="30" t="str">
        <f>[4]Rates!$B101</f>
        <v xml:space="preserve">Disposition of Deferral/Variance Accounts - Power - Global Adjustment (2016) </v>
      </c>
      <c r="C43" s="15"/>
      <c r="D43" s="99" t="s">
        <v>59</v>
      </c>
      <c r="E43" s="135">
        <f t="shared" si="9"/>
        <v>1000</v>
      </c>
      <c r="F43" s="16">
        <f>IF($A43&lt;&gt;"",VLOOKUP($A43,[4]Rates!$A$1:$R$65536,12,FALSE),0)</f>
        <v>0</v>
      </c>
      <c r="G43" s="18">
        <f t="shared" si="8"/>
        <v>0</v>
      </c>
      <c r="H43" s="21"/>
      <c r="I43" s="16">
        <f>IF($A43&lt;&gt;"",VLOOKUP($A43,[4]Rates!$A$1:$R$65536,14,FALSE),0)</f>
        <v>0.86370000000000002</v>
      </c>
      <c r="J43" s="18">
        <f t="shared" si="10"/>
        <v>863.7</v>
      </c>
      <c r="K43" s="21"/>
      <c r="L43" s="167">
        <f t="shared" si="2"/>
        <v>863.7</v>
      </c>
      <c r="M43" s="123" t="str">
        <f t="shared" si="3"/>
        <v/>
      </c>
      <c r="N43" s="21"/>
      <c r="O43" s="16">
        <f>IF($A43&lt;&gt;"",VLOOKUP($A43,[4]Rates!$A$1:$R$65536,15,FALSE),0)</f>
        <v>0.86370000000000002</v>
      </c>
      <c r="P43" s="18">
        <f t="shared" si="11"/>
        <v>863.7</v>
      </c>
      <c r="Q43" s="21"/>
      <c r="R43" s="167">
        <f t="shared" si="5"/>
        <v>0</v>
      </c>
      <c r="S43" s="123">
        <f t="shared" si="6"/>
        <v>0</v>
      </c>
      <c r="T43" s="244"/>
      <c r="U43" s="36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</row>
    <row r="44" spans="1:360" x14ac:dyDescent="0.25">
      <c r="A44" s="139" t="str">
        <f>[4]Rates!$A$91</f>
        <v>GA14_GSL</v>
      </c>
      <c r="B44" s="30" t="str">
        <f>[4]Rates!$B$91</f>
        <v xml:space="preserve">Disposition of Global Adjustment Sub-Account (2014) </v>
      </c>
      <c r="C44" s="15"/>
      <c r="D44" s="99" t="s">
        <v>59</v>
      </c>
      <c r="E44" s="135">
        <f>F18</f>
        <v>1000</v>
      </c>
      <c r="F44" s="16">
        <f>IF($A44&lt;&gt;"",VLOOKUP($A44,[4]Rates!$A$1:$R$65536,12,FALSE),0)</f>
        <v>-7.1999999999999995E-2</v>
      </c>
      <c r="G44" s="18">
        <f t="shared" si="8"/>
        <v>-72</v>
      </c>
      <c r="H44" s="244"/>
      <c r="I44" s="16">
        <f>IF($A44&lt;&gt;"",VLOOKUP($A44,[4]Rates!$A$1:$R$65536,14,FALSE),0)</f>
        <v>0</v>
      </c>
      <c r="J44" s="18">
        <f t="shared" si="10"/>
        <v>0</v>
      </c>
      <c r="K44" s="244"/>
      <c r="L44" s="167">
        <f t="shared" si="2"/>
        <v>72</v>
      </c>
      <c r="M44" s="123"/>
      <c r="N44" s="244"/>
      <c r="O44" s="16">
        <f>IF($A44&lt;&gt;"",VLOOKUP($A44,[4]Rates!$A$1:$R$65536,15,FALSE),0)</f>
        <v>0</v>
      </c>
      <c r="P44" s="18">
        <f t="shared" si="11"/>
        <v>0</v>
      </c>
      <c r="Q44" s="21"/>
      <c r="R44" s="167">
        <f t="shared" si="5"/>
        <v>0</v>
      </c>
      <c r="S44" s="123" t="str">
        <f t="shared" si="6"/>
        <v/>
      </c>
      <c r="T44" s="244"/>
      <c r="U44" s="36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</row>
    <row r="45" spans="1:360" x14ac:dyDescent="0.25">
      <c r="A45" s="139"/>
      <c r="B45" s="30"/>
      <c r="C45" s="15"/>
      <c r="D45" s="99"/>
      <c r="E45" s="135"/>
      <c r="F45" s="16">
        <f>IF($A45&lt;&gt;"",VLOOKUP($A45,[4]Rates!$A$1:$R$65536,12,FALSE),0)</f>
        <v>0</v>
      </c>
      <c r="G45" s="18"/>
      <c r="H45" s="244"/>
      <c r="I45" s="16">
        <f>IF($A45&lt;&gt;"",VLOOKUP($A45,[4]Rates!$A$1:$R$65536,14,FALSE),0)</f>
        <v>0</v>
      </c>
      <c r="J45" s="18"/>
      <c r="K45" s="244"/>
      <c r="L45" s="167"/>
      <c r="M45" s="123"/>
      <c r="N45" s="244"/>
      <c r="O45" s="16">
        <f>IF($A45&lt;&gt;"",VLOOKUP($A45,[4]Rates!$A$1:$R$65536,15,FALSE),0)</f>
        <v>0</v>
      </c>
      <c r="P45" s="18">
        <f t="shared" si="11"/>
        <v>0</v>
      </c>
      <c r="Q45" s="21"/>
      <c r="R45" s="167">
        <f t="shared" si="5"/>
        <v>0</v>
      </c>
      <c r="S45" s="123" t="str">
        <f t="shared" si="6"/>
        <v/>
      </c>
      <c r="T45" s="244"/>
      <c r="U45" s="36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</row>
    <row r="46" spans="1:360" x14ac:dyDescent="0.25">
      <c r="A46" s="139"/>
      <c r="B46" s="30"/>
      <c r="C46" s="15"/>
      <c r="D46" s="99"/>
      <c r="E46" s="135"/>
      <c r="F46" s="16">
        <f>IF($A46&lt;&gt;"",VLOOKUP($A46,[4]Rates!$A$1:$R$65536,12,FALSE),0)</f>
        <v>0</v>
      </c>
      <c r="G46" s="18"/>
      <c r="H46" s="244"/>
      <c r="I46" s="16">
        <f>IF($A46&lt;&gt;"",VLOOKUP($A46,[4]Rates!$A$1:$R$65536,14,FALSE),0)</f>
        <v>0</v>
      </c>
      <c r="J46" s="18"/>
      <c r="K46" s="244"/>
      <c r="L46" s="167"/>
      <c r="M46" s="123"/>
      <c r="N46" s="244"/>
      <c r="O46" s="16">
        <f>IF($A46&lt;&gt;"",VLOOKUP($A46,[4]Rates!$A$1:$R$65536,15,FALSE),0)</f>
        <v>0</v>
      </c>
      <c r="P46" s="18"/>
      <c r="Q46" s="244"/>
      <c r="R46" s="167"/>
      <c r="S46" s="123"/>
      <c r="T46" s="244"/>
      <c r="U46" s="36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</row>
    <row r="47" spans="1:360" x14ac:dyDescent="0.25">
      <c r="A47" s="139" t="str">
        <f>[4]Rates!$A$87</f>
        <v>LV_GSL</v>
      </c>
      <c r="B47" s="31" t="s">
        <v>18</v>
      </c>
      <c r="C47" s="15"/>
      <c r="D47" s="99" t="s">
        <v>59</v>
      </c>
      <c r="E47" s="135">
        <f t="shared" si="9"/>
        <v>1000</v>
      </c>
      <c r="F47" s="16">
        <f>IF($A47&lt;&gt;"",VLOOKUP($A47,[4]Rates!$A$1:$R$65536,12,FALSE),0)</f>
        <v>0.11890000000000001</v>
      </c>
      <c r="G47" s="18">
        <f t="shared" si="8"/>
        <v>118.9</v>
      </c>
      <c r="H47" s="38"/>
      <c r="I47" s="16">
        <f>IF($A47&lt;&gt;"",VLOOKUP($A47,[4]Rates!$A$1:$R$65536,14,FALSE),0)</f>
        <v>0.11890000000000001</v>
      </c>
      <c r="J47" s="18">
        <f t="shared" si="10"/>
        <v>118.9</v>
      </c>
      <c r="K47" s="38"/>
      <c r="L47" s="167">
        <f t="shared" si="2"/>
        <v>0</v>
      </c>
      <c r="M47" s="123">
        <f t="shared" si="3"/>
        <v>0</v>
      </c>
      <c r="N47" s="38"/>
      <c r="O47" s="16">
        <f>IF($A47&lt;&gt;"",VLOOKUP($A47,[4]Rates!$A$1:$R$65536,15,FALSE),0)</f>
        <v>0.15890000000000001</v>
      </c>
      <c r="P47" s="18">
        <f t="shared" si="11"/>
        <v>158.9</v>
      </c>
      <c r="Q47" s="38"/>
      <c r="R47" s="167">
        <f t="shared" si="5"/>
        <v>40</v>
      </c>
      <c r="S47" s="123">
        <f t="shared" si="6"/>
        <v>0.33641715727502103</v>
      </c>
      <c r="T47" s="38"/>
      <c r="U47" s="36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</row>
    <row r="48" spans="1:360" x14ac:dyDescent="0.25">
      <c r="A48" s="139"/>
      <c r="B48" s="31" t="s">
        <v>19</v>
      </c>
      <c r="C48" s="15"/>
      <c r="D48" s="99"/>
      <c r="E48" s="338">
        <f>$F$17*(1+$F$77)-$F$17</f>
        <v>2760</v>
      </c>
      <c r="F48" s="32"/>
      <c r="G48" s="18">
        <f>E48*F48</f>
        <v>0</v>
      </c>
      <c r="H48" s="90">
        <f>$F$17*(1+$O$77)-$F$17</f>
        <v>2952</v>
      </c>
      <c r="I48" s="32"/>
      <c r="J48" s="18">
        <f>$H48*I48</f>
        <v>0</v>
      </c>
      <c r="K48" s="38"/>
      <c r="L48" s="169">
        <f t="shared" si="2"/>
        <v>0</v>
      </c>
      <c r="M48" s="123" t="str">
        <f t="shared" si="3"/>
        <v/>
      </c>
      <c r="N48" s="38"/>
      <c r="O48" s="32"/>
      <c r="P48" s="18">
        <f>$H48*O48</f>
        <v>0</v>
      </c>
      <c r="Q48" s="38"/>
      <c r="R48" s="169">
        <f t="shared" si="5"/>
        <v>0</v>
      </c>
      <c r="S48" s="123" t="str">
        <f t="shared" si="6"/>
        <v/>
      </c>
      <c r="T48" s="38"/>
      <c r="U48" s="36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</row>
    <row r="49" spans="1:360" x14ac:dyDescent="0.25">
      <c r="A49" s="139"/>
      <c r="B49" s="31"/>
      <c r="C49" s="15"/>
      <c r="D49" s="99"/>
      <c r="E49" s="17"/>
      <c r="F49" s="32"/>
      <c r="G49" s="18">
        <f t="shared" si="8"/>
        <v>0</v>
      </c>
      <c r="H49" s="38"/>
      <c r="I49" s="32"/>
      <c r="J49" s="18"/>
      <c r="K49" s="38"/>
      <c r="L49" s="169">
        <f t="shared" si="2"/>
        <v>0</v>
      </c>
      <c r="M49" s="123"/>
      <c r="N49" s="38"/>
      <c r="O49" s="32"/>
      <c r="P49" s="18">
        <f t="shared" si="11"/>
        <v>0</v>
      </c>
      <c r="Q49" s="38"/>
      <c r="R49" s="169">
        <f t="shared" si="5"/>
        <v>0</v>
      </c>
      <c r="S49" s="123" t="str">
        <f t="shared" si="6"/>
        <v/>
      </c>
      <c r="T49" s="3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</row>
    <row r="50" spans="1:360" x14ac:dyDescent="0.25">
      <c r="A50" s="139"/>
      <c r="B50" s="33" t="s">
        <v>21</v>
      </c>
      <c r="C50" s="34"/>
      <c r="D50" s="35"/>
      <c r="E50" s="36"/>
      <c r="F50" s="35"/>
      <c r="G50" s="37">
        <f>SUM(G40:G49)+G39</f>
        <v>3538.19</v>
      </c>
      <c r="H50" s="38"/>
      <c r="I50" s="35"/>
      <c r="J50" s="37">
        <f>SUM(J40:J49)+J39</f>
        <v>5988.83</v>
      </c>
      <c r="K50" s="38"/>
      <c r="L50" s="170">
        <f t="shared" si="2"/>
        <v>2450.64</v>
      </c>
      <c r="M50" s="125">
        <f>IF((G50)=0,"",(L50/G50))</f>
        <v>0.69262532537823007</v>
      </c>
      <c r="N50" s="38"/>
      <c r="O50" s="35"/>
      <c r="P50" s="37">
        <f>SUM(P40:P49)+P39</f>
        <v>5470.1699999999992</v>
      </c>
      <c r="Q50" s="38"/>
      <c r="R50" s="170">
        <f t="shared" si="5"/>
        <v>-518.66000000000076</v>
      </c>
      <c r="S50" s="125">
        <f t="shared" si="6"/>
        <v>-8.660456215988778E-2</v>
      </c>
      <c r="T50" s="3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</row>
    <row r="51" spans="1:360" x14ac:dyDescent="0.25">
      <c r="A51" s="139" t="str">
        <f>[4]Rates!$A$108</f>
        <v>TN_GSL</v>
      </c>
      <c r="B51" s="19" t="s">
        <v>22</v>
      </c>
      <c r="C51" s="19"/>
      <c r="D51" s="101" t="s">
        <v>59</v>
      </c>
      <c r="E51" s="45">
        <f>F18</f>
        <v>1000</v>
      </c>
      <c r="F51" s="20">
        <f>IF($A51&lt;&gt;"",VLOOKUP($A51,[4]Rates!$A$1:$R$65536,12,FALSE),0)</f>
        <v>2.9192</v>
      </c>
      <c r="G51" s="18">
        <f>E51*F51</f>
        <v>2919.2</v>
      </c>
      <c r="H51" s="39">
        <v>250</v>
      </c>
      <c r="I51" s="20">
        <f>IF($A51&lt;&gt;"",VLOOKUP($A51,[4]Rates!$A$1:$R$65536,14,FALSE),0)</f>
        <v>2.9192</v>
      </c>
      <c r="J51" s="18">
        <f>$E51*I51</f>
        <v>2919.2</v>
      </c>
      <c r="K51" s="38"/>
      <c r="L51" s="171">
        <f>J51-G51</f>
        <v>0</v>
      </c>
      <c r="M51" s="123">
        <f t="shared" ref="M51:M62" si="12">IF((G51)=0,"",(L51/G51))</f>
        <v>0</v>
      </c>
      <c r="N51" s="38"/>
      <c r="O51" s="20">
        <f>IF($A51&lt;&gt;"",VLOOKUP($A51,[4]Rates!$A$1:$R$65536,15,FALSE),0)</f>
        <v>2.9268000000000001</v>
      </c>
      <c r="P51" s="18">
        <f>$E51*O51</f>
        <v>2926.8</v>
      </c>
      <c r="Q51" s="38"/>
      <c r="R51" s="171">
        <f t="shared" si="5"/>
        <v>7.6000000000003638</v>
      </c>
      <c r="S51" s="123">
        <f t="shared" si="6"/>
        <v>2.603453000822268E-3</v>
      </c>
      <c r="T51" s="3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</row>
    <row r="52" spans="1:360" x14ac:dyDescent="0.25">
      <c r="A52" s="139" t="str">
        <f>[4]Rates!$A$109</f>
        <v>TC_GSL</v>
      </c>
      <c r="B52" s="40" t="s">
        <v>23</v>
      </c>
      <c r="C52" s="19"/>
      <c r="D52" s="101" t="s">
        <v>59</v>
      </c>
      <c r="E52" s="45">
        <f>E51</f>
        <v>1000</v>
      </c>
      <c r="F52" s="20">
        <f>IF($A52&lt;&gt;"",VLOOKUP($A52,[4]Rates!$A$1:$R$65536,12,FALSE),0)</f>
        <v>1.1726000000000001</v>
      </c>
      <c r="G52" s="18">
        <f>E52*F52</f>
        <v>1172.6000000000001</v>
      </c>
      <c r="H52" s="39">
        <v>250</v>
      </c>
      <c r="I52" s="20">
        <f>IF($A52&lt;&gt;"",VLOOKUP($A52,[4]Rates!$A$1:$R$65536,14,FALSE),0)</f>
        <v>1.1726000000000001</v>
      </c>
      <c r="J52" s="18">
        <f>$E52*I52</f>
        <v>1172.6000000000001</v>
      </c>
      <c r="K52" s="38"/>
      <c r="L52" s="171">
        <f t="shared" si="2"/>
        <v>0</v>
      </c>
      <c r="M52" s="123">
        <f t="shared" si="12"/>
        <v>0</v>
      </c>
      <c r="N52" s="38"/>
      <c r="O52" s="20">
        <f>IF($A52&lt;&gt;"",VLOOKUP($A52,[4]Rates!$A$1:$R$65536,15,FALSE),0)</f>
        <v>1.2618</v>
      </c>
      <c r="P52" s="18">
        <f>$E52*O52</f>
        <v>1261.8</v>
      </c>
      <c r="Q52" s="38"/>
      <c r="R52" s="171">
        <f t="shared" si="5"/>
        <v>89.199999999999818</v>
      </c>
      <c r="S52" s="123">
        <f t="shared" si="6"/>
        <v>7.6070271192222247E-2</v>
      </c>
      <c r="T52" s="38"/>
    </row>
    <row r="53" spans="1:360" x14ac:dyDescent="0.25">
      <c r="B53" s="33" t="s">
        <v>24</v>
      </c>
      <c r="C53" s="25"/>
      <c r="D53" s="41"/>
      <c r="E53" s="36"/>
      <c r="F53" s="41"/>
      <c r="G53" s="37">
        <f>SUM(G50:G52)</f>
        <v>7629.99</v>
      </c>
      <c r="H53" s="17"/>
      <c r="I53" s="41"/>
      <c r="J53" s="37">
        <f>SUM(J50:J52)</f>
        <v>10080.629999999999</v>
      </c>
      <c r="K53" s="109"/>
      <c r="L53" s="172">
        <f t="shared" si="2"/>
        <v>2450.6399999999994</v>
      </c>
      <c r="M53" s="125">
        <f t="shared" si="12"/>
        <v>0.32118521780500359</v>
      </c>
      <c r="N53" s="109"/>
      <c r="O53" s="41"/>
      <c r="P53" s="37">
        <f>SUM(P50:P52)</f>
        <v>9658.7699999999986</v>
      </c>
      <c r="Q53" s="109"/>
      <c r="R53" s="172">
        <f t="shared" si="5"/>
        <v>-421.86000000000058</v>
      </c>
      <c r="S53" s="125">
        <f t="shared" si="6"/>
        <v>-4.1848574940256768E-2</v>
      </c>
      <c r="T53" s="109"/>
    </row>
    <row r="54" spans="1:360" x14ac:dyDescent="0.25">
      <c r="B54" s="42" t="s">
        <v>25</v>
      </c>
      <c r="C54" s="15"/>
      <c r="D54" s="99" t="s">
        <v>58</v>
      </c>
      <c r="E54" s="137">
        <f>F17+E48</f>
        <v>82760</v>
      </c>
      <c r="F54" s="43">
        <v>3.5999999999999999E-3</v>
      </c>
      <c r="G54" s="44">
        <f t="shared" ref="G54:G62" si="13">E54*F54</f>
        <v>297.93599999999998</v>
      </c>
      <c r="H54" s="39">
        <f>F$17*(1+O$77)</f>
        <v>82952</v>
      </c>
      <c r="I54" s="43">
        <v>3.5999999999999999E-3</v>
      </c>
      <c r="J54" s="44">
        <f>$E54*I54</f>
        <v>297.93599999999998</v>
      </c>
      <c r="K54" s="17"/>
      <c r="L54" s="173">
        <f>J54-G54</f>
        <v>0</v>
      </c>
      <c r="M54" s="126">
        <f t="shared" si="12"/>
        <v>0</v>
      </c>
      <c r="N54" s="17"/>
      <c r="O54" s="43">
        <v>3.5999999999999999E-3</v>
      </c>
      <c r="P54" s="44">
        <f>$H54*O54</f>
        <v>298.62720000000002</v>
      </c>
      <c r="Q54" s="17"/>
      <c r="R54" s="173">
        <f>P54-J54</f>
        <v>0.69120000000003756</v>
      </c>
      <c r="S54" s="126">
        <f t="shared" si="6"/>
        <v>2.3199613339778932E-3</v>
      </c>
      <c r="T54" s="363"/>
      <c r="U54" s="93"/>
    </row>
    <row r="55" spans="1:360" x14ac:dyDescent="0.25">
      <c r="B55" s="42" t="s">
        <v>26</v>
      </c>
      <c r="C55" s="15"/>
      <c r="D55" s="99" t="s">
        <v>58</v>
      </c>
      <c r="E55" s="137">
        <f>E54</f>
        <v>82760</v>
      </c>
      <c r="F55" s="43">
        <v>1.2999999999999999E-3</v>
      </c>
      <c r="G55" s="44">
        <f t="shared" si="13"/>
        <v>107.58799999999999</v>
      </c>
      <c r="H55" s="39">
        <f>F$17*(1+O$77)</f>
        <v>82952</v>
      </c>
      <c r="I55" s="43">
        <v>1.2999999999999999E-3</v>
      </c>
      <c r="J55" s="44">
        <f>$E55*I55</f>
        <v>107.58799999999999</v>
      </c>
      <c r="K55" s="17"/>
      <c r="L55" s="173">
        <f t="shared" si="2"/>
        <v>0</v>
      </c>
      <c r="M55" s="126">
        <f t="shared" si="12"/>
        <v>0</v>
      </c>
      <c r="N55" s="17"/>
      <c r="O55" s="43">
        <v>1.2999999999999999E-3</v>
      </c>
      <c r="P55" s="44">
        <f>$H55*O55</f>
        <v>107.83759999999999</v>
      </c>
      <c r="Q55" s="17"/>
      <c r="R55" s="173">
        <f t="shared" si="5"/>
        <v>0.24960000000000093</v>
      </c>
      <c r="S55" s="126">
        <f t="shared" si="6"/>
        <v>2.3199613339777757E-3</v>
      </c>
      <c r="T55" s="363"/>
      <c r="U55" s="93"/>
    </row>
    <row r="56" spans="1:360" x14ac:dyDescent="0.25">
      <c r="B56" s="15" t="s">
        <v>27</v>
      </c>
      <c r="C56" s="15"/>
      <c r="D56" s="99" t="s">
        <v>57</v>
      </c>
      <c r="E56" s="137">
        <v>1</v>
      </c>
      <c r="F56" s="134">
        <v>0.25</v>
      </c>
      <c r="G56" s="44">
        <f t="shared" si="13"/>
        <v>0.25</v>
      </c>
      <c r="H56" s="17"/>
      <c r="I56" s="134">
        <v>0.25</v>
      </c>
      <c r="J56" s="44">
        <f t="shared" ref="J56:J62" si="14">$E56*I56</f>
        <v>0.25</v>
      </c>
      <c r="K56" s="17"/>
      <c r="L56" s="173">
        <f t="shared" si="2"/>
        <v>0</v>
      </c>
      <c r="M56" s="126">
        <f t="shared" si="12"/>
        <v>0</v>
      </c>
      <c r="N56" s="17"/>
      <c r="O56" s="43">
        <v>0.25</v>
      </c>
      <c r="P56" s="44">
        <f t="shared" ref="P56:P62" si="15">$E56*O56</f>
        <v>0.25</v>
      </c>
      <c r="Q56" s="17"/>
      <c r="R56" s="173">
        <f t="shared" si="5"/>
        <v>0</v>
      </c>
      <c r="S56" s="126">
        <f t="shared" si="6"/>
        <v>0</v>
      </c>
      <c r="T56" s="363"/>
      <c r="U56" s="93"/>
    </row>
    <row r="57" spans="1:360" x14ac:dyDescent="0.25">
      <c r="B57" s="15" t="s">
        <v>28</v>
      </c>
      <c r="C57" s="15"/>
      <c r="D57" s="99" t="s">
        <v>58</v>
      </c>
      <c r="E57" s="137">
        <f>F17</f>
        <v>80000</v>
      </c>
      <c r="F57" s="43">
        <v>7.0000000000000001E-3</v>
      </c>
      <c r="G57" s="44">
        <f t="shared" si="13"/>
        <v>560</v>
      </c>
      <c r="H57" s="17"/>
      <c r="I57" s="318">
        <v>7.0000000000000001E-3</v>
      </c>
      <c r="J57" s="44">
        <f t="shared" si="14"/>
        <v>560</v>
      </c>
      <c r="K57" s="17"/>
      <c r="L57" s="173">
        <f t="shared" si="2"/>
        <v>0</v>
      </c>
      <c r="M57" s="126">
        <f t="shared" si="12"/>
        <v>0</v>
      </c>
      <c r="N57" s="17"/>
      <c r="O57" s="43">
        <v>7.0000000000000001E-3</v>
      </c>
      <c r="P57" s="44">
        <f t="shared" si="15"/>
        <v>560</v>
      </c>
      <c r="Q57" s="17"/>
      <c r="R57" s="173">
        <f t="shared" si="5"/>
        <v>0</v>
      </c>
      <c r="S57" s="126">
        <f t="shared" si="6"/>
        <v>0</v>
      </c>
      <c r="T57" s="363"/>
      <c r="U57" s="93"/>
    </row>
    <row r="58" spans="1:360" x14ac:dyDescent="0.25">
      <c r="B58" s="31" t="s">
        <v>29</v>
      </c>
      <c r="C58" s="15"/>
      <c r="D58" s="99" t="s">
        <v>58</v>
      </c>
      <c r="E58" s="137">
        <f>0.64*$F$17+E48*0.64</f>
        <v>52966.400000000001</v>
      </c>
      <c r="F58" s="46">
        <f>Residential!F55</f>
        <v>8.6999999999999994E-2</v>
      </c>
      <c r="G58" s="44">
        <f t="shared" si="13"/>
        <v>4608.0767999999998</v>
      </c>
      <c r="H58" s="136">
        <f>0.64*$F$17+H48*0.64</f>
        <v>53089.279999999999</v>
      </c>
      <c r="I58" s="46">
        <f>F58</f>
        <v>8.6999999999999994E-2</v>
      </c>
      <c r="J58" s="44">
        <f>$E58*I58</f>
        <v>4608.0767999999998</v>
      </c>
      <c r="K58" s="17"/>
      <c r="L58" s="174">
        <f t="shared" si="2"/>
        <v>0</v>
      </c>
      <c r="M58" s="126">
        <f t="shared" si="12"/>
        <v>0</v>
      </c>
      <c r="N58" s="17"/>
      <c r="O58" s="46">
        <f>I58</f>
        <v>8.6999999999999994E-2</v>
      </c>
      <c r="P58" s="44">
        <f>$H58*O58</f>
        <v>4618.7673599999998</v>
      </c>
      <c r="Q58" s="17"/>
      <c r="R58" s="174">
        <f t="shared" si="5"/>
        <v>10.690560000000005</v>
      </c>
      <c r="S58" s="126">
        <f t="shared" si="6"/>
        <v>2.3199613339777683E-3</v>
      </c>
      <c r="T58" s="363"/>
      <c r="U58" s="93"/>
    </row>
    <row r="59" spans="1:360" x14ac:dyDescent="0.25">
      <c r="B59" s="31" t="s">
        <v>30</v>
      </c>
      <c r="C59" s="15"/>
      <c r="D59" s="99" t="s">
        <v>58</v>
      </c>
      <c r="E59" s="137">
        <f>0.18*$F$17+E48*0.18</f>
        <v>14896.8</v>
      </c>
      <c r="F59" s="46">
        <f>Residential!F56</f>
        <v>0.13200000000000001</v>
      </c>
      <c r="G59" s="44">
        <f t="shared" si="13"/>
        <v>1966.3776</v>
      </c>
      <c r="H59" s="136">
        <f>0.18*$F$17+H48*0.18</f>
        <v>14931.36</v>
      </c>
      <c r="I59" s="46">
        <f t="shared" ref="I59:I62" si="16">F59</f>
        <v>0.13200000000000001</v>
      </c>
      <c r="J59" s="44">
        <f>$E59*I59</f>
        <v>1966.3776</v>
      </c>
      <c r="K59" s="17"/>
      <c r="L59" s="174">
        <f t="shared" si="2"/>
        <v>0</v>
      </c>
      <c r="M59" s="126">
        <f t="shared" si="12"/>
        <v>0</v>
      </c>
      <c r="N59" s="17"/>
      <c r="O59" s="46">
        <f t="shared" ref="O59:O62" si="17">I59</f>
        <v>0.13200000000000001</v>
      </c>
      <c r="P59" s="44">
        <f t="shared" ref="P59:P60" si="18">$H59*O59</f>
        <v>1970.9395200000001</v>
      </c>
      <c r="Q59" s="17"/>
      <c r="R59" s="174">
        <f t="shared" si="5"/>
        <v>4.5619200000001001</v>
      </c>
      <c r="S59" s="126">
        <f t="shared" si="6"/>
        <v>2.3199613339778178E-3</v>
      </c>
      <c r="T59" s="363"/>
      <c r="U59" s="93"/>
    </row>
    <row r="60" spans="1:360" x14ac:dyDescent="0.25">
      <c r="B60" s="7" t="s">
        <v>31</v>
      </c>
      <c r="C60" s="15"/>
      <c r="D60" s="99" t="s">
        <v>58</v>
      </c>
      <c r="E60" s="137">
        <f>0.18*$F$17+E48*0.18</f>
        <v>14896.8</v>
      </c>
      <c r="F60" s="46">
        <f>Residential!F57</f>
        <v>0.18</v>
      </c>
      <c r="G60" s="44">
        <f t="shared" si="13"/>
        <v>2681.424</v>
      </c>
      <c r="H60" s="136">
        <f>0.18*$F$17+H48*0.18</f>
        <v>14931.36</v>
      </c>
      <c r="I60" s="46">
        <f t="shared" si="16"/>
        <v>0.18</v>
      </c>
      <c r="J60" s="44">
        <f>$E60*I60</f>
        <v>2681.424</v>
      </c>
      <c r="K60" s="17"/>
      <c r="L60" s="174">
        <f t="shared" si="2"/>
        <v>0</v>
      </c>
      <c r="M60" s="126">
        <f t="shared" si="12"/>
        <v>0</v>
      </c>
      <c r="N60" s="17"/>
      <c r="O60" s="46">
        <f t="shared" si="17"/>
        <v>0.18</v>
      </c>
      <c r="P60" s="44">
        <f t="shared" si="18"/>
        <v>2687.6448</v>
      </c>
      <c r="Q60" s="17"/>
      <c r="R60" s="174">
        <f t="shared" si="5"/>
        <v>6.2208000000000538</v>
      </c>
      <c r="S60" s="126">
        <f t="shared" si="6"/>
        <v>2.319961333977787E-3</v>
      </c>
      <c r="T60" s="363"/>
      <c r="U60" s="93"/>
    </row>
    <row r="61" spans="1:360" s="51" customFormat="1" x14ac:dyDescent="0.2">
      <c r="B61" s="48" t="s">
        <v>136</v>
      </c>
      <c r="C61" s="49"/>
      <c r="D61" s="102" t="s">
        <v>58</v>
      </c>
      <c r="E61" s="138">
        <f>F17</f>
        <v>80000</v>
      </c>
      <c r="F61" s="43">
        <v>1.1000000000000001E-3</v>
      </c>
      <c r="G61" s="44">
        <f t="shared" si="13"/>
        <v>88</v>
      </c>
      <c r="H61" s="110"/>
      <c r="I61" s="43">
        <v>1.1000000000000001E-3</v>
      </c>
      <c r="J61" s="44">
        <f t="shared" si="14"/>
        <v>88</v>
      </c>
      <c r="K61" s="110"/>
      <c r="L61" s="173">
        <f t="shared" si="2"/>
        <v>0</v>
      </c>
      <c r="M61" s="126">
        <f t="shared" si="12"/>
        <v>0</v>
      </c>
      <c r="N61" s="110"/>
      <c r="O61" s="46">
        <f t="shared" si="17"/>
        <v>1.1000000000000001E-3</v>
      </c>
      <c r="P61" s="44">
        <f t="shared" si="15"/>
        <v>88</v>
      </c>
      <c r="Q61" s="110"/>
      <c r="R61" s="174">
        <f t="shared" si="5"/>
        <v>0</v>
      </c>
      <c r="S61" s="126">
        <f t="shared" si="6"/>
        <v>0</v>
      </c>
      <c r="T61" s="364"/>
      <c r="U61" s="367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</row>
    <row r="62" spans="1:360" s="51" customFormat="1" ht="15.75" thickBot="1" x14ac:dyDescent="0.25">
      <c r="B62" s="48"/>
      <c r="C62" s="49"/>
      <c r="D62" s="102"/>
      <c r="E62" s="138"/>
      <c r="F62" s="46"/>
      <c r="G62" s="44">
        <f t="shared" si="13"/>
        <v>0</v>
      </c>
      <c r="H62" s="110"/>
      <c r="I62" s="46">
        <f t="shared" si="16"/>
        <v>0</v>
      </c>
      <c r="J62" s="44">
        <f t="shared" si="14"/>
        <v>0</v>
      </c>
      <c r="K62" s="110"/>
      <c r="L62" s="174">
        <f t="shared" si="2"/>
        <v>0</v>
      </c>
      <c r="M62" s="126" t="str">
        <f t="shared" si="12"/>
        <v/>
      </c>
      <c r="N62" s="110"/>
      <c r="O62" s="46">
        <f t="shared" si="17"/>
        <v>0</v>
      </c>
      <c r="P62" s="44">
        <f t="shared" si="15"/>
        <v>0</v>
      </c>
      <c r="Q62" s="110"/>
      <c r="R62" s="174">
        <f t="shared" si="5"/>
        <v>0</v>
      </c>
      <c r="S62" s="126" t="str">
        <f t="shared" si="6"/>
        <v/>
      </c>
      <c r="T62" s="364"/>
      <c r="U62" s="367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</row>
    <row r="63" spans="1:360" ht="15.75" thickBot="1" x14ac:dyDescent="0.3">
      <c r="B63" s="52"/>
      <c r="C63" s="53"/>
      <c r="D63" s="103"/>
      <c r="E63" s="54"/>
      <c r="F63" s="85"/>
      <c r="G63" s="86"/>
      <c r="H63" s="17"/>
      <c r="I63" s="85"/>
      <c r="J63" s="86"/>
      <c r="K63" s="17"/>
      <c r="L63" s="175"/>
      <c r="M63" s="127"/>
      <c r="N63" s="17"/>
      <c r="O63" s="85"/>
      <c r="P63" s="86"/>
      <c r="Q63" s="17"/>
      <c r="R63" s="175"/>
      <c r="S63" s="127"/>
      <c r="T63" s="363"/>
      <c r="U63" s="93"/>
    </row>
    <row r="64" spans="1:360" x14ac:dyDescent="0.25">
      <c r="B64" s="55" t="s">
        <v>32</v>
      </c>
      <c r="C64" s="15"/>
      <c r="D64" s="15"/>
      <c r="E64" s="104"/>
      <c r="F64" s="56"/>
      <c r="G64" s="58">
        <f>SUM(G54:G61,G53)</f>
        <v>17939.642399999997</v>
      </c>
      <c r="H64" s="57"/>
      <c r="I64" s="56"/>
      <c r="J64" s="58">
        <f>SUM(J54:J61,J53)</f>
        <v>20390.282399999996</v>
      </c>
      <c r="K64" s="57"/>
      <c r="L64" s="176">
        <f>J64-G64</f>
        <v>2450.6399999999994</v>
      </c>
      <c r="M64" s="128">
        <f>IF((G64)=0,"",(L64/G64))</f>
        <v>0.136604729646116</v>
      </c>
      <c r="N64" s="57"/>
      <c r="O64" s="56"/>
      <c r="P64" s="58">
        <f>SUM(P54:P61,P53)</f>
        <v>19990.836479999998</v>
      </c>
      <c r="Q64" s="57"/>
      <c r="R64" s="176">
        <f>P64-J64</f>
        <v>-399.4459199999983</v>
      </c>
      <c r="S64" s="128">
        <f>IF((J64)=0,"",(R64/J64))</f>
        <v>-1.9590014113781886E-2</v>
      </c>
      <c r="T64" s="365"/>
      <c r="U64" s="93"/>
    </row>
    <row r="65" spans="1:360" x14ac:dyDescent="0.25">
      <c r="B65" s="59" t="s">
        <v>33</v>
      </c>
      <c r="C65" s="15"/>
      <c r="D65" s="15"/>
      <c r="E65" s="21"/>
      <c r="F65" s="60">
        <v>0.13</v>
      </c>
      <c r="G65" s="62">
        <f>G64*F65</f>
        <v>2332.1535119999999</v>
      </c>
      <c r="H65" s="61"/>
      <c r="I65" s="60">
        <v>0.13</v>
      </c>
      <c r="J65" s="62">
        <f>J64*I65</f>
        <v>2650.7367119999994</v>
      </c>
      <c r="K65" s="61"/>
      <c r="L65" s="176">
        <f>J65-G65</f>
        <v>318.58319999999958</v>
      </c>
      <c r="M65" s="129">
        <f>IF((G65)=0,"",(L65/G65))</f>
        <v>0.13660472964611586</v>
      </c>
      <c r="N65" s="61"/>
      <c r="O65" s="60">
        <v>0.13</v>
      </c>
      <c r="P65" s="62">
        <f>P64*O65</f>
        <v>2598.8087424</v>
      </c>
      <c r="Q65" s="61"/>
      <c r="R65" s="176">
        <f t="shared" si="5"/>
        <v>-51.927969599999415</v>
      </c>
      <c r="S65" s="129">
        <f t="shared" ref="S65:S67" si="19">IF((J65)=0,"",(R65/J65))</f>
        <v>-1.9590014113781747E-2</v>
      </c>
      <c r="T65" s="366"/>
      <c r="U65" s="93"/>
    </row>
    <row r="66" spans="1:360" x14ac:dyDescent="0.25">
      <c r="B66" s="63" t="s">
        <v>34</v>
      </c>
      <c r="C66" s="15"/>
      <c r="D66" s="15"/>
      <c r="E66" s="21"/>
      <c r="F66" s="64"/>
      <c r="G66" s="62">
        <f>G64+G65</f>
        <v>20271.795911999998</v>
      </c>
      <c r="H66" s="61"/>
      <c r="I66" s="64"/>
      <c r="J66" s="62">
        <f>J64+J65</f>
        <v>23041.019111999994</v>
      </c>
      <c r="K66" s="61"/>
      <c r="L66" s="176">
        <f>J66-G66</f>
        <v>2769.2231999999967</v>
      </c>
      <c r="M66" s="129">
        <f>IF((G66)=0,"",(L66/G66))</f>
        <v>0.13660472964611586</v>
      </c>
      <c r="N66" s="61"/>
      <c r="O66" s="64"/>
      <c r="P66" s="62">
        <f>P64+P65</f>
        <v>22589.645222399999</v>
      </c>
      <c r="Q66" s="61"/>
      <c r="R66" s="176">
        <f t="shared" si="5"/>
        <v>-451.37388959999589</v>
      </c>
      <c r="S66" s="129">
        <f t="shared" si="19"/>
        <v>-1.9590014113781792E-2</v>
      </c>
      <c r="T66" s="366"/>
      <c r="U66" s="93"/>
    </row>
    <row r="67" spans="1:360" ht="15" customHeight="1" x14ac:dyDescent="0.25">
      <c r="B67" s="406" t="s">
        <v>35</v>
      </c>
      <c r="C67" s="406"/>
      <c r="D67" s="406"/>
      <c r="E67" s="21"/>
      <c r="F67" s="64"/>
      <c r="G67" s="65"/>
      <c r="H67" s="61"/>
      <c r="I67" s="64"/>
      <c r="J67" s="65"/>
      <c r="K67" s="61"/>
      <c r="L67" s="177">
        <f>J67-G67</f>
        <v>0</v>
      </c>
      <c r="M67" s="130" t="str">
        <f>IF((G67)=0,"",(L67/G67))</f>
        <v/>
      </c>
      <c r="N67" s="61"/>
      <c r="O67" s="64"/>
      <c r="P67" s="65"/>
      <c r="Q67" s="61"/>
      <c r="R67" s="177">
        <f t="shared" si="5"/>
        <v>0</v>
      </c>
      <c r="S67" s="130" t="str">
        <f t="shared" si="19"/>
        <v/>
      </c>
      <c r="T67" s="366"/>
      <c r="U67" s="93"/>
    </row>
    <row r="68" spans="1:360" ht="15.75" customHeight="1" thickBot="1" x14ac:dyDescent="0.3">
      <c r="B68" s="407" t="s">
        <v>36</v>
      </c>
      <c r="C68" s="407"/>
      <c r="D68" s="407"/>
      <c r="E68" s="105"/>
      <c r="F68" s="66"/>
      <c r="G68" s="67">
        <f>G66+G67</f>
        <v>20271.795911999998</v>
      </c>
      <c r="H68" s="57"/>
      <c r="I68" s="66"/>
      <c r="J68" s="67">
        <f>J66+J67</f>
        <v>23041.019111999994</v>
      </c>
      <c r="K68" s="57"/>
      <c r="L68" s="178">
        <f>J68-G68</f>
        <v>2769.2231999999967</v>
      </c>
      <c r="M68" s="131">
        <f>IF((G68)=0,"",(L68/G68))</f>
        <v>0.13660472964611586</v>
      </c>
      <c r="N68" s="57"/>
      <c r="O68" s="66"/>
      <c r="P68" s="67">
        <f>P66+P67</f>
        <v>22589.645222399999</v>
      </c>
      <c r="Q68" s="57"/>
      <c r="R68" s="178">
        <f t="shared" si="5"/>
        <v>-451.37388959999589</v>
      </c>
      <c r="S68" s="131">
        <f>IF((J68)=0,"",(R68/J68))</f>
        <v>-1.9590014113781792E-2</v>
      </c>
      <c r="T68" s="365"/>
      <c r="U68" s="93"/>
    </row>
    <row r="69" spans="1:360" s="51" customFormat="1" ht="15.75" thickBot="1" x14ac:dyDescent="0.25">
      <c r="B69" s="68"/>
      <c r="C69" s="69"/>
      <c r="D69" s="70"/>
      <c r="E69" s="71"/>
      <c r="F69" s="85"/>
      <c r="G69" s="86"/>
      <c r="H69" s="110"/>
      <c r="I69" s="85"/>
      <c r="J69" s="86"/>
      <c r="K69" s="110"/>
      <c r="L69" s="179"/>
      <c r="M69" s="127"/>
      <c r="N69" s="110"/>
      <c r="O69" s="85"/>
      <c r="P69" s="86"/>
      <c r="Q69" s="110"/>
      <c r="R69" s="179"/>
      <c r="S69" s="127"/>
      <c r="T69" s="364"/>
      <c r="U69" s="36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  <c r="IX69" s="98"/>
      <c r="IY69" s="98"/>
      <c r="IZ69" s="98"/>
      <c r="JA69" s="98"/>
      <c r="JB69" s="98"/>
      <c r="JC69" s="98"/>
      <c r="JD69" s="98"/>
      <c r="JE69" s="98"/>
      <c r="JF69" s="98"/>
      <c r="JG69" s="98"/>
      <c r="JH69" s="98"/>
      <c r="JI69" s="98"/>
      <c r="JJ69" s="98"/>
      <c r="JK69" s="98"/>
      <c r="JL69" s="98"/>
      <c r="JM69" s="98"/>
      <c r="JN69" s="98"/>
      <c r="JO69" s="98"/>
      <c r="JP69" s="98"/>
      <c r="JQ69" s="98"/>
      <c r="JR69" s="98"/>
      <c r="JS69" s="98"/>
      <c r="JT69" s="98"/>
      <c r="JU69" s="98"/>
      <c r="JV69" s="98"/>
      <c r="JW69" s="98"/>
      <c r="JX69" s="98"/>
      <c r="JY69" s="98"/>
      <c r="JZ69" s="98"/>
      <c r="KA69" s="98"/>
      <c r="KB69" s="98"/>
      <c r="KC69" s="98"/>
      <c r="KD69" s="98"/>
      <c r="KE69" s="98"/>
      <c r="KF69" s="98"/>
      <c r="KG69" s="98"/>
      <c r="KH69" s="98"/>
      <c r="KI69" s="98"/>
      <c r="KJ69" s="98"/>
      <c r="KK69" s="98"/>
      <c r="KL69" s="98"/>
      <c r="KM69" s="98"/>
      <c r="KN69" s="98"/>
      <c r="KO69" s="98"/>
      <c r="KP69" s="98"/>
      <c r="KQ69" s="98"/>
      <c r="KR69" s="98"/>
      <c r="KS69" s="98"/>
      <c r="KT69" s="98"/>
      <c r="KU69" s="98"/>
      <c r="KV69" s="98"/>
      <c r="KW69" s="98"/>
      <c r="KX69" s="98"/>
      <c r="KY69" s="98"/>
      <c r="KZ69" s="98"/>
      <c r="LA69" s="98"/>
      <c r="LB69" s="98"/>
      <c r="LC69" s="98"/>
      <c r="LD69" s="98"/>
      <c r="LE69" s="98"/>
      <c r="LF69" s="98"/>
      <c r="LG69" s="98"/>
      <c r="LH69" s="98"/>
      <c r="LI69" s="98"/>
      <c r="LJ69" s="98"/>
      <c r="LK69" s="98"/>
      <c r="LL69" s="98"/>
      <c r="LM69" s="98"/>
      <c r="LN69" s="98"/>
      <c r="LO69" s="98"/>
      <c r="LP69" s="98"/>
      <c r="LQ69" s="98"/>
      <c r="LR69" s="98"/>
      <c r="LS69" s="98"/>
      <c r="LT69" s="98"/>
      <c r="LU69" s="98"/>
      <c r="LV69" s="98"/>
      <c r="LW69" s="98"/>
      <c r="LX69" s="98"/>
      <c r="LY69" s="98"/>
      <c r="LZ69" s="98"/>
      <c r="MA69" s="98"/>
      <c r="MB69" s="98"/>
      <c r="MC69" s="98"/>
      <c r="MD69" s="98"/>
      <c r="ME69" s="98"/>
      <c r="MF69" s="98"/>
      <c r="MG69" s="98"/>
      <c r="MH69" s="98"/>
      <c r="MI69" s="98"/>
      <c r="MJ69" s="98"/>
      <c r="MK69" s="98"/>
      <c r="ML69" s="98"/>
      <c r="MM69" s="98"/>
      <c r="MN69" s="98"/>
      <c r="MO69" s="98"/>
      <c r="MP69" s="98"/>
      <c r="MQ69" s="98"/>
      <c r="MR69" s="98"/>
      <c r="MS69" s="98"/>
      <c r="MT69" s="98"/>
      <c r="MU69" s="98"/>
      <c r="MV69" s="98"/>
    </row>
    <row r="70" spans="1:360" s="51" customFormat="1" ht="12.75" hidden="1" outlineLevel="1" x14ac:dyDescent="0.2">
      <c r="B70" s="72" t="s">
        <v>37</v>
      </c>
      <c r="C70" s="49"/>
      <c r="D70" s="49"/>
      <c r="E70" s="106"/>
      <c r="F70" s="73"/>
      <c r="G70" s="75">
        <f>SUM(G61:G62,G53,G54:G57)</f>
        <v>8683.7639999999992</v>
      </c>
      <c r="H70" s="74"/>
      <c r="I70" s="73"/>
      <c r="J70" s="75">
        <f>SUM(J61:J62,J53,J54:J57)</f>
        <v>11134.403999999999</v>
      </c>
      <c r="K70" s="74"/>
      <c r="L70" s="180">
        <f>J70-G70</f>
        <v>2450.6399999999994</v>
      </c>
      <c r="M70" s="128">
        <f>IF((G70)=0,"",(L70/G70))</f>
        <v>0.28220941978616643</v>
      </c>
      <c r="N70" s="74"/>
      <c r="O70" s="73"/>
      <c r="P70" s="75">
        <f>SUM(P61:P62,P53,P54:P57)</f>
        <v>10713.4848</v>
      </c>
      <c r="Q70" s="74"/>
      <c r="R70" s="180">
        <f t="shared" si="5"/>
        <v>-420.91919999999845</v>
      </c>
      <c r="S70" s="128">
        <f>IF((J70)=0,"",(R70/J70))</f>
        <v>-3.7803478300230398E-2</v>
      </c>
      <c r="T70" s="74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  <c r="IX70" s="98"/>
      <c r="IY70" s="98"/>
      <c r="IZ70" s="98"/>
      <c r="JA70" s="98"/>
      <c r="JB70" s="98"/>
      <c r="JC70" s="98"/>
      <c r="JD70" s="98"/>
      <c r="JE70" s="98"/>
      <c r="JF70" s="98"/>
      <c r="JG70" s="98"/>
      <c r="JH70" s="98"/>
      <c r="JI70" s="98"/>
      <c r="JJ70" s="98"/>
      <c r="JK70" s="98"/>
      <c r="JL70" s="98"/>
      <c r="JM70" s="98"/>
      <c r="JN70" s="98"/>
      <c r="JO70" s="98"/>
      <c r="JP70" s="98"/>
      <c r="JQ70" s="98"/>
      <c r="JR70" s="98"/>
      <c r="JS70" s="98"/>
      <c r="JT70" s="98"/>
      <c r="JU70" s="98"/>
      <c r="JV70" s="98"/>
      <c r="JW70" s="98"/>
      <c r="JX70" s="98"/>
      <c r="JY70" s="98"/>
      <c r="JZ70" s="98"/>
      <c r="KA70" s="98"/>
      <c r="KB70" s="98"/>
      <c r="KC70" s="98"/>
      <c r="KD70" s="98"/>
      <c r="KE70" s="98"/>
      <c r="KF70" s="98"/>
      <c r="KG70" s="98"/>
      <c r="KH70" s="98"/>
      <c r="KI70" s="98"/>
      <c r="KJ70" s="98"/>
      <c r="KK70" s="98"/>
      <c r="KL70" s="98"/>
      <c r="KM70" s="98"/>
      <c r="KN70" s="98"/>
      <c r="KO70" s="98"/>
      <c r="KP70" s="98"/>
      <c r="KQ70" s="98"/>
      <c r="KR70" s="98"/>
      <c r="KS70" s="98"/>
      <c r="KT70" s="98"/>
      <c r="KU70" s="98"/>
      <c r="KV70" s="98"/>
      <c r="KW70" s="98"/>
      <c r="KX70" s="98"/>
      <c r="KY70" s="98"/>
      <c r="KZ70" s="98"/>
      <c r="LA70" s="98"/>
      <c r="LB70" s="98"/>
      <c r="LC70" s="98"/>
      <c r="LD70" s="98"/>
      <c r="LE70" s="98"/>
      <c r="LF70" s="98"/>
      <c r="LG70" s="98"/>
      <c r="LH70" s="98"/>
      <c r="LI70" s="98"/>
      <c r="LJ70" s="98"/>
      <c r="LK70" s="98"/>
      <c r="LL70" s="98"/>
      <c r="LM70" s="98"/>
      <c r="LN70" s="98"/>
      <c r="LO70" s="98"/>
      <c r="LP70" s="98"/>
      <c r="LQ70" s="98"/>
      <c r="LR70" s="98"/>
      <c r="LS70" s="98"/>
      <c r="LT70" s="98"/>
      <c r="LU70" s="98"/>
      <c r="LV70" s="98"/>
      <c r="LW70" s="98"/>
      <c r="LX70" s="98"/>
      <c r="LY70" s="98"/>
      <c r="LZ70" s="98"/>
      <c r="MA70" s="98"/>
      <c r="MB70" s="98"/>
      <c r="MC70" s="98"/>
      <c r="MD70" s="98"/>
      <c r="ME70" s="98"/>
      <c r="MF70" s="98"/>
      <c r="MG70" s="98"/>
      <c r="MH70" s="98"/>
      <c r="MI70" s="98"/>
      <c r="MJ70" s="98"/>
      <c r="MK70" s="98"/>
      <c r="ML70" s="98"/>
      <c r="MM70" s="98"/>
      <c r="MN70" s="98"/>
      <c r="MO70" s="98"/>
      <c r="MP70" s="98"/>
      <c r="MQ70" s="98"/>
      <c r="MR70" s="98"/>
      <c r="MS70" s="98"/>
      <c r="MT70" s="98"/>
      <c r="MU70" s="98"/>
      <c r="MV70" s="98"/>
    </row>
    <row r="71" spans="1:360" s="51" customFormat="1" ht="12.75" hidden="1" outlineLevel="1" x14ac:dyDescent="0.2">
      <c r="B71" s="76" t="s">
        <v>33</v>
      </c>
      <c r="C71" s="49"/>
      <c r="D71" s="49"/>
      <c r="E71" s="106"/>
      <c r="F71" s="77">
        <v>0.13</v>
      </c>
      <c r="G71" s="79">
        <f>G70*F71</f>
        <v>1128.88932</v>
      </c>
      <c r="H71" s="78"/>
      <c r="I71" s="77">
        <v>0.13</v>
      </c>
      <c r="J71" s="79">
        <f>J70*I71</f>
        <v>1447.4725199999998</v>
      </c>
      <c r="K71" s="78"/>
      <c r="L71" s="180">
        <f>J71-G71</f>
        <v>318.58319999999981</v>
      </c>
      <c r="M71" s="129">
        <f>IF((G71)=0,"",(L71/G71))</f>
        <v>0.28220941978616632</v>
      </c>
      <c r="N71" s="78"/>
      <c r="O71" s="77">
        <v>0.13</v>
      </c>
      <c r="P71" s="79">
        <f>P70*O71</f>
        <v>1392.7530240000001</v>
      </c>
      <c r="Q71" s="78"/>
      <c r="R71" s="180">
        <f t="shared" si="5"/>
        <v>-54.719495999999708</v>
      </c>
      <c r="S71" s="129">
        <f t="shared" ref="S71:S74" si="20">IF((J71)=0,"",(R71/J71))</f>
        <v>-3.7803478300230335E-2</v>
      </c>
      <c r="T71" s="7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  <c r="IX71" s="98"/>
      <c r="IY71" s="98"/>
      <c r="IZ71" s="98"/>
      <c r="JA71" s="98"/>
      <c r="JB71" s="98"/>
      <c r="JC71" s="98"/>
      <c r="JD71" s="98"/>
      <c r="JE71" s="98"/>
      <c r="JF71" s="98"/>
      <c r="JG71" s="98"/>
      <c r="JH71" s="98"/>
      <c r="JI71" s="98"/>
      <c r="JJ71" s="98"/>
      <c r="JK71" s="98"/>
      <c r="JL71" s="98"/>
      <c r="JM71" s="98"/>
      <c r="JN71" s="98"/>
      <c r="JO71" s="98"/>
      <c r="JP71" s="98"/>
      <c r="JQ71" s="98"/>
      <c r="JR71" s="98"/>
      <c r="JS71" s="98"/>
      <c r="JT71" s="98"/>
      <c r="JU71" s="98"/>
      <c r="JV71" s="98"/>
      <c r="JW71" s="98"/>
      <c r="JX71" s="98"/>
      <c r="JY71" s="98"/>
      <c r="JZ71" s="98"/>
      <c r="KA71" s="98"/>
      <c r="KB71" s="98"/>
      <c r="KC71" s="98"/>
      <c r="KD71" s="98"/>
      <c r="KE71" s="98"/>
      <c r="KF71" s="98"/>
      <c r="KG71" s="98"/>
      <c r="KH71" s="98"/>
      <c r="KI71" s="98"/>
      <c r="KJ71" s="98"/>
      <c r="KK71" s="98"/>
      <c r="KL71" s="98"/>
      <c r="KM71" s="98"/>
      <c r="KN71" s="98"/>
      <c r="KO71" s="98"/>
      <c r="KP71" s="98"/>
      <c r="KQ71" s="98"/>
      <c r="KR71" s="98"/>
      <c r="KS71" s="98"/>
      <c r="KT71" s="98"/>
      <c r="KU71" s="98"/>
      <c r="KV71" s="98"/>
      <c r="KW71" s="98"/>
      <c r="KX71" s="98"/>
      <c r="KY71" s="98"/>
      <c r="KZ71" s="98"/>
      <c r="LA71" s="98"/>
      <c r="LB71" s="98"/>
      <c r="LC71" s="98"/>
      <c r="LD71" s="98"/>
      <c r="LE71" s="98"/>
      <c r="LF71" s="98"/>
      <c r="LG71" s="98"/>
      <c r="LH71" s="98"/>
      <c r="LI71" s="98"/>
      <c r="LJ71" s="98"/>
      <c r="LK71" s="98"/>
      <c r="LL71" s="98"/>
      <c r="LM71" s="98"/>
      <c r="LN71" s="98"/>
      <c r="LO71" s="98"/>
      <c r="LP71" s="98"/>
      <c r="LQ71" s="98"/>
      <c r="LR71" s="98"/>
      <c r="LS71" s="98"/>
      <c r="LT71" s="98"/>
      <c r="LU71" s="98"/>
      <c r="LV71" s="98"/>
      <c r="LW71" s="98"/>
      <c r="LX71" s="98"/>
      <c r="LY71" s="98"/>
      <c r="LZ71" s="98"/>
      <c r="MA71" s="98"/>
      <c r="MB71" s="98"/>
      <c r="MC71" s="98"/>
      <c r="MD71" s="98"/>
      <c r="ME71" s="98"/>
      <c r="MF71" s="98"/>
      <c r="MG71" s="98"/>
      <c r="MH71" s="98"/>
      <c r="MI71" s="98"/>
      <c r="MJ71" s="98"/>
      <c r="MK71" s="98"/>
      <c r="ML71" s="98"/>
      <c r="MM71" s="98"/>
      <c r="MN71" s="98"/>
      <c r="MO71" s="98"/>
      <c r="MP71" s="98"/>
      <c r="MQ71" s="98"/>
      <c r="MR71" s="98"/>
      <c r="MS71" s="98"/>
      <c r="MT71" s="98"/>
      <c r="MU71" s="98"/>
      <c r="MV71" s="98"/>
    </row>
    <row r="72" spans="1:360" s="51" customFormat="1" ht="12.75" hidden="1" outlineLevel="1" x14ac:dyDescent="0.2">
      <c r="B72" s="80" t="s">
        <v>34</v>
      </c>
      <c r="C72" s="49"/>
      <c r="D72" s="49"/>
      <c r="E72" s="107"/>
      <c r="F72" s="81"/>
      <c r="G72" s="79">
        <f>G70+G71</f>
        <v>9812.6533199999994</v>
      </c>
      <c r="H72" s="78"/>
      <c r="I72" s="81"/>
      <c r="J72" s="79">
        <f>J70+J71</f>
        <v>12581.876519999998</v>
      </c>
      <c r="K72" s="78"/>
      <c r="L72" s="180">
        <f>J72-G72</f>
        <v>2769.2231999999985</v>
      </c>
      <c r="M72" s="129">
        <f>IF((G72)=0,"",(L72/G72))</f>
        <v>0.28220941978616632</v>
      </c>
      <c r="N72" s="78"/>
      <c r="O72" s="81"/>
      <c r="P72" s="79">
        <f>P70+P71</f>
        <v>12106.237824</v>
      </c>
      <c r="Q72" s="78"/>
      <c r="R72" s="180">
        <f t="shared" si="5"/>
        <v>-475.63869599999816</v>
      </c>
      <c r="S72" s="129">
        <f t="shared" si="20"/>
        <v>-3.7803478300230391E-2</v>
      </c>
      <c r="T72" s="7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  <c r="IX72" s="98"/>
      <c r="IY72" s="98"/>
      <c r="IZ72" s="98"/>
      <c r="JA72" s="98"/>
      <c r="JB72" s="98"/>
      <c r="JC72" s="98"/>
      <c r="JD72" s="98"/>
      <c r="JE72" s="98"/>
      <c r="JF72" s="98"/>
      <c r="JG72" s="98"/>
      <c r="JH72" s="98"/>
      <c r="JI72" s="98"/>
      <c r="JJ72" s="98"/>
      <c r="JK72" s="98"/>
      <c r="JL72" s="98"/>
      <c r="JM72" s="98"/>
      <c r="JN72" s="98"/>
      <c r="JO72" s="98"/>
      <c r="JP72" s="98"/>
      <c r="JQ72" s="98"/>
      <c r="JR72" s="98"/>
      <c r="JS72" s="98"/>
      <c r="JT72" s="98"/>
      <c r="JU72" s="98"/>
      <c r="JV72" s="98"/>
      <c r="JW72" s="98"/>
      <c r="JX72" s="98"/>
      <c r="JY72" s="98"/>
      <c r="JZ72" s="98"/>
      <c r="KA72" s="98"/>
      <c r="KB72" s="98"/>
      <c r="KC72" s="98"/>
      <c r="KD72" s="98"/>
      <c r="KE72" s="98"/>
      <c r="KF72" s="98"/>
      <c r="KG72" s="98"/>
      <c r="KH72" s="98"/>
      <c r="KI72" s="98"/>
      <c r="KJ72" s="98"/>
      <c r="KK72" s="98"/>
      <c r="KL72" s="98"/>
      <c r="KM72" s="98"/>
      <c r="KN72" s="98"/>
      <c r="KO72" s="98"/>
      <c r="KP72" s="98"/>
      <c r="KQ72" s="98"/>
      <c r="KR72" s="98"/>
      <c r="KS72" s="98"/>
      <c r="KT72" s="98"/>
      <c r="KU72" s="98"/>
      <c r="KV72" s="98"/>
      <c r="KW72" s="98"/>
      <c r="KX72" s="98"/>
      <c r="KY72" s="98"/>
      <c r="KZ72" s="98"/>
      <c r="LA72" s="98"/>
      <c r="LB72" s="98"/>
      <c r="LC72" s="98"/>
      <c r="LD72" s="98"/>
      <c r="LE72" s="98"/>
      <c r="LF72" s="98"/>
      <c r="LG72" s="98"/>
      <c r="LH72" s="98"/>
      <c r="LI72" s="98"/>
      <c r="LJ72" s="98"/>
      <c r="LK72" s="98"/>
      <c r="LL72" s="98"/>
      <c r="LM72" s="98"/>
      <c r="LN72" s="98"/>
      <c r="LO72" s="98"/>
      <c r="LP72" s="98"/>
      <c r="LQ72" s="98"/>
      <c r="LR72" s="98"/>
      <c r="LS72" s="98"/>
      <c r="LT72" s="98"/>
      <c r="LU72" s="98"/>
      <c r="LV72" s="98"/>
      <c r="LW72" s="98"/>
      <c r="LX72" s="98"/>
      <c r="LY72" s="98"/>
      <c r="LZ72" s="98"/>
      <c r="MA72" s="98"/>
      <c r="MB72" s="98"/>
      <c r="MC72" s="98"/>
      <c r="MD72" s="98"/>
      <c r="ME72" s="98"/>
      <c r="MF72" s="98"/>
      <c r="MG72" s="98"/>
      <c r="MH72" s="98"/>
      <c r="MI72" s="98"/>
      <c r="MJ72" s="98"/>
      <c r="MK72" s="98"/>
      <c r="ML72" s="98"/>
      <c r="MM72" s="98"/>
      <c r="MN72" s="98"/>
      <c r="MO72" s="98"/>
      <c r="MP72" s="98"/>
      <c r="MQ72" s="98"/>
      <c r="MR72" s="98"/>
      <c r="MS72" s="98"/>
      <c r="MT72" s="98"/>
      <c r="MU72" s="98"/>
      <c r="MV72" s="98"/>
    </row>
    <row r="73" spans="1:360" s="51" customFormat="1" ht="12.75" hidden="1" customHeight="1" outlineLevel="1" x14ac:dyDescent="0.2">
      <c r="B73" s="408" t="s">
        <v>35</v>
      </c>
      <c r="C73" s="408"/>
      <c r="D73" s="408"/>
      <c r="E73" s="107"/>
      <c r="F73" s="81"/>
      <c r="G73" s="82"/>
      <c r="H73" s="78"/>
      <c r="I73" s="81"/>
      <c r="J73" s="82"/>
      <c r="K73" s="78"/>
      <c r="L73" s="181">
        <f>J73-G73</f>
        <v>0</v>
      </c>
      <c r="M73" s="130" t="str">
        <f>IF((G73)=0,"",(L73/G73))</f>
        <v/>
      </c>
      <c r="N73" s="78"/>
      <c r="O73" s="81"/>
      <c r="P73" s="82"/>
      <c r="Q73" s="78"/>
      <c r="R73" s="181">
        <f t="shared" si="5"/>
        <v>0</v>
      </c>
      <c r="S73" s="130" t="str">
        <f t="shared" si="20"/>
        <v/>
      </c>
      <c r="T73" s="7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  <c r="IX73" s="98"/>
      <c r="IY73" s="98"/>
      <c r="IZ73" s="98"/>
      <c r="JA73" s="98"/>
      <c r="JB73" s="98"/>
      <c r="JC73" s="98"/>
      <c r="JD73" s="98"/>
      <c r="JE73" s="98"/>
      <c r="JF73" s="98"/>
      <c r="JG73" s="98"/>
      <c r="JH73" s="98"/>
      <c r="JI73" s="98"/>
      <c r="JJ73" s="98"/>
      <c r="JK73" s="98"/>
      <c r="JL73" s="98"/>
      <c r="JM73" s="98"/>
      <c r="JN73" s="98"/>
      <c r="JO73" s="98"/>
      <c r="JP73" s="98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98"/>
      <c r="LL73" s="98"/>
      <c r="LM73" s="98"/>
      <c r="LN73" s="98"/>
      <c r="LO73" s="98"/>
      <c r="LP73" s="98"/>
      <c r="LQ73" s="98"/>
      <c r="LR73" s="98"/>
      <c r="LS73" s="98"/>
      <c r="LT73" s="98"/>
      <c r="LU73" s="98"/>
      <c r="LV73" s="98"/>
      <c r="LW73" s="98"/>
      <c r="LX73" s="98"/>
      <c r="LY73" s="98"/>
      <c r="LZ73" s="98"/>
      <c r="MA73" s="98"/>
      <c r="MB73" s="98"/>
      <c r="MC73" s="98"/>
      <c r="MD73" s="98"/>
      <c r="ME73" s="98"/>
      <c r="MF73" s="98"/>
      <c r="MG73" s="98"/>
      <c r="MH73" s="98"/>
      <c r="MI73" s="98"/>
      <c r="MJ73" s="98"/>
      <c r="MK73" s="98"/>
      <c r="ML73" s="98"/>
      <c r="MM73" s="98"/>
      <c r="MN73" s="98"/>
      <c r="MO73" s="98"/>
      <c r="MP73" s="98"/>
      <c r="MQ73" s="98"/>
      <c r="MR73" s="98"/>
      <c r="MS73" s="98"/>
      <c r="MT73" s="98"/>
      <c r="MU73" s="98"/>
      <c r="MV73" s="98"/>
    </row>
    <row r="74" spans="1:360" s="51" customFormat="1" ht="13.5" hidden="1" customHeight="1" outlineLevel="1" thickBot="1" x14ac:dyDescent="0.25">
      <c r="B74" s="403" t="s">
        <v>38</v>
      </c>
      <c r="C74" s="403"/>
      <c r="D74" s="403"/>
      <c r="E74" s="108"/>
      <c r="F74" s="83"/>
      <c r="G74" s="84">
        <f>SUM(G72:G73)</f>
        <v>9812.6533199999994</v>
      </c>
      <c r="H74" s="74"/>
      <c r="I74" s="83"/>
      <c r="J74" s="84">
        <f>SUM(J72:J73)</f>
        <v>12581.876519999998</v>
      </c>
      <c r="K74" s="74"/>
      <c r="L74" s="182">
        <f>J74-G74</f>
        <v>2769.2231999999985</v>
      </c>
      <c r="M74" s="132">
        <f>IF((G74)=0,"",(L74/G74))</f>
        <v>0.28220941978616632</v>
      </c>
      <c r="N74" s="74"/>
      <c r="O74" s="83"/>
      <c r="P74" s="84">
        <f>SUM(P72:P73)</f>
        <v>12106.237824</v>
      </c>
      <c r="Q74" s="74"/>
      <c r="R74" s="182">
        <f t="shared" si="5"/>
        <v>-475.63869599999816</v>
      </c>
      <c r="S74" s="132">
        <f t="shared" si="20"/>
        <v>-3.7803478300230391E-2</v>
      </c>
      <c r="T74" s="74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8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8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8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8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8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8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8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</row>
    <row r="75" spans="1:360" s="51" customFormat="1" ht="15.75" hidden="1" outlineLevel="1" thickBot="1" x14ac:dyDescent="0.25">
      <c r="B75" s="68"/>
      <c r="C75" s="69"/>
      <c r="D75" s="70"/>
      <c r="E75" s="71"/>
      <c r="F75" s="85"/>
      <c r="G75" s="91"/>
      <c r="H75" s="110"/>
      <c r="I75" s="85"/>
      <c r="J75" s="91"/>
      <c r="K75" s="110"/>
      <c r="L75" s="175"/>
      <c r="M75" s="133"/>
      <c r="N75" s="110"/>
      <c r="O75" s="85"/>
      <c r="P75" s="91"/>
      <c r="Q75" s="110"/>
      <c r="R75" s="175"/>
      <c r="S75" s="133"/>
      <c r="T75" s="110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8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8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8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8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8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8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8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</row>
    <row r="76" spans="1:360" collapsed="1" x14ac:dyDescent="0.25">
      <c r="J76" s="47"/>
      <c r="P76" s="47"/>
    </row>
    <row r="77" spans="1:360" x14ac:dyDescent="0.25">
      <c r="B77" s="8" t="s">
        <v>39</v>
      </c>
      <c r="F77" s="87">
        <v>3.4500000000000003E-2</v>
      </c>
      <c r="I77" s="87">
        <v>3.4500000000000003E-2</v>
      </c>
      <c r="O77" s="87">
        <v>3.6900000000000002E-2</v>
      </c>
    </row>
    <row r="79" spans="1:360" x14ac:dyDescent="0.25">
      <c r="A79" s="88" t="s">
        <v>40</v>
      </c>
    </row>
    <row r="81" spans="1:360" x14ac:dyDescent="0.25">
      <c r="A81" s="2" t="s">
        <v>41</v>
      </c>
    </row>
    <row r="82" spans="1:360" x14ac:dyDescent="0.25">
      <c r="A82" s="2" t="s">
        <v>42</v>
      </c>
    </row>
    <row r="84" spans="1:360" x14ac:dyDescent="0.25">
      <c r="A84" s="7" t="s">
        <v>43</v>
      </c>
      <c r="M84" s="2"/>
      <c r="S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</row>
    <row r="85" spans="1:360" x14ac:dyDescent="0.25">
      <c r="A85" s="7" t="s">
        <v>44</v>
      </c>
      <c r="M85" s="2"/>
      <c r="S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</row>
    <row r="87" spans="1:360" x14ac:dyDescent="0.25">
      <c r="A87" s="2" t="s">
        <v>45</v>
      </c>
      <c r="M87" s="2"/>
      <c r="S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</row>
    <row r="88" spans="1:360" x14ac:dyDescent="0.25">
      <c r="A88" s="2" t="s">
        <v>46</v>
      </c>
      <c r="M88" s="2"/>
      <c r="S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</row>
    <row r="89" spans="1:360" x14ac:dyDescent="0.25">
      <c r="A89" s="2" t="s">
        <v>47</v>
      </c>
      <c r="M89" s="2"/>
      <c r="S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</row>
    <row r="90" spans="1:360" x14ac:dyDescent="0.25">
      <c r="A90" s="2" t="s">
        <v>48</v>
      </c>
      <c r="M90" s="2"/>
      <c r="S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</row>
    <row r="91" spans="1:360" x14ac:dyDescent="0.25">
      <c r="A91" s="2" t="s">
        <v>49</v>
      </c>
      <c r="M91" s="2"/>
      <c r="S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</row>
    <row r="93" spans="1:360" x14ac:dyDescent="0.25">
      <c r="A93" s="89"/>
      <c r="B93" s="2" t="s">
        <v>50</v>
      </c>
      <c r="M93" s="2"/>
      <c r="S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</row>
  </sheetData>
  <mergeCells count="14">
    <mergeCell ref="O20:P20"/>
    <mergeCell ref="R20:S20"/>
    <mergeCell ref="B74:D74"/>
    <mergeCell ref="D21:D22"/>
    <mergeCell ref="B67:D67"/>
    <mergeCell ref="B68:D68"/>
    <mergeCell ref="B73:D73"/>
    <mergeCell ref="A3:I3"/>
    <mergeCell ref="B10:M10"/>
    <mergeCell ref="B11:M11"/>
    <mergeCell ref="D14:M14"/>
    <mergeCell ref="F20:G20"/>
    <mergeCell ref="I20:J20"/>
    <mergeCell ref="L20:M20"/>
  </mergeCells>
  <dataValidations count="2">
    <dataValidation type="list" allowBlank="1" showInputMessage="1" showErrorMessage="1" prompt="Select Charge Unit - monthly, per kWh, per kW" sqref="D51:D52 D40:D49 D69 D54:D63 D75 D23:D38">
      <formula1>"Monthly, per kWh, per kW"</formula1>
    </dataValidation>
    <dataValidation type="list" allowBlank="1" showInputMessage="1" showErrorMessage="1" sqref="D16">
      <formula1>"TOU, non-TOU"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Summary Tables</vt:lpstr>
      <vt:lpstr>Residential</vt:lpstr>
      <vt:lpstr>GS&lt;50</vt:lpstr>
      <vt:lpstr>GS&gt;50</vt:lpstr>
      <vt:lpstr>LU</vt:lpstr>
      <vt:lpstr>USL</vt:lpstr>
      <vt:lpstr>Sentinel</vt:lpstr>
      <vt:lpstr>SL</vt:lpstr>
      <vt:lpstr>Res - Summary</vt:lpstr>
      <vt:lpstr>100</vt:lpstr>
      <vt:lpstr>250</vt:lpstr>
      <vt:lpstr>10th Percentile</vt:lpstr>
      <vt:lpstr>500</vt:lpstr>
      <vt:lpstr>1000</vt:lpstr>
      <vt:lpstr>1500</vt:lpstr>
      <vt:lpstr>2000</vt:lpstr>
      <vt:lpstr>GS&lt;50 - Summary</vt:lpstr>
      <vt:lpstr>GS1000</vt:lpstr>
      <vt:lpstr>GS3000</vt:lpstr>
      <vt:lpstr>GS5000</vt:lpstr>
      <vt:lpstr>GS10000</vt:lpstr>
      <vt:lpstr>GS15000</vt:lpstr>
      <vt:lpstr>GS&gt;50 - Summary</vt:lpstr>
      <vt:lpstr>GSG60</vt:lpstr>
      <vt:lpstr>GSG100</vt:lpstr>
      <vt:lpstr>GSG500</vt:lpstr>
      <vt:lpstr>GSG1000</vt:lpstr>
      <vt:lpstr>'100'!Print_Area</vt:lpstr>
      <vt:lpstr>'1000'!Print_Area</vt:lpstr>
      <vt:lpstr>'10th Percentile'!Print_Area</vt:lpstr>
      <vt:lpstr>'1500'!Print_Area</vt:lpstr>
      <vt:lpstr>'2000'!Print_Area</vt:lpstr>
      <vt:lpstr>'250'!Print_Area</vt:lpstr>
      <vt:lpstr>'500'!Print_Area</vt:lpstr>
      <vt:lpstr>'GS&lt;50'!Print_Area</vt:lpstr>
      <vt:lpstr>'GS&lt;50 - Summary'!Print_Area</vt:lpstr>
      <vt:lpstr>'GS&gt;50'!Print_Area</vt:lpstr>
      <vt:lpstr>'GS&gt;50 - Summary'!Print_Area</vt:lpstr>
      <vt:lpstr>'GS1000'!Print_Area</vt:lpstr>
      <vt:lpstr>'GS3000'!Print_Area</vt:lpstr>
      <vt:lpstr>LU!Print_Area</vt:lpstr>
      <vt:lpstr>'Res - Summary'!Print_Area</vt:lpstr>
      <vt:lpstr>Residential!Print_Area</vt:lpstr>
      <vt:lpstr>Sentinel!Print_Area</vt:lpstr>
      <vt:lpstr>SL!Print_Area</vt:lpstr>
      <vt:lpstr>'Summary Tables'!Print_Area</vt:lpstr>
      <vt:lpstr>USL!Print_Area</vt:lpstr>
      <vt:lpstr>'Summary Tables'!Print_Titles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Vitalika Quenville</dc:creator>
  <cp:lastModifiedBy>Tom Barrett</cp:lastModifiedBy>
  <cp:lastPrinted>2016-09-15T17:52:21Z</cp:lastPrinted>
  <dcterms:created xsi:type="dcterms:W3CDTF">2014-04-29T13:30:37Z</dcterms:created>
  <dcterms:modified xsi:type="dcterms:W3CDTF">2016-09-15T17:53:46Z</dcterms:modified>
</cp:coreProperties>
</file>