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Summary Tables" sheetId="15" r:id="rId1"/>
    <sheet name="Residential" sheetId="1" r:id="rId2"/>
    <sheet name="GS&lt;50" sheetId="9" r:id="rId3"/>
    <sheet name="GS&gt;50" sheetId="10" r:id="rId4"/>
    <sheet name="LU" sheetId="11" r:id="rId5"/>
    <sheet name="USL" sheetId="12" r:id="rId6"/>
    <sheet name="Sentinel" sheetId="13" r:id="rId7"/>
    <sheet name="SL" sheetId="14" r:id="rId8"/>
  </sheets>
  <externalReferences>
    <externalReference r:id="rId9"/>
    <externalReference r:id="rId10"/>
    <externalReference r:id="rId11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2">'GS&lt;50'!$B$1:$M$74</definedName>
    <definedName name="_xlnm.Print_Area" localSheetId="3">'GS&gt;50'!$B$1:$M$77</definedName>
    <definedName name="_xlnm.Print_Area" localSheetId="4">LU!$B$1:$M$77</definedName>
    <definedName name="_xlnm.Print_Area" localSheetId="1">Residential!$A$1:$M$74</definedName>
    <definedName name="_xlnm.Print_Area" localSheetId="6">Sentinel!$B$1:$M$77</definedName>
    <definedName name="_xlnm.Print_Area" localSheetId="7">SL!$B$1:$M$77</definedName>
    <definedName name="_xlnm.Print_Area" localSheetId="0">'Summary Tables'!$B$35:$G$62</definedName>
    <definedName name="_xlnm.Print_Area" localSheetId="5">USL!$B$1:$M$76</definedName>
    <definedName name="_xlnm.Print_Titles" localSheetId="0">'Summary Tables'!$B:$E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 iterateDelta="1E-4"/>
</workbook>
</file>

<file path=xl/calcChain.xml><?xml version="1.0" encoding="utf-8"?>
<calcChain xmlns="http://schemas.openxmlformats.org/spreadsheetml/2006/main">
  <c r="E31" i="14" l="1"/>
  <c r="E31" i="12"/>
  <c r="H55" i="11" l="1"/>
  <c r="H54" i="11"/>
  <c r="H48" i="11"/>
  <c r="I32" i="1"/>
  <c r="I26" i="1"/>
  <c r="H48" i="1"/>
  <c r="H45" i="1"/>
  <c r="E40" i="14" l="1"/>
  <c r="E41" i="11"/>
  <c r="L20" i="14" l="1"/>
  <c r="I20" i="14"/>
  <c r="L20" i="13"/>
  <c r="I20" i="13"/>
  <c r="L20" i="12"/>
  <c r="I20" i="12"/>
  <c r="L20" i="11"/>
  <c r="I20" i="11"/>
  <c r="L20" i="10"/>
  <c r="I20" i="10"/>
  <c r="L20" i="9"/>
  <c r="I20" i="9"/>
  <c r="I45" i="1" l="1"/>
  <c r="F59" i="14" l="1"/>
  <c r="F60" i="14"/>
  <c r="F58" i="14"/>
  <c r="F59" i="13"/>
  <c r="F60" i="13"/>
  <c r="F58" i="13"/>
  <c r="F58" i="12"/>
  <c r="F59" i="12"/>
  <c r="F57" i="12"/>
  <c r="F59" i="11"/>
  <c r="F60" i="11"/>
  <c r="F58" i="11"/>
  <c r="F59" i="10"/>
  <c r="F60" i="10"/>
  <c r="F58" i="10"/>
  <c r="A32" i="10" l="1"/>
  <c r="I32" i="10" s="1"/>
  <c r="F56" i="9" l="1"/>
  <c r="F57" i="9"/>
  <c r="F55" i="9"/>
  <c r="E38" i="1" l="1"/>
  <c r="E61" i="14" l="1"/>
  <c r="E61" i="13"/>
  <c r="E60" i="12"/>
  <c r="E61" i="11"/>
  <c r="E61" i="10"/>
  <c r="E58" i="9"/>
  <c r="G58" i="9" l="1"/>
  <c r="J58" i="9"/>
  <c r="A52" i="14"/>
  <c r="A51" i="14"/>
  <c r="A47" i="14"/>
  <c r="B44" i="14"/>
  <c r="A44" i="14"/>
  <c r="A40" i="14"/>
  <c r="I46" i="14"/>
  <c r="F46" i="14"/>
  <c r="I45" i="14"/>
  <c r="F45" i="14"/>
  <c r="I38" i="14"/>
  <c r="F38" i="14"/>
  <c r="F37" i="14"/>
  <c r="I30" i="14"/>
  <c r="F30" i="14"/>
  <c r="I28" i="14"/>
  <c r="F28" i="14"/>
  <c r="I24" i="14"/>
  <c r="F24" i="14"/>
  <c r="A32" i="14"/>
  <c r="I32" i="14" s="1"/>
  <c r="A29" i="14"/>
  <c r="A26" i="14"/>
  <c r="I26" i="14" s="1"/>
  <c r="A25" i="14"/>
  <c r="A23" i="14"/>
  <c r="A52" i="13"/>
  <c r="A51" i="13"/>
  <c r="A47" i="13"/>
  <c r="A40" i="13"/>
  <c r="I46" i="13"/>
  <c r="F46" i="13"/>
  <c r="I45" i="13"/>
  <c r="F45" i="13"/>
  <c r="I44" i="13"/>
  <c r="F44" i="13"/>
  <c r="I43" i="13"/>
  <c r="F43" i="13"/>
  <c r="I38" i="13"/>
  <c r="F38" i="13"/>
  <c r="I37" i="13"/>
  <c r="F37" i="13"/>
  <c r="I30" i="13"/>
  <c r="F30" i="13"/>
  <c r="I28" i="13"/>
  <c r="F28" i="13"/>
  <c r="I24" i="13"/>
  <c r="F24" i="13"/>
  <c r="A32" i="13"/>
  <c r="I32" i="13" s="1"/>
  <c r="A29" i="13"/>
  <c r="A26" i="13"/>
  <c r="I26" i="13" s="1"/>
  <c r="A25" i="13"/>
  <c r="A23" i="13"/>
  <c r="A51" i="12"/>
  <c r="A50" i="12"/>
  <c r="A46" i="12"/>
  <c r="A40" i="12"/>
  <c r="I45" i="12"/>
  <c r="F45" i="12"/>
  <c r="I44" i="12"/>
  <c r="F44" i="12"/>
  <c r="I43" i="12"/>
  <c r="F43" i="12"/>
  <c r="I38" i="12"/>
  <c r="F38" i="12"/>
  <c r="I37" i="12"/>
  <c r="F37" i="12"/>
  <c r="I30" i="12"/>
  <c r="F30" i="12"/>
  <c r="I28" i="12"/>
  <c r="F28" i="12"/>
  <c r="I24" i="12"/>
  <c r="F24" i="12"/>
  <c r="A32" i="12"/>
  <c r="I32" i="12" s="1"/>
  <c r="A29" i="12"/>
  <c r="A26" i="12"/>
  <c r="I26" i="12" s="1"/>
  <c r="A25" i="12"/>
  <c r="A23" i="12"/>
  <c r="A52" i="11"/>
  <c r="A51" i="11"/>
  <c r="A47" i="11"/>
  <c r="A41" i="11"/>
  <c r="I46" i="11"/>
  <c r="F46" i="11"/>
  <c r="I45" i="11"/>
  <c r="F45" i="11"/>
  <c r="I39" i="11"/>
  <c r="F39" i="11"/>
  <c r="I38" i="11"/>
  <c r="F38" i="11"/>
  <c r="I37" i="11"/>
  <c r="F37" i="11"/>
  <c r="I30" i="11"/>
  <c r="F30" i="11"/>
  <c r="I28" i="11"/>
  <c r="F28" i="11"/>
  <c r="I24" i="11"/>
  <c r="F24" i="11"/>
  <c r="A32" i="11"/>
  <c r="I32" i="11" s="1"/>
  <c r="A29" i="11"/>
  <c r="A26" i="11"/>
  <c r="I26" i="11" s="1"/>
  <c r="A25" i="11"/>
  <c r="A23" i="11"/>
  <c r="A52" i="10"/>
  <c r="A51" i="10"/>
  <c r="A47" i="10"/>
  <c r="B44" i="10"/>
  <c r="A44" i="10"/>
  <c r="A40" i="10"/>
  <c r="A37" i="10"/>
  <c r="I46" i="10"/>
  <c r="F46" i="10"/>
  <c r="I45" i="10"/>
  <c r="F45" i="10"/>
  <c r="I38" i="10"/>
  <c r="F38" i="10"/>
  <c r="I30" i="10"/>
  <c r="F30" i="10"/>
  <c r="I28" i="10"/>
  <c r="F28" i="10"/>
  <c r="I24" i="10"/>
  <c r="F24" i="10"/>
  <c r="A29" i="10"/>
  <c r="A26" i="10"/>
  <c r="I26" i="10" s="1"/>
  <c r="A25" i="10"/>
  <c r="A23" i="10"/>
  <c r="A49" i="9"/>
  <c r="A48" i="9"/>
  <c r="I43" i="9"/>
  <c r="F43" i="9"/>
  <c r="I30" i="9"/>
  <c r="F30" i="9"/>
  <c r="I28" i="9"/>
  <c r="F28" i="9"/>
  <c r="I24" i="9"/>
  <c r="F24" i="9"/>
  <c r="A44" i="9"/>
  <c r="A40" i="9"/>
  <c r="A38" i="9"/>
  <c r="A32" i="9"/>
  <c r="I32" i="9" s="1"/>
  <c r="A29" i="9"/>
  <c r="A26" i="9"/>
  <c r="I26" i="9" s="1"/>
  <c r="A25" i="9"/>
  <c r="A23" i="9"/>
  <c r="F44" i="1"/>
  <c r="I43" i="1"/>
  <c r="F43" i="1"/>
  <c r="I40" i="1"/>
  <c r="I38" i="1"/>
  <c r="F32" i="1"/>
  <c r="I31" i="1"/>
  <c r="F31" i="1"/>
  <c r="I30" i="1"/>
  <c r="F30" i="1"/>
  <c r="F29" i="1"/>
  <c r="I28" i="1"/>
  <c r="F28" i="1"/>
  <c r="F27" i="1"/>
  <c r="F26" i="1"/>
  <c r="I25" i="1"/>
  <c r="F25" i="1"/>
  <c r="I24" i="1"/>
  <c r="F24" i="1"/>
  <c r="F23" i="1"/>
  <c r="E44" i="10" l="1"/>
  <c r="J45" i="14" l="1"/>
  <c r="M45" i="14"/>
  <c r="J46" i="14"/>
  <c r="M46" i="14"/>
  <c r="L46" i="14" l="1"/>
  <c r="L45" i="14"/>
  <c r="M44" i="13" l="1"/>
  <c r="M45" i="13"/>
  <c r="M46" i="13"/>
  <c r="E43" i="1"/>
  <c r="E35" i="14"/>
  <c r="E36" i="14"/>
  <c r="E35" i="13"/>
  <c r="E35" i="12"/>
  <c r="E44" i="11"/>
  <c r="E35" i="11"/>
  <c r="E42" i="12" l="1"/>
  <c r="E43" i="11"/>
  <c r="I45" i="9" l="1"/>
  <c r="F45" i="9"/>
  <c r="H57" i="9"/>
  <c r="H56" i="9"/>
  <c r="H55" i="9"/>
  <c r="E57" i="9"/>
  <c r="E56" i="9"/>
  <c r="E55" i="9"/>
  <c r="F45" i="1"/>
  <c r="P9" i="1" l="1"/>
  <c r="J44" i="13" l="1"/>
  <c r="E58" i="1"/>
  <c r="J58" i="1" s="1"/>
  <c r="E24" i="15"/>
  <c r="E37" i="15" s="1"/>
  <c r="D24" i="15"/>
  <c r="D37" i="15" s="1"/>
  <c r="C24" i="15"/>
  <c r="C37" i="15" s="1"/>
  <c r="B24" i="15"/>
  <c r="B37" i="15" s="1"/>
  <c r="E23" i="15"/>
  <c r="E36" i="15" s="1"/>
  <c r="D23" i="15"/>
  <c r="D36" i="15" s="1"/>
  <c r="C23" i="15"/>
  <c r="C36" i="15" s="1"/>
  <c r="B23" i="15"/>
  <c r="B36" i="15" s="1"/>
  <c r="E22" i="15"/>
  <c r="E35" i="15" s="1"/>
  <c r="D22" i="15"/>
  <c r="D35" i="15" s="1"/>
  <c r="C22" i="15"/>
  <c r="C35" i="15" s="1"/>
  <c r="B22" i="15"/>
  <c r="B35" i="15" s="1"/>
  <c r="E21" i="15"/>
  <c r="E34" i="15" s="1"/>
  <c r="D21" i="15"/>
  <c r="D34" i="15" s="1"/>
  <c r="C21" i="15"/>
  <c r="C34" i="15" s="1"/>
  <c r="B21" i="15"/>
  <c r="B34" i="15" s="1"/>
  <c r="E20" i="15"/>
  <c r="E33" i="15" s="1"/>
  <c r="D20" i="15"/>
  <c r="D33" i="15" s="1"/>
  <c r="C20" i="15"/>
  <c r="C33" i="15" s="1"/>
  <c r="B20" i="15"/>
  <c r="B33" i="15" s="1"/>
  <c r="E19" i="15"/>
  <c r="E32" i="15" s="1"/>
  <c r="D19" i="15"/>
  <c r="D32" i="15" s="1"/>
  <c r="C19" i="15"/>
  <c r="C32" i="15" s="1"/>
  <c r="B19" i="15"/>
  <c r="B32" i="15" s="1"/>
  <c r="E18" i="15"/>
  <c r="E31" i="15" s="1"/>
  <c r="D18" i="15"/>
  <c r="D31" i="15" s="1"/>
  <c r="C18" i="15"/>
  <c r="C31" i="15" s="1"/>
  <c r="B18" i="15"/>
  <c r="B31" i="15" s="1"/>
  <c r="L44" i="13" l="1"/>
  <c r="I62" i="14"/>
  <c r="G61" i="14"/>
  <c r="I60" i="14"/>
  <c r="I59" i="14"/>
  <c r="I58" i="14"/>
  <c r="E57" i="14"/>
  <c r="J56" i="14"/>
  <c r="G56" i="14"/>
  <c r="E51" i="14"/>
  <c r="G49" i="14"/>
  <c r="L49" i="14" s="1"/>
  <c r="E48" i="14"/>
  <c r="E47" i="14"/>
  <c r="E43" i="14"/>
  <c r="E42" i="14"/>
  <c r="E41" i="14"/>
  <c r="G37" i="14"/>
  <c r="M37" i="14" s="1"/>
  <c r="E34" i="14"/>
  <c r="E33" i="14"/>
  <c r="E32" i="14"/>
  <c r="E30" i="14"/>
  <c r="E29" i="14"/>
  <c r="J28" i="14"/>
  <c r="G28" i="14"/>
  <c r="M28" i="14" s="1"/>
  <c r="J24" i="14"/>
  <c r="G24" i="14"/>
  <c r="M24" i="14" s="1"/>
  <c r="I62" i="13"/>
  <c r="G62" i="13"/>
  <c r="G61" i="13"/>
  <c r="I60" i="13"/>
  <c r="I59" i="13"/>
  <c r="I58" i="13"/>
  <c r="E57" i="13"/>
  <c r="J56" i="13"/>
  <c r="G56" i="13"/>
  <c r="E51" i="13"/>
  <c r="G49" i="13"/>
  <c r="L49" i="13" s="1"/>
  <c r="E48" i="13"/>
  <c r="E47" i="13"/>
  <c r="E42" i="13"/>
  <c r="E41" i="13"/>
  <c r="E40" i="13"/>
  <c r="E34" i="13"/>
  <c r="E33" i="13"/>
  <c r="E32" i="13"/>
  <c r="E31" i="13"/>
  <c r="E30" i="13"/>
  <c r="E29" i="13"/>
  <c r="J28" i="13"/>
  <c r="G28" i="13"/>
  <c r="M28" i="13" s="1"/>
  <c r="J24" i="13"/>
  <c r="G24" i="13"/>
  <c r="M24" i="13" s="1"/>
  <c r="I61" i="12"/>
  <c r="G61" i="12"/>
  <c r="I59" i="12"/>
  <c r="I58" i="12"/>
  <c r="I57" i="12"/>
  <c r="E56" i="12"/>
  <c r="J55" i="12"/>
  <c r="G55" i="12"/>
  <c r="E50" i="12"/>
  <c r="E51" i="12" s="1"/>
  <c r="E54" i="12" s="1"/>
  <c r="J48" i="12"/>
  <c r="E47" i="12"/>
  <c r="E46" i="12"/>
  <c r="E41" i="12"/>
  <c r="E40" i="12"/>
  <c r="G38" i="12"/>
  <c r="M38" i="12" s="1"/>
  <c r="J37" i="12"/>
  <c r="E34" i="12"/>
  <c r="E33" i="12"/>
  <c r="E32" i="12"/>
  <c r="E30" i="12"/>
  <c r="E29" i="12"/>
  <c r="J28" i="12"/>
  <c r="G28" i="12"/>
  <c r="M28" i="12" s="1"/>
  <c r="J24" i="12"/>
  <c r="G24" i="12"/>
  <c r="M24" i="12" s="1"/>
  <c r="I62" i="11"/>
  <c r="G62" i="11"/>
  <c r="G61" i="11"/>
  <c r="I60" i="11"/>
  <c r="I59" i="11"/>
  <c r="I58" i="11"/>
  <c r="E57" i="11"/>
  <c r="J57" i="11" s="1"/>
  <c r="J56" i="11"/>
  <c r="G56" i="11"/>
  <c r="E51" i="11"/>
  <c r="G49" i="11"/>
  <c r="L49" i="11" s="1"/>
  <c r="E48" i="11"/>
  <c r="E47" i="11"/>
  <c r="E42" i="11"/>
  <c r="G39" i="11"/>
  <c r="M39" i="11" s="1"/>
  <c r="E34" i="11"/>
  <c r="E33" i="11"/>
  <c r="E32" i="11"/>
  <c r="E31" i="11"/>
  <c r="E30" i="11"/>
  <c r="E29" i="11"/>
  <c r="J28" i="11"/>
  <c r="G28" i="11"/>
  <c r="M28" i="11" s="1"/>
  <c r="J24" i="11"/>
  <c r="G24" i="11"/>
  <c r="M24" i="11" s="1"/>
  <c r="H48" i="14" l="1"/>
  <c r="H59" i="14" s="1"/>
  <c r="H55" i="14"/>
  <c r="H54" i="14"/>
  <c r="H54" i="13"/>
  <c r="H48" i="13"/>
  <c r="H58" i="13" s="1"/>
  <c r="H55" i="13"/>
  <c r="H47" i="12"/>
  <c r="H58" i="12" s="1"/>
  <c r="H50" i="12"/>
  <c r="H51" i="12" s="1"/>
  <c r="H53" i="12" s="1"/>
  <c r="E58" i="14"/>
  <c r="E60" i="14"/>
  <c r="E59" i="14"/>
  <c r="G59" i="14" s="1"/>
  <c r="E52" i="14"/>
  <c r="H52" i="14" s="1"/>
  <c r="H51" i="14"/>
  <c r="J60" i="14"/>
  <c r="J58" i="14"/>
  <c r="J60" i="13"/>
  <c r="E54" i="13"/>
  <c r="J54" i="13" s="1"/>
  <c r="E60" i="13"/>
  <c r="G60" i="13" s="1"/>
  <c r="E59" i="13"/>
  <c r="E58" i="13"/>
  <c r="G58" i="13" s="1"/>
  <c r="J59" i="13"/>
  <c r="H59" i="13"/>
  <c r="E59" i="12"/>
  <c r="G59" i="12" s="1"/>
  <c r="E58" i="12"/>
  <c r="E57" i="12"/>
  <c r="G57" i="12" s="1"/>
  <c r="G54" i="12"/>
  <c r="J54" i="12"/>
  <c r="J58" i="12"/>
  <c r="J30" i="12"/>
  <c r="H57" i="12"/>
  <c r="J59" i="12"/>
  <c r="E54" i="11"/>
  <c r="E59" i="11"/>
  <c r="G59" i="11" s="1"/>
  <c r="E58" i="11"/>
  <c r="E60" i="11"/>
  <c r="G60" i="11" s="1"/>
  <c r="J30" i="11"/>
  <c r="J58" i="11"/>
  <c r="H60" i="11"/>
  <c r="H59" i="11"/>
  <c r="H58" i="11"/>
  <c r="E52" i="11"/>
  <c r="H52" i="11" s="1"/>
  <c r="H51" i="11"/>
  <c r="G48" i="14"/>
  <c r="J62" i="13"/>
  <c r="L62" i="13" s="1"/>
  <c r="M62" i="13" s="1"/>
  <c r="L48" i="12"/>
  <c r="J61" i="12"/>
  <c r="G57" i="14"/>
  <c r="G37" i="13"/>
  <c r="M37" i="13" s="1"/>
  <c r="J38" i="13"/>
  <c r="G59" i="13"/>
  <c r="L28" i="14"/>
  <c r="G38" i="14"/>
  <c r="M38" i="14" s="1"/>
  <c r="J38" i="14"/>
  <c r="J57" i="14"/>
  <c r="G60" i="14"/>
  <c r="G58" i="14"/>
  <c r="L24" i="14"/>
  <c r="G30" i="14"/>
  <c r="M30" i="14" s="1"/>
  <c r="E54" i="14"/>
  <c r="J54" i="14" s="1"/>
  <c r="J30" i="14"/>
  <c r="G62" i="14"/>
  <c r="J62" i="14"/>
  <c r="L56" i="14"/>
  <c r="M56" i="14" s="1"/>
  <c r="J61" i="14"/>
  <c r="L24" i="13"/>
  <c r="L28" i="13"/>
  <c r="J30" i="13"/>
  <c r="G30" i="13"/>
  <c r="M30" i="13" s="1"/>
  <c r="G38" i="13"/>
  <c r="M38" i="13" s="1"/>
  <c r="G48" i="13"/>
  <c r="G43" i="13"/>
  <c r="M43" i="13" s="1"/>
  <c r="J37" i="13"/>
  <c r="J48" i="13"/>
  <c r="L60" i="13"/>
  <c r="M60" i="13" s="1"/>
  <c r="E52" i="13"/>
  <c r="J57" i="13"/>
  <c r="G57" i="13"/>
  <c r="L56" i="13"/>
  <c r="M56" i="13" s="1"/>
  <c r="J61" i="13"/>
  <c r="G47" i="12"/>
  <c r="L59" i="12"/>
  <c r="M59" i="12" s="1"/>
  <c r="G60" i="12"/>
  <c r="L28" i="12"/>
  <c r="G37" i="12"/>
  <c r="M37" i="12" s="1"/>
  <c r="G43" i="12"/>
  <c r="M43" i="12" s="1"/>
  <c r="L24" i="12"/>
  <c r="G30" i="12"/>
  <c r="M30" i="12" s="1"/>
  <c r="J43" i="12"/>
  <c r="J38" i="12"/>
  <c r="E53" i="12"/>
  <c r="J56" i="12"/>
  <c r="G56" i="12"/>
  <c r="G58" i="12"/>
  <c r="L61" i="12"/>
  <c r="M61" i="12" s="1"/>
  <c r="L55" i="12"/>
  <c r="M55" i="12" s="1"/>
  <c r="J60" i="12"/>
  <c r="G48" i="11"/>
  <c r="J61" i="11"/>
  <c r="L61" i="11" s="1"/>
  <c r="M61" i="11" s="1"/>
  <c r="G54" i="11"/>
  <c r="G57" i="11"/>
  <c r="L57" i="11" s="1"/>
  <c r="M57" i="11" s="1"/>
  <c r="L28" i="11"/>
  <c r="J38" i="11"/>
  <c r="L24" i="11"/>
  <c r="G30" i="11"/>
  <c r="M30" i="11" s="1"/>
  <c r="J48" i="11"/>
  <c r="G38" i="11"/>
  <c r="M38" i="11" s="1"/>
  <c r="L56" i="11"/>
  <c r="M56" i="11" s="1"/>
  <c r="J39" i="11"/>
  <c r="G58" i="11"/>
  <c r="J62" i="11"/>
  <c r="G49" i="10"/>
  <c r="E51" i="10"/>
  <c r="E41" i="10"/>
  <c r="E42" i="10"/>
  <c r="E43" i="10"/>
  <c r="E47" i="10"/>
  <c r="E40" i="10"/>
  <c r="E30" i="10"/>
  <c r="E31" i="10"/>
  <c r="E32" i="10"/>
  <c r="E33" i="10"/>
  <c r="E34" i="10"/>
  <c r="E35" i="10"/>
  <c r="E29" i="10"/>
  <c r="E37" i="10" s="1"/>
  <c r="I62" i="10"/>
  <c r="G62" i="10"/>
  <c r="I60" i="10"/>
  <c r="I59" i="10"/>
  <c r="I58" i="10"/>
  <c r="E57" i="10"/>
  <c r="J56" i="10"/>
  <c r="G56" i="10"/>
  <c r="E48" i="10"/>
  <c r="E54" i="10" s="1"/>
  <c r="J28" i="10"/>
  <c r="G28" i="10"/>
  <c r="M28" i="10" s="1"/>
  <c r="J24" i="10"/>
  <c r="G24" i="10"/>
  <c r="M24" i="10" s="1"/>
  <c r="H60" i="14" l="1"/>
  <c r="H60" i="13"/>
  <c r="H59" i="12"/>
  <c r="J60" i="11"/>
  <c r="L60" i="11" s="1"/>
  <c r="M60" i="11" s="1"/>
  <c r="J59" i="11"/>
  <c r="L59" i="11" s="1"/>
  <c r="M59" i="11" s="1"/>
  <c r="H54" i="12"/>
  <c r="J48" i="14"/>
  <c r="H58" i="14"/>
  <c r="J47" i="12"/>
  <c r="L47" i="12" s="1"/>
  <c r="M47" i="12" s="1"/>
  <c r="H54" i="10"/>
  <c r="H48" i="10"/>
  <c r="H58" i="10" s="1"/>
  <c r="H55" i="10"/>
  <c r="J59" i="14"/>
  <c r="E55" i="13"/>
  <c r="G54" i="13"/>
  <c r="J58" i="13"/>
  <c r="L58" i="13" s="1"/>
  <c r="M58" i="13" s="1"/>
  <c r="G53" i="12"/>
  <c r="J53" i="12"/>
  <c r="J57" i="12"/>
  <c r="E55" i="11"/>
  <c r="J54" i="11"/>
  <c r="J54" i="10"/>
  <c r="E55" i="10"/>
  <c r="J55" i="10" s="1"/>
  <c r="E60" i="10"/>
  <c r="G60" i="10" s="1"/>
  <c r="E59" i="10"/>
  <c r="G59" i="10" s="1"/>
  <c r="E58" i="10"/>
  <c r="G58" i="10" s="1"/>
  <c r="H59" i="10"/>
  <c r="J59" i="10"/>
  <c r="L38" i="13"/>
  <c r="L58" i="14"/>
  <c r="M58" i="14" s="1"/>
  <c r="L60" i="14"/>
  <c r="M60" i="14" s="1"/>
  <c r="M62" i="14"/>
  <c r="E55" i="14"/>
  <c r="G54" i="14"/>
  <c r="L38" i="14"/>
  <c r="L61" i="14"/>
  <c r="M61" i="14" s="1"/>
  <c r="L59" i="14"/>
  <c r="M59" i="14" s="1"/>
  <c r="L62" i="14"/>
  <c r="L48" i="14"/>
  <c r="M48" i="14" s="1"/>
  <c r="L30" i="14"/>
  <c r="L57" i="14"/>
  <c r="M57" i="14" s="1"/>
  <c r="L48" i="13"/>
  <c r="M48" i="13" s="1"/>
  <c r="L30" i="13"/>
  <c r="L37" i="13"/>
  <c r="L61" i="13"/>
  <c r="M61" i="13" s="1"/>
  <c r="L59" i="13"/>
  <c r="M59" i="13" s="1"/>
  <c r="L57" i="13"/>
  <c r="M57" i="13" s="1"/>
  <c r="L57" i="12"/>
  <c r="M57" i="12" s="1"/>
  <c r="L43" i="12"/>
  <c r="L37" i="12"/>
  <c r="L60" i="12"/>
  <c r="M60" i="12" s="1"/>
  <c r="L56" i="12"/>
  <c r="M56" i="12" s="1"/>
  <c r="L53" i="12"/>
  <c r="M53" i="12" s="1"/>
  <c r="L58" i="12"/>
  <c r="M58" i="12" s="1"/>
  <c r="L38" i="12"/>
  <c r="L30" i="12"/>
  <c r="L58" i="11"/>
  <c r="L62" i="11"/>
  <c r="M62" i="11" s="1"/>
  <c r="L48" i="11"/>
  <c r="M48" i="11" s="1"/>
  <c r="L30" i="11"/>
  <c r="L38" i="11"/>
  <c r="L39" i="11"/>
  <c r="M58" i="11"/>
  <c r="L49" i="10"/>
  <c r="G48" i="10"/>
  <c r="G38" i="10"/>
  <c r="M38" i="10" s="1"/>
  <c r="G30" i="10"/>
  <c r="M30" i="10" s="1"/>
  <c r="E52" i="10"/>
  <c r="G55" i="10" s="1"/>
  <c r="L28" i="10"/>
  <c r="J48" i="10"/>
  <c r="G61" i="10"/>
  <c r="J62" i="10"/>
  <c r="L62" i="10" s="1"/>
  <c r="M62" i="10" s="1"/>
  <c r="L24" i="10"/>
  <c r="J30" i="10"/>
  <c r="J38" i="10"/>
  <c r="J57" i="10"/>
  <c r="G57" i="10"/>
  <c r="L56" i="10"/>
  <c r="M56" i="10" s="1"/>
  <c r="J61" i="10"/>
  <c r="H60" i="10" l="1"/>
  <c r="G55" i="14"/>
  <c r="J55" i="14"/>
  <c r="G55" i="13"/>
  <c r="J55" i="13"/>
  <c r="G55" i="11"/>
  <c r="J55" i="11"/>
  <c r="J60" i="10"/>
  <c r="L60" i="10" s="1"/>
  <c r="M60" i="10" s="1"/>
  <c r="J58" i="10"/>
  <c r="L58" i="10" s="1"/>
  <c r="M58" i="10" s="1"/>
  <c r="L54" i="14"/>
  <c r="M54" i="14" s="1"/>
  <c r="L55" i="14"/>
  <c r="M55" i="14" s="1"/>
  <c r="L55" i="13"/>
  <c r="M55" i="13" s="1"/>
  <c r="L54" i="13"/>
  <c r="M54" i="13" s="1"/>
  <c r="L54" i="12"/>
  <c r="M54" i="12" s="1"/>
  <c r="L48" i="10"/>
  <c r="M48" i="10" s="1"/>
  <c r="G54" i="10"/>
  <c r="L38" i="10"/>
  <c r="L59" i="10"/>
  <c r="M59" i="10" s="1"/>
  <c r="L57" i="10"/>
  <c r="M57" i="10" s="1"/>
  <c r="L61" i="10"/>
  <c r="M61" i="10" s="1"/>
  <c r="L30" i="10"/>
  <c r="I59" i="9"/>
  <c r="G59" i="9"/>
  <c r="I57" i="9"/>
  <c r="G57" i="9"/>
  <c r="I56" i="9"/>
  <c r="G56" i="9"/>
  <c r="I55" i="9"/>
  <c r="E54" i="9"/>
  <c r="J53" i="9"/>
  <c r="G53" i="9"/>
  <c r="E48" i="9"/>
  <c r="J46" i="9"/>
  <c r="G46" i="9"/>
  <c r="E45" i="9"/>
  <c r="J45" i="9" s="1"/>
  <c r="E44" i="9"/>
  <c r="J43" i="9"/>
  <c r="E42" i="9"/>
  <c r="E41" i="9"/>
  <c r="E40" i="9"/>
  <c r="E35" i="9"/>
  <c r="E38" i="9" s="1"/>
  <c r="E34" i="9"/>
  <c r="E33" i="9"/>
  <c r="E32" i="9"/>
  <c r="E31" i="9"/>
  <c r="E30" i="9"/>
  <c r="E29" i="9"/>
  <c r="J28" i="9"/>
  <c r="G28" i="9"/>
  <c r="M28" i="9" s="1"/>
  <c r="J24" i="9"/>
  <c r="G24" i="9"/>
  <c r="M24" i="9" s="1"/>
  <c r="E48" i="1"/>
  <c r="E45" i="1"/>
  <c r="J45" i="1" s="1"/>
  <c r="H45" i="9" l="1"/>
  <c r="H48" i="9"/>
  <c r="H49" i="9" s="1"/>
  <c r="H51" i="9" s="1"/>
  <c r="G45" i="1"/>
  <c r="L54" i="10"/>
  <c r="M54" i="10" s="1"/>
  <c r="J56" i="9"/>
  <c r="J57" i="9"/>
  <c r="J55" i="9"/>
  <c r="J59" i="9"/>
  <c r="L59" i="9" s="1"/>
  <c r="M59" i="9" s="1"/>
  <c r="L46" i="9"/>
  <c r="H49" i="1"/>
  <c r="L28" i="9"/>
  <c r="G45" i="9"/>
  <c r="L55" i="11"/>
  <c r="M55" i="11" s="1"/>
  <c r="L54" i="11"/>
  <c r="M54" i="11" s="1"/>
  <c r="L55" i="10"/>
  <c r="M55" i="10" s="1"/>
  <c r="G54" i="9"/>
  <c r="J30" i="9"/>
  <c r="E49" i="9"/>
  <c r="L24" i="9"/>
  <c r="G30" i="9"/>
  <c r="M30" i="9" s="1"/>
  <c r="G55" i="9"/>
  <c r="G43" i="9"/>
  <c r="L53" i="9"/>
  <c r="M53" i="9" s="1"/>
  <c r="J54" i="9"/>
  <c r="I56" i="1"/>
  <c r="I57" i="1"/>
  <c r="I59" i="1"/>
  <c r="I55" i="1"/>
  <c r="H51" i="1" l="1"/>
  <c r="H52" i="1"/>
  <c r="H52" i="9"/>
  <c r="L45" i="9"/>
  <c r="M45" i="9" s="1"/>
  <c r="L57" i="9"/>
  <c r="M57" i="9" s="1"/>
  <c r="L58" i="9"/>
  <c r="M58" i="9" s="1"/>
  <c r="L56" i="9"/>
  <c r="M56" i="9" s="1"/>
  <c r="M43" i="9"/>
  <c r="L43" i="9"/>
  <c r="L55" i="9"/>
  <c r="M55" i="9" s="1"/>
  <c r="E52" i="9"/>
  <c r="E51" i="9"/>
  <c r="L30" i="9"/>
  <c r="L54" i="9"/>
  <c r="M54" i="9" s="1"/>
  <c r="G51" i="9" l="1"/>
  <c r="J51" i="9"/>
  <c r="G52" i="9"/>
  <c r="J52" i="9"/>
  <c r="L52" i="9"/>
  <c r="M52" i="9" s="1"/>
  <c r="L51" i="9"/>
  <c r="M51" i="9" s="1"/>
  <c r="J53" i="1" l="1"/>
  <c r="J43" i="1"/>
  <c r="J46" i="1"/>
  <c r="J24" i="1"/>
  <c r="J25" i="1"/>
  <c r="J26" i="1"/>
  <c r="J28" i="1"/>
  <c r="J38" i="1"/>
  <c r="G59" i="1"/>
  <c r="E57" i="1"/>
  <c r="G57" i="1" s="1"/>
  <c r="E56" i="1"/>
  <c r="E55" i="1"/>
  <c r="G55" i="1" s="1"/>
  <c r="E54" i="1"/>
  <c r="G54" i="1" s="1"/>
  <c r="G53" i="1"/>
  <c r="E49" i="1"/>
  <c r="G46" i="1"/>
  <c r="E44" i="1"/>
  <c r="G44" i="1" s="1"/>
  <c r="G43" i="1"/>
  <c r="M43" i="1" s="1"/>
  <c r="E42" i="1"/>
  <c r="E41" i="1"/>
  <c r="E40" i="1"/>
  <c r="G40" i="1" s="1"/>
  <c r="G38" i="1"/>
  <c r="E32" i="1"/>
  <c r="G32" i="1" s="1"/>
  <c r="E31" i="1"/>
  <c r="G31" i="1" s="1"/>
  <c r="M31" i="1" s="1"/>
  <c r="E30" i="1"/>
  <c r="G30" i="1" s="1"/>
  <c r="M30" i="1" s="1"/>
  <c r="E29" i="1"/>
  <c r="G29" i="1" s="1"/>
  <c r="G28" i="1"/>
  <c r="M28" i="1" s="1"/>
  <c r="G27" i="1"/>
  <c r="G26" i="1"/>
  <c r="G25" i="1"/>
  <c r="G24" i="1"/>
  <c r="M24" i="1" s="1"/>
  <c r="G23" i="1"/>
  <c r="J55" i="1" l="1"/>
  <c r="M27" i="1"/>
  <c r="J31" i="1"/>
  <c r="J56" i="1"/>
  <c r="J54" i="1"/>
  <c r="J30" i="1"/>
  <c r="L30" i="1" s="1"/>
  <c r="J32" i="1"/>
  <c r="J40" i="1"/>
  <c r="J57" i="1"/>
  <c r="L26" i="1"/>
  <c r="M26" i="1" s="1"/>
  <c r="L43" i="1"/>
  <c r="L38" i="1"/>
  <c r="M38" i="1" s="1"/>
  <c r="L25" i="1"/>
  <c r="M25" i="1" s="1"/>
  <c r="L54" i="1"/>
  <c r="M54" i="1" s="1"/>
  <c r="J59" i="1"/>
  <c r="L53" i="1"/>
  <c r="M53" i="1" s="1"/>
  <c r="L55" i="1"/>
  <c r="M55" i="1" s="1"/>
  <c r="L24" i="1"/>
  <c r="L28" i="1"/>
  <c r="L46" i="1"/>
  <c r="L57" i="1"/>
  <c r="M57" i="1" s="1"/>
  <c r="E52" i="1"/>
  <c r="J52" i="1" s="1"/>
  <c r="E51" i="1"/>
  <c r="J51" i="1" s="1"/>
  <c r="G56" i="1"/>
  <c r="G58" i="1"/>
  <c r="L32" i="1" l="1"/>
  <c r="M32" i="1" s="1"/>
  <c r="L40" i="1"/>
  <c r="M40" i="1" s="1"/>
  <c r="L31" i="1"/>
  <c r="L59" i="1"/>
  <c r="M59" i="1" s="1"/>
  <c r="G52" i="1"/>
  <c r="G51" i="1"/>
  <c r="L51" i="1" s="1"/>
  <c r="L45" i="1"/>
  <c r="M45" i="1" s="1"/>
  <c r="L56" i="1"/>
  <c r="M56" i="1" s="1"/>
  <c r="L58" i="1"/>
  <c r="M58" i="1" s="1"/>
  <c r="L52" i="1" l="1"/>
  <c r="M52" i="1" s="1"/>
  <c r="M51" i="1"/>
  <c r="L67" i="13" l="1"/>
  <c r="M67" i="13" s="1"/>
  <c r="L66" i="12"/>
  <c r="M66" i="12" s="1"/>
  <c r="L73" i="10"/>
  <c r="M73" i="10" s="1"/>
  <c r="L73" i="14"/>
  <c r="M73" i="14" s="1"/>
  <c r="L67" i="11"/>
  <c r="M67" i="11" s="1"/>
  <c r="L73" i="11"/>
  <c r="M73" i="11" s="1"/>
  <c r="L67" i="14"/>
  <c r="M67" i="14" s="1"/>
  <c r="L72" i="12" l="1"/>
  <c r="M72" i="12" s="1"/>
  <c r="L67" i="10"/>
  <c r="M67" i="10" s="1"/>
  <c r="L73" i="13"/>
  <c r="M73" i="13" s="1"/>
  <c r="J43" i="13" l="1"/>
  <c r="L43" i="13" s="1"/>
  <c r="A42" i="14" l="1"/>
  <c r="A36" i="13"/>
  <c r="A33" i="11"/>
  <c r="A33" i="13"/>
  <c r="A34" i="11"/>
  <c r="A42" i="11"/>
  <c r="A36" i="11"/>
  <c r="A35" i="11"/>
  <c r="A42" i="12"/>
  <c r="A33" i="12"/>
  <c r="A34" i="13"/>
  <c r="A33" i="14"/>
  <c r="A43" i="14"/>
  <c r="A41" i="13"/>
  <c r="A35" i="13"/>
  <c r="A41" i="14"/>
  <c r="A43" i="11"/>
  <c r="A41" i="12"/>
  <c r="A42" i="13"/>
  <c r="A34" i="14"/>
  <c r="A35" i="14"/>
  <c r="A35" i="12"/>
  <c r="A34" i="12"/>
  <c r="B34" i="11"/>
  <c r="A44" i="11" l="1"/>
  <c r="B34" i="12"/>
  <c r="B42" i="9"/>
  <c r="B37" i="9"/>
  <c r="A41" i="1"/>
  <c r="A36" i="1"/>
  <c r="A33" i="9"/>
  <c r="B35" i="9"/>
  <c r="B43" i="10"/>
  <c r="A35" i="1"/>
  <c r="A42" i="10"/>
  <c r="A33" i="10"/>
  <c r="A34" i="9"/>
  <c r="A41" i="9"/>
  <c r="A36" i="9"/>
  <c r="B41" i="1"/>
  <c r="B36" i="1"/>
  <c r="B34" i="9"/>
  <c r="B33" i="1"/>
  <c r="A34" i="10"/>
  <c r="A35" i="10"/>
  <c r="B34" i="1"/>
  <c r="A33" i="1"/>
  <c r="A37" i="1"/>
  <c r="A43" i="10"/>
  <c r="A41" i="10"/>
  <c r="A37" i="9"/>
  <c r="A35" i="9"/>
  <c r="A42" i="1"/>
  <c r="A36" i="12"/>
  <c r="B37" i="1"/>
  <c r="B42" i="1"/>
  <c r="F35" i="12"/>
  <c r="G35" i="12" s="1"/>
  <c r="M35" i="12" s="1"/>
  <c r="B34" i="10"/>
  <c r="A36" i="10"/>
  <c r="B35" i="1"/>
  <c r="F33" i="12" l="1"/>
  <c r="G33" i="12" s="1"/>
  <c r="F41" i="12"/>
  <c r="G41" i="12" s="1"/>
  <c r="M41" i="12" s="1"/>
  <c r="B33" i="9"/>
  <c r="F36" i="10"/>
  <c r="G36" i="10" s="1"/>
  <c r="M36" i="10" s="1"/>
  <c r="A34" i="1"/>
  <c r="F44" i="11"/>
  <c r="G44" i="11" s="1"/>
  <c r="M44" i="11" s="1"/>
  <c r="F41" i="13"/>
  <c r="G41" i="13" s="1"/>
  <c r="M41" i="13" s="1"/>
  <c r="F31" i="11"/>
  <c r="G31" i="11" s="1"/>
  <c r="M31" i="11" s="1"/>
  <c r="I37" i="10"/>
  <c r="J37" i="10" s="1"/>
  <c r="F46" i="12"/>
  <c r="G46" i="12" s="1"/>
  <c r="F47" i="10"/>
  <c r="G47" i="10" s="1"/>
  <c r="F25" i="9"/>
  <c r="G25" i="9" s="1"/>
  <c r="F31" i="9"/>
  <c r="G31" i="9" s="1"/>
  <c r="M31" i="9" s="1"/>
  <c r="F26" i="11"/>
  <c r="G26" i="11" s="1"/>
  <c r="I25" i="10"/>
  <c r="J25" i="10" s="1"/>
  <c r="I52" i="11"/>
  <c r="J52" i="11" s="1"/>
  <c r="I25" i="11"/>
  <c r="J25" i="11" s="1"/>
  <c r="I51" i="11"/>
  <c r="J51" i="11" s="1"/>
  <c r="G40" i="10"/>
  <c r="I25" i="12"/>
  <c r="J25" i="12" s="1"/>
  <c r="I40" i="12"/>
  <c r="J40" i="12" s="1"/>
  <c r="F29" i="13"/>
  <c r="G29" i="13" s="1"/>
  <c r="F29" i="14"/>
  <c r="G29" i="14" s="1"/>
  <c r="I25" i="14"/>
  <c r="J25" i="14" s="1"/>
  <c r="F25" i="14"/>
  <c r="G25" i="14" s="1"/>
  <c r="I52" i="13"/>
  <c r="J52" i="13" s="1"/>
  <c r="I40" i="13"/>
  <c r="J40" i="13" s="1"/>
  <c r="F31" i="13"/>
  <c r="G31" i="13" s="1"/>
  <c r="M31" i="13" s="1"/>
  <c r="F31" i="14"/>
  <c r="G31" i="14" s="1"/>
  <c r="M31" i="14" s="1"/>
  <c r="F23" i="13"/>
  <c r="G23" i="13" s="1"/>
  <c r="J32" i="13"/>
  <c r="J26" i="14"/>
  <c r="F23" i="14"/>
  <c r="G23" i="14" s="1"/>
  <c r="F44" i="14"/>
  <c r="G44" i="14" s="1"/>
  <c r="F35" i="13"/>
  <c r="G35" i="13" s="1"/>
  <c r="M35" i="13" s="1"/>
  <c r="F43" i="14"/>
  <c r="G43" i="14" s="1"/>
  <c r="M43" i="14" s="1"/>
  <c r="G37" i="10"/>
  <c r="I49" i="1"/>
  <c r="J49" i="1" s="1"/>
  <c r="I38" i="9"/>
  <c r="J38" i="9" s="1"/>
  <c r="F29" i="11"/>
  <c r="G29" i="11" s="1"/>
  <c r="F23" i="10"/>
  <c r="G23" i="10" s="1"/>
  <c r="I49" i="9"/>
  <c r="J49" i="9" s="1"/>
  <c r="F27" i="12"/>
  <c r="G27" i="12" s="1"/>
  <c r="M27" i="12" s="1"/>
  <c r="F31" i="10"/>
  <c r="G31" i="10" s="1"/>
  <c r="M31" i="10" s="1"/>
  <c r="I52" i="10"/>
  <c r="J52" i="10" s="1"/>
  <c r="I44" i="10"/>
  <c r="J44" i="10" s="1"/>
  <c r="F44" i="10"/>
  <c r="G44" i="10" s="1"/>
  <c r="F23" i="12"/>
  <c r="G23" i="12" s="1"/>
  <c r="F23" i="11"/>
  <c r="G23" i="11" s="1"/>
  <c r="J26" i="10"/>
  <c r="G41" i="11"/>
  <c r="J26" i="11"/>
  <c r="I25" i="9"/>
  <c r="J25" i="9" s="1"/>
  <c r="G40" i="12"/>
  <c r="J26" i="12"/>
  <c r="I40" i="9"/>
  <c r="J40" i="9" s="1"/>
  <c r="F26" i="12"/>
  <c r="G26" i="12" s="1"/>
  <c r="F52" i="10"/>
  <c r="G52" i="10" s="1"/>
  <c r="F51" i="12"/>
  <c r="G51" i="12" s="1"/>
  <c r="F27" i="14"/>
  <c r="G27" i="14" s="1"/>
  <c r="M27" i="14" s="1"/>
  <c r="I52" i="14"/>
  <c r="J52" i="14" s="1"/>
  <c r="F25" i="13"/>
  <c r="G25" i="13" s="1"/>
  <c r="F26" i="14"/>
  <c r="G26" i="14" s="1"/>
  <c r="F32" i="14"/>
  <c r="G32" i="14" s="1"/>
  <c r="F31" i="12"/>
  <c r="G31" i="12" s="1"/>
  <c r="M31" i="12" s="1"/>
  <c r="I51" i="14"/>
  <c r="J51" i="14" s="1"/>
  <c r="F32" i="13"/>
  <c r="G32" i="13" s="1"/>
  <c r="F47" i="14"/>
  <c r="G47" i="14" s="1"/>
  <c r="I44" i="14"/>
  <c r="J44" i="14" s="1"/>
  <c r="F47" i="13"/>
  <c r="G47" i="13" s="1"/>
  <c r="F35" i="11"/>
  <c r="G35" i="11" s="1"/>
  <c r="M35" i="11" s="1"/>
  <c r="F42" i="14"/>
  <c r="G42" i="14" s="1"/>
  <c r="F27" i="11"/>
  <c r="G27" i="11" s="1"/>
  <c r="M27" i="11" s="1"/>
  <c r="F27" i="9"/>
  <c r="G27" i="9" s="1"/>
  <c r="M27" i="9" s="1"/>
  <c r="F47" i="11"/>
  <c r="G47" i="11" s="1"/>
  <c r="F26" i="9"/>
  <c r="G26" i="9" s="1"/>
  <c r="F48" i="1"/>
  <c r="G48" i="1" s="1"/>
  <c r="F29" i="9"/>
  <c r="G29" i="9" s="1"/>
  <c r="I48" i="9"/>
  <c r="J48" i="9" s="1"/>
  <c r="F25" i="12"/>
  <c r="G25" i="12" s="1"/>
  <c r="G40" i="9"/>
  <c r="J32" i="11"/>
  <c r="F51" i="10"/>
  <c r="G51" i="10" s="1"/>
  <c r="F32" i="11"/>
  <c r="G32" i="11" s="1"/>
  <c r="F32" i="12"/>
  <c r="G32" i="12" s="1"/>
  <c r="I48" i="1"/>
  <c r="F48" i="9"/>
  <c r="G48" i="9" s="1"/>
  <c r="F49" i="9"/>
  <c r="G49" i="9" s="1"/>
  <c r="I51" i="10"/>
  <c r="J51" i="10" s="1"/>
  <c r="F52" i="13"/>
  <c r="G52" i="13" s="1"/>
  <c r="F51" i="14"/>
  <c r="G51" i="14" s="1"/>
  <c r="J32" i="14"/>
  <c r="I40" i="14"/>
  <c r="J40" i="14" s="1"/>
  <c r="F26" i="13"/>
  <c r="G26" i="13" s="1"/>
  <c r="F50" i="12"/>
  <c r="G50" i="12" s="1"/>
  <c r="I25" i="13"/>
  <c r="J25" i="13" s="1"/>
  <c r="F27" i="13"/>
  <c r="G27" i="13" s="1"/>
  <c r="M27" i="13" s="1"/>
  <c r="J32" i="10"/>
  <c r="F42" i="11"/>
  <c r="G42" i="11" s="1"/>
  <c r="M42" i="11" s="1"/>
  <c r="F36" i="13"/>
  <c r="G36" i="13" s="1"/>
  <c r="M36" i="13" s="1"/>
  <c r="F33" i="13"/>
  <c r="G33" i="13" s="1"/>
  <c r="M33" i="13" s="1"/>
  <c r="F25" i="10"/>
  <c r="G25" i="10" s="1"/>
  <c r="F51" i="11"/>
  <c r="G51" i="11" s="1"/>
  <c r="G38" i="9"/>
  <c r="F49" i="1"/>
  <c r="G49" i="1" s="1"/>
  <c r="F32" i="10"/>
  <c r="G32" i="10" s="1"/>
  <c r="F29" i="12"/>
  <c r="G29" i="12" s="1"/>
  <c r="J32" i="12"/>
  <c r="J26" i="9"/>
  <c r="I40" i="10"/>
  <c r="J40" i="10" s="1"/>
  <c r="F52" i="11"/>
  <c r="G52" i="11" s="1"/>
  <c r="F27" i="10"/>
  <c r="G27" i="10" s="1"/>
  <c r="M27" i="10" s="1"/>
  <c r="J32" i="9"/>
  <c r="I41" i="11"/>
  <c r="J41" i="11" s="1"/>
  <c r="F26" i="10"/>
  <c r="G26" i="10" s="1"/>
  <c r="F23" i="9"/>
  <c r="G23" i="9" s="1"/>
  <c r="F25" i="11"/>
  <c r="G25" i="11" s="1"/>
  <c r="F32" i="9"/>
  <c r="G32" i="9" s="1"/>
  <c r="F29" i="10"/>
  <c r="G29" i="10" s="1"/>
  <c r="F44" i="9"/>
  <c r="G44" i="9" s="1"/>
  <c r="G40" i="14"/>
  <c r="I50" i="12"/>
  <c r="G40" i="13"/>
  <c r="F52" i="14"/>
  <c r="G52" i="14" s="1"/>
  <c r="F36" i="14"/>
  <c r="G36" i="14" s="1"/>
  <c r="M36" i="14" s="1"/>
  <c r="J26" i="13"/>
  <c r="I51" i="12"/>
  <c r="F51" i="13"/>
  <c r="G51" i="13" s="1"/>
  <c r="I51" i="13"/>
  <c r="F41" i="10"/>
  <c r="G41" i="10" s="1"/>
  <c r="M41" i="10" s="1"/>
  <c r="F35" i="10"/>
  <c r="G35" i="10" s="1"/>
  <c r="M35" i="10" s="1"/>
  <c r="F41" i="9"/>
  <c r="G41" i="9" s="1"/>
  <c r="M41" i="9" s="1"/>
  <c r="F33" i="10"/>
  <c r="G33" i="10" s="1"/>
  <c r="F42" i="10"/>
  <c r="G42" i="10" s="1"/>
  <c r="B35" i="10"/>
  <c r="F42" i="12"/>
  <c r="G42" i="12" s="1"/>
  <c r="M42" i="12" s="1"/>
  <c r="F33" i="14"/>
  <c r="G33" i="14" s="1"/>
  <c r="M33" i="14" s="1"/>
  <c r="F41" i="14"/>
  <c r="G41" i="14" s="1"/>
  <c r="M41" i="14" s="1"/>
  <c r="B36" i="9"/>
  <c r="F42" i="1"/>
  <c r="G42" i="1" s="1"/>
  <c r="M42" i="1" s="1"/>
  <c r="F37" i="9"/>
  <c r="G37" i="9" s="1"/>
  <c r="M37" i="9" s="1"/>
  <c r="F33" i="1"/>
  <c r="G33" i="1" s="1"/>
  <c r="A42" i="9"/>
  <c r="F34" i="12"/>
  <c r="G34" i="12" s="1"/>
  <c r="M34" i="12" s="1"/>
  <c r="B41" i="9"/>
  <c r="F35" i="14"/>
  <c r="G35" i="14" s="1"/>
  <c r="M35" i="14" s="1"/>
  <c r="F34" i="11"/>
  <c r="G34" i="11" s="1"/>
  <c r="M34" i="11" s="1"/>
  <c r="F36" i="11"/>
  <c r="G36" i="11" s="1"/>
  <c r="M36" i="11" s="1"/>
  <c r="F34" i="13"/>
  <c r="G34" i="13" s="1"/>
  <c r="M34" i="13" s="1"/>
  <c r="F42" i="13"/>
  <c r="G42" i="13" s="1"/>
  <c r="M42" i="13" s="1"/>
  <c r="F36" i="9"/>
  <c r="G36" i="9" s="1"/>
  <c r="M36" i="9" s="1"/>
  <c r="F34" i="9"/>
  <c r="G34" i="9" s="1"/>
  <c r="M34" i="9" s="1"/>
  <c r="F35" i="1"/>
  <c r="G35" i="1" s="1"/>
  <c r="M35" i="1" s="1"/>
  <c r="B34" i="13"/>
  <c r="B34" i="14"/>
  <c r="B44" i="11"/>
  <c r="B43" i="14"/>
  <c r="F36" i="12"/>
  <c r="G36" i="12" s="1"/>
  <c r="M36" i="12" s="1"/>
  <c r="F35" i="9"/>
  <c r="G35" i="9" s="1"/>
  <c r="M35" i="9" s="1"/>
  <c r="F43" i="10"/>
  <c r="G43" i="10" s="1"/>
  <c r="M43" i="10" s="1"/>
  <c r="F37" i="1"/>
  <c r="G37" i="1" s="1"/>
  <c r="M37" i="1" s="1"/>
  <c r="F34" i="10"/>
  <c r="G34" i="10" s="1"/>
  <c r="M34" i="10" s="1"/>
  <c r="F34" i="14"/>
  <c r="G34" i="14" s="1"/>
  <c r="M34" i="14" s="1"/>
  <c r="F33" i="11"/>
  <c r="G33" i="11" s="1"/>
  <c r="M33" i="11" s="1"/>
  <c r="F33" i="9"/>
  <c r="G33" i="9" s="1"/>
  <c r="F43" i="11"/>
  <c r="G43" i="11" s="1"/>
  <c r="F36" i="1"/>
  <c r="G36" i="1" s="1"/>
  <c r="M36" i="1" s="1"/>
  <c r="B42" i="10"/>
  <c r="F41" i="1"/>
  <c r="G41" i="1" s="1"/>
  <c r="M41" i="1" s="1"/>
  <c r="L26" i="9" l="1"/>
  <c r="M26" i="9" s="1"/>
  <c r="L25" i="9"/>
  <c r="M25" i="9" s="1"/>
  <c r="J50" i="12"/>
  <c r="L50" i="12" s="1"/>
  <c r="M50" i="12" s="1"/>
  <c r="J51" i="12"/>
  <c r="L51" i="12" s="1"/>
  <c r="M51" i="12" s="1"/>
  <c r="J48" i="1"/>
  <c r="L48" i="1" s="1"/>
  <c r="M48" i="1" s="1"/>
  <c r="J51" i="13"/>
  <c r="L51" i="13" s="1"/>
  <c r="M51" i="13" s="1"/>
  <c r="L25" i="13"/>
  <c r="M25" i="13" s="1"/>
  <c r="L51" i="10"/>
  <c r="M51" i="10" s="1"/>
  <c r="F42" i="9"/>
  <c r="G42" i="9" s="1"/>
  <c r="M42" i="9" s="1"/>
  <c r="L41" i="11"/>
  <c r="M41" i="11" s="1"/>
  <c r="L32" i="10"/>
  <c r="M32" i="10" s="1"/>
  <c r="L51" i="14"/>
  <c r="M51" i="14" s="1"/>
  <c r="L26" i="12"/>
  <c r="M26" i="12" s="1"/>
  <c r="L26" i="11"/>
  <c r="M26" i="11" s="1"/>
  <c r="L49" i="9"/>
  <c r="M49" i="9" s="1"/>
  <c r="G39" i="14"/>
  <c r="G50" i="14" s="1"/>
  <c r="G39" i="13"/>
  <c r="G50" i="13" s="1"/>
  <c r="L25" i="14"/>
  <c r="M25" i="14" s="1"/>
  <c r="L40" i="12"/>
  <c r="M40" i="12" s="1"/>
  <c r="L25" i="11"/>
  <c r="M25" i="11" s="1"/>
  <c r="B43" i="11"/>
  <c r="B41" i="10"/>
  <c r="B35" i="11"/>
  <c r="G39" i="9"/>
  <c r="L40" i="10"/>
  <c r="M40" i="10" s="1"/>
  <c r="L32" i="11"/>
  <c r="M32" i="11" s="1"/>
  <c r="L48" i="9"/>
  <c r="M48" i="9" s="1"/>
  <c r="G39" i="10"/>
  <c r="G50" i="10" s="1"/>
  <c r="L49" i="1"/>
  <c r="M49" i="1" s="1"/>
  <c r="L26" i="14"/>
  <c r="M26" i="14" s="1"/>
  <c r="L32" i="13"/>
  <c r="M32" i="13" s="1"/>
  <c r="L37" i="10"/>
  <c r="M37" i="10" s="1"/>
  <c r="F34" i="1"/>
  <c r="G34" i="1" s="1"/>
  <c r="M34" i="1" s="1"/>
  <c r="B33" i="10"/>
  <c r="L32" i="9"/>
  <c r="M32" i="9" s="1"/>
  <c r="L40" i="14"/>
  <c r="M40" i="14" s="1"/>
  <c r="L40" i="9"/>
  <c r="M40" i="9" s="1"/>
  <c r="L26" i="10"/>
  <c r="M26" i="10" s="1"/>
  <c r="L52" i="10"/>
  <c r="M52" i="10" s="1"/>
  <c r="L38" i="9"/>
  <c r="M38" i="9" s="1"/>
  <c r="L40" i="13"/>
  <c r="M40" i="13" s="1"/>
  <c r="L25" i="12"/>
  <c r="M25" i="12" s="1"/>
  <c r="L52" i="11"/>
  <c r="M52" i="11" s="1"/>
  <c r="L25" i="10"/>
  <c r="M25" i="10" s="1"/>
  <c r="B36" i="10"/>
  <c r="L26" i="13"/>
  <c r="M26" i="13" s="1"/>
  <c r="L32" i="12"/>
  <c r="M32" i="12" s="1"/>
  <c r="L32" i="14"/>
  <c r="M32" i="14" s="1"/>
  <c r="L44" i="14"/>
  <c r="M44" i="14" s="1"/>
  <c r="L52" i="14"/>
  <c r="M52" i="14" s="1"/>
  <c r="G40" i="11"/>
  <c r="G50" i="11" s="1"/>
  <c r="G39" i="12"/>
  <c r="G49" i="12" s="1"/>
  <c r="L44" i="10"/>
  <c r="L52" i="13"/>
  <c r="M52" i="13" s="1"/>
  <c r="L51" i="11"/>
  <c r="M51" i="11" s="1"/>
  <c r="G47" i="9" l="1"/>
  <c r="G50" i="9" s="1"/>
  <c r="G39" i="1"/>
  <c r="G47" i="1" s="1"/>
  <c r="G50" i="1" s="1"/>
  <c r="G52" i="12"/>
  <c r="G53" i="10"/>
  <c r="B42" i="12"/>
  <c r="G53" i="14"/>
  <c r="B36" i="11"/>
  <c r="B42" i="11"/>
  <c r="G53" i="13"/>
  <c r="G53" i="11"/>
  <c r="B33" i="11"/>
  <c r="B35" i="12"/>
  <c r="B36" i="12" l="1"/>
  <c r="B36" i="13"/>
  <c r="G64" i="14"/>
  <c r="G70" i="14"/>
  <c r="G71" i="14" s="1"/>
  <c r="G72" i="14" s="1"/>
  <c r="G74" i="14" s="1"/>
  <c r="G69" i="12"/>
  <c r="G70" i="12" s="1"/>
  <c r="G71" i="12" s="1"/>
  <c r="G73" i="12" s="1"/>
  <c r="G63" i="12"/>
  <c r="G70" i="13"/>
  <c r="G71" i="13" s="1"/>
  <c r="G72" i="13" s="1"/>
  <c r="G74" i="13" s="1"/>
  <c r="G64" i="13"/>
  <c r="G61" i="9"/>
  <c r="G67" i="9"/>
  <c r="G68" i="9" s="1"/>
  <c r="G69" i="9" s="1"/>
  <c r="B35" i="13"/>
  <c r="B35" i="14"/>
  <c r="G64" i="11"/>
  <c r="G70" i="11"/>
  <c r="G71" i="11" s="1"/>
  <c r="G72" i="11" s="1"/>
  <c r="G74" i="11" s="1"/>
  <c r="B41" i="12"/>
  <c r="B42" i="13"/>
  <c r="B42" i="14"/>
  <c r="G64" i="10"/>
  <c r="G70" i="10"/>
  <c r="G71" i="10" s="1"/>
  <c r="G72" i="10" s="1"/>
  <c r="G74" i="10" s="1"/>
  <c r="B33" i="12"/>
  <c r="G67" i="1"/>
  <c r="G68" i="1" s="1"/>
  <c r="G69" i="1" s="1"/>
  <c r="G61" i="1"/>
  <c r="G62" i="1" s="1"/>
  <c r="G63" i="1" s="1"/>
  <c r="G70" i="9" l="1"/>
  <c r="L70" i="9" s="1"/>
  <c r="M70" i="9" s="1"/>
  <c r="G64" i="1"/>
  <c r="L64" i="1" s="1"/>
  <c r="M64" i="1" s="1"/>
  <c r="B33" i="13"/>
  <c r="B33" i="14"/>
  <c r="G65" i="10"/>
  <c r="G66" i="10" s="1"/>
  <c r="G68" i="10" s="1"/>
  <c r="G65" i="11"/>
  <c r="G66" i="11" s="1"/>
  <c r="G68" i="11" s="1"/>
  <c r="G62" i="9"/>
  <c r="G63" i="9" s="1"/>
  <c r="G65" i="13"/>
  <c r="G66" i="13" s="1"/>
  <c r="G68" i="13" s="1"/>
  <c r="G70" i="1"/>
  <c r="L70" i="1" s="1"/>
  <c r="M70" i="1" s="1"/>
  <c r="B41" i="13"/>
  <c r="B41" i="14"/>
  <c r="G64" i="12"/>
  <c r="G65" i="12" s="1"/>
  <c r="G67" i="12" s="1"/>
  <c r="G65" i="14"/>
  <c r="G66" i="14" s="1"/>
  <c r="G68" i="14" s="1"/>
  <c r="G71" i="1" l="1"/>
  <c r="G65" i="1"/>
  <c r="G71" i="9"/>
  <c r="G64" i="9"/>
  <c r="L64" i="9" s="1"/>
  <c r="M64" i="9" s="1"/>
  <c r="G65" i="9" l="1"/>
  <c r="I23" i="14" l="1"/>
  <c r="J23" i="14" s="1"/>
  <c r="I23" i="1" l="1"/>
  <c r="J23" i="1" s="1"/>
  <c r="L23" i="14"/>
  <c r="M23" i="14" s="1"/>
  <c r="L23" i="1" l="1"/>
  <c r="M23" i="1" s="1"/>
  <c r="I23" i="12"/>
  <c r="J23" i="12" s="1"/>
  <c r="I23" i="13"/>
  <c r="J23" i="13" s="1"/>
  <c r="L23" i="13" l="1"/>
  <c r="M23" i="13" s="1"/>
  <c r="I23" i="10"/>
  <c r="J23" i="10" s="1"/>
  <c r="L23" i="12"/>
  <c r="M23" i="12" s="1"/>
  <c r="I29" i="14"/>
  <c r="J29" i="14" s="1"/>
  <c r="I23" i="11"/>
  <c r="J23" i="11" s="1"/>
  <c r="I29" i="1" l="1"/>
  <c r="J29" i="1" s="1"/>
  <c r="L23" i="11"/>
  <c r="M23" i="11" s="1"/>
  <c r="L29" i="14"/>
  <c r="M29" i="14" s="1"/>
  <c r="L23" i="10"/>
  <c r="M23" i="10" s="1"/>
  <c r="L29" i="1" l="1"/>
  <c r="M29" i="1" s="1"/>
  <c r="I29" i="12"/>
  <c r="J29" i="12" s="1"/>
  <c r="I29" i="13"/>
  <c r="J29" i="13" s="1"/>
  <c r="I29" i="10" l="1"/>
  <c r="J29" i="10" s="1"/>
  <c r="I23" i="9"/>
  <c r="J23" i="9" s="1"/>
  <c r="L29" i="12"/>
  <c r="M29" i="12" s="1"/>
  <c r="L29" i="13"/>
  <c r="M29" i="13" s="1"/>
  <c r="I29" i="11"/>
  <c r="J29" i="11" s="1"/>
  <c r="L29" i="11" l="1"/>
  <c r="M29" i="11" s="1"/>
  <c r="L23" i="9"/>
  <c r="M23" i="9" s="1"/>
  <c r="L29" i="10"/>
  <c r="M29" i="10" s="1"/>
  <c r="I29" i="9" l="1"/>
  <c r="J29" i="9" s="1"/>
  <c r="L29" i="9" l="1"/>
  <c r="M29" i="9" s="1"/>
  <c r="I37" i="1" l="1"/>
  <c r="J37" i="1" s="1"/>
  <c r="L37" i="1" s="1"/>
  <c r="I37" i="9"/>
  <c r="J37" i="9" s="1"/>
  <c r="L37" i="9" s="1"/>
  <c r="I33" i="9"/>
  <c r="J33" i="9" s="1"/>
  <c r="L33" i="9" l="1"/>
  <c r="M33" i="9" s="1"/>
  <c r="I33" i="12"/>
  <c r="J33" i="12" s="1"/>
  <c r="L33" i="12" l="1"/>
  <c r="M33" i="12" s="1"/>
  <c r="I41" i="9" l="1"/>
  <c r="J41" i="9" s="1"/>
  <c r="L41" i="9" s="1"/>
  <c r="I41" i="13"/>
  <c r="J41" i="13" s="1"/>
  <c r="L41" i="13" s="1"/>
  <c r="I33" i="1"/>
  <c r="J33" i="1" s="1"/>
  <c r="I33" i="13"/>
  <c r="J33" i="13" s="1"/>
  <c r="I41" i="1" l="1"/>
  <c r="J41" i="1" s="1"/>
  <c r="L41" i="1" s="1"/>
  <c r="L33" i="13"/>
  <c r="I41" i="12"/>
  <c r="J41" i="12" s="1"/>
  <c r="L41" i="12" s="1"/>
  <c r="L33" i="1"/>
  <c r="M33" i="1" s="1"/>
  <c r="I47" i="10" l="1"/>
  <c r="J47" i="10" s="1"/>
  <c r="I46" i="12"/>
  <c r="J46" i="12" s="1"/>
  <c r="I47" i="14"/>
  <c r="J47" i="14" s="1"/>
  <c r="I47" i="11"/>
  <c r="J47" i="11" s="1"/>
  <c r="I44" i="9"/>
  <c r="J44" i="9" s="1"/>
  <c r="I47" i="13"/>
  <c r="J47" i="13" s="1"/>
  <c r="L44" i="9" l="1"/>
  <c r="M44" i="9" s="1"/>
  <c r="L46" i="12"/>
  <c r="M46" i="12" s="1"/>
  <c r="L47" i="13"/>
  <c r="M47" i="13" s="1"/>
  <c r="L47" i="11"/>
  <c r="M47" i="11" s="1"/>
  <c r="L47" i="14"/>
  <c r="M47" i="14" s="1"/>
  <c r="L47" i="10"/>
  <c r="M47" i="10" s="1"/>
  <c r="I44" i="1" l="1"/>
  <c r="J44" i="1" s="1"/>
  <c r="L44" i="1" l="1"/>
  <c r="M44" i="1" s="1"/>
  <c r="I34" i="12" l="1"/>
  <c r="J34" i="12" s="1"/>
  <c r="I36" i="14" l="1"/>
  <c r="J36" i="14" s="1"/>
  <c r="I31" i="14"/>
  <c r="J31" i="14" s="1"/>
  <c r="I36" i="9"/>
  <c r="J36" i="9" s="1"/>
  <c r="I36" i="1"/>
  <c r="J36" i="1" s="1"/>
  <c r="I34" i="10"/>
  <c r="J34" i="10" s="1"/>
  <c r="I34" i="1"/>
  <c r="J34" i="1" s="1"/>
  <c r="L34" i="12"/>
  <c r="I42" i="12" l="1"/>
  <c r="J42" i="12" s="1"/>
  <c r="I34" i="11"/>
  <c r="J34" i="11" s="1"/>
  <c r="L34" i="11" s="1"/>
  <c r="L36" i="14"/>
  <c r="L31" i="14"/>
  <c r="I43" i="11"/>
  <c r="J43" i="11" s="1"/>
  <c r="I36" i="11"/>
  <c r="J36" i="11" s="1"/>
  <c r="L34" i="10"/>
  <c r="I42" i="9"/>
  <c r="J42" i="9" s="1"/>
  <c r="I35" i="13"/>
  <c r="J35" i="13" s="1"/>
  <c r="L34" i="1"/>
  <c r="L36" i="9"/>
  <c r="I36" i="13"/>
  <c r="J36" i="13" s="1"/>
  <c r="I42" i="1"/>
  <c r="J42" i="1" s="1"/>
  <c r="L36" i="1"/>
  <c r="I34" i="13" l="1"/>
  <c r="J34" i="13" s="1"/>
  <c r="L42" i="12"/>
  <c r="I44" i="11"/>
  <c r="J44" i="11" s="1"/>
  <c r="I36" i="10"/>
  <c r="J36" i="10" s="1"/>
  <c r="I35" i="10"/>
  <c r="J35" i="10" s="1"/>
  <c r="I35" i="11"/>
  <c r="J35" i="11" s="1"/>
  <c r="I35" i="9"/>
  <c r="J35" i="9" s="1"/>
  <c r="I34" i="9"/>
  <c r="J34" i="9" s="1"/>
  <c r="L42" i="1"/>
  <c r="L43" i="11"/>
  <c r="M43" i="11" s="1"/>
  <c r="L36" i="13"/>
  <c r="L35" i="13"/>
  <c r="I42" i="10"/>
  <c r="J42" i="10" s="1"/>
  <c r="L42" i="9"/>
  <c r="I42" i="13"/>
  <c r="J42" i="13" s="1"/>
  <c r="L36" i="11"/>
  <c r="I43" i="10" l="1"/>
  <c r="J43" i="10" s="1"/>
  <c r="L43" i="10" s="1"/>
  <c r="I41" i="10"/>
  <c r="J41" i="10" s="1"/>
  <c r="I34" i="14"/>
  <c r="J34" i="14" s="1"/>
  <c r="L34" i="14" s="1"/>
  <c r="I35" i="12"/>
  <c r="J35" i="12" s="1"/>
  <c r="L44" i="11"/>
  <c r="I35" i="1"/>
  <c r="J35" i="1" s="1"/>
  <c r="L34" i="13"/>
  <c r="I35" i="14"/>
  <c r="J35" i="14" s="1"/>
  <c r="L35" i="14" s="1"/>
  <c r="L36" i="10"/>
  <c r="I33" i="10"/>
  <c r="J33" i="10" s="1"/>
  <c r="L33" i="10" s="1"/>
  <c r="M33" i="10" s="1"/>
  <c r="I33" i="11"/>
  <c r="J33" i="11" s="1"/>
  <c r="I42" i="11"/>
  <c r="J42" i="11" s="1"/>
  <c r="L42" i="11" s="1"/>
  <c r="L35" i="10"/>
  <c r="L35" i="11"/>
  <c r="I42" i="14"/>
  <c r="J42" i="14" s="1"/>
  <c r="I41" i="14"/>
  <c r="J41" i="14" s="1"/>
  <c r="L41" i="14" s="1"/>
  <c r="I33" i="14"/>
  <c r="J33" i="14" s="1"/>
  <c r="I43" i="14"/>
  <c r="J43" i="14" s="1"/>
  <c r="L42" i="13"/>
  <c r="L42" i="10"/>
  <c r="M42" i="10" s="1"/>
  <c r="L34" i="9"/>
  <c r="I36" i="12"/>
  <c r="J36" i="12" s="1"/>
  <c r="L35" i="9"/>
  <c r="L35" i="1" l="1"/>
  <c r="L41" i="10"/>
  <c r="L35" i="12"/>
  <c r="L33" i="11"/>
  <c r="L42" i="14"/>
  <c r="M42" i="14" s="1"/>
  <c r="L33" i="14"/>
  <c r="L43" i="14"/>
  <c r="L36" i="12"/>
  <c r="I37" i="14" l="1"/>
  <c r="J37" i="14" s="1"/>
  <c r="I27" i="14"/>
  <c r="J27" i="14" s="1"/>
  <c r="I31" i="13"/>
  <c r="J31" i="13" s="1"/>
  <c r="I27" i="13"/>
  <c r="J27" i="13" s="1"/>
  <c r="I31" i="12"/>
  <c r="J31" i="12" s="1"/>
  <c r="I27" i="12"/>
  <c r="J27" i="12" s="1"/>
  <c r="I31" i="11"/>
  <c r="J31" i="11" s="1"/>
  <c r="I27" i="11"/>
  <c r="J27" i="11" s="1"/>
  <c r="I31" i="9" l="1"/>
  <c r="J31" i="9" s="1"/>
  <c r="I27" i="10"/>
  <c r="J27" i="10" s="1"/>
  <c r="I27" i="1"/>
  <c r="J27" i="1" s="1"/>
  <c r="I31" i="10"/>
  <c r="J31" i="10" s="1"/>
  <c r="I27" i="9"/>
  <c r="J27" i="9" s="1"/>
  <c r="L27" i="11"/>
  <c r="J40" i="11"/>
  <c r="L27" i="13"/>
  <c r="J39" i="13"/>
  <c r="L31" i="11"/>
  <c r="L31" i="13"/>
  <c r="L27" i="12"/>
  <c r="J39" i="12"/>
  <c r="L27" i="14"/>
  <c r="J39" i="14"/>
  <c r="L31" i="12"/>
  <c r="L37" i="14"/>
  <c r="L39" i="13" l="1"/>
  <c r="M39" i="13" s="1"/>
  <c r="J50" i="13"/>
  <c r="L27" i="9"/>
  <c r="J39" i="9"/>
  <c r="L31" i="10"/>
  <c r="L27" i="10"/>
  <c r="J39" i="10"/>
  <c r="L39" i="12"/>
  <c r="M39" i="12" s="1"/>
  <c r="J49" i="12"/>
  <c r="L39" i="14"/>
  <c r="M39" i="14" s="1"/>
  <c r="J50" i="14"/>
  <c r="L31" i="9"/>
  <c r="L40" i="11"/>
  <c r="M40" i="11" s="1"/>
  <c r="J50" i="11"/>
  <c r="L27" i="1"/>
  <c r="J39" i="1"/>
  <c r="L50" i="14" l="1"/>
  <c r="J53" i="14"/>
  <c r="J53" i="11"/>
  <c r="L50" i="11"/>
  <c r="J52" i="12"/>
  <c r="L49" i="12"/>
  <c r="L39" i="10"/>
  <c r="M39" i="10" s="1"/>
  <c r="J50" i="10"/>
  <c r="J53" i="13"/>
  <c r="L50" i="13"/>
  <c r="L39" i="1"/>
  <c r="M39" i="1" s="1"/>
  <c r="J47" i="1"/>
  <c r="L39" i="9"/>
  <c r="M39" i="9" s="1"/>
  <c r="J47" i="9"/>
  <c r="M50" i="13" l="1"/>
  <c r="I11" i="15" s="1"/>
  <c r="G48" i="15" s="1"/>
  <c r="G11" i="15"/>
  <c r="L53" i="13"/>
  <c r="J64" i="13"/>
  <c r="J70" i="13"/>
  <c r="G10" i="15"/>
  <c r="M49" i="12"/>
  <c r="I10" i="15" s="1"/>
  <c r="G47" i="15" s="1"/>
  <c r="J53" i="10"/>
  <c r="L50" i="10"/>
  <c r="L52" i="12"/>
  <c r="J69" i="12"/>
  <c r="J63" i="12"/>
  <c r="M50" i="11"/>
  <c r="I9" i="15" s="1"/>
  <c r="G46" i="15" s="1"/>
  <c r="G9" i="15"/>
  <c r="J64" i="14"/>
  <c r="J70" i="14"/>
  <c r="L53" i="14"/>
  <c r="J50" i="9"/>
  <c r="L47" i="9"/>
  <c r="J50" i="1"/>
  <c r="L47" i="1"/>
  <c r="J64" i="11"/>
  <c r="J70" i="11"/>
  <c r="L53" i="11"/>
  <c r="G12" i="15"/>
  <c r="M50" i="14"/>
  <c r="I12" i="15" s="1"/>
  <c r="G49" i="15" s="1"/>
  <c r="J67" i="1" l="1"/>
  <c r="J61" i="1"/>
  <c r="L50" i="1"/>
  <c r="G7" i="15"/>
  <c r="M47" i="9"/>
  <c r="I7" i="15" s="1"/>
  <c r="J65" i="14"/>
  <c r="L65" i="14" s="1"/>
  <c r="M65" i="14" s="1"/>
  <c r="L64" i="14"/>
  <c r="M64" i="14" s="1"/>
  <c r="L69" i="12"/>
  <c r="M69" i="12" s="1"/>
  <c r="J70" i="12"/>
  <c r="L70" i="12" s="1"/>
  <c r="M70" i="12" s="1"/>
  <c r="L53" i="10"/>
  <c r="J64" i="10"/>
  <c r="J70" i="10"/>
  <c r="J65" i="13"/>
  <c r="L65" i="13" s="1"/>
  <c r="M65" i="13" s="1"/>
  <c r="L64" i="13"/>
  <c r="M64" i="13" s="1"/>
  <c r="G21" i="15"/>
  <c r="M53" i="11"/>
  <c r="I21" i="15" s="1"/>
  <c r="J67" i="9"/>
  <c r="L50" i="9"/>
  <c r="J61" i="9"/>
  <c r="G22" i="15"/>
  <c r="M52" i="12"/>
  <c r="I22" i="15" s="1"/>
  <c r="G23" i="15"/>
  <c r="M53" i="13"/>
  <c r="J71" i="11"/>
  <c r="L71" i="11" s="1"/>
  <c r="M71" i="11" s="1"/>
  <c r="L70" i="11"/>
  <c r="M70" i="11" s="1"/>
  <c r="M53" i="14"/>
  <c r="G24" i="15"/>
  <c r="J65" i="11"/>
  <c r="L65" i="11" s="1"/>
  <c r="M65" i="11" s="1"/>
  <c r="L64" i="11"/>
  <c r="M64" i="11" s="1"/>
  <c r="G6" i="15"/>
  <c r="M47" i="1"/>
  <c r="I6" i="15" s="1"/>
  <c r="L70" i="14"/>
  <c r="M70" i="14" s="1"/>
  <c r="J71" i="14"/>
  <c r="L71" i="14" s="1"/>
  <c r="M71" i="14" s="1"/>
  <c r="L63" i="12"/>
  <c r="M63" i="12" s="1"/>
  <c r="J64" i="12"/>
  <c r="L64" i="12" s="1"/>
  <c r="M64" i="12" s="1"/>
  <c r="G8" i="15"/>
  <c r="M50" i="10"/>
  <c r="I8" i="15" s="1"/>
  <c r="J71" i="13"/>
  <c r="L71" i="13" s="1"/>
  <c r="M71" i="13" s="1"/>
  <c r="L70" i="13"/>
  <c r="M70" i="13" s="1"/>
  <c r="J72" i="13" l="1"/>
  <c r="J74" i="13" s="1"/>
  <c r="L74" i="13" s="1"/>
  <c r="M74" i="13" s="1"/>
  <c r="J72" i="14"/>
  <c r="J66" i="11"/>
  <c r="I24" i="15"/>
  <c r="I23" i="15"/>
  <c r="L64" i="10"/>
  <c r="M64" i="10" s="1"/>
  <c r="J65" i="10"/>
  <c r="L65" i="10" s="1"/>
  <c r="M65" i="10" s="1"/>
  <c r="G44" i="15"/>
  <c r="L61" i="1"/>
  <c r="M61" i="1" s="1"/>
  <c r="J62" i="1"/>
  <c r="L62" i="1" s="1"/>
  <c r="M62" i="1" s="1"/>
  <c r="J65" i="12"/>
  <c r="J72" i="11"/>
  <c r="J62" i="9"/>
  <c r="L62" i="9" s="1"/>
  <c r="M62" i="9" s="1"/>
  <c r="L61" i="9"/>
  <c r="M61" i="9" s="1"/>
  <c r="G20" i="15"/>
  <c r="M53" i="10"/>
  <c r="I20" i="15" s="1"/>
  <c r="J68" i="1"/>
  <c r="L68" i="1" s="1"/>
  <c r="M68" i="1" s="1"/>
  <c r="L67" i="1"/>
  <c r="M67" i="1" s="1"/>
  <c r="G43" i="15"/>
  <c r="G19" i="15"/>
  <c r="M50" i="9"/>
  <c r="I19" i="15" s="1"/>
  <c r="J71" i="12"/>
  <c r="G45" i="15"/>
  <c r="L67" i="9"/>
  <c r="M67" i="9" s="1"/>
  <c r="J68" i="9"/>
  <c r="L68" i="9" s="1"/>
  <c r="M68" i="9" s="1"/>
  <c r="J66" i="13"/>
  <c r="L70" i="10"/>
  <c r="M70" i="10" s="1"/>
  <c r="J71" i="10"/>
  <c r="L71" i="10" s="1"/>
  <c r="M71" i="10" s="1"/>
  <c r="J66" i="14"/>
  <c r="G18" i="15"/>
  <c r="M50" i="1"/>
  <c r="I18" i="15" s="1"/>
  <c r="L72" i="13" l="1"/>
  <c r="M72" i="13" s="1"/>
  <c r="J72" i="10"/>
  <c r="J74" i="10" s="1"/>
  <c r="L74" i="10" s="1"/>
  <c r="M74" i="10" s="1"/>
  <c r="J63" i="9"/>
  <c r="L63" i="9" s="1"/>
  <c r="M63" i="9" s="1"/>
  <c r="J63" i="1"/>
  <c r="J65" i="1" s="1"/>
  <c r="J69" i="9"/>
  <c r="L69" i="9" s="1"/>
  <c r="M69" i="9" s="1"/>
  <c r="J68" i="14"/>
  <c r="L66" i="14"/>
  <c r="M66" i="14" s="1"/>
  <c r="L71" i="12"/>
  <c r="M71" i="12" s="1"/>
  <c r="J73" i="12"/>
  <c r="L73" i="12" s="1"/>
  <c r="M73" i="12" s="1"/>
  <c r="J66" i="10"/>
  <c r="L66" i="11"/>
  <c r="M66" i="11" s="1"/>
  <c r="J68" i="11"/>
  <c r="J69" i="1"/>
  <c r="J65" i="9"/>
  <c r="J74" i="11"/>
  <c r="L74" i="11" s="1"/>
  <c r="M74" i="11" s="1"/>
  <c r="L72" i="11"/>
  <c r="M72" i="11" s="1"/>
  <c r="J67" i="12"/>
  <c r="L65" i="12"/>
  <c r="M65" i="12" s="1"/>
  <c r="L66" i="13"/>
  <c r="M66" i="13" s="1"/>
  <c r="J68" i="13"/>
  <c r="G50" i="15"/>
  <c r="L63" i="1"/>
  <c r="M63" i="1" s="1"/>
  <c r="J74" i="14"/>
  <c r="L74" i="14" s="1"/>
  <c r="M74" i="14" s="1"/>
  <c r="L72" i="14"/>
  <c r="M72" i="14" s="1"/>
  <c r="J71" i="9" l="1"/>
  <c r="L71" i="9" s="1"/>
  <c r="M71" i="9" s="1"/>
  <c r="L72" i="10"/>
  <c r="M72" i="10" s="1"/>
  <c r="L67" i="12"/>
  <c r="L68" i="11"/>
  <c r="J71" i="1"/>
  <c r="L71" i="1" s="1"/>
  <c r="M71" i="1" s="1"/>
  <c r="L69" i="1"/>
  <c r="M69" i="1" s="1"/>
  <c r="L68" i="14"/>
  <c r="L65" i="1"/>
  <c r="L68" i="13"/>
  <c r="L65" i="9"/>
  <c r="L66" i="10"/>
  <c r="M66" i="10" s="1"/>
  <c r="J68" i="10"/>
  <c r="L68" i="10" l="1"/>
  <c r="M68" i="13"/>
  <c r="I36" i="15" s="1"/>
  <c r="G60" i="15" s="1"/>
  <c r="G36" i="15"/>
  <c r="M65" i="1"/>
  <c r="I31" i="15" s="1"/>
  <c r="G31" i="15"/>
  <c r="M68" i="11"/>
  <c r="I34" i="15" s="1"/>
  <c r="G58" i="15" s="1"/>
  <c r="G34" i="15"/>
  <c r="M65" i="9"/>
  <c r="I32" i="15" s="1"/>
  <c r="G32" i="15"/>
  <c r="G37" i="15"/>
  <c r="M68" i="14"/>
  <c r="I37" i="15" s="1"/>
  <c r="G61" i="15" s="1"/>
  <c r="G35" i="15"/>
  <c r="M67" i="12"/>
  <c r="I35" i="15" s="1"/>
  <c r="G59" i="15" s="1"/>
  <c r="G55" i="15" l="1"/>
  <c r="G33" i="15"/>
  <c r="M68" i="10"/>
  <c r="I33" i="15" s="1"/>
  <c r="G56" i="15"/>
  <c r="G57" i="15" l="1"/>
  <c r="G62" i="15" s="1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<sst xmlns="http://schemas.openxmlformats.org/spreadsheetml/2006/main" count="811" uniqueCount="150">
  <si>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</si>
  <si>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</si>
  <si>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</si>
  <si>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</si>
  <si>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</si>
  <si>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</si>
  <si>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</si>
  <si>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</si>
  <si>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</si>
  <si>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</si>
  <si>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</si>
  <si>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</si>
  <si>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</si>
  <si>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</si>
  <si>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</si>
  <si>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</si>
  <si>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</si>
  <si>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</si>
  <si>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</si>
  <si>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</si>
  <si>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</si>
  <si>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</si>
  <si>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</si>
  <si>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</si>
  <si>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</si>
  <si>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</si>
  <si>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</si>
  <si>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</si>
  <si>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</si>
  <si>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</si>
  <si>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</si>
  <si>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</si>
  <si>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</si>
  <si>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</si>
  <si>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</si>
  <si>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</si>
  <si>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</si>
  <si>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</si>
  <si>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</si>
  <si>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</si>
  <si>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</si>
  <si>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</si>
  <si>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</si>
  <si>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</si>
  <si>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</si>
  <si>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</si>
  <si>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</si>
  <si>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</si>
  <si>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</si>
  <si>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</si>
  <si>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</si>
  <si>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</si>
  <si>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May 1 - Oct 31</t>
  </si>
  <si>
    <t>Nov 1 - Apr 30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</si>
  <si>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</si>
  <si>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</si>
  <si>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</si>
  <si>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</si>
  <si>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</si>
  <si>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</si>
  <si>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</si>
  <si>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</si>
  <si>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</si>
  <si>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>kWh</t>
  </si>
  <si>
    <t>kW</t>
  </si>
  <si>
    <t>$</t>
  </si>
  <si>
    <t>%</t>
  </si>
  <si>
    <t>Residential</t>
  </si>
  <si>
    <t>Large Use</t>
  </si>
  <si>
    <t>Unmetered Scattered Load</t>
  </si>
  <si>
    <t>Street Lighting</t>
  </si>
  <si>
    <t xml:space="preserve">Recovery of CGAAP/CWIP Differential </t>
  </si>
  <si>
    <t xml:space="preserve">ICM Rate Rider  (2014) </t>
  </si>
  <si>
    <t>GS&lt;50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</si>
  <si>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</si>
  <si>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</si>
  <si>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</si>
  <si>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</si>
  <si>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</si>
  <si>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</si>
  <si>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</si>
  <si>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</si>
  <si>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</si>
  <si>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</si>
  <si>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</si>
  <si>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</si>
  <si>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</si>
  <si>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</si>
  <si>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LV_R</t>
  </si>
  <si>
    <t>ID</t>
  </si>
  <si>
    <t>TN_R</t>
  </si>
  <si>
    <t>TC_R</t>
  </si>
  <si>
    <t xml:space="preserve">Summary of Bill Impacts </t>
  </si>
  <si>
    <t>A</t>
  </si>
  <si>
    <t xml:space="preserve">Distribution Charge </t>
  </si>
  <si>
    <t>TEST YEAR 1 - 2016</t>
  </si>
  <si>
    <t>Customer Class</t>
  </si>
  <si>
    <t>Billing Determinant</t>
  </si>
  <si>
    <t>Consumption per customer</t>
  </si>
  <si>
    <t>Load per customer</t>
  </si>
  <si>
    <t>Monthly Distribution Charge Impact</t>
  </si>
  <si>
    <t>kwh</t>
  </si>
  <si>
    <t>GS&lt;50 kW</t>
  </si>
  <si>
    <t>GS&gt;50 kW</t>
  </si>
  <si>
    <t>Sentinel Lights</t>
  </si>
  <si>
    <t>B</t>
  </si>
  <si>
    <t>Delivery Charge</t>
  </si>
  <si>
    <t>Monthly Delivery Charge Impact</t>
  </si>
  <si>
    <t>C</t>
  </si>
  <si>
    <t>Total Bill</t>
  </si>
  <si>
    <t>Total Monthly Bill Impact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</si>
  <si>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</si>
  <si>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</si>
  <si>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</si>
  <si>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</si>
  <si>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Average</t>
  </si>
  <si>
    <t>Billing</t>
  </si>
  <si>
    <t>Determinant</t>
  </si>
  <si>
    <t>(kWh)</t>
  </si>
  <si>
    <t>Load
per Customer</t>
  </si>
  <si>
    <t>(kW)</t>
  </si>
  <si>
    <t>Bill Impacts - GS&lt;50</t>
  </si>
  <si>
    <t>Consumption
per Customer</t>
  </si>
  <si>
    <t>NOTES:</t>
  </si>
  <si>
    <t>TOU &amp; RPP price effective May 1, 2015</t>
  </si>
  <si>
    <t>OCEB included for 2015, but not for 2016</t>
  </si>
  <si>
    <t>DRC included for 2015, but removed for 2016 for Residental</t>
  </si>
  <si>
    <t>OESP Charge</t>
  </si>
  <si>
    <t>FR_R</t>
  </si>
  <si>
    <t>Forgone Revenue Rate Rider (2016)</t>
  </si>
  <si>
    <t>FR_GS</t>
  </si>
  <si>
    <t>Forgone Revenue Rate Rider -  Fixed Component (2016)</t>
  </si>
  <si>
    <t>FRV_GS</t>
  </si>
  <si>
    <t>Forgone Revenue Rate Rider -  Variable Component (2016)</t>
  </si>
  <si>
    <t>FR_GSL</t>
  </si>
  <si>
    <t>FRV_GSL</t>
  </si>
  <si>
    <t>Forgone Revenue Rate Rider - Variable Component (2016)</t>
  </si>
  <si>
    <t>FR_LU</t>
  </si>
  <si>
    <t>FRV_LU</t>
  </si>
  <si>
    <t>FR_USL</t>
  </si>
  <si>
    <t>FRV_USL</t>
  </si>
  <si>
    <t>FR_SE</t>
  </si>
  <si>
    <t>FRV_SE</t>
  </si>
  <si>
    <t>FR_SL</t>
  </si>
  <si>
    <t>FRV_SL</t>
  </si>
  <si>
    <t xml:space="preserve">Impact
2016  vs. 
2015 </t>
  </si>
  <si>
    <t>Smart Grid True-up (2016)</t>
  </si>
  <si>
    <t>SG16_SL</t>
  </si>
  <si>
    <t>Distribution
Component</t>
  </si>
  <si>
    <t>DECISION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</si>
</sst>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_-;\-* #,##0_-;_-* &quot;-&quot;??_-;_-@_-"/>
    <numFmt numFmtId="167" formatCode="_-&quot;$&quot;* #,##0.0000_-;\-&quot;$&quot;* #,##0.0000_-;_-&quot;$&quot;* &quot;-&quot;??_-;_-@_-"/>
    <numFmt numFmtId="168" formatCode="0.0%"/>
    <numFmt numFmtId="169" formatCode="_(* #,##0_);_(* \(#,##0\);_(* &quot;-&quot;??_);_(@_)"/>
    <numFmt numFmtId="170" formatCode="0.0%;\(0.0%\)"/>
    <numFmt numFmtId="171" formatCode="_(* #,##0.0_);_(* \(#,##0.0\);_(* &quot;-&quot;??_);_(@_)"/>
    <numFmt numFmtId="172" formatCode="0.0"/>
    <numFmt numFmtId="173" formatCode="_-&quot;$&quot;* #,##0.000_-;\-&quot;$&quot;* #,##0.000_-;_-&quot;$&quot;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i/>
      <sz val="11"/>
      <color indexed="8"/>
      <name val="Arial Narrow"/>
      <family val="2"/>
    </font>
    <font>
      <u/>
      <sz val="11"/>
      <color indexed="12"/>
      <name val="Arial Narrow"/>
      <family val="2"/>
    </font>
    <font>
      <b/>
      <i/>
      <sz val="11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486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6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7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16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7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7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16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7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44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" fontId="0" fillId="7" borderId="8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7" fontId="1" fillId="3" borderId="8" xfId="2" applyNumberFormat="1" applyFill="1" applyBorder="1" applyAlignment="1" applyProtection="1">
      <alignment vertical="top"/>
      <protection locked="0"/>
    </xf>
    <xf numFmtId="16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7" fontId="1" fillId="0" borderId="8" xfId="2" applyNumberFormat="1" applyFill="1" applyBorder="1" applyAlignment="1" applyProtection="1">
      <alignment vertical="top"/>
      <protection locked="0"/>
    </xf>
    <xf numFmtId="44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44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44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44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44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44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44" fontId="4" fillId="9" borderId="8" xfId="4" applyNumberFormat="1" applyFont="1" applyFill="1" applyBorder="1" applyAlignment="1" applyProtection="1">
      <alignment vertical="center"/>
    </xf>
    <xf numFmtId="167" fontId="1" fillId="8" borderId="14" xfId="2" applyNumberFormat="1" applyFill="1" applyBorder="1" applyAlignment="1" applyProtection="1">
      <alignment vertical="top"/>
      <protection locked="0"/>
    </xf>
    <xf numFmtId="16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165" fontId="0" fillId="7" borderId="8" xfId="0" applyNumberFormat="1" applyFill="1" applyBorder="1" applyAlignment="1" applyProtection="1">
      <alignment vertical="center"/>
    </xf>
    <xf numFmtId="16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16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44" fontId="0" fillId="3" borderId="8" xfId="2" applyNumberFormat="1" applyFont="1" applyFill="1" applyBorder="1" applyAlignment="1" applyProtection="1">
      <alignment vertical="top"/>
      <protection locked="0"/>
    </xf>
    <xf numFmtId="168" fontId="5" fillId="0" borderId="0" xfId="3" applyNumberFormat="1" applyFont="1" applyFill="1" applyAlignment="1">
      <alignment horizontal="right" vertical="top"/>
    </xf>
    <xf numFmtId="168" fontId="5" fillId="0" borderId="1" xfId="3" applyNumberFormat="1" applyFont="1" applyFill="1" applyBorder="1" applyAlignment="1">
      <alignment horizontal="right" vertical="top"/>
    </xf>
    <xf numFmtId="168" fontId="0" fillId="0" borderId="0" xfId="3" applyNumberFormat="1" applyFont="1" applyFill="1"/>
    <xf numFmtId="168" fontId="0" fillId="0" borderId="0" xfId="3" applyNumberFormat="1" applyFont="1"/>
    <xf numFmtId="168" fontId="7" fillId="0" borderId="0" xfId="3" applyNumberFormat="1" applyFont="1" applyAlignment="1" applyProtection="1">
      <alignment horizontal="center"/>
    </xf>
    <xf numFmtId="168" fontId="0" fillId="0" borderId="0" xfId="3" applyNumberFormat="1" applyFont="1" applyProtection="1"/>
    <xf numFmtId="168" fontId="4" fillId="0" borderId="7" xfId="3" applyNumberFormat="1" applyFont="1" applyBorder="1" applyAlignment="1" applyProtection="1">
      <alignment horizontal="center"/>
    </xf>
    <xf numFmtId="168" fontId="4" fillId="0" borderId="10" xfId="3" quotePrefix="1" applyNumberFormat="1" applyFont="1" applyBorder="1" applyAlignment="1" applyProtection="1">
      <alignment horizontal="center"/>
    </xf>
    <xf numFmtId="168" fontId="0" fillId="0" borderId="7" xfId="3" applyNumberFormat="1" applyFont="1" applyBorder="1" applyAlignment="1" applyProtection="1">
      <alignment vertical="center"/>
    </xf>
    <xf numFmtId="168" fontId="0" fillId="5" borderId="5" xfId="3" applyNumberFormat="1" applyFont="1" applyFill="1" applyBorder="1" applyAlignment="1" applyProtection="1">
      <alignment vertical="center"/>
    </xf>
    <xf numFmtId="168" fontId="4" fillId="5" borderId="5" xfId="3" applyNumberFormat="1" applyFont="1" applyFill="1" applyBorder="1" applyAlignment="1" applyProtection="1">
      <alignment vertical="center"/>
    </xf>
    <xf numFmtId="168" fontId="1" fillId="0" borderId="7" xfId="3" applyNumberFormat="1" applyBorder="1" applyAlignment="1" applyProtection="1">
      <alignment vertical="center"/>
    </xf>
    <xf numFmtId="168" fontId="1" fillId="8" borderId="13" xfId="3" applyNumberFormat="1" applyFill="1" applyBorder="1" applyAlignment="1" applyProtection="1">
      <alignment vertical="center"/>
    </xf>
    <xf numFmtId="168" fontId="4" fillId="0" borderId="8" xfId="3" applyNumberFormat="1" applyFont="1" applyFill="1" applyBorder="1" applyAlignment="1" applyProtection="1">
      <alignment vertical="center"/>
    </xf>
    <xf numFmtId="168" fontId="8" fillId="0" borderId="8" xfId="3" applyNumberFormat="1" applyFont="1" applyFill="1" applyBorder="1" applyAlignment="1" applyProtection="1">
      <alignment vertical="center"/>
    </xf>
    <xf numFmtId="168" fontId="12" fillId="0" borderId="8" xfId="3" applyNumberFormat="1" applyFont="1" applyFill="1" applyBorder="1" applyAlignment="1" applyProtection="1">
      <alignment vertical="center"/>
    </xf>
    <xf numFmtId="168" fontId="4" fillId="9" borderId="9" xfId="3" applyNumberFormat="1" applyFont="1" applyFill="1" applyBorder="1" applyAlignment="1" applyProtection="1">
      <alignment vertical="center"/>
    </xf>
    <xf numFmtId="168" fontId="4" fillId="9" borderId="8" xfId="3" applyNumberFormat="1" applyFont="1" applyFill="1" applyBorder="1" applyAlignment="1" applyProtection="1">
      <alignment vertical="center"/>
    </xf>
    <xf numFmtId="168" fontId="1" fillId="8" borderId="14" xfId="3" applyNumberFormat="1" applyFill="1" applyBorder="1" applyAlignment="1" applyProtection="1">
      <alignment vertical="center"/>
    </xf>
    <xf numFmtId="44" fontId="1" fillId="3" borderId="8" xfId="2" applyNumberFormat="1" applyFill="1" applyBorder="1" applyAlignment="1" applyProtection="1">
      <alignment vertical="top"/>
      <protection locked="0"/>
    </xf>
    <xf numFmtId="166" fontId="0" fillId="0" borderId="8" xfId="0" applyNumberFormat="1" applyFill="1" applyBorder="1" applyAlignment="1" applyProtection="1">
      <alignment vertical="center"/>
    </xf>
    <xf numFmtId="169" fontId="0" fillId="7" borderId="8" xfId="1" applyNumberFormat="1" applyFont="1" applyFill="1" applyBorder="1" applyAlignment="1" applyProtection="1">
      <alignment vertical="center"/>
    </xf>
    <xf numFmtId="169" fontId="0" fillId="0" borderId="8" xfId="1" applyNumberFormat="1" applyFont="1" applyFill="1" applyBorder="1" applyAlignment="1" applyProtection="1">
      <alignment vertical="center"/>
    </xf>
    <xf numFmtId="169" fontId="8" fillId="6" borderId="8" xfId="1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0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164" fontId="4" fillId="0" borderId="0" xfId="0" applyNumberFormat="1" applyFont="1" applyFill="1"/>
    <xf numFmtId="164" fontId="0" fillId="0" borderId="0" xfId="0" applyNumberFormat="1"/>
    <xf numFmtId="164" fontId="7" fillId="0" borderId="0" xfId="0" applyNumberFormat="1" applyFont="1" applyAlignment="1" applyProtection="1">
      <alignment horizontal="center"/>
    </xf>
    <xf numFmtId="164" fontId="0" fillId="0" borderId="0" xfId="0" applyNumberFormat="1" applyProtection="1"/>
    <xf numFmtId="164" fontId="4" fillId="0" borderId="6" xfId="0" applyNumberFormat="1" applyFont="1" applyBorder="1" applyAlignment="1" applyProtection="1">
      <alignment horizontal="center"/>
    </xf>
    <xf numFmtId="164" fontId="4" fillId="0" borderId="9" xfId="0" quotePrefix="1" applyNumberFormat="1" applyFont="1" applyBorder="1" applyAlignment="1" applyProtection="1">
      <alignment horizontal="center"/>
    </xf>
    <xf numFmtId="164" fontId="0" fillId="3" borderId="8" xfId="2" applyNumberFormat="1" applyFont="1" applyFill="1" applyBorder="1" applyAlignment="1" applyProtection="1">
      <alignment vertical="top"/>
      <protection locked="0"/>
    </xf>
    <xf numFmtId="164" fontId="0" fillId="5" borderId="2" xfId="2" applyNumberFormat="1" applyFont="1" applyFill="1" applyBorder="1" applyAlignment="1" applyProtection="1">
      <alignment vertical="top"/>
      <protection locked="0"/>
    </xf>
    <xf numFmtId="164" fontId="0" fillId="6" borderId="8" xfId="2" applyNumberFormat="1" applyFont="1" applyFill="1" applyBorder="1" applyAlignment="1" applyProtection="1">
      <alignment vertical="top"/>
      <protection locked="0"/>
    </xf>
    <xf numFmtId="164" fontId="0" fillId="5" borderId="2" xfId="0" applyNumberFormat="1" applyFill="1" applyBorder="1" applyProtection="1"/>
    <xf numFmtId="164" fontId="0" fillId="3" borderId="8" xfId="2" applyNumberFormat="1" applyFont="1" applyFill="1" applyBorder="1" applyAlignment="1" applyProtection="1">
      <alignment vertical="center"/>
      <protection locked="0"/>
    </xf>
    <xf numFmtId="164" fontId="0" fillId="5" borderId="2" xfId="0" applyNumberFormat="1" applyFill="1" applyBorder="1" applyAlignment="1" applyProtection="1">
      <alignment vertical="top"/>
    </xf>
    <xf numFmtId="164" fontId="1" fillId="3" borderId="8" xfId="2" applyNumberFormat="1" applyFill="1" applyBorder="1" applyAlignment="1" applyProtection="1">
      <alignment vertical="top"/>
      <protection locked="0"/>
    </xf>
    <xf numFmtId="164" fontId="1" fillId="0" borderId="8" xfId="2" applyNumberFormat="1" applyFill="1" applyBorder="1" applyAlignment="1" applyProtection="1">
      <alignment vertical="top"/>
      <protection locked="0"/>
    </xf>
    <xf numFmtId="164" fontId="1" fillId="8" borderId="14" xfId="2" applyNumberFormat="1" applyFill="1" applyBorder="1" applyAlignment="1" applyProtection="1">
      <alignment vertical="top"/>
      <protection locked="0"/>
    </xf>
    <xf numFmtId="164" fontId="8" fillId="0" borderId="8" xfId="0" applyNumberFormat="1" applyFont="1" applyFill="1" applyBorder="1" applyAlignment="1" applyProtection="1">
      <alignment vertical="center"/>
    </xf>
    <xf numFmtId="164" fontId="12" fillId="0" borderId="8" xfId="0" applyNumberFormat="1" applyFont="1" applyFill="1" applyBorder="1" applyAlignment="1" applyProtection="1">
      <alignment vertical="center"/>
    </xf>
    <xf numFmtId="164" fontId="8" fillId="9" borderId="9" xfId="0" applyNumberFormat="1" applyFont="1" applyFill="1" applyBorder="1" applyAlignment="1" applyProtection="1">
      <alignment vertical="center"/>
    </xf>
    <xf numFmtId="164" fontId="1" fillId="8" borderId="13" xfId="2" applyNumberFormat="1" applyFont="1" applyFill="1" applyBorder="1" applyAlignment="1" applyProtection="1">
      <alignment vertical="center"/>
    </xf>
    <xf numFmtId="164" fontId="8" fillId="0" borderId="8" xfId="4" applyNumberFormat="1" applyFont="1" applyFill="1" applyBorder="1" applyAlignment="1" applyProtection="1">
      <alignment vertical="center"/>
    </xf>
    <xf numFmtId="164" fontId="12" fillId="0" borderId="8" xfId="4" applyNumberFormat="1" applyFont="1" applyFill="1" applyBorder="1" applyAlignment="1" applyProtection="1">
      <alignment vertical="center"/>
    </xf>
    <xf numFmtId="164" fontId="8" fillId="9" borderId="8" xfId="4" applyNumberFormat="1" applyFont="1" applyFill="1" applyBorder="1" applyAlignment="1" applyProtection="1">
      <alignment vertical="center"/>
    </xf>
    <xf numFmtId="169" fontId="3" fillId="0" borderId="0" xfId="1" applyNumberFormat="1" applyFont="1" applyFill="1" applyAlignment="1" applyProtection="1">
      <alignment vertical="top" wrapText="1"/>
    </xf>
    <xf numFmtId="169" fontId="6" fillId="0" borderId="0" xfId="1" applyNumberFormat="1" applyFont="1" applyFill="1" applyBorder="1" applyAlignment="1" applyProtection="1"/>
    <xf numFmtId="169" fontId="7" fillId="0" borderId="0" xfId="1" applyNumberFormat="1" applyFont="1" applyFill="1" applyBorder="1" applyAlignment="1" applyProtection="1"/>
    <xf numFmtId="169" fontId="0" fillId="0" borderId="0" xfId="1" applyNumberFormat="1" applyFont="1" applyFill="1" applyBorder="1" applyAlignment="1" applyProtection="1"/>
    <xf numFmtId="169" fontId="0" fillId="0" borderId="0" xfId="1" applyNumberFormat="1" applyFont="1" applyAlignment="1" applyProtection="1"/>
    <xf numFmtId="169" fontId="7" fillId="0" borderId="0" xfId="1" applyNumberFormat="1" applyFont="1" applyAlignment="1" applyProtection="1"/>
    <xf numFmtId="169" fontId="4" fillId="0" borderId="0" xfId="1" applyNumberFormat="1" applyFont="1" applyAlignment="1" applyProtection="1"/>
    <xf numFmtId="169" fontId="4" fillId="0" borderId="6" xfId="1" applyNumberFormat="1" applyFont="1" applyBorder="1" applyAlignment="1" applyProtection="1"/>
    <xf numFmtId="169" fontId="4" fillId="0" borderId="9" xfId="1" quotePrefix="1" applyNumberFormat="1" applyFont="1" applyBorder="1" applyAlignment="1" applyProtection="1"/>
    <xf numFmtId="169" fontId="0" fillId="5" borderId="2" xfId="1" applyNumberFormat="1" applyFont="1" applyFill="1" applyBorder="1" applyAlignment="1" applyProtection="1">
      <alignment vertical="center"/>
      <protection locked="0"/>
    </xf>
    <xf numFmtId="169" fontId="0" fillId="8" borderId="14" xfId="1" applyNumberFormat="1" applyFont="1" applyFill="1" applyBorder="1" applyAlignment="1" applyProtection="1">
      <alignment vertical="center"/>
      <protection locked="0"/>
    </xf>
    <xf numFmtId="169" fontId="0" fillId="0" borderId="15" xfId="1" applyNumberFormat="1" applyFont="1" applyFill="1" applyBorder="1" applyAlignment="1" applyProtection="1">
      <alignment vertical="center"/>
    </xf>
    <xf numFmtId="169" fontId="0" fillId="0" borderId="7" xfId="1" applyNumberFormat="1" applyFont="1" applyFill="1" applyBorder="1" applyAlignment="1" applyProtection="1">
      <alignment vertical="center"/>
    </xf>
    <xf numFmtId="169" fontId="0" fillId="9" borderId="10" xfId="1" applyNumberFormat="1" applyFont="1" applyFill="1" applyBorder="1" applyAlignment="1" applyProtection="1">
      <alignment vertical="center"/>
    </xf>
    <xf numFmtId="169" fontId="8" fillId="8" borderId="13" xfId="1" applyNumberFormat="1" applyFont="1" applyFill="1" applyBorder="1" applyAlignment="1" applyProtection="1">
      <alignment vertical="center"/>
      <protection locked="0"/>
    </xf>
    <xf numFmtId="169" fontId="8" fillId="0" borderId="7" xfId="1" applyNumberFormat="1" applyFont="1" applyFill="1" applyBorder="1" applyAlignment="1" applyProtection="1">
      <alignment vertical="center"/>
    </xf>
    <xf numFmtId="169" fontId="8" fillId="9" borderId="7" xfId="1" applyNumberFormat="1" applyFont="1" applyFill="1" applyBorder="1" applyAlignment="1" applyProtection="1">
      <alignment vertical="center"/>
    </xf>
    <xf numFmtId="166" fontId="18" fillId="0" borderId="2" xfId="1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3" fillId="2" borderId="29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horizontal="center" vertical="center" wrapText="1"/>
    </xf>
    <xf numFmtId="169" fontId="24" fillId="2" borderId="16" xfId="1" applyNumberFormat="1" applyFont="1" applyFill="1" applyBorder="1" applyAlignment="1">
      <alignment horizontal="center" vertical="center" wrapText="1"/>
    </xf>
    <xf numFmtId="164" fontId="22" fillId="2" borderId="16" xfId="2" applyFont="1" applyFill="1" applyBorder="1"/>
    <xf numFmtId="170" fontId="22" fillId="2" borderId="17" xfId="3" applyNumberFormat="1" applyFont="1" applyFill="1" applyBorder="1"/>
    <xf numFmtId="0" fontId="23" fillId="2" borderId="3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center" vertical="center" wrapText="1"/>
    </xf>
    <xf numFmtId="169" fontId="24" fillId="2" borderId="0" xfId="1" applyNumberFormat="1" applyFont="1" applyFill="1" applyBorder="1" applyAlignment="1">
      <alignment horizontal="center" vertical="center" wrapText="1"/>
    </xf>
    <xf numFmtId="164" fontId="22" fillId="2" borderId="0" xfId="2" applyFont="1" applyFill="1" applyBorder="1"/>
    <xf numFmtId="170" fontId="22" fillId="2" borderId="18" xfId="3" applyNumberFormat="1" applyFont="1" applyFill="1" applyBorder="1"/>
    <xf numFmtId="169" fontId="25" fillId="2" borderId="0" xfId="1" applyNumberFormat="1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vertical="center" wrapText="1"/>
    </xf>
    <xf numFmtId="0" fontId="24" fillId="2" borderId="19" xfId="0" applyFont="1" applyFill="1" applyBorder="1" applyAlignment="1">
      <alignment horizontal="center" vertical="center" wrapText="1"/>
    </xf>
    <xf numFmtId="169" fontId="24" fillId="2" borderId="19" xfId="1" applyNumberFormat="1" applyFont="1" applyFill="1" applyBorder="1" applyAlignment="1">
      <alignment horizontal="center" vertical="center" wrapText="1"/>
    </xf>
    <xf numFmtId="164" fontId="22" fillId="2" borderId="19" xfId="2" applyFont="1" applyFill="1" applyBorder="1"/>
    <xf numFmtId="170" fontId="22" fillId="2" borderId="20" xfId="3" applyNumberFormat="1" applyFont="1" applyFill="1" applyBorder="1"/>
    <xf numFmtId="0" fontId="22" fillId="0" borderId="0" xfId="0" applyFont="1" applyAlignment="1">
      <alignment horizontal="right"/>
    </xf>
    <xf numFmtId="0" fontId="26" fillId="0" borderId="0" xfId="5" applyFont="1" applyAlignment="1" applyProtection="1">
      <alignment horizontal="right"/>
    </xf>
    <xf numFmtId="0" fontId="21" fillId="0" borderId="0" xfId="0" applyFont="1" applyAlignment="1">
      <alignment horizontal="right"/>
    </xf>
    <xf numFmtId="0" fontId="21" fillId="11" borderId="24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169" fontId="23" fillId="2" borderId="16" xfId="1" applyNumberFormat="1" applyFont="1" applyFill="1" applyBorder="1" applyAlignment="1">
      <alignment horizontal="center" vertical="center" wrapText="1"/>
    </xf>
    <xf numFmtId="164" fontId="23" fillId="2" borderId="16" xfId="2" applyFont="1" applyFill="1" applyBorder="1"/>
    <xf numFmtId="170" fontId="23" fillId="2" borderId="17" xfId="3" applyNumberFormat="1" applyFont="1" applyFill="1" applyBorder="1"/>
    <xf numFmtId="169" fontId="23" fillId="2" borderId="0" xfId="1" applyNumberFormat="1" applyFont="1" applyFill="1" applyBorder="1" applyAlignment="1">
      <alignment horizontal="center" vertical="center" wrapText="1"/>
    </xf>
    <xf numFmtId="164" fontId="23" fillId="2" borderId="0" xfId="2" applyFont="1" applyFill="1" applyBorder="1"/>
    <xf numFmtId="170" fontId="23" fillId="2" borderId="18" xfId="3" applyNumberFormat="1" applyFont="1" applyFill="1" applyBorder="1"/>
    <xf numFmtId="0" fontId="28" fillId="2" borderId="3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center" vertical="center" wrapText="1"/>
    </xf>
    <xf numFmtId="169" fontId="28" fillId="2" borderId="0" xfId="1" applyNumberFormat="1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vertical="center" wrapText="1"/>
    </xf>
    <xf numFmtId="169" fontId="23" fillId="2" borderId="19" xfId="1" applyNumberFormat="1" applyFont="1" applyFill="1" applyBorder="1" applyAlignment="1">
      <alignment horizontal="center" vertical="center" wrapText="1"/>
    </xf>
    <xf numFmtId="164" fontId="23" fillId="2" borderId="19" xfId="2" applyFont="1" applyFill="1" applyBorder="1"/>
    <xf numFmtId="170" fontId="23" fillId="2" borderId="20" xfId="3" applyNumberFormat="1" applyFont="1" applyFill="1" applyBorder="1"/>
    <xf numFmtId="0" fontId="0" fillId="0" borderId="0" xfId="0" applyFill="1" applyBorder="1" applyAlignment="1" applyProtection="1">
      <alignment vertical="center"/>
    </xf>
    <xf numFmtId="169" fontId="0" fillId="7" borderId="8" xfId="0" applyNumberFormat="1" applyFill="1" applyBorder="1" applyAlignment="1" applyProtection="1">
      <alignment vertical="center"/>
    </xf>
    <xf numFmtId="164" fontId="0" fillId="5" borderId="2" xfId="1" applyNumberFormat="1" applyFont="1" applyFill="1" applyBorder="1" applyProtection="1"/>
    <xf numFmtId="164" fontId="0" fillId="3" borderId="8" xfId="1" applyNumberFormat="1" applyFont="1" applyFill="1" applyBorder="1" applyAlignment="1" applyProtection="1">
      <alignment vertical="center"/>
      <protection locked="0"/>
    </xf>
    <xf numFmtId="164" fontId="0" fillId="5" borderId="2" xfId="1" applyNumberFormat="1" applyFont="1" applyFill="1" applyBorder="1" applyAlignment="1" applyProtection="1">
      <alignment vertical="top"/>
    </xf>
    <xf numFmtId="164" fontId="4" fillId="0" borderId="8" xfId="0" applyNumberFormat="1" applyFont="1" applyFill="1" applyBorder="1" applyAlignment="1" applyProtection="1">
      <alignment vertical="center"/>
    </xf>
    <xf numFmtId="164" fontId="4" fillId="9" borderId="9" xfId="0" applyNumberFormat="1" applyFont="1" applyFill="1" applyBorder="1" applyAlignment="1" applyProtection="1">
      <alignment vertical="center"/>
    </xf>
    <xf numFmtId="164" fontId="1" fillId="8" borderId="13" xfId="2" applyNumberFormat="1" applyFill="1" applyBorder="1" applyAlignment="1" applyProtection="1">
      <alignment vertical="center"/>
    </xf>
    <xf numFmtId="164" fontId="4" fillId="0" borderId="8" xfId="4" applyNumberFormat="1" applyFont="1" applyFill="1" applyBorder="1" applyAlignment="1" applyProtection="1">
      <alignment vertical="center"/>
    </xf>
    <xf numFmtId="164" fontId="4" fillId="9" borderId="8" xfId="4" applyNumberFormat="1" applyFont="1" applyFill="1" applyBorder="1" applyAlignment="1" applyProtection="1">
      <alignment vertical="center"/>
    </xf>
    <xf numFmtId="0" fontId="21" fillId="13" borderId="11" xfId="0" applyFont="1" applyFill="1" applyBorder="1" applyAlignment="1">
      <alignment horizontal="center" vertical="center" wrapText="1"/>
    </xf>
    <xf numFmtId="170" fontId="23" fillId="2" borderId="17" xfId="3" applyNumberFormat="1" applyFont="1" applyFill="1" applyBorder="1" applyAlignment="1">
      <alignment horizontal="center"/>
    </xf>
    <xf numFmtId="170" fontId="23" fillId="2" borderId="0" xfId="3" applyNumberFormat="1" applyFont="1" applyFill="1" applyBorder="1" applyAlignment="1">
      <alignment horizontal="center"/>
    </xf>
    <xf numFmtId="170" fontId="23" fillId="2" borderId="18" xfId="3" applyNumberFormat="1" applyFont="1" applyFill="1" applyBorder="1" applyAlignment="1">
      <alignment horizontal="center"/>
    </xf>
    <xf numFmtId="170" fontId="21" fillId="13" borderId="21" xfId="3" applyNumberFormat="1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1" fillId="13" borderId="14" xfId="0" applyFont="1" applyFill="1" applyBorder="1" applyAlignment="1">
      <alignment horizontal="center" vertical="center" wrapText="1"/>
    </xf>
    <xf numFmtId="0" fontId="21" fillId="13" borderId="24" xfId="0" applyFont="1" applyFill="1" applyBorder="1" applyAlignment="1">
      <alignment horizontal="center" vertical="center" wrapText="1"/>
    </xf>
    <xf numFmtId="0" fontId="21" fillId="13" borderId="36" xfId="0" applyFont="1" applyFill="1" applyBorder="1" applyAlignment="1">
      <alignment horizontal="center" vertical="center" wrapText="1"/>
    </xf>
    <xf numFmtId="3" fontId="23" fillId="2" borderId="24" xfId="0" applyNumberFormat="1" applyFont="1" applyFill="1" applyBorder="1" applyAlignment="1">
      <alignment vertical="center" wrapText="1"/>
    </xf>
    <xf numFmtId="3" fontId="23" fillId="2" borderId="8" xfId="0" applyNumberFormat="1" applyFont="1" applyFill="1" applyBorder="1" applyAlignment="1">
      <alignment vertical="center" wrapText="1"/>
    </xf>
    <xf numFmtId="170" fontId="23" fillId="2" borderId="37" xfId="3" applyNumberFormat="1" applyFont="1" applyFill="1" applyBorder="1" applyAlignment="1">
      <alignment horizontal="center"/>
    </xf>
    <xf numFmtId="170" fontId="23" fillId="2" borderId="38" xfId="3" applyNumberFormat="1" applyFont="1" applyFill="1" applyBorder="1" applyAlignment="1">
      <alignment horizontal="center"/>
    </xf>
    <xf numFmtId="0" fontId="22" fillId="0" borderId="0" xfId="0" applyFont="1" applyBorder="1"/>
    <xf numFmtId="0" fontId="30" fillId="0" borderId="0" xfId="0" applyFont="1"/>
    <xf numFmtId="44" fontId="0" fillId="6" borderId="8" xfId="2" applyNumberFormat="1" applyFont="1" applyFill="1" applyBorder="1" applyAlignment="1" applyProtection="1">
      <alignment vertical="top"/>
      <protection locked="0"/>
    </xf>
    <xf numFmtId="0" fontId="31" fillId="0" borderId="0" xfId="0" applyFont="1" applyProtection="1"/>
    <xf numFmtId="170" fontId="21" fillId="13" borderId="39" xfId="3" applyNumberFormat="1" applyFont="1" applyFill="1" applyBorder="1" applyAlignment="1">
      <alignment horizontal="center"/>
    </xf>
    <xf numFmtId="4" fontId="0" fillId="0" borderId="0" xfId="0" applyNumberForma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3" fontId="0" fillId="0" borderId="8" xfId="0" applyNumberFormat="1" applyFill="1" applyBorder="1" applyAlignment="1" applyProtection="1">
      <alignment vertical="center"/>
    </xf>
    <xf numFmtId="171" fontId="0" fillId="7" borderId="8" xfId="1" applyNumberFormat="1" applyFont="1" applyFill="1" applyBorder="1" applyAlignment="1" applyProtection="1">
      <alignment vertical="center"/>
    </xf>
    <xf numFmtId="172" fontId="0" fillId="7" borderId="8" xfId="0" applyNumberFormat="1" applyFill="1" applyBorder="1" applyAlignment="1" applyProtection="1">
      <alignment vertical="center"/>
    </xf>
    <xf numFmtId="165" fontId="0" fillId="0" borderId="8" xfId="1" applyNumberFormat="1" applyFont="1" applyFill="1" applyBorder="1" applyAlignment="1" applyProtection="1">
      <alignment vertical="center"/>
    </xf>
    <xf numFmtId="169" fontId="0" fillId="0" borderId="2" xfId="1" applyNumberFormat="1" applyFon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3" fontId="0" fillId="0" borderId="8" xfId="1" applyNumberFormat="1" applyFont="1" applyFill="1" applyBorder="1" applyAlignment="1" applyProtection="1">
      <alignment vertical="center"/>
    </xf>
    <xf numFmtId="0" fontId="32" fillId="0" borderId="0" xfId="0" applyFont="1" applyProtection="1"/>
    <xf numFmtId="0" fontId="32" fillId="3" borderId="0" xfId="0" applyFont="1" applyFill="1" applyAlignment="1" applyProtection="1">
      <alignment vertical="top"/>
    </xf>
    <xf numFmtId="0" fontId="32" fillId="0" borderId="0" xfId="0" applyFont="1" applyAlignment="1" applyProtection="1">
      <alignment vertical="top"/>
    </xf>
    <xf numFmtId="0" fontId="32" fillId="4" borderId="8" xfId="0" applyFont="1" applyFill="1" applyBorder="1" applyAlignment="1" applyProtection="1">
      <alignment vertical="top"/>
      <protection locked="0"/>
    </xf>
    <xf numFmtId="0" fontId="32" fillId="0" borderId="8" xfId="0" applyFont="1" applyFill="1" applyBorder="1" applyAlignment="1" applyProtection="1">
      <alignment horizontal="center" vertical="center"/>
    </xf>
    <xf numFmtId="44" fontId="32" fillId="3" borderId="8" xfId="2" applyNumberFormat="1" applyFont="1" applyFill="1" applyBorder="1" applyAlignment="1" applyProtection="1">
      <alignment vertical="top"/>
      <protection locked="0"/>
    </xf>
    <xf numFmtId="164" fontId="32" fillId="0" borderId="7" xfId="2" applyFont="1" applyBorder="1" applyAlignment="1" applyProtection="1">
      <alignment vertical="center"/>
    </xf>
    <xf numFmtId="0" fontId="32" fillId="0" borderId="0" xfId="0" applyFont="1" applyFill="1" applyAlignment="1" applyProtection="1">
      <alignment vertical="center"/>
    </xf>
    <xf numFmtId="164" fontId="32" fillId="3" borderId="8" xfId="2" applyNumberFormat="1" applyFont="1" applyFill="1" applyBorder="1" applyAlignment="1" applyProtection="1">
      <alignment vertical="top"/>
      <protection locked="0"/>
    </xf>
    <xf numFmtId="168" fontId="32" fillId="0" borderId="7" xfId="3" applyNumberFormat="1" applyFont="1" applyBorder="1" applyAlignment="1" applyProtection="1">
      <alignment vertical="center"/>
    </xf>
    <xf numFmtId="0" fontId="32" fillId="3" borderId="0" xfId="0" applyFont="1" applyFill="1" applyAlignment="1" applyProtection="1">
      <alignment vertical="top"/>
      <protection locked="0"/>
    </xf>
    <xf numFmtId="167" fontId="32" fillId="3" borderId="8" xfId="2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Alignment="1" applyProtection="1">
      <alignment vertical="top" wrapText="1"/>
    </xf>
    <xf numFmtId="0" fontId="33" fillId="0" borderId="0" xfId="0" applyFont="1" applyProtection="1"/>
    <xf numFmtId="0" fontId="31" fillId="3" borderId="0" xfId="0" applyFont="1" applyFill="1" applyAlignment="1" applyProtection="1">
      <alignment vertical="top"/>
      <protection locked="0"/>
    </xf>
    <xf numFmtId="0" fontId="31" fillId="0" borderId="0" xfId="0" applyFont="1" applyAlignment="1" applyProtection="1">
      <alignment vertical="top"/>
    </xf>
    <xf numFmtId="0" fontId="31" fillId="4" borderId="8" xfId="0" applyFont="1" applyFill="1" applyBorder="1" applyAlignment="1" applyProtection="1">
      <alignment vertical="top"/>
      <protection locked="0"/>
    </xf>
    <xf numFmtId="169" fontId="31" fillId="0" borderId="8" xfId="1" applyNumberFormat="1" applyFont="1" applyFill="1" applyBorder="1" applyAlignment="1" applyProtection="1">
      <alignment vertical="center"/>
    </xf>
    <xf numFmtId="167" fontId="31" fillId="3" borderId="8" xfId="2" applyNumberFormat="1" applyFont="1" applyFill="1" applyBorder="1" applyAlignment="1" applyProtection="1">
      <alignment vertical="top"/>
      <protection locked="0"/>
    </xf>
    <xf numFmtId="164" fontId="31" fillId="0" borderId="7" xfId="2" applyFont="1" applyBorder="1" applyAlignment="1" applyProtection="1">
      <alignment vertical="center"/>
    </xf>
    <xf numFmtId="0" fontId="31" fillId="0" borderId="0" xfId="0" applyFont="1" applyFill="1" applyAlignment="1" applyProtection="1">
      <alignment vertical="center"/>
    </xf>
    <xf numFmtId="164" fontId="31" fillId="3" borderId="8" xfId="2" applyNumberFormat="1" applyFont="1" applyFill="1" applyBorder="1" applyAlignment="1" applyProtection="1">
      <alignment vertical="top"/>
      <protection locked="0"/>
    </xf>
    <xf numFmtId="168" fontId="31" fillId="0" borderId="7" xfId="3" applyNumberFormat="1" applyFont="1" applyBorder="1" applyAlignment="1" applyProtection="1">
      <alignment vertical="center"/>
    </xf>
    <xf numFmtId="0" fontId="31" fillId="3" borderId="0" xfId="0" applyFont="1" applyFill="1" applyAlignment="1" applyProtection="1">
      <alignment vertical="top"/>
    </xf>
    <xf numFmtId="44" fontId="31" fillId="3" borderId="8" xfId="2" applyNumberFormat="1" applyFont="1" applyFill="1" applyBorder="1" applyAlignment="1" applyProtection="1">
      <alignment vertical="top"/>
      <protection locked="0"/>
    </xf>
    <xf numFmtId="0" fontId="31" fillId="0" borderId="8" xfId="0" applyFont="1" applyFill="1" applyBorder="1" applyAlignment="1" applyProtection="1">
      <alignment vertical="center"/>
    </xf>
    <xf numFmtId="166" fontId="31" fillId="0" borderId="8" xfId="0" applyNumberFormat="1" applyFont="1" applyFill="1" applyBorder="1" applyAlignment="1" applyProtection="1">
      <alignment vertical="center"/>
    </xf>
    <xf numFmtId="0" fontId="31" fillId="0" borderId="7" xfId="0" applyFont="1" applyFill="1" applyBorder="1" applyAlignment="1" applyProtection="1">
      <alignment vertical="center"/>
    </xf>
    <xf numFmtId="173" fontId="1" fillId="3" borderId="8" xfId="2" applyNumberFormat="1" applyFill="1" applyBorder="1" applyAlignment="1" applyProtection="1">
      <alignment vertical="top"/>
      <protection locked="0"/>
    </xf>
    <xf numFmtId="0" fontId="0" fillId="4" borderId="8" xfId="0" applyFont="1" applyFill="1" applyBorder="1" applyAlignment="1" applyProtection="1">
      <alignment vertical="top"/>
      <protection locked="0"/>
    </xf>
    <xf numFmtId="0" fontId="34" fillId="4" borderId="8" xfId="0" applyFont="1" applyFill="1" applyBorder="1" applyAlignment="1" applyProtection="1">
      <alignment vertical="top"/>
      <protection locked="0"/>
    </xf>
    <xf numFmtId="0" fontId="34" fillId="0" borderId="8" xfId="0" applyFont="1" applyFill="1" applyBorder="1" applyAlignment="1" applyProtection="1">
      <alignment horizontal="center" vertical="center"/>
    </xf>
    <xf numFmtId="169" fontId="1" fillId="0" borderId="8" xfId="1" applyNumberFormat="1" applyFont="1" applyFill="1" applyBorder="1" applyAlignment="1" applyProtection="1">
      <alignment vertical="center"/>
    </xf>
    <xf numFmtId="166" fontId="0" fillId="0" borderId="8" xfId="0" applyNumberFormat="1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165" fontId="0" fillId="0" borderId="8" xfId="0" applyNumberFormat="1" applyFill="1" applyBorder="1" applyAlignment="1" applyProtection="1">
      <alignment horizontal="center" vertical="center"/>
    </xf>
    <xf numFmtId="165" fontId="0" fillId="0" borderId="8" xfId="0" applyNumberFormat="1" applyFill="1" applyBorder="1" applyAlignment="1" applyProtection="1">
      <alignment vertical="center"/>
    </xf>
    <xf numFmtId="169" fontId="0" fillId="0" borderId="8" xfId="0" applyNumberFormat="1" applyFill="1" applyBorder="1" applyAlignment="1" applyProtection="1">
      <alignment vertical="center"/>
    </xf>
    <xf numFmtId="1" fontId="8" fillId="0" borderId="8" xfId="4" applyNumberFormat="1" applyFill="1" applyBorder="1" applyAlignment="1" applyProtection="1">
      <alignment vertical="center"/>
    </xf>
    <xf numFmtId="171" fontId="0" fillId="0" borderId="8" xfId="1" applyNumberFormat="1" applyFont="1" applyFill="1" applyBorder="1" applyAlignment="1" applyProtection="1">
      <alignment vertical="center"/>
    </xf>
    <xf numFmtId="169" fontId="8" fillId="0" borderId="8" xfId="1" applyNumberFormat="1" applyFont="1" applyFill="1" applyBorder="1" applyAlignment="1" applyProtection="1">
      <alignment vertical="center"/>
    </xf>
    <xf numFmtId="0" fontId="21" fillId="11" borderId="37" xfId="0" applyFont="1" applyFill="1" applyBorder="1" applyAlignment="1">
      <alignment horizontal="center" vertical="center" wrapText="1"/>
    </xf>
    <xf numFmtId="0" fontId="21" fillId="11" borderId="40" xfId="0" applyFont="1" applyFill="1" applyBorder="1" applyAlignment="1">
      <alignment horizontal="center" vertical="center" wrapText="1"/>
    </xf>
    <xf numFmtId="0" fontId="21" fillId="13" borderId="40" xfId="0" applyFont="1" applyFill="1" applyBorder="1" applyAlignment="1">
      <alignment horizontal="center" vertical="center" wrapText="1"/>
    </xf>
    <xf numFmtId="0" fontId="21" fillId="13" borderId="4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168" fontId="22" fillId="0" borderId="0" xfId="3" applyNumberFormat="1" applyFont="1" applyBorder="1" applyAlignment="1">
      <alignment horizontal="center"/>
    </xf>
    <xf numFmtId="0" fontId="29" fillId="14" borderId="0" xfId="0" applyFont="1" applyFill="1" applyBorder="1" applyAlignment="1">
      <alignment horizontal="center"/>
    </xf>
    <xf numFmtId="170" fontId="23" fillId="14" borderId="0" xfId="3" applyNumberFormat="1" applyFont="1" applyFill="1" applyBorder="1" applyAlignment="1">
      <alignment horizontal="center"/>
    </xf>
    <xf numFmtId="0" fontId="0" fillId="0" borderId="38" xfId="0" applyFill="1" applyBorder="1" applyAlignment="1" applyProtection="1">
      <alignment vertical="center"/>
    </xf>
    <xf numFmtId="0" fontId="8" fillId="0" borderId="38" xfId="4" applyFill="1" applyBorder="1" applyAlignment="1" applyProtection="1">
      <alignment vertical="center"/>
    </xf>
    <xf numFmtId="0" fontId="4" fillId="0" borderId="38" xfId="0" applyFont="1" applyFill="1" applyBorder="1" applyAlignment="1" applyProtection="1">
      <alignment vertical="center"/>
    </xf>
    <xf numFmtId="0" fontId="8" fillId="0" borderId="38" xfId="0" applyFont="1" applyFill="1" applyBorder="1" applyAlignment="1" applyProtection="1">
      <alignment vertical="center"/>
    </xf>
    <xf numFmtId="0" fontId="8" fillId="0" borderId="0" xfId="4" applyFill="1" applyBorder="1" applyProtection="1"/>
    <xf numFmtId="0" fontId="31" fillId="0" borderId="0" xfId="0" applyFont="1" applyBorder="1" applyProtection="1"/>
    <xf numFmtId="0" fontId="0" fillId="0" borderId="0" xfId="0" applyBorder="1" applyProtection="1"/>
    <xf numFmtId="0" fontId="4" fillId="0" borderId="38" xfId="4" applyFont="1" applyFill="1" applyBorder="1" applyAlignment="1" applyProtection="1">
      <alignment vertical="center"/>
    </xf>
    <xf numFmtId="0" fontId="8" fillId="0" borderId="38" xfId="4" applyFont="1" applyFill="1" applyBorder="1" applyAlignment="1" applyProtection="1">
      <alignment vertical="center"/>
    </xf>
    <xf numFmtId="0" fontId="29" fillId="13" borderId="33" xfId="0" applyFont="1" applyFill="1" applyBorder="1" applyAlignment="1"/>
    <xf numFmtId="0" fontId="29" fillId="13" borderId="34" xfId="0" applyFont="1" applyFill="1" applyBorder="1" applyAlignment="1">
      <alignment horizontal="center" wrapText="1"/>
    </xf>
    <xf numFmtId="0" fontId="29" fillId="13" borderId="34" xfId="0" applyFont="1" applyFill="1" applyBorder="1" applyAlignment="1">
      <alignment horizontal="center"/>
    </xf>
    <xf numFmtId="0" fontId="4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vertical="center"/>
    </xf>
    <xf numFmtId="0" fontId="4" fillId="0" borderId="7" xfId="4" applyFont="1" applyFill="1" applyBorder="1" applyAlignment="1" applyProtection="1">
      <alignment vertical="center"/>
    </xf>
    <xf numFmtId="0" fontId="8" fillId="0" borderId="7" xfId="4" applyFont="1" applyFill="1" applyBorder="1" applyAlignment="1" applyProtection="1">
      <alignment vertical="center"/>
    </xf>
    <xf numFmtId="164" fontId="0" fillId="0" borderId="0" xfId="0" applyNumberFormat="1" applyBorder="1" applyProtection="1"/>
    <xf numFmtId="168" fontId="0" fillId="0" borderId="0" xfId="3" applyNumberFormat="1" applyFont="1" applyBorder="1" applyProtection="1"/>
    <xf numFmtId="0" fontId="4" fillId="0" borderId="0" xfId="0" applyFont="1" applyBorder="1" applyAlignment="1" applyProtection="1">
      <alignment horizontal="center"/>
    </xf>
    <xf numFmtId="164" fontId="4" fillId="0" borderId="0" xfId="0" applyNumberFormat="1" applyFont="1" applyBorder="1" applyAlignment="1" applyProtection="1">
      <alignment horizontal="center"/>
    </xf>
    <xf numFmtId="168" fontId="4" fillId="0" borderId="0" xfId="3" applyNumberFormat="1" applyFont="1" applyBorder="1" applyAlignment="1" applyProtection="1">
      <alignment horizontal="center"/>
    </xf>
    <xf numFmtId="0" fontId="4" fillId="0" borderId="0" xfId="0" quotePrefix="1" applyFont="1" applyBorder="1" applyAlignment="1" applyProtection="1">
      <alignment horizontal="center"/>
    </xf>
    <xf numFmtId="164" fontId="4" fillId="0" borderId="0" xfId="0" quotePrefix="1" applyNumberFormat="1" applyFont="1" applyBorder="1" applyAlignment="1" applyProtection="1">
      <alignment horizontal="center"/>
    </xf>
    <xf numFmtId="168" fontId="4" fillId="0" borderId="0" xfId="3" quotePrefix="1" applyNumberFormat="1" applyFont="1" applyBorder="1" applyAlignment="1" applyProtection="1">
      <alignment horizontal="center"/>
    </xf>
    <xf numFmtId="44" fontId="0" fillId="3" borderId="0" xfId="2" applyNumberFormat="1" applyFont="1" applyFill="1" applyBorder="1" applyAlignment="1" applyProtection="1">
      <alignment vertical="top"/>
      <protection locked="0"/>
    </xf>
    <xf numFmtId="164" fontId="0" fillId="0" borderId="0" xfId="2" applyFont="1" applyBorder="1" applyAlignment="1" applyProtection="1">
      <alignment vertical="center"/>
    </xf>
    <xf numFmtId="164" fontId="0" fillId="3" borderId="0" xfId="2" applyNumberFormat="1" applyFont="1" applyFill="1" applyBorder="1" applyAlignment="1" applyProtection="1">
      <alignment vertical="top"/>
      <protection locked="0"/>
    </xf>
    <xf numFmtId="168" fontId="0" fillId="0" borderId="0" xfId="3" applyNumberFormat="1" applyFont="1" applyBorder="1" applyAlignment="1" applyProtection="1">
      <alignment vertical="center"/>
    </xf>
    <xf numFmtId="44" fontId="32" fillId="3" borderId="0" xfId="2" applyNumberFormat="1" applyFont="1" applyFill="1" applyBorder="1" applyAlignment="1" applyProtection="1">
      <alignment vertical="top"/>
      <protection locked="0"/>
    </xf>
    <xf numFmtId="164" fontId="32" fillId="0" borderId="0" xfId="2" applyFont="1" applyBorder="1" applyAlignment="1" applyProtection="1">
      <alignment vertical="center"/>
    </xf>
    <xf numFmtId="0" fontId="32" fillId="0" borderId="0" xfId="0" applyFont="1" applyFill="1" applyBorder="1" applyAlignment="1" applyProtection="1">
      <alignment vertical="center"/>
    </xf>
    <xf numFmtId="164" fontId="32" fillId="3" borderId="0" xfId="2" applyNumberFormat="1" applyFont="1" applyFill="1" applyBorder="1" applyAlignment="1" applyProtection="1">
      <alignment vertical="top"/>
      <protection locked="0"/>
    </xf>
    <xf numFmtId="168" fontId="32" fillId="0" borderId="0" xfId="3" applyNumberFormat="1" applyFont="1" applyBorder="1" applyAlignment="1" applyProtection="1">
      <alignment vertical="center"/>
    </xf>
    <xf numFmtId="167" fontId="0" fillId="3" borderId="0" xfId="2" applyNumberFormat="1" applyFont="1" applyFill="1" applyBorder="1" applyAlignment="1" applyProtection="1">
      <alignment vertical="top"/>
      <protection locked="0"/>
    </xf>
    <xf numFmtId="167" fontId="32" fillId="3" borderId="0" xfId="2" applyNumberFormat="1" applyFont="1" applyFill="1" applyBorder="1" applyAlignment="1" applyProtection="1">
      <alignment vertical="top"/>
      <protection locked="0"/>
    </xf>
    <xf numFmtId="167" fontId="0" fillId="5" borderId="0" xfId="2" applyNumberFormat="1" applyFont="1" applyFill="1" applyBorder="1" applyAlignment="1" applyProtection="1">
      <alignment vertical="top"/>
      <protection locked="0"/>
    </xf>
    <xf numFmtId="164" fontId="0" fillId="5" borderId="0" xfId="2" applyFont="1" applyFill="1" applyBorder="1" applyAlignment="1" applyProtection="1">
      <alignment vertical="center"/>
    </xf>
    <xf numFmtId="164" fontId="0" fillId="5" borderId="0" xfId="2" applyNumberFormat="1" applyFont="1" applyFill="1" applyBorder="1" applyAlignment="1" applyProtection="1">
      <alignment vertical="top"/>
      <protection locked="0"/>
    </xf>
    <xf numFmtId="168" fontId="0" fillId="5" borderId="0" xfId="3" applyNumberFormat="1" applyFont="1" applyFill="1" applyBorder="1" applyAlignment="1" applyProtection="1">
      <alignment vertical="center"/>
    </xf>
    <xf numFmtId="167" fontId="0" fillId="6" borderId="0" xfId="2" applyNumberFormat="1" applyFont="1" applyFill="1" applyBorder="1" applyAlignment="1" applyProtection="1">
      <alignment vertical="top"/>
      <protection locked="0"/>
    </xf>
    <xf numFmtId="164" fontId="0" fillId="6" borderId="0" xfId="2" applyNumberFormat="1" applyFont="1" applyFill="1" applyBorder="1" applyAlignment="1" applyProtection="1">
      <alignment vertical="top"/>
      <protection locked="0"/>
    </xf>
    <xf numFmtId="44" fontId="0" fillId="6" borderId="0" xfId="2" applyNumberFormat="1" applyFont="1" applyFill="1" applyBorder="1" applyAlignment="1" applyProtection="1">
      <alignment vertical="top"/>
      <protection locked="0"/>
    </xf>
    <xf numFmtId="0" fontId="0" fillId="5" borderId="0" xfId="0" applyFill="1" applyBorder="1" applyProtection="1"/>
    <xf numFmtId="44" fontId="4" fillId="5" borderId="0" xfId="0" applyNumberFormat="1" applyFont="1" applyFill="1" applyBorder="1" applyAlignment="1" applyProtection="1">
      <alignment vertical="center"/>
    </xf>
    <xf numFmtId="164" fontId="0" fillId="5" borderId="0" xfId="0" applyNumberFormat="1" applyFill="1" applyBorder="1" applyProtection="1"/>
    <xf numFmtId="168" fontId="4" fillId="5" borderId="0" xfId="3" applyNumberFormat="1" applyFont="1" applyFill="1" applyBorder="1" applyAlignment="1" applyProtection="1">
      <alignment vertical="center"/>
    </xf>
    <xf numFmtId="167" fontId="0" fillId="3" borderId="0" xfId="2" applyNumberFormat="1" applyFont="1" applyFill="1" applyBorder="1" applyAlignment="1" applyProtection="1">
      <alignment vertical="center"/>
      <protection locked="0"/>
    </xf>
    <xf numFmtId="164" fontId="0" fillId="3" borderId="0" xfId="2" applyNumberFormat="1" applyFont="1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vertical="center"/>
    </xf>
    <xf numFmtId="164" fontId="0" fillId="5" borderId="0" xfId="0" applyNumberFormat="1" applyFill="1" applyBorder="1" applyAlignment="1" applyProtection="1">
      <alignment vertical="top"/>
    </xf>
    <xf numFmtId="167" fontId="1" fillId="3" borderId="0" xfId="2" applyNumberFormat="1" applyFill="1" applyBorder="1" applyAlignment="1" applyProtection="1">
      <alignment vertical="top"/>
      <protection locked="0"/>
    </xf>
    <xf numFmtId="164" fontId="1" fillId="0" borderId="0" xfId="2" applyBorder="1" applyAlignment="1" applyProtection="1">
      <alignment vertical="center"/>
    </xf>
    <xf numFmtId="164" fontId="1" fillId="3" borderId="0" xfId="2" applyNumberFormat="1" applyFill="1" applyBorder="1" applyAlignment="1" applyProtection="1">
      <alignment vertical="top"/>
      <protection locked="0"/>
    </xf>
    <xf numFmtId="168" fontId="1" fillId="0" borderId="0" xfId="3" applyNumberFormat="1" applyBorder="1" applyAlignment="1" applyProtection="1">
      <alignment vertical="center"/>
    </xf>
    <xf numFmtId="44" fontId="1" fillId="3" borderId="0" xfId="2" applyNumberFormat="1" applyFill="1" applyBorder="1" applyAlignment="1" applyProtection="1">
      <alignment vertical="top"/>
      <protection locked="0"/>
    </xf>
    <xf numFmtId="167" fontId="1" fillId="0" borderId="0" xfId="2" applyNumberFormat="1" applyFill="1" applyBorder="1" applyAlignment="1" applyProtection="1">
      <alignment vertical="top"/>
      <protection locked="0"/>
    </xf>
    <xf numFmtId="164" fontId="1" fillId="0" borderId="0" xfId="2" applyNumberFormat="1" applyFill="1" applyBorder="1" applyAlignment="1" applyProtection="1">
      <alignment vertical="top"/>
      <protection locked="0"/>
    </xf>
    <xf numFmtId="0" fontId="8" fillId="0" borderId="0" xfId="4" applyFill="1" applyBorder="1" applyAlignment="1" applyProtection="1">
      <alignment vertical="center"/>
    </xf>
    <xf numFmtId="167" fontId="1" fillId="8" borderId="0" xfId="2" applyNumberFormat="1" applyFill="1" applyBorder="1" applyAlignment="1" applyProtection="1">
      <alignment vertical="top"/>
      <protection locked="0"/>
    </xf>
    <xf numFmtId="164" fontId="1" fillId="8" borderId="0" xfId="2" applyFill="1" applyBorder="1" applyAlignment="1" applyProtection="1">
      <alignment vertical="center"/>
    </xf>
    <xf numFmtId="164" fontId="1" fillId="8" borderId="0" xfId="2" applyNumberFormat="1" applyFill="1" applyBorder="1" applyAlignment="1" applyProtection="1">
      <alignment vertical="top"/>
      <protection locked="0"/>
    </xf>
    <xf numFmtId="168" fontId="1" fillId="8" borderId="0" xfId="3" applyNumberFormat="1" applyFill="1" applyBorder="1" applyAlignment="1" applyProtection="1">
      <alignment vertical="center"/>
    </xf>
    <xf numFmtId="9" fontId="0" fillId="0" borderId="0" xfId="0" applyNumberFormat="1" applyFill="1" applyBorder="1" applyAlignment="1" applyProtection="1">
      <alignment vertical="top"/>
    </xf>
    <xf numFmtId="44" fontId="4" fillId="0" borderId="0" xfId="0" applyNumberFormat="1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168" fontId="4" fillId="0" borderId="0" xfId="3" applyNumberFormat="1" applyFont="1" applyFill="1" applyBorder="1" applyAlignment="1" applyProtection="1">
      <alignment vertical="center"/>
    </xf>
    <xf numFmtId="9" fontId="0" fillId="0" borderId="0" xfId="0" applyNumberFormat="1" applyFill="1" applyBorder="1" applyAlignment="1" applyProtection="1">
      <alignment vertical="top"/>
      <protection locked="0"/>
    </xf>
    <xf numFmtId="44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168" fontId="8" fillId="0" borderId="0" xfId="3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top"/>
    </xf>
    <xf numFmtId="44" fontId="12" fillId="0" borderId="0" xfId="0" applyNumberFormat="1" applyFont="1" applyFill="1" applyBorder="1" applyAlignment="1" applyProtection="1">
      <alignment vertical="center"/>
    </xf>
    <xf numFmtId="164" fontId="12" fillId="0" borderId="0" xfId="0" applyNumberFormat="1" applyFont="1" applyFill="1" applyBorder="1" applyAlignment="1" applyProtection="1">
      <alignment vertical="center"/>
    </xf>
    <xf numFmtId="168" fontId="12" fillId="0" borderId="0" xfId="3" applyNumberFormat="1" applyFont="1" applyFill="1" applyBorder="1" applyAlignment="1" applyProtection="1">
      <alignment vertical="center"/>
    </xf>
    <xf numFmtId="0" fontId="0" fillId="9" borderId="0" xfId="0" applyFill="1" applyBorder="1" applyAlignment="1" applyProtection="1">
      <alignment vertical="top"/>
    </xf>
    <xf numFmtId="44" fontId="4" fillId="9" borderId="0" xfId="0" applyNumberFormat="1" applyFont="1" applyFill="1" applyBorder="1" applyAlignment="1" applyProtection="1">
      <alignment vertical="center"/>
    </xf>
    <xf numFmtId="164" fontId="8" fillId="9" borderId="0" xfId="0" applyNumberFormat="1" applyFont="1" applyFill="1" applyBorder="1" applyAlignment="1" applyProtection="1">
      <alignment vertical="center"/>
    </xf>
    <xf numFmtId="168" fontId="4" fillId="9" borderId="0" xfId="3" applyNumberFormat="1" applyFont="1" applyFill="1" applyBorder="1" applyAlignment="1" applyProtection="1">
      <alignment vertical="center"/>
    </xf>
    <xf numFmtId="164" fontId="1" fillId="8" borderId="0" xfId="2" applyNumberFormat="1" applyFont="1" applyFill="1" applyBorder="1" applyAlignment="1" applyProtection="1">
      <alignment vertical="center"/>
    </xf>
    <xf numFmtId="9" fontId="8" fillId="0" borderId="0" xfId="4" applyNumberFormat="1" applyFill="1" applyBorder="1" applyAlignment="1" applyProtection="1">
      <alignment vertical="top"/>
    </xf>
    <xf numFmtId="44" fontId="4" fillId="0" borderId="0" xfId="4" applyNumberFormat="1" applyFont="1" applyFill="1" applyBorder="1" applyAlignment="1" applyProtection="1">
      <alignment vertical="center"/>
    </xf>
    <xf numFmtId="0" fontId="4" fillId="0" borderId="0" xfId="4" applyFont="1" applyFill="1" applyBorder="1" applyAlignment="1" applyProtection="1">
      <alignment vertical="center"/>
    </xf>
    <xf numFmtId="164" fontId="8" fillId="0" borderId="0" xfId="4" applyNumberFormat="1" applyFont="1" applyFill="1" applyBorder="1" applyAlignment="1" applyProtection="1">
      <alignment vertical="center"/>
    </xf>
    <xf numFmtId="9" fontId="8" fillId="0" borderId="0" xfId="4" applyNumberFormat="1" applyFill="1" applyBorder="1" applyAlignment="1" applyProtection="1">
      <alignment vertical="top"/>
      <protection locked="0"/>
    </xf>
    <xf numFmtId="44" fontId="8" fillId="0" borderId="0" xfId="4" applyNumberFormat="1" applyFont="1" applyFill="1" applyBorder="1" applyAlignment="1" applyProtection="1">
      <alignment vertical="center"/>
    </xf>
    <xf numFmtId="0" fontId="8" fillId="0" borderId="0" xfId="4" applyFont="1" applyFill="1" applyBorder="1" applyAlignment="1" applyProtection="1">
      <alignment vertical="center"/>
    </xf>
    <xf numFmtId="0" fontId="8" fillId="0" borderId="0" xfId="4" applyFill="1" applyBorder="1" applyAlignment="1" applyProtection="1">
      <alignment vertical="top"/>
    </xf>
    <xf numFmtId="44" fontId="12" fillId="0" borderId="0" xfId="4" applyNumberFormat="1" applyFont="1" applyFill="1" applyBorder="1" applyAlignment="1" applyProtection="1">
      <alignment vertical="center"/>
    </xf>
    <xf numFmtId="164" fontId="12" fillId="0" borderId="0" xfId="4" applyNumberFormat="1" applyFont="1" applyFill="1" applyBorder="1" applyAlignment="1" applyProtection="1">
      <alignment vertical="center"/>
    </xf>
    <xf numFmtId="0" fontId="8" fillId="9" borderId="0" xfId="4" applyFill="1" applyBorder="1" applyAlignment="1" applyProtection="1">
      <alignment vertical="top"/>
    </xf>
    <xf numFmtId="44" fontId="4" fillId="9" borderId="0" xfId="4" applyNumberFormat="1" applyFont="1" applyFill="1" applyBorder="1" applyAlignment="1" applyProtection="1">
      <alignment vertical="center"/>
    </xf>
    <xf numFmtId="164" fontId="8" fillId="9" borderId="0" xfId="4" applyNumberFormat="1" applyFont="1" applyFill="1" applyBorder="1" applyAlignment="1" applyProtection="1">
      <alignment vertical="center"/>
    </xf>
    <xf numFmtId="44" fontId="0" fillId="0" borderId="0" xfId="0" applyNumberFormat="1" applyBorder="1" applyProtection="1"/>
    <xf numFmtId="10" fontId="1" fillId="3" borderId="0" xfId="3" applyNumberFormat="1" applyFill="1" applyBorder="1" applyProtection="1">
      <protection locked="0"/>
    </xf>
    <xf numFmtId="0" fontId="7" fillId="0" borderId="0" xfId="0" applyFont="1" applyBorder="1" applyAlignment="1" applyProtection="1">
      <alignment horizontal="center"/>
    </xf>
    <xf numFmtId="164" fontId="7" fillId="0" borderId="0" xfId="0" applyNumberFormat="1" applyFont="1" applyBorder="1" applyAlignment="1" applyProtection="1">
      <alignment horizontal="center"/>
    </xf>
    <xf numFmtId="168" fontId="7" fillId="0" borderId="0" xfId="3" applyNumberFormat="1" applyFont="1" applyBorder="1" applyAlignment="1" applyProtection="1">
      <alignment horizontal="center"/>
    </xf>
    <xf numFmtId="44" fontId="31" fillId="3" borderId="0" xfId="2" applyNumberFormat="1" applyFont="1" applyFill="1" applyBorder="1" applyAlignment="1" applyProtection="1">
      <alignment vertical="top"/>
      <protection locked="0"/>
    </xf>
    <xf numFmtId="164" fontId="31" fillId="0" borderId="0" xfId="2" applyFont="1" applyBorder="1" applyAlignment="1" applyProtection="1">
      <alignment vertical="center"/>
    </xf>
    <xf numFmtId="0" fontId="31" fillId="0" borderId="0" xfId="0" applyFont="1" applyFill="1" applyBorder="1" applyAlignment="1" applyProtection="1">
      <alignment vertical="center"/>
    </xf>
    <xf numFmtId="164" fontId="31" fillId="3" borderId="0" xfId="2" applyNumberFormat="1" applyFont="1" applyFill="1" applyBorder="1" applyAlignment="1" applyProtection="1">
      <alignment vertical="top"/>
      <protection locked="0"/>
    </xf>
    <xf numFmtId="168" fontId="31" fillId="0" borderId="0" xfId="3" applyNumberFormat="1" applyFont="1" applyBorder="1" applyAlignment="1" applyProtection="1">
      <alignment vertical="center"/>
    </xf>
    <xf numFmtId="167" fontId="31" fillId="3" borderId="0" xfId="2" applyNumberFormat="1" applyFont="1" applyFill="1" applyBorder="1" applyAlignment="1" applyProtection="1">
      <alignment vertical="top"/>
      <protection locked="0"/>
    </xf>
    <xf numFmtId="164" fontId="0" fillId="5" borderId="0" xfId="1" applyNumberFormat="1" applyFont="1" applyFill="1" applyBorder="1" applyProtection="1"/>
    <xf numFmtId="164" fontId="0" fillId="3" borderId="0" xfId="1" applyNumberFormat="1" applyFont="1" applyFill="1" applyBorder="1" applyAlignment="1" applyProtection="1">
      <alignment vertical="center"/>
      <protection locked="0"/>
    </xf>
    <xf numFmtId="164" fontId="0" fillId="5" borderId="0" xfId="1" applyNumberFormat="1" applyFont="1" applyFill="1" applyBorder="1" applyAlignment="1" applyProtection="1">
      <alignment vertical="top"/>
    </xf>
    <xf numFmtId="164" fontId="4" fillId="0" borderId="0" xfId="0" applyNumberFormat="1" applyFont="1" applyFill="1" applyBorder="1" applyAlignment="1" applyProtection="1">
      <alignment vertical="center"/>
    </xf>
    <xf numFmtId="164" fontId="4" fillId="9" borderId="0" xfId="0" applyNumberFormat="1" applyFont="1" applyFill="1" applyBorder="1" applyAlignment="1" applyProtection="1">
      <alignment vertical="center"/>
    </xf>
    <xf numFmtId="164" fontId="1" fillId="8" borderId="0" xfId="2" applyNumberFormat="1" applyFill="1" applyBorder="1" applyAlignment="1" applyProtection="1">
      <alignment vertical="center"/>
    </xf>
    <xf numFmtId="164" fontId="4" fillId="0" borderId="0" xfId="4" applyNumberFormat="1" applyFont="1" applyFill="1" applyBorder="1" applyAlignment="1" applyProtection="1">
      <alignment vertical="center"/>
    </xf>
    <xf numFmtId="164" fontId="4" fillId="9" borderId="0" xfId="4" applyNumberFormat="1" applyFont="1" applyFill="1" applyBorder="1" applyAlignment="1" applyProtection="1">
      <alignment vertical="center"/>
    </xf>
    <xf numFmtId="0" fontId="29" fillId="13" borderId="0" xfId="0" applyFont="1" applyFill="1" applyBorder="1" applyAlignment="1"/>
    <xf numFmtId="0" fontId="21" fillId="13" borderId="0" xfId="0" applyFont="1" applyFill="1" applyBorder="1" applyAlignment="1">
      <alignment horizontal="center" vertical="center" wrapText="1"/>
    </xf>
    <xf numFmtId="170" fontId="21" fillId="13" borderId="0" xfId="3" applyNumberFormat="1" applyFont="1" applyFill="1" applyBorder="1" applyAlignment="1">
      <alignment horizontal="center"/>
    </xf>
    <xf numFmtId="170" fontId="21" fillId="14" borderId="0" xfId="3" applyNumberFormat="1" applyFont="1" applyFill="1" applyBorder="1" applyAlignment="1">
      <alignment horizontal="center"/>
    </xf>
    <xf numFmtId="168" fontId="22" fillId="0" borderId="0" xfId="0" applyNumberFormat="1" applyFont="1" applyBorder="1" applyAlignment="1">
      <alignment horizontal="center"/>
    </xf>
    <xf numFmtId="0" fontId="21" fillId="11" borderId="0" xfId="0" applyFont="1" applyFill="1" applyBorder="1" applyAlignment="1">
      <alignment horizontal="center" vertical="center" wrapText="1"/>
    </xf>
    <xf numFmtId="164" fontId="23" fillId="2" borderId="0" xfId="2" applyFont="1" applyFill="1" applyBorder="1" applyAlignment="1">
      <alignment horizontal="center"/>
    </xf>
    <xf numFmtId="170" fontId="23" fillId="2" borderId="0" xfId="3" applyNumberFormat="1" applyFont="1" applyFill="1" applyBorder="1"/>
    <xf numFmtId="164" fontId="22" fillId="2" borderId="0" xfId="2" applyFont="1" applyFill="1" applyBorder="1" applyAlignment="1">
      <alignment horizontal="center"/>
    </xf>
    <xf numFmtId="170" fontId="22" fillId="2" borderId="0" xfId="3" applyNumberFormat="1" applyFont="1" applyFill="1" applyBorder="1"/>
    <xf numFmtId="0" fontId="21" fillId="11" borderId="0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/>
    </xf>
    <xf numFmtId="0" fontId="21" fillId="13" borderId="29" xfId="0" applyFont="1" applyFill="1" applyBorder="1" applyAlignment="1">
      <alignment horizontal="center" vertical="center" wrapText="1"/>
    </xf>
    <xf numFmtId="0" fontId="21" fillId="13" borderId="31" xfId="0" applyFont="1" applyFill="1" applyBorder="1" applyAlignment="1">
      <alignment horizontal="center" vertical="center" wrapText="1"/>
    </xf>
    <xf numFmtId="0" fontId="21" fillId="11" borderId="32" xfId="0" applyFont="1" applyFill="1" applyBorder="1" applyAlignment="1">
      <alignment horizontal="center" vertical="center" wrapText="1"/>
    </xf>
    <xf numFmtId="0" fontId="21" fillId="11" borderId="35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27" fillId="11" borderId="36" xfId="0" applyFont="1" applyFill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 vertical="center" wrapText="1"/>
    </xf>
    <xf numFmtId="0" fontId="21" fillId="11" borderId="41" xfId="0" applyFont="1" applyFill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168" fontId="22" fillId="14" borderId="0" xfId="3" applyNumberFormat="1" applyFont="1" applyFill="1" applyBorder="1" applyAlignment="1">
      <alignment horizontal="center"/>
    </xf>
    <xf numFmtId="0" fontId="23" fillId="12" borderId="11" xfId="0" applyFont="1" applyFill="1" applyBorder="1" applyAlignment="1">
      <alignment horizontal="center"/>
    </xf>
    <xf numFmtId="0" fontId="23" fillId="12" borderId="12" xfId="0" applyFont="1" applyFill="1" applyBorder="1" applyAlignment="1">
      <alignment horizontal="center"/>
    </xf>
    <xf numFmtId="0" fontId="23" fillId="12" borderId="21" xfId="0" applyFont="1" applyFill="1" applyBorder="1" applyAlignment="1">
      <alignment horizontal="center"/>
    </xf>
    <xf numFmtId="0" fontId="23" fillId="12" borderId="0" xfId="0" applyFont="1" applyFill="1" applyBorder="1" applyAlignment="1">
      <alignment horizontal="center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7" fillId="11" borderId="23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indent="7"/>
    </xf>
    <xf numFmtId="0" fontId="19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10" borderId="0" xfId="0" applyFont="1" applyFill="1" applyBorder="1" applyAlignment="1" applyProtection="1">
      <alignment horizontal="center" wrapText="1"/>
    </xf>
    <xf numFmtId="0" fontId="4" fillId="10" borderId="0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 2" xfId="4"/>
    <cellStyle name="Percent" xfId="3" builtinId="5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RO_Models/2016/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%20EDR%20model_Nov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DVAs_Mitigation_DRO"/>
      <sheetName val="DVAs_Summary  DRO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Cost Allocation"/>
      <sheetName val="Cost Allocation App 2-P "/>
      <sheetName val="Validation"/>
      <sheetName val="Transformer Allowance"/>
      <sheetName val="LV Allocation "/>
      <sheetName val="Rates - LV"/>
      <sheetName val="IRM Lag"/>
      <sheetName val="Extraordinary Items"/>
      <sheetName val="Proposed Rates"/>
      <sheetName val="Misc tables Rates"/>
      <sheetName val="Tariff 2016_new"/>
      <sheetName val="Rate Schedule 2016_DRO"/>
      <sheetName val="Tariff 2017_new"/>
      <sheetName val="Rate Schedule 2017_DRO"/>
      <sheetName val="Assets Input to CA"/>
      <sheetName val="Groups"/>
      <sheetName val="Rate Schedule 2018"/>
      <sheetName val="Rate Schedule 2019"/>
      <sheetName val="Rate Schedule 2020"/>
      <sheetName val="TB Utility"/>
      <sheetName val="Summary  Utility"/>
      <sheetName val="PS Bill Impacts"/>
      <sheetName val="DVAs_Summary"/>
      <sheetName val="DVAs_Mitigation"/>
      <sheetName val="Rate Schedule 2016"/>
      <sheetName val="Rate Schedule 2017"/>
      <sheetName val="Rate Mitigation"/>
      <sheetName val="Revenue Decoupling"/>
      <sheetName val="Rate Design_Transition"/>
      <sheetName val="Compatibility Report (1)"/>
    </sheetNames>
    <sheetDataSet>
      <sheetData sheetId="0"/>
      <sheetData sheetId="1"/>
      <sheetData sheetId="2">
        <row r="1">
          <cell r="A1" t="str">
            <v>Back to Index</v>
          </cell>
          <cell r="N1" t="str">
            <v>NOTE: Line Loss Change - Row 217</v>
          </cell>
        </row>
        <row r="2">
          <cell r="B2" t="str">
            <v>2016 EDR Model</v>
          </cell>
        </row>
        <row r="4">
          <cell r="B4" t="str">
            <v>PowerStream Inc.</v>
          </cell>
        </row>
        <row r="5">
          <cell r="B5" t="str">
            <v>Rates</v>
          </cell>
        </row>
        <row r="8">
          <cell r="A8" t="str">
            <v>A</v>
          </cell>
          <cell r="B8" t="str">
            <v>MONTHLY RATES AND CHARGES  - DELIVERY COMPONENT</v>
          </cell>
        </row>
        <row r="9">
          <cell r="F9">
            <v>41030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</row>
        <row r="11">
          <cell r="B11" t="str">
            <v>Description</v>
          </cell>
          <cell r="F11">
            <v>2012</v>
          </cell>
          <cell r="H11">
            <v>2013</v>
          </cell>
          <cell r="J11">
            <v>2014</v>
          </cell>
          <cell r="L11">
            <v>2015</v>
          </cell>
          <cell r="N11">
            <v>2016</v>
          </cell>
          <cell r="O11">
            <v>2017</v>
          </cell>
          <cell r="P11">
            <v>2018</v>
          </cell>
          <cell r="Q11">
            <v>2019</v>
          </cell>
          <cell r="R11">
            <v>2020</v>
          </cell>
        </row>
        <row r="12">
          <cell r="F12" t="str">
            <v>Actual</v>
          </cell>
          <cell r="H12" t="str">
            <v>Actual</v>
          </cell>
          <cell r="J12" t="str">
            <v>Actual</v>
          </cell>
          <cell r="L12" t="str">
            <v>Actual</v>
          </cell>
          <cell r="N12" t="str">
            <v>Calculated</v>
          </cell>
          <cell r="O12" t="str">
            <v>Calculated</v>
          </cell>
          <cell r="P12" t="str">
            <v>Calculated</v>
          </cell>
          <cell r="Q12" t="str">
            <v>Calculated</v>
          </cell>
          <cell r="R12" t="str">
            <v>Calculated</v>
          </cell>
        </row>
        <row r="13">
          <cell r="C13" t="str">
            <v>Type</v>
          </cell>
          <cell r="D13" t="str">
            <v>Customers</v>
          </cell>
          <cell r="E13" t="str">
            <v>Billing
Determinant</v>
          </cell>
          <cell r="F13" t="str">
            <v>PS South</v>
          </cell>
          <cell r="G13" t="str">
            <v>PS North</v>
          </cell>
          <cell r="H13" t="str">
            <v>PS South</v>
          </cell>
          <cell r="I13" t="str">
            <v>PS North</v>
          </cell>
          <cell r="J13" t="str">
            <v>PS South</v>
          </cell>
          <cell r="K13" t="str">
            <v>PS North</v>
          </cell>
          <cell r="L13" t="str">
            <v>PS South</v>
          </cell>
          <cell r="M13" t="str">
            <v>PS North</v>
          </cell>
          <cell r="N13" t="str">
            <v>PS</v>
          </cell>
          <cell r="O13" t="str">
            <v>PS</v>
          </cell>
          <cell r="P13" t="str">
            <v>PS</v>
          </cell>
          <cell r="Q13" t="str">
            <v>PS</v>
          </cell>
          <cell r="R13" t="str">
            <v>PS</v>
          </cell>
        </row>
        <row r="14">
          <cell r="B14" t="str">
            <v>RESIDENTIAL</v>
          </cell>
          <cell r="F14" t="str">
            <v>P12S</v>
          </cell>
          <cell r="G14" t="str">
            <v>P12N</v>
          </cell>
          <cell r="H14" t="str">
            <v>P13S</v>
          </cell>
          <cell r="I14" t="str">
            <v>P13N</v>
          </cell>
          <cell r="J14" t="str">
            <v>P14S</v>
          </cell>
          <cell r="K14" t="str">
            <v>P14N</v>
          </cell>
          <cell r="L14" t="str">
            <v>P15S</v>
          </cell>
          <cell r="M14" t="str">
            <v>P15N</v>
          </cell>
          <cell r="N14" t="str">
            <v>P16</v>
          </cell>
          <cell r="O14" t="str">
            <v>P17</v>
          </cell>
          <cell r="P14" t="str">
            <v>P18</v>
          </cell>
          <cell r="Q14" t="str">
            <v>P19</v>
          </cell>
          <cell r="R14" t="str">
            <v>P20</v>
          </cell>
        </row>
        <row r="15">
          <cell r="A15" t="str">
            <v>Fix_R</v>
          </cell>
          <cell r="B15" t="str">
            <v>Service Charge</v>
          </cell>
          <cell r="C15" t="str">
            <v>Rate</v>
          </cell>
          <cell r="E15" t="str">
            <v>$</v>
          </cell>
          <cell r="F15">
            <v>11.99</v>
          </cell>
          <cell r="G15">
            <v>15.34</v>
          </cell>
          <cell r="H15">
            <v>12.34</v>
          </cell>
          <cell r="I15">
            <v>12.34</v>
          </cell>
          <cell r="J15">
            <v>12.51</v>
          </cell>
          <cell r="K15">
            <v>12.51</v>
          </cell>
          <cell r="L15">
            <v>12.67</v>
          </cell>
          <cell r="M15">
            <v>12.67</v>
          </cell>
          <cell r="N15">
            <v>12.9</v>
          </cell>
          <cell r="O15">
            <v>18.88</v>
          </cell>
          <cell r="P15">
            <v>21.86</v>
          </cell>
          <cell r="Q15">
            <v>24.84</v>
          </cell>
          <cell r="R15">
            <v>27.82</v>
          </cell>
        </row>
        <row r="16">
          <cell r="A16" t="str">
            <v>FR_R</v>
          </cell>
          <cell r="B16" t="str">
            <v>Foregone Revenue/Fix</v>
          </cell>
          <cell r="C16" t="str">
            <v>Rate Rider</v>
          </cell>
          <cell r="E16" t="str">
            <v>$</v>
          </cell>
          <cell r="H16">
            <v>-0.14000000000000001</v>
          </cell>
          <cell r="I16">
            <v>-0.14000000000000001</v>
          </cell>
          <cell r="J16">
            <v>0.09</v>
          </cell>
          <cell r="K16">
            <v>0.09</v>
          </cell>
          <cell r="L16">
            <v>0</v>
          </cell>
          <cell r="M16">
            <v>0</v>
          </cell>
          <cell r="N16">
            <v>1.33</v>
          </cell>
        </row>
        <row r="17">
          <cell r="A17" t="str">
            <v>PPE_R</v>
          </cell>
          <cell r="B17" t="str">
            <v xml:space="preserve">Recovery of CGAAP/CWIP Differential </v>
          </cell>
          <cell r="C17" t="str">
            <v>Rate Rider</v>
          </cell>
          <cell r="E17" t="str">
            <v>$</v>
          </cell>
          <cell r="H17">
            <v>0.2</v>
          </cell>
          <cell r="I17">
            <v>0.2</v>
          </cell>
          <cell r="J17">
            <v>0.2</v>
          </cell>
          <cell r="K17">
            <v>0.2</v>
          </cell>
          <cell r="L17">
            <v>0.2</v>
          </cell>
          <cell r="M17">
            <v>0.2</v>
          </cell>
          <cell r="N17">
            <v>0.2</v>
          </cell>
        </row>
        <row r="18">
          <cell r="A18" t="str">
            <v>ICMF_R</v>
          </cell>
          <cell r="B18" t="str">
            <v>ICM Rate Rider  (2014) - in effect until the effective date of the next cost of service rates</v>
          </cell>
          <cell r="C18" t="str">
            <v>Rate Rider</v>
          </cell>
          <cell r="E18" t="str">
            <v>$</v>
          </cell>
          <cell r="H18">
            <v>0</v>
          </cell>
          <cell r="I18">
            <v>0</v>
          </cell>
          <cell r="J18">
            <v>7.0000000000000007E-2</v>
          </cell>
          <cell r="K18">
            <v>7.0000000000000007E-2</v>
          </cell>
          <cell r="L18">
            <v>7.0000000000000007E-2</v>
          </cell>
          <cell r="M18">
            <v>7.0000000000000007E-2</v>
          </cell>
          <cell r="N18">
            <v>7.0000000000000007E-2</v>
          </cell>
        </row>
        <row r="19">
          <cell r="A19" t="str">
            <v>SGD_R</v>
          </cell>
          <cell r="B19" t="str">
            <v xml:space="preserve">Smart Grid Funding Adder(2014) </v>
          </cell>
          <cell r="C19" t="str">
            <v>Rate Adder</v>
          </cell>
          <cell r="E19" t="str">
            <v>$</v>
          </cell>
          <cell r="H19">
            <v>0</v>
          </cell>
          <cell r="I19">
            <v>0</v>
          </cell>
          <cell r="J19">
            <v>0.15</v>
          </cell>
          <cell r="K19">
            <v>0.15</v>
          </cell>
          <cell r="L19">
            <v>0</v>
          </cell>
          <cell r="M19">
            <v>0</v>
          </cell>
        </row>
        <row r="20">
          <cell r="A20" t="str">
            <v>Var_R</v>
          </cell>
          <cell r="B20" t="str">
            <v>Distribution Volumetric Rate</v>
          </cell>
          <cell r="C20" t="str">
            <v>Rate</v>
          </cell>
          <cell r="E20" t="str">
            <v>$/kWh</v>
          </cell>
          <cell r="F20">
            <v>1.35E-2</v>
          </cell>
          <cell r="G20">
            <v>1.37E-2</v>
          </cell>
          <cell r="H20">
            <v>1.3599999999999999E-2</v>
          </cell>
          <cell r="I20">
            <v>1.3599999999999999E-2</v>
          </cell>
          <cell r="J20">
            <v>1.38E-2</v>
          </cell>
          <cell r="K20">
            <v>1.38E-2</v>
          </cell>
          <cell r="L20">
            <v>1.4E-2</v>
          </cell>
          <cell r="M20">
            <v>1.4E-2</v>
          </cell>
          <cell r="N20">
            <v>1.43E-2</v>
          </cell>
          <cell r="O20">
            <v>1.32E-2</v>
          </cell>
          <cell r="P20">
            <v>1.1900000000000001E-2</v>
          </cell>
          <cell r="Q20">
            <v>8.9999999999999993E-3</v>
          </cell>
          <cell r="R20">
            <v>5.4999999999999997E-3</v>
          </cell>
        </row>
        <row r="21">
          <cell r="A21" t="str">
            <v>LV_R</v>
          </cell>
          <cell r="B21" t="str">
            <v>Low Voltage Service Rate</v>
          </cell>
          <cell r="C21" t="str">
            <v>Rate</v>
          </cell>
          <cell r="E21" t="str">
            <v>$/kWh</v>
          </cell>
          <cell r="F21">
            <v>1E-4</v>
          </cell>
          <cell r="G21">
            <v>8.0000000000000004E-4</v>
          </cell>
          <cell r="H21">
            <v>2.9999999999999997E-4</v>
          </cell>
          <cell r="I21">
            <v>2.9999999999999997E-4</v>
          </cell>
          <cell r="J21">
            <v>2.9999999999999997E-4</v>
          </cell>
          <cell r="K21">
            <v>2.9999999999999997E-4</v>
          </cell>
          <cell r="L21">
            <v>2.9999999999999997E-4</v>
          </cell>
          <cell r="M21">
            <v>2.9999999999999997E-4</v>
          </cell>
          <cell r="N21">
            <v>2.9999999999999997E-4</v>
          </cell>
          <cell r="O21">
            <v>5.0000000000000001E-4</v>
          </cell>
          <cell r="P21">
            <v>5.0000000000000001E-4</v>
          </cell>
          <cell r="Q21">
            <v>5.0000000000000001E-4</v>
          </cell>
          <cell r="R21">
            <v>5.0000000000000001E-4</v>
          </cell>
        </row>
        <row r="22">
          <cell r="A22" t="str">
            <v>SMARR_R</v>
          </cell>
          <cell r="B22" t="str">
            <v xml:space="preserve">Recovery of Stranded Meter Assets </v>
          </cell>
          <cell r="C22" t="str">
            <v>Rate Rider</v>
          </cell>
          <cell r="E22" t="str">
            <v>$/kWh</v>
          </cell>
          <cell r="H22">
            <v>1.4E-3</v>
          </cell>
          <cell r="I22">
            <v>1.6999999999999999E-3</v>
          </cell>
          <cell r="J22">
            <v>1.4E-3</v>
          </cell>
          <cell r="K22">
            <v>1.6999999999999999E-3</v>
          </cell>
          <cell r="L22">
            <v>0</v>
          </cell>
          <cell r="M22">
            <v>0</v>
          </cell>
        </row>
        <row r="23">
          <cell r="A23" t="str">
            <v>RAL13_R</v>
          </cell>
          <cell r="B23" t="str">
            <v xml:space="preserve">Disposition of Deferral/Variance Accounts (2013) </v>
          </cell>
          <cell r="C23" t="str">
            <v>Rate Rider</v>
          </cell>
          <cell r="E23" t="str">
            <v>$/kWh</v>
          </cell>
          <cell r="H23">
            <v>-1.9E-3</v>
          </cell>
          <cell r="I23">
            <v>-1.5E-3</v>
          </cell>
          <cell r="J23">
            <v>-1.9E-3</v>
          </cell>
          <cell r="K23">
            <v>-1.5E-3</v>
          </cell>
          <cell r="L23">
            <v>0</v>
          </cell>
          <cell r="M23">
            <v>0</v>
          </cell>
        </row>
        <row r="24">
          <cell r="A24" t="str">
            <v>GA13_R</v>
          </cell>
          <cell r="B24" t="str">
            <v xml:space="preserve">Disposition of Global Adjustment Sub-Account (2013) </v>
          </cell>
          <cell r="C24" t="str">
            <v>Rate Rider</v>
          </cell>
          <cell r="D24" t="str">
            <v>non_RPP</v>
          </cell>
          <cell r="E24" t="str">
            <v>$/kWh</v>
          </cell>
          <cell r="H24">
            <v>1.8E-3</v>
          </cell>
          <cell r="I24">
            <v>3.0999999999999999E-3</v>
          </cell>
          <cell r="J24">
            <v>1.8E-3</v>
          </cell>
          <cell r="K24">
            <v>3.0999999999999999E-3</v>
          </cell>
          <cell r="L24">
            <v>0</v>
          </cell>
          <cell r="M24">
            <v>0</v>
          </cell>
        </row>
        <row r="25">
          <cell r="A25" t="str">
            <v>RAL14_R</v>
          </cell>
          <cell r="B25" t="str">
            <v xml:space="preserve">Disposition of Deferral/Variance Account (2014) </v>
          </cell>
          <cell r="C25" t="str">
            <v>Rate Rider</v>
          </cell>
          <cell r="E25" t="str">
            <v>$/kWh</v>
          </cell>
          <cell r="G25">
            <v>-5.9999999999999995E-4</v>
          </cell>
          <cell r="H25">
            <v>0</v>
          </cell>
          <cell r="I25">
            <v>0</v>
          </cell>
          <cell r="J25">
            <v>-5.9999999999999995E-4</v>
          </cell>
          <cell r="K25">
            <v>-5.9999999999999995E-4</v>
          </cell>
          <cell r="L25">
            <v>-5.9999999999999995E-4</v>
          </cell>
          <cell r="M25">
            <v>-5.9999999999999995E-4</v>
          </cell>
        </row>
        <row r="26">
          <cell r="A26" t="str">
            <v>GA14_R</v>
          </cell>
          <cell r="B26" t="str">
            <v xml:space="preserve">Disposition of Global Adjustment Sub-Account (2014) </v>
          </cell>
          <cell r="C26" t="str">
            <v>Rate Rider</v>
          </cell>
          <cell r="D26" t="str">
            <v>non_RPP</v>
          </cell>
          <cell r="E26" t="str">
            <v>$/kWh</v>
          </cell>
          <cell r="H26">
            <v>0</v>
          </cell>
          <cell r="I26">
            <v>0</v>
          </cell>
          <cell r="J26">
            <v>-2.0000000000000001E-4</v>
          </cell>
          <cell r="K26">
            <v>-2.0000000000000001E-4</v>
          </cell>
          <cell r="L26">
            <v>-2.0000000000000001E-4</v>
          </cell>
          <cell r="M26">
            <v>-2.0000000000000001E-4</v>
          </cell>
        </row>
        <row r="27">
          <cell r="A27" t="str">
            <v>ICMV_R</v>
          </cell>
          <cell r="B27" t="str">
            <v>ICM Rate Rider  (2014) - in effect until the effective date of the next cost of service rates</v>
          </cell>
          <cell r="C27" t="str">
            <v>Rate Rider</v>
          </cell>
          <cell r="E27" t="str">
            <v>$/kWh</v>
          </cell>
          <cell r="H27">
            <v>0</v>
          </cell>
          <cell r="I27">
            <v>0</v>
          </cell>
          <cell r="J27">
            <v>1E-4</v>
          </cell>
          <cell r="K27">
            <v>1E-4</v>
          </cell>
          <cell r="L27">
            <v>1E-4</v>
          </cell>
          <cell r="M27">
            <v>1E-4</v>
          </cell>
          <cell r="N27">
            <v>1E-4</v>
          </cell>
        </row>
        <row r="28">
          <cell r="A28" t="str">
            <v>LRAM_R</v>
          </cell>
          <cell r="B28" t="str">
            <v xml:space="preserve">Lost Revenue Adjustment Mechanism (LRAM) </v>
          </cell>
          <cell r="C28" t="str">
            <v>Rate Rider</v>
          </cell>
          <cell r="E28" t="str">
            <v>$/kWh</v>
          </cell>
          <cell r="G28">
            <v>4.0000000000000002E-4</v>
          </cell>
          <cell r="H28">
            <v>0</v>
          </cell>
          <cell r="I28">
            <v>0</v>
          </cell>
          <cell r="J28">
            <v>0</v>
          </cell>
          <cell r="K28">
            <v>2.0000000000000001E-4</v>
          </cell>
          <cell r="L28">
            <v>0</v>
          </cell>
          <cell r="M28">
            <v>2.0000000000000001E-4</v>
          </cell>
        </row>
        <row r="29">
          <cell r="A29" t="str">
            <v>TAXC_R</v>
          </cell>
          <cell r="B29" t="str">
            <v>Tax Change</v>
          </cell>
          <cell r="C29" t="str">
            <v>Rate Rider</v>
          </cell>
          <cell r="E29" t="str">
            <v>$/kWh</v>
          </cell>
          <cell r="F29">
            <v>-4.0000000000000002E-4</v>
          </cell>
          <cell r="G29">
            <v>-5.9999999999999995E-4</v>
          </cell>
        </row>
        <row r="30">
          <cell r="A30" t="str">
            <v>SM11_R</v>
          </cell>
          <cell r="B30" t="str">
            <v>SMIRR 2011</v>
          </cell>
          <cell r="C30" t="str">
            <v>Rate Rider</v>
          </cell>
          <cell r="E30" t="str">
            <v>$</v>
          </cell>
          <cell r="F30">
            <v>0.14000000000000001</v>
          </cell>
          <cell r="G30">
            <v>1.78</v>
          </cell>
        </row>
        <row r="31">
          <cell r="A31" t="str">
            <v>SM12_R</v>
          </cell>
          <cell r="B31" t="str">
            <v>SMIRR 2012</v>
          </cell>
          <cell r="C31" t="str">
            <v>Rate Rider</v>
          </cell>
          <cell r="E31" t="str">
            <v>$</v>
          </cell>
          <cell r="F31">
            <v>1.28</v>
          </cell>
        </row>
        <row r="32">
          <cell r="A32" t="str">
            <v>LRVA_R</v>
          </cell>
          <cell r="B32" t="str">
            <v>Lost Revenue Adjustment Mechanism Variance Account (LRAMVA)</v>
          </cell>
          <cell r="C32" t="str">
            <v>Rate Rider</v>
          </cell>
          <cell r="E32" t="str">
            <v>$/kWh</v>
          </cell>
          <cell r="L32">
            <v>1E-4</v>
          </cell>
          <cell r="M32">
            <v>1E-4</v>
          </cell>
        </row>
        <row r="33">
          <cell r="A33" t="str">
            <v>RAL16_R</v>
          </cell>
          <cell r="B33" t="str">
            <v xml:space="preserve">Disposition of Deferral/Variance Accounts (2016) </v>
          </cell>
          <cell r="C33" t="str">
            <v>Rate Rider</v>
          </cell>
          <cell r="E33" t="str">
            <v>$/kWh</v>
          </cell>
          <cell r="N33">
            <v>2.9999999999999997E-4</v>
          </cell>
          <cell r="O33">
            <v>2.9999999999999997E-4</v>
          </cell>
          <cell r="P33">
            <v>2.9999999999999997E-4</v>
          </cell>
        </row>
        <row r="34">
          <cell r="A34" t="str">
            <v>RALP16_R</v>
          </cell>
          <cell r="B34" t="str">
            <v xml:space="preserve">Disposition of Deferral/Variance Accounts - Power (2016) </v>
          </cell>
          <cell r="C34" t="str">
            <v>Rate Rider</v>
          </cell>
          <cell r="E34" t="str">
            <v>$/kWh</v>
          </cell>
          <cell r="N34">
            <v>-2.9999999999999997E-4</v>
          </cell>
          <cell r="O34">
            <v>-2.9999999999999997E-4</v>
          </cell>
          <cell r="P34">
            <v>-2.9999999999999997E-4</v>
          </cell>
        </row>
        <row r="35">
          <cell r="A35" t="str">
            <v>GA16_R</v>
          </cell>
          <cell r="B35" t="str">
            <v xml:space="preserve">Disposition of Deferral/Variance Accounts - Power - Global Adjustment (2016) </v>
          </cell>
          <cell r="C35" t="str">
            <v>Rate Rider</v>
          </cell>
          <cell r="D35" t="str">
            <v>non_RPP</v>
          </cell>
          <cell r="E35" t="str">
            <v>$/kWh</v>
          </cell>
          <cell r="N35">
            <v>1.1999999999999999E-3</v>
          </cell>
          <cell r="O35">
            <v>1.1999999999999999E-3</v>
          </cell>
          <cell r="P35">
            <v>1.1999999999999999E-3</v>
          </cell>
        </row>
        <row r="36">
          <cell r="A36" t="str">
            <v>2RAL16_R</v>
          </cell>
          <cell r="B36" t="str">
            <v xml:space="preserve">Disposition of Deferral/Variance Accounts - Group 2 Accounts (2016) </v>
          </cell>
          <cell r="C36" t="str">
            <v>Rate Rider</v>
          </cell>
          <cell r="E36" t="str">
            <v>$</v>
          </cell>
          <cell r="N36">
            <v>0.11504078878379524</v>
          </cell>
          <cell r="O36">
            <v>0.11504078878379524</v>
          </cell>
          <cell r="P36">
            <v>0.11504078878379524</v>
          </cell>
        </row>
        <row r="37">
          <cell r="A37" t="str">
            <v>LRVA16_R</v>
          </cell>
          <cell r="B37" t="str">
            <v>Lost Revenue Adjustment Mechanism Variance Account (LRAMVA) (2016)</v>
          </cell>
          <cell r="C37" t="str">
            <v>Rate Rider</v>
          </cell>
          <cell r="E37" t="str">
            <v>$</v>
          </cell>
          <cell r="N37">
            <v>-0.1</v>
          </cell>
          <cell r="O37">
            <v>-0.1</v>
          </cell>
          <cell r="P37">
            <v>0</v>
          </cell>
        </row>
        <row r="38">
          <cell r="A38" t="str">
            <v>PPE16_R</v>
          </cell>
          <cell r="B38" t="str">
            <v>Account 1575 (2016)</v>
          </cell>
          <cell r="C38" t="str">
            <v>Rate Rider</v>
          </cell>
          <cell r="E38" t="str">
            <v>$</v>
          </cell>
          <cell r="N38">
            <v>0</v>
          </cell>
          <cell r="O38">
            <v>0</v>
          </cell>
          <cell r="P38">
            <v>0</v>
          </cell>
        </row>
        <row r="39">
          <cell r="A39" t="str">
            <v>SG16_R</v>
          </cell>
          <cell r="B39" t="str">
            <v>Smart Grid True-up (2016)</v>
          </cell>
          <cell r="C39" t="str">
            <v>Rate Rider</v>
          </cell>
          <cell r="E39" t="str">
            <v>$</v>
          </cell>
          <cell r="N39">
            <v>-0.04</v>
          </cell>
          <cell r="O39">
            <v>-0.04</v>
          </cell>
          <cell r="P39">
            <v>0</v>
          </cell>
        </row>
        <row r="40">
          <cell r="A40" t="str">
            <v>SMA16_R</v>
          </cell>
          <cell r="B40" t="str">
            <v>Recovery of Stranded Meter Assets (2016)</v>
          </cell>
          <cell r="C40" t="str">
            <v>Rate Rider</v>
          </cell>
          <cell r="E40" t="str">
            <v>$</v>
          </cell>
          <cell r="N40">
            <v>0.06</v>
          </cell>
          <cell r="O40">
            <v>0.06</v>
          </cell>
          <cell r="P40">
            <v>0.06</v>
          </cell>
        </row>
        <row r="43">
          <cell r="A43" t="str">
            <v>TN_R</v>
          </cell>
          <cell r="B43" t="str">
            <v>Retail Transmission Rate - Network Service Rate</v>
          </cell>
          <cell r="C43" t="str">
            <v>Rate</v>
          </cell>
          <cell r="E43" t="str">
            <v>$/kWh</v>
          </cell>
          <cell r="F43">
            <v>7.3000000000000001E-3</v>
          </cell>
          <cell r="G43">
            <v>6.8999999999999999E-3</v>
          </cell>
          <cell r="H43">
            <v>7.4000000000000003E-3</v>
          </cell>
          <cell r="I43">
            <v>7.4000000000000003E-3</v>
          </cell>
          <cell r="J43">
            <v>7.7000000000000002E-3</v>
          </cell>
          <cell r="K43">
            <v>7.7000000000000002E-3</v>
          </cell>
          <cell r="L43">
            <v>8.0000000000000002E-3</v>
          </cell>
          <cell r="M43">
            <v>8.0000000000000002E-3</v>
          </cell>
          <cell r="N43">
            <v>8.0000000000000002E-3</v>
          </cell>
          <cell r="O43">
            <v>8.2000000000000007E-3</v>
          </cell>
          <cell r="P43">
            <v>8.3000000000000001E-3</v>
          </cell>
          <cell r="Q43">
            <v>8.5000000000000006E-3</v>
          </cell>
          <cell r="R43">
            <v>8.6E-3</v>
          </cell>
        </row>
        <row r="44">
          <cell r="A44" t="str">
            <v>TC_R</v>
          </cell>
          <cell r="B44" t="str">
            <v>Retail Transmission Rate - Line and Transformation Connection Service Rate</v>
          </cell>
          <cell r="C44" t="str">
            <v>Rate</v>
          </cell>
          <cell r="E44" t="str">
            <v>$/kWh</v>
          </cell>
          <cell r="F44">
            <v>2.7000000000000001E-3</v>
          </cell>
          <cell r="G44">
            <v>5.4000000000000003E-3</v>
          </cell>
          <cell r="H44">
            <v>3.2000000000000002E-3</v>
          </cell>
          <cell r="I44">
            <v>3.2000000000000002E-3</v>
          </cell>
          <cell r="J44">
            <v>3.3999999999999998E-3</v>
          </cell>
          <cell r="K44">
            <v>3.3999999999999998E-3</v>
          </cell>
          <cell r="L44">
            <v>3.5000000000000001E-3</v>
          </cell>
          <cell r="M44">
            <v>3.5000000000000001E-3</v>
          </cell>
          <cell r="N44">
            <v>3.5000000000000001E-3</v>
          </cell>
          <cell r="O44">
            <v>3.8E-3</v>
          </cell>
          <cell r="P44">
            <v>3.8999999999999998E-3</v>
          </cell>
          <cell r="Q44">
            <v>4.0000000000000001E-3</v>
          </cell>
          <cell r="R44">
            <v>4.1000000000000003E-3</v>
          </cell>
        </row>
        <row r="47">
          <cell r="B47" t="str">
            <v>GENERAL SERVICE LESS THAN 50 KW</v>
          </cell>
        </row>
        <row r="48">
          <cell r="A48" t="str">
            <v>Fix_GS</v>
          </cell>
          <cell r="B48" t="str">
            <v>Service Charge</v>
          </cell>
          <cell r="C48" t="str">
            <v>Rate</v>
          </cell>
          <cell r="E48" t="str">
            <v>$</v>
          </cell>
          <cell r="F48">
            <v>28.64</v>
          </cell>
          <cell r="G48">
            <v>16.11</v>
          </cell>
          <cell r="H48">
            <v>25.39</v>
          </cell>
          <cell r="I48">
            <v>25.39</v>
          </cell>
          <cell r="J48">
            <v>25.75</v>
          </cell>
          <cell r="K48">
            <v>25.75</v>
          </cell>
          <cell r="L48">
            <v>26.08</v>
          </cell>
          <cell r="M48">
            <v>26.08</v>
          </cell>
          <cell r="N48">
            <v>26.55</v>
          </cell>
          <cell r="O48">
            <v>29.03815402266514</v>
          </cell>
          <cell r="P48">
            <v>30.219512638388995</v>
          </cell>
          <cell r="Q48">
            <v>30.372505121389338</v>
          </cell>
          <cell r="R48">
            <v>30.594076144401939</v>
          </cell>
        </row>
        <row r="49">
          <cell r="A49" t="str">
            <v>FR_GS</v>
          </cell>
          <cell r="B49" t="str">
            <v>Foregone Revenue/Fix</v>
          </cell>
          <cell r="C49" t="str">
            <v>Rate Rider</v>
          </cell>
          <cell r="E49" t="str">
            <v>$</v>
          </cell>
          <cell r="H49">
            <v>-0.14000000000000001</v>
          </cell>
          <cell r="I49">
            <v>-0.14000000000000001</v>
          </cell>
          <cell r="J49">
            <v>0.27</v>
          </cell>
          <cell r="K49">
            <v>0.27</v>
          </cell>
          <cell r="L49">
            <v>0</v>
          </cell>
          <cell r="M49">
            <v>0</v>
          </cell>
          <cell r="N49">
            <v>1.4</v>
          </cell>
        </row>
        <row r="50">
          <cell r="A50" t="str">
            <v>PPE_GS</v>
          </cell>
          <cell r="B50" t="str">
            <v xml:space="preserve">Recovery of CGAAP/CWIP Differential </v>
          </cell>
          <cell r="C50" t="str">
            <v>Rate Rider</v>
          </cell>
          <cell r="E50" t="str">
            <v>$</v>
          </cell>
          <cell r="H50">
            <v>0.55000000000000004</v>
          </cell>
          <cell r="I50">
            <v>0.55000000000000004</v>
          </cell>
          <cell r="J50">
            <v>0.55000000000000004</v>
          </cell>
          <cell r="K50">
            <v>0.55000000000000004</v>
          </cell>
          <cell r="L50">
            <v>0.55000000000000004</v>
          </cell>
          <cell r="M50">
            <v>0.55000000000000004</v>
          </cell>
          <cell r="N50">
            <v>0.55000000000000004</v>
          </cell>
        </row>
        <row r="51">
          <cell r="A51" t="str">
            <v>ICMF_GS</v>
          </cell>
          <cell r="B51" t="str">
            <v>ICM Rate Rider  (2014) - in effect until the effective date of the next cost of service rates</v>
          </cell>
          <cell r="C51" t="str">
            <v>Rate Rider</v>
          </cell>
          <cell r="E51" t="str">
            <v>$</v>
          </cell>
          <cell r="H51">
            <v>0</v>
          </cell>
          <cell r="I51">
            <v>0</v>
          </cell>
          <cell r="J51">
            <v>0.14000000000000001</v>
          </cell>
          <cell r="K51">
            <v>0.14000000000000001</v>
          </cell>
          <cell r="L51">
            <v>0.14000000000000001</v>
          </cell>
          <cell r="M51">
            <v>0.14000000000000001</v>
          </cell>
          <cell r="N51">
            <v>0.14000000000000001</v>
          </cell>
        </row>
        <row r="52">
          <cell r="A52" t="str">
            <v>SGD_GS</v>
          </cell>
          <cell r="B52" t="str">
            <v xml:space="preserve">Smart Grid Funding Adder(2014) </v>
          </cell>
          <cell r="C52" t="str">
            <v>Rate Adder</v>
          </cell>
          <cell r="E52" t="str">
            <v>$</v>
          </cell>
          <cell r="H52">
            <v>0</v>
          </cell>
          <cell r="I52">
            <v>0</v>
          </cell>
          <cell r="J52">
            <v>0.41</v>
          </cell>
          <cell r="K52">
            <v>0.41</v>
          </cell>
          <cell r="L52">
            <v>0</v>
          </cell>
          <cell r="M52">
            <v>0</v>
          </cell>
        </row>
        <row r="53">
          <cell r="A53" t="str">
            <v>Var_GS</v>
          </cell>
          <cell r="B53" t="str">
            <v>Distribution Volumetric Rate</v>
          </cell>
          <cell r="C53" t="str">
            <v>Rate</v>
          </cell>
          <cell r="E53" t="str">
            <v>$/kWh</v>
          </cell>
          <cell r="F53">
            <v>1.1599999999999999E-2</v>
          </cell>
          <cell r="G53">
            <v>1.6400000000000001E-2</v>
          </cell>
          <cell r="H53">
            <v>1.35E-2</v>
          </cell>
          <cell r="I53">
            <v>1.35E-2</v>
          </cell>
          <cell r="J53">
            <v>1.37E-2</v>
          </cell>
          <cell r="K53">
            <v>1.37E-2</v>
          </cell>
          <cell r="L53">
            <v>1.3899999999999999E-2</v>
          </cell>
          <cell r="M53">
            <v>1.3899999999999999E-2</v>
          </cell>
          <cell r="N53">
            <v>1.4200000000000001E-2</v>
          </cell>
          <cell r="O53">
            <v>1.89E-2</v>
          </cell>
          <cell r="P53">
            <v>2.07E-2</v>
          </cell>
          <cell r="Q53">
            <v>2.2100000000000002E-2</v>
          </cell>
          <cell r="R53">
            <v>2.3099999999999999E-2</v>
          </cell>
        </row>
        <row r="54">
          <cell r="A54" t="str">
            <v>LV_GS</v>
          </cell>
          <cell r="B54" t="str">
            <v>Low Voltage Service Rate</v>
          </cell>
          <cell r="C54" t="str">
            <v>Rate</v>
          </cell>
          <cell r="E54" t="str">
            <v>$/kWh</v>
          </cell>
          <cell r="F54">
            <v>1E-4</v>
          </cell>
          <cell r="G54">
            <v>6.9999999999999999E-4</v>
          </cell>
          <cell r="H54">
            <v>2.9999999999999997E-4</v>
          </cell>
          <cell r="I54">
            <v>2.9999999999999997E-4</v>
          </cell>
          <cell r="J54">
            <v>2.9999999999999997E-4</v>
          </cell>
          <cell r="K54">
            <v>2.9999999999999997E-4</v>
          </cell>
          <cell r="L54">
            <v>2.9999999999999997E-4</v>
          </cell>
          <cell r="M54">
            <v>2.9999999999999997E-4</v>
          </cell>
          <cell r="N54">
            <v>2.9999999999999997E-4</v>
          </cell>
          <cell r="O54">
            <v>4.0000000000000002E-4</v>
          </cell>
          <cell r="P54">
            <v>4.0000000000000002E-4</v>
          </cell>
          <cell r="Q54">
            <v>4.0000000000000002E-4</v>
          </cell>
          <cell r="R54">
            <v>4.0000000000000002E-4</v>
          </cell>
        </row>
        <row r="55">
          <cell r="A55" t="str">
            <v>SMARR_GS</v>
          </cell>
          <cell r="B55" t="str">
            <v xml:space="preserve">Recovery of Stranded Meter Assets </v>
          </cell>
          <cell r="C55" t="str">
            <v>Rate Rider</v>
          </cell>
          <cell r="E55" t="str">
            <v>$/kWh</v>
          </cell>
          <cell r="H55">
            <v>1.6999999999999999E-3</v>
          </cell>
          <cell r="I55">
            <v>2.2000000000000001E-3</v>
          </cell>
          <cell r="J55">
            <v>1.6999999999999999E-3</v>
          </cell>
          <cell r="K55">
            <v>2.2000000000000001E-3</v>
          </cell>
          <cell r="L55">
            <v>0</v>
          </cell>
          <cell r="M55">
            <v>0</v>
          </cell>
        </row>
        <row r="56">
          <cell r="A56" t="str">
            <v>RAL13_GS</v>
          </cell>
          <cell r="B56" t="str">
            <v xml:space="preserve">Disposition of Deferral/Variance Accounts (2013) </v>
          </cell>
          <cell r="C56" t="str">
            <v>Rate Rider</v>
          </cell>
          <cell r="E56" t="str">
            <v>$/kWh</v>
          </cell>
          <cell r="H56">
            <v>-1.8E-3</v>
          </cell>
          <cell r="I56">
            <v>-1.6000000000000001E-3</v>
          </cell>
          <cell r="J56">
            <v>-1.8E-3</v>
          </cell>
          <cell r="K56">
            <v>-1.6000000000000001E-3</v>
          </cell>
          <cell r="L56">
            <v>0</v>
          </cell>
          <cell r="M56">
            <v>0</v>
          </cell>
        </row>
        <row r="57">
          <cell r="A57" t="str">
            <v>GA13_GS</v>
          </cell>
          <cell r="B57" t="str">
            <v xml:space="preserve">Disposition of Global Adjustment Sub-Account (2013) </v>
          </cell>
          <cell r="C57" t="str">
            <v>Rate Rider</v>
          </cell>
          <cell r="D57" t="str">
            <v>non_RPP</v>
          </cell>
          <cell r="E57" t="str">
            <v>$/kWh</v>
          </cell>
          <cell r="H57">
            <v>1.8E-3</v>
          </cell>
          <cell r="I57">
            <v>3.0999999999999999E-3</v>
          </cell>
          <cell r="J57">
            <v>1.8E-3</v>
          </cell>
          <cell r="K57">
            <v>3.0999999999999999E-3</v>
          </cell>
          <cell r="L57">
            <v>0</v>
          </cell>
          <cell r="M57">
            <v>0</v>
          </cell>
        </row>
        <row r="58">
          <cell r="A58" t="str">
            <v>RAL14_GS</v>
          </cell>
          <cell r="B58" t="str">
            <v xml:space="preserve">Disposition of Deferral/Variance Account (2014) </v>
          </cell>
          <cell r="C58" t="str">
            <v>Rate Rider</v>
          </cell>
          <cell r="E58" t="str">
            <v>$/kWh</v>
          </cell>
          <cell r="G58">
            <v>-4.0000000000000002E-4</v>
          </cell>
          <cell r="H58">
            <v>0</v>
          </cell>
          <cell r="I58">
            <v>0</v>
          </cell>
          <cell r="J58">
            <v>-5.9999999999999995E-4</v>
          </cell>
          <cell r="K58">
            <v>-5.9999999999999995E-4</v>
          </cell>
          <cell r="L58">
            <v>-5.9999999999999995E-4</v>
          </cell>
          <cell r="M58">
            <v>-5.9999999999999995E-4</v>
          </cell>
        </row>
        <row r="59">
          <cell r="A59" t="str">
            <v>GA14_GS</v>
          </cell>
          <cell r="B59" t="str">
            <v xml:space="preserve">Disposition of Global Adjustment Sub-Account (2014) </v>
          </cell>
          <cell r="C59" t="str">
            <v>Rate Rider</v>
          </cell>
          <cell r="D59" t="str">
            <v>non_RPP</v>
          </cell>
          <cell r="E59" t="str">
            <v>$/kWh</v>
          </cell>
          <cell r="H59">
            <v>0</v>
          </cell>
          <cell r="I59">
            <v>0</v>
          </cell>
          <cell r="J59">
            <v>-2.0000000000000001E-4</v>
          </cell>
          <cell r="K59">
            <v>-2.0000000000000001E-4</v>
          </cell>
          <cell r="L59">
            <v>-2.0000000000000001E-4</v>
          </cell>
          <cell r="M59">
            <v>-2.0000000000000001E-4</v>
          </cell>
        </row>
        <row r="60">
          <cell r="A60" t="str">
            <v>ICMV_GS</v>
          </cell>
          <cell r="B60" t="str">
            <v>ICM Rate Rider  (2014) - in effect until the effective date of the next cost of service rates</v>
          </cell>
          <cell r="C60" t="str">
            <v>Rate Rider</v>
          </cell>
          <cell r="E60" t="str">
            <v>$/kWh</v>
          </cell>
          <cell r="H60">
            <v>0</v>
          </cell>
          <cell r="I60">
            <v>0</v>
          </cell>
          <cell r="J60">
            <v>1E-4</v>
          </cell>
          <cell r="K60">
            <v>1E-4</v>
          </cell>
          <cell r="L60">
            <v>1E-4</v>
          </cell>
          <cell r="M60">
            <v>1E-4</v>
          </cell>
          <cell r="N60">
            <v>1E-4</v>
          </cell>
        </row>
        <row r="61">
          <cell r="A61" t="str">
            <v>LRAM_GS</v>
          </cell>
          <cell r="B61" t="str">
            <v xml:space="preserve">Lost Revenue Adjustment Mechanism (LRAM) </v>
          </cell>
          <cell r="C61" t="str">
            <v>Rate Rider</v>
          </cell>
          <cell r="E61" t="str">
            <v>$/kWh</v>
          </cell>
          <cell r="H61">
            <v>0</v>
          </cell>
          <cell r="I61">
            <v>0</v>
          </cell>
          <cell r="J61">
            <v>0</v>
          </cell>
          <cell r="K61">
            <v>4.0000000000000002E-4</v>
          </cell>
          <cell r="L61">
            <v>0</v>
          </cell>
          <cell r="M61">
            <v>4.0000000000000002E-4</v>
          </cell>
        </row>
        <row r="62">
          <cell r="A62" t="str">
            <v>TAXC_GS</v>
          </cell>
          <cell r="B62" t="str">
            <v>Tax Change</v>
          </cell>
          <cell r="C62" t="str">
            <v>Rate Rider</v>
          </cell>
          <cell r="E62" t="str">
            <v>$/kWh</v>
          </cell>
          <cell r="F62">
            <v>-2.9999999999999997E-4</v>
          </cell>
          <cell r="G62">
            <v>-4.0000000000000002E-4</v>
          </cell>
        </row>
        <row r="63">
          <cell r="A63" t="str">
            <v>SM11_GS</v>
          </cell>
          <cell r="B63" t="str">
            <v>SMIRR 2011</v>
          </cell>
          <cell r="C63" t="str">
            <v>Rate Rider</v>
          </cell>
          <cell r="E63" t="str">
            <v>$</v>
          </cell>
          <cell r="F63">
            <v>3.37</v>
          </cell>
          <cell r="G63">
            <v>4.7300000000000004</v>
          </cell>
        </row>
        <row r="64">
          <cell r="A64" t="str">
            <v>SM12_GS</v>
          </cell>
          <cell r="B64" t="str">
            <v>SMIRR 2012</v>
          </cell>
          <cell r="C64" t="str">
            <v>Rate Rider</v>
          </cell>
          <cell r="E64" t="str">
            <v>$</v>
          </cell>
          <cell r="F64">
            <v>1.01</v>
          </cell>
        </row>
        <row r="65">
          <cell r="A65" t="str">
            <v>LRVA_GS</v>
          </cell>
          <cell r="B65" t="str">
            <v>Lost Revenue Adjustment Mechanism Variance Account (LRAMVA)</v>
          </cell>
          <cell r="C65" t="str">
            <v>Rate Rider</v>
          </cell>
          <cell r="E65" t="str">
            <v>$/kWh</v>
          </cell>
          <cell r="L65">
            <v>4.0000000000000002E-4</v>
          </cell>
          <cell r="M65">
            <v>4.0000000000000002E-4</v>
          </cell>
        </row>
        <row r="66">
          <cell r="A66" t="str">
            <v>RAL16_GS</v>
          </cell>
          <cell r="B66" t="str">
            <v xml:space="preserve">Disposition of Deferral/Variance Accounts (2016) </v>
          </cell>
          <cell r="C66" t="str">
            <v>Rate Rider</v>
          </cell>
          <cell r="E66" t="str">
            <v>$/kWh</v>
          </cell>
          <cell r="N66">
            <v>2.9999999999999997E-4</v>
          </cell>
          <cell r="O66">
            <v>2.9999999999999997E-4</v>
          </cell>
          <cell r="P66">
            <v>2.9999999999999997E-4</v>
          </cell>
        </row>
        <row r="67">
          <cell r="A67" t="str">
            <v>RALP16_GS</v>
          </cell>
          <cell r="B67" t="str">
            <v xml:space="preserve">Disposition of Deferral/Variance Accounts - Power (2016) </v>
          </cell>
          <cell r="C67" t="str">
            <v>Rate Rider</v>
          </cell>
          <cell r="E67" t="str">
            <v>$/kWh</v>
          </cell>
          <cell r="N67">
            <v>-2.9999999999999997E-4</v>
          </cell>
          <cell r="O67">
            <v>-2.9999999999999997E-4</v>
          </cell>
          <cell r="P67">
            <v>-2.9999999999999997E-4</v>
          </cell>
        </row>
        <row r="68">
          <cell r="A68" t="str">
            <v>GA16_GS</v>
          </cell>
          <cell r="B68" t="str">
            <v xml:space="preserve">Disposition of Deferral/Variance Accounts - Power - Global Adjustment (2016) </v>
          </cell>
          <cell r="C68" t="str">
            <v>Rate Rider</v>
          </cell>
          <cell r="D68" t="str">
            <v>non_RPP</v>
          </cell>
          <cell r="E68" t="str">
            <v>$/kWh</v>
          </cell>
          <cell r="N68">
            <v>1.1999999999999999E-3</v>
          </cell>
          <cell r="O68">
            <v>1.1999999999999999E-3</v>
          </cell>
          <cell r="P68">
            <v>1.1999999999999999E-3</v>
          </cell>
        </row>
        <row r="69">
          <cell r="A69" t="str">
            <v>2RAL16_GS</v>
          </cell>
          <cell r="B69" t="str">
            <v xml:space="preserve">Disposition of Deferral/Variance Accounts - Group 2 Accounts (2016) </v>
          </cell>
          <cell r="C69" t="str">
            <v>Rate Rider</v>
          </cell>
          <cell r="E69" t="str">
            <v>$/kWh</v>
          </cell>
          <cell r="N69">
            <v>2.0000000000000001E-4</v>
          </cell>
          <cell r="O69">
            <v>2.0000000000000001E-4</v>
          </cell>
          <cell r="P69">
            <v>2.0000000000000001E-4</v>
          </cell>
        </row>
        <row r="70">
          <cell r="A70" t="str">
            <v>LRVA16_GS</v>
          </cell>
          <cell r="B70" t="str">
            <v>Lost Revenue Adjustment Mechanism Variance Account (LRAMVA) (2016)</v>
          </cell>
          <cell r="C70" t="str">
            <v>Rate Rider</v>
          </cell>
          <cell r="E70" t="str">
            <v>$/kWh</v>
          </cell>
          <cell r="N70">
            <v>1E-4</v>
          </cell>
          <cell r="O70">
            <v>0</v>
          </cell>
          <cell r="P70">
            <v>0</v>
          </cell>
        </row>
        <row r="71">
          <cell r="A71" t="str">
            <v>PPE16_GS</v>
          </cell>
          <cell r="B71" t="str">
            <v>Account 1575 (2016)</v>
          </cell>
          <cell r="C71" t="str">
            <v>Rate Rider</v>
          </cell>
          <cell r="E71" t="str">
            <v>$/kWh</v>
          </cell>
          <cell r="N71">
            <v>0</v>
          </cell>
          <cell r="O71">
            <v>0</v>
          </cell>
          <cell r="P71">
            <v>0</v>
          </cell>
        </row>
        <row r="72">
          <cell r="A72" t="str">
            <v>SG16_GS</v>
          </cell>
          <cell r="B72" t="str">
            <v>Smart Grid True-up (2016)</v>
          </cell>
          <cell r="C72" t="str">
            <v>Rate Rider</v>
          </cell>
          <cell r="E72" t="str">
            <v>$</v>
          </cell>
          <cell r="N72">
            <v>-0.17</v>
          </cell>
          <cell r="O72">
            <v>-0.17</v>
          </cell>
          <cell r="P72">
            <v>0</v>
          </cell>
        </row>
        <row r="73">
          <cell r="A73" t="str">
            <v>SMA16_GS</v>
          </cell>
          <cell r="B73" t="str">
            <v>Recovery of Stranded Meter Assets (2016)</v>
          </cell>
          <cell r="C73" t="str">
            <v>Rate Rider</v>
          </cell>
          <cell r="E73" t="str">
            <v>$</v>
          </cell>
          <cell r="N73">
            <v>0.21</v>
          </cell>
          <cell r="O73">
            <v>0.21</v>
          </cell>
          <cell r="P73">
            <v>0.21</v>
          </cell>
        </row>
        <row r="74">
          <cell r="A74" t="str">
            <v>FRV_GS</v>
          </cell>
          <cell r="B74" t="str">
            <v>Foregone Revenue/Var</v>
          </cell>
          <cell r="C74" t="str">
            <v>Rate Rider</v>
          </cell>
          <cell r="E74" t="str">
            <v>$/kWh</v>
          </cell>
          <cell r="N74">
            <v>8.9999999999999998E-4</v>
          </cell>
        </row>
        <row r="76">
          <cell r="A76" t="str">
            <v>TN_GS</v>
          </cell>
          <cell r="B76" t="str">
            <v>Retail Transmission Rate - Network Service Rate</v>
          </cell>
          <cell r="C76" t="str">
            <v>Rate</v>
          </cell>
          <cell r="E76" t="str">
            <v>$/kWh</v>
          </cell>
          <cell r="F76">
            <v>6.6E-3</v>
          </cell>
          <cell r="G76">
            <v>6.3E-3</v>
          </cell>
          <cell r="H76">
            <v>6.7000000000000002E-3</v>
          </cell>
          <cell r="I76">
            <v>6.7000000000000002E-3</v>
          </cell>
          <cell r="J76">
            <v>7.0000000000000001E-3</v>
          </cell>
          <cell r="K76">
            <v>7.0000000000000001E-3</v>
          </cell>
          <cell r="L76">
            <v>7.1999999999999998E-3</v>
          </cell>
          <cell r="M76">
            <v>7.1999999999999998E-3</v>
          </cell>
          <cell r="N76">
            <v>7.1999999999999998E-3</v>
          </cell>
          <cell r="O76">
            <v>7.3000000000000001E-3</v>
          </cell>
          <cell r="P76">
            <v>7.4000000000000003E-3</v>
          </cell>
          <cell r="Q76">
            <v>7.6E-3</v>
          </cell>
          <cell r="R76">
            <v>7.7000000000000002E-3</v>
          </cell>
        </row>
        <row r="77">
          <cell r="A77" t="str">
            <v>TC_GS</v>
          </cell>
          <cell r="B77" t="str">
            <v>Retail Transmission Rate - Line and Transformation Connection Service Rate</v>
          </cell>
          <cell r="C77" t="str">
            <v>Rate</v>
          </cell>
          <cell r="E77" t="str">
            <v>$/kWh</v>
          </cell>
          <cell r="F77">
            <v>2.3999999999999998E-3</v>
          </cell>
          <cell r="G77">
            <v>4.7999999999999996E-3</v>
          </cell>
          <cell r="H77">
            <v>2.8E-3</v>
          </cell>
          <cell r="I77">
            <v>2.8E-3</v>
          </cell>
          <cell r="J77">
            <v>2.8999999999999998E-3</v>
          </cell>
          <cell r="K77">
            <v>2.8999999999999998E-3</v>
          </cell>
          <cell r="L77">
            <v>3.0000000000000001E-3</v>
          </cell>
          <cell r="M77">
            <v>3.0000000000000001E-3</v>
          </cell>
          <cell r="N77">
            <v>3.0000000000000001E-3</v>
          </cell>
          <cell r="O77">
            <v>3.3E-3</v>
          </cell>
          <cell r="P77">
            <v>3.3E-3</v>
          </cell>
          <cell r="Q77">
            <v>3.3999999999999998E-3</v>
          </cell>
          <cell r="R77">
            <v>3.5000000000000001E-3</v>
          </cell>
        </row>
        <row r="80">
          <cell r="B80" t="str">
            <v>GENERAL SERVICE GREATER THAN 50 KW</v>
          </cell>
        </row>
        <row r="81">
          <cell r="A81" t="str">
            <v>Fix_GSL</v>
          </cell>
          <cell r="B81" t="str">
            <v>Service Charge</v>
          </cell>
          <cell r="C81" t="str">
            <v>Rate</v>
          </cell>
          <cell r="E81" t="str">
            <v>$</v>
          </cell>
          <cell r="F81">
            <v>84.45</v>
          </cell>
          <cell r="G81">
            <v>395.68</v>
          </cell>
          <cell r="H81">
            <v>134.81</v>
          </cell>
          <cell r="I81">
            <v>134.81</v>
          </cell>
          <cell r="J81">
            <v>136.69999999999999</v>
          </cell>
          <cell r="K81">
            <v>136.69999999999999</v>
          </cell>
          <cell r="L81">
            <v>138.47999999999999</v>
          </cell>
          <cell r="M81">
            <v>138.47999999999999</v>
          </cell>
          <cell r="N81">
            <v>140.97</v>
          </cell>
          <cell r="O81">
            <v>138.47999999999999</v>
          </cell>
          <cell r="P81">
            <v>138.47999999999999</v>
          </cell>
          <cell r="Q81">
            <v>138.47999999999999</v>
          </cell>
          <cell r="R81">
            <v>138.47999999999999</v>
          </cell>
        </row>
        <row r="82">
          <cell r="A82" t="str">
            <v>FR_GSL</v>
          </cell>
          <cell r="B82" t="str">
            <v>Foregone Revenue/Fix</v>
          </cell>
          <cell r="C82" t="str">
            <v>Rate Rider</v>
          </cell>
          <cell r="E82" t="str">
            <v>$</v>
          </cell>
          <cell r="H82">
            <v>0.72</v>
          </cell>
          <cell r="I82">
            <v>0.72</v>
          </cell>
          <cell r="J82">
            <v>3.24</v>
          </cell>
          <cell r="K82">
            <v>3.24</v>
          </cell>
          <cell r="L82">
            <v>0</v>
          </cell>
          <cell r="M82">
            <v>0</v>
          </cell>
          <cell r="N82">
            <v>7.38</v>
          </cell>
        </row>
        <row r="83">
          <cell r="A83" t="str">
            <v>PPE_GSL</v>
          </cell>
          <cell r="B83" t="str">
            <v xml:space="preserve">Recovery of CGAAP/CWIP Differential </v>
          </cell>
          <cell r="C83" t="str">
            <v>Rate Rider</v>
          </cell>
          <cell r="E83" t="str">
            <v>$</v>
          </cell>
          <cell r="H83">
            <v>6.99</v>
          </cell>
          <cell r="I83">
            <v>6.99</v>
          </cell>
          <cell r="J83">
            <v>6.99</v>
          </cell>
          <cell r="K83">
            <v>6.99</v>
          </cell>
          <cell r="L83">
            <v>6.99</v>
          </cell>
          <cell r="M83">
            <v>6.99</v>
          </cell>
          <cell r="N83">
            <v>6.99</v>
          </cell>
        </row>
        <row r="84">
          <cell r="A84" t="str">
            <v>ICMF_GSL</v>
          </cell>
          <cell r="B84" t="str">
            <v>ICM Rate Rider  (2014) - in effect until the effective date of the next cost of service rates</v>
          </cell>
          <cell r="C84" t="str">
            <v>Rate Rider</v>
          </cell>
          <cell r="E84" t="str">
            <v>$</v>
          </cell>
          <cell r="H84">
            <v>0</v>
          </cell>
          <cell r="I84">
            <v>0</v>
          </cell>
          <cell r="J84">
            <v>0.72</v>
          </cell>
          <cell r="K84">
            <v>0.72</v>
          </cell>
          <cell r="L84">
            <v>0.72</v>
          </cell>
          <cell r="M84">
            <v>0.72</v>
          </cell>
          <cell r="N84">
            <v>0.72</v>
          </cell>
        </row>
        <row r="85">
          <cell r="A85" t="str">
            <v>SGD_GSL</v>
          </cell>
          <cell r="B85" t="str">
            <v xml:space="preserve">Smart Grid Funding Adder(2014) </v>
          </cell>
          <cell r="C85" t="str">
            <v>Rate Adder</v>
          </cell>
          <cell r="E85" t="str">
            <v>$</v>
          </cell>
          <cell r="H85">
            <v>0</v>
          </cell>
          <cell r="I85">
            <v>0</v>
          </cell>
          <cell r="J85">
            <v>5.21</v>
          </cell>
          <cell r="K85">
            <v>5.21</v>
          </cell>
          <cell r="L85">
            <v>0</v>
          </cell>
          <cell r="M85">
            <v>0</v>
          </cell>
        </row>
        <row r="86">
          <cell r="A86" t="str">
            <v>Var_GSL</v>
          </cell>
          <cell r="B86" t="str">
            <v>Distribution Volumetric Rate</v>
          </cell>
          <cell r="C86" t="str">
            <v>Rate</v>
          </cell>
          <cell r="E86" t="str">
            <v>$/kW</v>
          </cell>
          <cell r="F86">
            <v>3.5036</v>
          </cell>
          <cell r="G86">
            <v>1.8392999999999999</v>
          </cell>
          <cell r="H86">
            <v>3.2397</v>
          </cell>
          <cell r="I86">
            <v>3.2397</v>
          </cell>
          <cell r="J86">
            <v>3.2850999999999999</v>
          </cell>
          <cell r="K86">
            <v>3.2850999999999999</v>
          </cell>
          <cell r="L86">
            <v>3.3277999999999999</v>
          </cell>
          <cell r="M86">
            <v>3.3277999999999999</v>
          </cell>
          <cell r="N86">
            <v>3.3877000000000002</v>
          </cell>
          <cell r="O86">
            <v>4.3105000000000002</v>
          </cell>
          <cell r="P86">
            <v>4.7072000000000003</v>
          </cell>
          <cell r="Q86">
            <v>4.9496000000000002</v>
          </cell>
          <cell r="R86">
            <v>5.1703999999999999</v>
          </cell>
        </row>
        <row r="87">
          <cell r="A87" t="str">
            <v>LV_GSL</v>
          </cell>
          <cell r="B87" t="str">
            <v>Low Voltage Service Rate</v>
          </cell>
          <cell r="C87" t="str">
            <v>Rate</v>
          </cell>
          <cell r="E87" t="str">
            <v>$/kW</v>
          </cell>
          <cell r="F87">
            <v>4.7199999999999999E-2</v>
          </cell>
          <cell r="G87">
            <v>0.2913</v>
          </cell>
          <cell r="H87">
            <v>0.11890000000000001</v>
          </cell>
          <cell r="I87">
            <v>0.11890000000000001</v>
          </cell>
          <cell r="J87">
            <v>0.11890000000000001</v>
          </cell>
          <cell r="K87">
            <v>0.11890000000000001</v>
          </cell>
          <cell r="L87">
            <v>0.11890000000000001</v>
          </cell>
          <cell r="M87">
            <v>0.11890000000000001</v>
          </cell>
          <cell r="N87">
            <v>0.11890000000000001</v>
          </cell>
          <cell r="O87">
            <v>0.15890000000000001</v>
          </cell>
          <cell r="P87">
            <v>0.159</v>
          </cell>
          <cell r="Q87">
            <v>0.159</v>
          </cell>
          <cell r="R87">
            <v>0.159</v>
          </cell>
        </row>
        <row r="88">
          <cell r="A88" t="str">
            <v>RAL13_GSL</v>
          </cell>
          <cell r="B88" t="str">
            <v xml:space="preserve">Disposition of Deferral/Variance Accounts (2013) </v>
          </cell>
          <cell r="C88" t="str">
            <v>Rate Rider</v>
          </cell>
          <cell r="E88" t="str">
            <v>$/kW</v>
          </cell>
          <cell r="H88">
            <v>-0.57799999999999996</v>
          </cell>
          <cell r="I88">
            <v>-0.59330000000000005</v>
          </cell>
          <cell r="J88">
            <v>-0.57799999999999996</v>
          </cell>
          <cell r="K88">
            <v>-0.59330000000000005</v>
          </cell>
          <cell r="L88">
            <v>0</v>
          </cell>
          <cell r="M88">
            <v>0</v>
          </cell>
        </row>
        <row r="89">
          <cell r="A89" t="str">
            <v>GA13_GSL</v>
          </cell>
          <cell r="B89" t="str">
            <v xml:space="preserve">Disposition of Global Adjustment Sub-Account (2013) </v>
          </cell>
          <cell r="C89" t="str">
            <v>Rate Rider</v>
          </cell>
          <cell r="D89" t="str">
            <v>non_RPP</v>
          </cell>
          <cell r="E89" t="str">
            <v>$/kWh</v>
          </cell>
          <cell r="H89">
            <v>1.8E-3</v>
          </cell>
          <cell r="I89">
            <v>3.0999999999999999E-3</v>
          </cell>
          <cell r="J89">
            <v>1.8E-3</v>
          </cell>
          <cell r="K89">
            <v>3.0999999999999999E-3</v>
          </cell>
          <cell r="L89">
            <v>0</v>
          </cell>
          <cell r="M89">
            <v>0</v>
          </cell>
        </row>
        <row r="90">
          <cell r="A90" t="str">
            <v>RAL14_GSL</v>
          </cell>
          <cell r="B90" t="str">
            <v xml:space="preserve">Disposition of Deferral/Variance Account (2014) </v>
          </cell>
          <cell r="C90" t="str">
            <v>Rate Rider</v>
          </cell>
          <cell r="E90" t="str">
            <v>$/kW</v>
          </cell>
          <cell r="G90">
            <v>-7.0499999999999993E-2</v>
          </cell>
          <cell r="H90">
            <v>0</v>
          </cell>
          <cell r="I90">
            <v>0</v>
          </cell>
          <cell r="J90">
            <v>-0.22070000000000001</v>
          </cell>
          <cell r="K90">
            <v>-0.22070000000000001</v>
          </cell>
          <cell r="L90">
            <v>-0.22070000000000001</v>
          </cell>
          <cell r="M90">
            <v>-0.22070000000000001</v>
          </cell>
        </row>
        <row r="91">
          <cell r="A91" t="str">
            <v>GA14_GSL</v>
          </cell>
          <cell r="B91" t="str">
            <v xml:space="preserve">Disposition of Global Adjustment Sub-Account (2014) </v>
          </cell>
          <cell r="C91" t="str">
            <v>Rate Rider</v>
          </cell>
          <cell r="D91" t="str">
            <v>non_RPP</v>
          </cell>
          <cell r="E91" t="str">
            <v>$/kW</v>
          </cell>
          <cell r="H91">
            <v>0</v>
          </cell>
          <cell r="I91">
            <v>0</v>
          </cell>
          <cell r="J91">
            <v>-7.1999999999999995E-2</v>
          </cell>
          <cell r="K91">
            <v>-7.1999999999999995E-2</v>
          </cell>
          <cell r="L91">
            <v>-7.1999999999999995E-2</v>
          </cell>
          <cell r="M91">
            <v>-7.1999999999999995E-2</v>
          </cell>
        </row>
        <row r="92">
          <cell r="A92" t="str">
            <v>ICMV_GSL</v>
          </cell>
          <cell r="B92" t="str">
            <v>ICM Rate Rider  (2014) - in effect until the effective date of the next cost of service rates</v>
          </cell>
          <cell r="C92" t="str">
            <v>Rate Rider</v>
          </cell>
          <cell r="E92" t="str">
            <v>$/kW</v>
          </cell>
          <cell r="H92">
            <v>0</v>
          </cell>
          <cell r="I92">
            <v>0</v>
          </cell>
          <cell r="J92">
            <v>1.7299999999999999E-2</v>
          </cell>
          <cell r="K92">
            <v>1.7299999999999999E-2</v>
          </cell>
          <cell r="L92">
            <v>1.7299999999999999E-2</v>
          </cell>
          <cell r="M92">
            <v>1.7299999999999999E-2</v>
          </cell>
          <cell r="N92">
            <v>1.7299999999999999E-2</v>
          </cell>
        </row>
        <row r="93">
          <cell r="A93" t="str">
            <v>LRAM_GSL</v>
          </cell>
          <cell r="B93" t="str">
            <v xml:space="preserve">Lost Revenue Adjustment Mechanism (LRAM) </v>
          </cell>
          <cell r="C93" t="str">
            <v>Rate Rider</v>
          </cell>
          <cell r="E93" t="str">
            <v>$/kW</v>
          </cell>
          <cell r="G93">
            <v>1.1999999999999999E-3</v>
          </cell>
          <cell r="H93">
            <v>0</v>
          </cell>
          <cell r="I93">
            <v>0</v>
          </cell>
          <cell r="J93">
            <v>0</v>
          </cell>
          <cell r="K93">
            <v>9.9000000000000008E-3</v>
          </cell>
          <cell r="L93">
            <v>0</v>
          </cell>
          <cell r="M93">
            <v>9.9000000000000008E-3</v>
          </cell>
        </row>
        <row r="94">
          <cell r="A94" t="str">
            <v>TAXC_GSL</v>
          </cell>
          <cell r="B94" t="str">
            <v>Tax Change</v>
          </cell>
          <cell r="C94" t="str">
            <v>Rate Rider</v>
          </cell>
          <cell r="E94" t="str">
            <v>$/kW</v>
          </cell>
          <cell r="F94">
            <v>-5.0099999999999999E-2</v>
          </cell>
          <cell r="G94">
            <v>-6.5000000000000002E-2</v>
          </cell>
        </row>
        <row r="95">
          <cell r="A95" t="str">
            <v>SM11_GSL</v>
          </cell>
          <cell r="B95" t="str">
            <v>SMIRR 2011</v>
          </cell>
          <cell r="C95" t="str">
            <v>Rate Rider</v>
          </cell>
          <cell r="E95" t="str">
            <v>$</v>
          </cell>
        </row>
        <row r="96">
          <cell r="A96" t="str">
            <v>SM12_GSL</v>
          </cell>
          <cell r="B96" t="str">
            <v>SMIRR 2012</v>
          </cell>
          <cell r="C96" t="str">
            <v>Rate Rider</v>
          </cell>
          <cell r="E96" t="str">
            <v>$</v>
          </cell>
        </row>
        <row r="97">
          <cell r="A97" t="str">
            <v>TFD_GSL</v>
          </cell>
          <cell r="B97" t="str">
            <v>Transformer Discount</v>
          </cell>
          <cell r="C97" t="str">
            <v>Rate</v>
          </cell>
          <cell r="E97" t="str">
            <v>$/kW</v>
          </cell>
          <cell r="F97">
            <v>-0.6</v>
          </cell>
          <cell r="G97">
            <v>-0.6</v>
          </cell>
          <cell r="H97">
            <v>-0.6</v>
          </cell>
          <cell r="I97">
            <v>-0.6</v>
          </cell>
          <cell r="J97">
            <v>-0.6</v>
          </cell>
          <cell r="K97">
            <v>-0.6</v>
          </cell>
          <cell r="L97">
            <v>-0.6</v>
          </cell>
          <cell r="M97">
            <v>-0.6</v>
          </cell>
          <cell r="N97">
            <v>-0.6</v>
          </cell>
          <cell r="O97">
            <v>-0.6</v>
          </cell>
          <cell r="P97">
            <v>-0.6</v>
          </cell>
          <cell r="Q97">
            <v>-0.6</v>
          </cell>
          <cell r="R97">
            <v>-0.6</v>
          </cell>
        </row>
        <row r="98">
          <cell r="A98" t="str">
            <v>LRVA_GSL</v>
          </cell>
          <cell r="B98" t="str">
            <v>Lost Revenue Adjustment Mechanism Variance Account (LRAMVA)</v>
          </cell>
          <cell r="C98" t="str">
            <v>Rate Rider</v>
          </cell>
          <cell r="E98" t="str">
            <v>$/kW</v>
          </cell>
          <cell r="L98">
            <v>1.34E-2</v>
          </cell>
          <cell r="M98">
            <v>1.34E-2</v>
          </cell>
        </row>
        <row r="99">
          <cell r="A99" t="str">
            <v>RAL16_GSL</v>
          </cell>
          <cell r="B99" t="str">
            <v xml:space="preserve">Disposition of Deferral/Variance Accounts (2016) </v>
          </cell>
          <cell r="C99" t="str">
            <v>Rate Rider</v>
          </cell>
          <cell r="E99" t="str">
            <v>$/kW</v>
          </cell>
          <cell r="N99">
            <v>0.1169</v>
          </cell>
          <cell r="O99">
            <v>0.1169</v>
          </cell>
          <cell r="P99">
            <v>0</v>
          </cell>
        </row>
        <row r="100">
          <cell r="A100" t="str">
            <v>RALP16_GSL</v>
          </cell>
          <cell r="B100" t="str">
            <v xml:space="preserve">Disposition of Deferral/Variance Accounts - Power (2016) </v>
          </cell>
          <cell r="C100" t="str">
            <v>Rate Rider</v>
          </cell>
          <cell r="E100" t="str">
            <v>$/kW</v>
          </cell>
          <cell r="N100">
            <v>-0.12239999999999999</v>
          </cell>
          <cell r="O100">
            <v>-0.12239999999999999</v>
          </cell>
          <cell r="P100">
            <v>-0.12239999999999999</v>
          </cell>
        </row>
        <row r="101">
          <cell r="A101" t="str">
            <v>GA16_GSL</v>
          </cell>
          <cell r="B101" t="str">
            <v xml:space="preserve">Disposition of Deferral/Variance Accounts - Power - Global Adjustment (2016) </v>
          </cell>
          <cell r="C101" t="str">
            <v>Rate Rider</v>
          </cell>
          <cell r="D101" t="str">
            <v>non_RPP</v>
          </cell>
          <cell r="E101" t="str">
            <v>$/kW</v>
          </cell>
          <cell r="N101">
            <v>0.43190000000000001</v>
          </cell>
          <cell r="O101">
            <v>0.43190000000000001</v>
          </cell>
          <cell r="P101">
            <v>0</v>
          </cell>
        </row>
        <row r="102">
          <cell r="A102" t="str">
            <v>2RAL16_GSL</v>
          </cell>
          <cell r="B102" t="str">
            <v xml:space="preserve">Disposition of Deferral/Variance Accounts - Group 2 Accounts (2016) </v>
          </cell>
          <cell r="C102" t="str">
            <v>Rate Rider</v>
          </cell>
          <cell r="E102" t="str">
            <v>$/kW</v>
          </cell>
          <cell r="N102">
            <v>6.2E-2</v>
          </cell>
          <cell r="O102">
            <v>6.2E-2</v>
          </cell>
          <cell r="P102">
            <v>0</v>
          </cell>
        </row>
        <row r="103">
          <cell r="A103" t="str">
            <v>LRVA16_GSL</v>
          </cell>
          <cell r="B103" t="str">
            <v>Lost Revenue Adjustment Mechanism Variance Account (LRAMVA) (2016)</v>
          </cell>
          <cell r="C103" t="str">
            <v>Rate Rider</v>
          </cell>
          <cell r="E103" t="str">
            <v>$/kW</v>
          </cell>
          <cell r="N103">
            <v>-1.9599999999999999E-2</v>
          </cell>
          <cell r="O103">
            <v>-1.9599999999999999E-2</v>
          </cell>
          <cell r="P103">
            <v>0</v>
          </cell>
        </row>
        <row r="104">
          <cell r="A104" t="str">
            <v>PPE16_GSL</v>
          </cell>
          <cell r="B104" t="str">
            <v>Account 1575 (2016)</v>
          </cell>
          <cell r="C104" t="str">
            <v>Rate Rider</v>
          </cell>
          <cell r="E104" t="str">
            <v>$/kW</v>
          </cell>
          <cell r="N104">
            <v>0</v>
          </cell>
          <cell r="O104">
            <v>0</v>
          </cell>
          <cell r="P104">
            <v>0</v>
          </cell>
        </row>
        <row r="105">
          <cell r="A105" t="str">
            <v>SG16_GSL</v>
          </cell>
          <cell r="B105" t="str">
            <v>Smart Grid True-up (2016)</v>
          </cell>
          <cell r="C105" t="str">
            <v>Rate Rider</v>
          </cell>
          <cell r="E105" t="str">
            <v>$</v>
          </cell>
          <cell r="N105">
            <v>-4.8099999999999996</v>
          </cell>
          <cell r="O105">
            <v>-4.8099999999999996</v>
          </cell>
          <cell r="P105">
            <v>0</v>
          </cell>
        </row>
        <row r="106">
          <cell r="A106" t="str">
            <v>FRV_GSL</v>
          </cell>
          <cell r="B106" t="str">
            <v>Foregone Revenue/Var</v>
          </cell>
          <cell r="C106" t="str">
            <v>Rate Rider</v>
          </cell>
          <cell r="E106" t="str">
            <v>$/kW</v>
          </cell>
          <cell r="N106">
            <v>0.1857</v>
          </cell>
        </row>
        <row r="108">
          <cell r="A108" t="str">
            <v>TN_GSL</v>
          </cell>
          <cell r="B108" t="str">
            <v>Retail Transmission Rate - Network Service Rate</v>
          </cell>
          <cell r="C108" t="str">
            <v>Rate</v>
          </cell>
          <cell r="E108" t="str">
            <v>$/kW</v>
          </cell>
          <cell r="F108">
            <v>2.6667000000000001</v>
          </cell>
          <cell r="G108">
            <v>2.4796</v>
          </cell>
          <cell r="H108">
            <v>2.7151000000000001</v>
          </cell>
          <cell r="I108">
            <v>2.7151000000000001</v>
          </cell>
          <cell r="J108">
            <v>2.8191999999999999</v>
          </cell>
          <cell r="K108">
            <v>2.8191999999999999</v>
          </cell>
          <cell r="L108">
            <v>2.9192</v>
          </cell>
          <cell r="M108">
            <v>2.9192</v>
          </cell>
          <cell r="N108">
            <v>2.9192</v>
          </cell>
          <cell r="O108">
            <v>2.9268000000000001</v>
          </cell>
          <cell r="P108">
            <v>2.9691000000000001</v>
          </cell>
          <cell r="Q108">
            <v>3.0173999999999999</v>
          </cell>
          <cell r="R108">
            <v>3.0712000000000002</v>
          </cell>
        </row>
        <row r="109">
          <cell r="A109" t="str">
            <v>TC_GSL</v>
          </cell>
          <cell r="B109" t="str">
            <v>Retail Transmission Rate - Line and Transformation Connection Service Rate</v>
          </cell>
          <cell r="C109" t="str">
            <v>Rate</v>
          </cell>
          <cell r="E109" t="str">
            <v>$/kW</v>
          </cell>
          <cell r="F109">
            <v>0.97550000000000003</v>
          </cell>
          <cell r="G109">
            <v>1.8993</v>
          </cell>
          <cell r="H109">
            <v>1.0903</v>
          </cell>
          <cell r="I109">
            <v>1.0903</v>
          </cell>
          <cell r="J109">
            <v>1.1438999999999999</v>
          </cell>
          <cell r="K109">
            <v>1.1438999999999999</v>
          </cell>
          <cell r="L109">
            <v>1.1726000000000001</v>
          </cell>
          <cell r="M109">
            <v>1.1726000000000001</v>
          </cell>
          <cell r="N109">
            <v>1.1726000000000001</v>
          </cell>
          <cell r="O109">
            <v>1.2618</v>
          </cell>
          <cell r="P109">
            <v>1.2842</v>
          </cell>
          <cell r="Q109">
            <v>1.3092999999999999</v>
          </cell>
          <cell r="R109">
            <v>1.3371</v>
          </cell>
        </row>
        <row r="110">
          <cell r="A110" t="str">
            <v>TN_GSLI</v>
          </cell>
          <cell r="B110" t="str">
            <v>Retail Transmission Rate - Network Service Rate</v>
          </cell>
          <cell r="C110" t="str">
            <v>Rate</v>
          </cell>
          <cell r="E110" t="str">
            <v>$/kW</v>
          </cell>
          <cell r="F110">
            <v>2.6667000000000001</v>
          </cell>
          <cell r="G110">
            <v>3.2917999999999998</v>
          </cell>
          <cell r="H110">
            <v>2.8462000000000001</v>
          </cell>
          <cell r="I110">
            <v>2.8462000000000001</v>
          </cell>
          <cell r="J110">
            <v>2.9552999999999998</v>
          </cell>
          <cell r="K110">
            <v>2.9552999999999998</v>
          </cell>
          <cell r="L110">
            <v>3.0600999999999998</v>
          </cell>
          <cell r="M110">
            <v>3.0600999999999998</v>
          </cell>
          <cell r="N110">
            <v>3.0600999999999998</v>
          </cell>
          <cell r="O110">
            <v>3.0680999999999998</v>
          </cell>
          <cell r="P110">
            <v>3.1124999999999998</v>
          </cell>
          <cell r="Q110">
            <v>3.1629999999999998</v>
          </cell>
          <cell r="R110">
            <v>3.2195</v>
          </cell>
        </row>
        <row r="111">
          <cell r="A111" t="str">
            <v>TC_GSLI</v>
          </cell>
          <cell r="B111" t="str">
            <v>Retail Transmission Rate - Line and Transformation Connection Service Rate</v>
          </cell>
          <cell r="C111" t="str">
            <v>Rate</v>
          </cell>
          <cell r="E111" t="str">
            <v>$/kW</v>
          </cell>
          <cell r="F111">
            <v>0.97550000000000003</v>
          </cell>
          <cell r="G111">
            <v>2.5211999999999999</v>
          </cell>
          <cell r="H111">
            <v>1.1797</v>
          </cell>
          <cell r="I111">
            <v>1.1797</v>
          </cell>
          <cell r="J111">
            <v>1.2376</v>
          </cell>
          <cell r="K111">
            <v>1.2376</v>
          </cell>
          <cell r="L111">
            <v>1.2686999999999999</v>
          </cell>
          <cell r="M111">
            <v>1.2686999999999999</v>
          </cell>
          <cell r="N111">
            <v>1.2686999999999999</v>
          </cell>
          <cell r="O111">
            <v>1.3652</v>
          </cell>
          <cell r="P111">
            <v>1.3894</v>
          </cell>
          <cell r="Q111">
            <v>1.4166000000000001</v>
          </cell>
          <cell r="R111">
            <v>1.4467000000000001</v>
          </cell>
        </row>
        <row r="112">
          <cell r="B112" t="str">
            <v>LARGE USE</v>
          </cell>
        </row>
        <row r="113">
          <cell r="A113" t="str">
            <v>Fix_LU</v>
          </cell>
          <cell r="B113" t="str">
            <v>Service Charge</v>
          </cell>
          <cell r="C113" t="str">
            <v>Rate</v>
          </cell>
          <cell r="E113" t="str">
            <v>$</v>
          </cell>
          <cell r="F113">
            <v>9690.24</v>
          </cell>
          <cell r="G113">
            <v>9690.24</v>
          </cell>
          <cell r="H113">
            <v>5808.4</v>
          </cell>
          <cell r="I113">
            <v>5808.4</v>
          </cell>
          <cell r="J113">
            <v>5889.72</v>
          </cell>
          <cell r="K113">
            <v>5889.72</v>
          </cell>
          <cell r="L113">
            <v>5966.29</v>
          </cell>
          <cell r="M113">
            <v>5966.29</v>
          </cell>
          <cell r="N113">
            <v>6073.68</v>
          </cell>
          <cell r="O113">
            <v>5817.69</v>
          </cell>
          <cell r="P113">
            <v>5966.29</v>
          </cell>
          <cell r="Q113">
            <v>5966.29</v>
          </cell>
          <cell r="R113">
            <v>5966.29</v>
          </cell>
        </row>
        <row r="114">
          <cell r="A114" t="str">
            <v>FR_LU</v>
          </cell>
          <cell r="B114" t="str">
            <v>Foregone Revenue/Fix</v>
          </cell>
          <cell r="C114" t="str">
            <v>Rate Rider</v>
          </cell>
          <cell r="E114" t="str">
            <v>$</v>
          </cell>
          <cell r="H114">
            <v>587.71</v>
          </cell>
          <cell r="I114">
            <v>587.71</v>
          </cell>
          <cell r="J114">
            <v>64.040000000000006</v>
          </cell>
          <cell r="K114">
            <v>64.040000000000006</v>
          </cell>
          <cell r="L114">
            <v>0</v>
          </cell>
          <cell r="M114">
            <v>0</v>
          </cell>
          <cell r="N114">
            <v>322.17</v>
          </cell>
        </row>
        <row r="115">
          <cell r="A115" t="str">
            <v>PPE_LU</v>
          </cell>
          <cell r="B115" t="str">
            <v xml:space="preserve">Recovery of CGAAP/CWIP Differential </v>
          </cell>
          <cell r="C115" t="str">
            <v>Rate Rider</v>
          </cell>
          <cell r="E115" t="str">
            <v>$</v>
          </cell>
          <cell r="H115">
            <v>104.59</v>
          </cell>
          <cell r="I115">
            <v>104.59</v>
          </cell>
          <cell r="J115">
            <v>104.59</v>
          </cell>
          <cell r="K115">
            <v>104.59</v>
          </cell>
          <cell r="L115">
            <v>104.59</v>
          </cell>
          <cell r="M115">
            <v>104.59</v>
          </cell>
          <cell r="N115">
            <v>104.59</v>
          </cell>
        </row>
        <row r="116">
          <cell r="A116" t="str">
            <v>ICMF_LU</v>
          </cell>
          <cell r="B116" t="str">
            <v>ICM Rate Rider  (2014) - in effect until the effective date of the next cost of service rates</v>
          </cell>
          <cell r="C116" t="str">
            <v>Rate Rider</v>
          </cell>
          <cell r="E116" t="str">
            <v>$</v>
          </cell>
          <cell r="H116">
            <v>0</v>
          </cell>
          <cell r="I116">
            <v>0</v>
          </cell>
          <cell r="J116">
            <v>30.93</v>
          </cell>
          <cell r="K116">
            <v>30.93</v>
          </cell>
          <cell r="L116">
            <v>30.93</v>
          </cell>
          <cell r="M116">
            <v>30.93</v>
          </cell>
          <cell r="N116">
            <v>30.93</v>
          </cell>
        </row>
        <row r="117">
          <cell r="A117" t="str">
            <v>SGD_LU</v>
          </cell>
          <cell r="B117" t="str">
            <v xml:space="preserve">Smart Grid Funding Adder(2014) </v>
          </cell>
          <cell r="C117" t="str">
            <v>Rate Adder</v>
          </cell>
          <cell r="E117" t="str">
            <v>$</v>
          </cell>
          <cell r="H117">
            <v>0</v>
          </cell>
          <cell r="I117">
            <v>0</v>
          </cell>
          <cell r="J117">
            <v>77.98</v>
          </cell>
          <cell r="K117">
            <v>77.98</v>
          </cell>
          <cell r="L117">
            <v>0</v>
          </cell>
          <cell r="M117">
            <v>0</v>
          </cell>
        </row>
        <row r="118">
          <cell r="A118" t="str">
            <v>Var_LU</v>
          </cell>
          <cell r="B118" t="str">
            <v>Distribution Volumetric Rate</v>
          </cell>
          <cell r="C118" t="str">
            <v>Rate</v>
          </cell>
          <cell r="E118" t="str">
            <v>$/kW</v>
          </cell>
          <cell r="F118">
            <v>1.0484</v>
          </cell>
          <cell r="G118">
            <v>0.59179999999999999</v>
          </cell>
          <cell r="H118">
            <v>1.3784000000000001</v>
          </cell>
          <cell r="I118">
            <v>1.3784000000000001</v>
          </cell>
          <cell r="J118">
            <v>1.3976999999999999</v>
          </cell>
          <cell r="K118">
            <v>1.3976999999999999</v>
          </cell>
          <cell r="L118">
            <v>1.4158999999999999</v>
          </cell>
          <cell r="M118">
            <v>1.4158999999999999</v>
          </cell>
          <cell r="N118">
            <v>1.4414</v>
          </cell>
          <cell r="O118">
            <v>1.9805999999999999</v>
          </cell>
          <cell r="P118">
            <v>2.6036999999999999</v>
          </cell>
          <cell r="Q118">
            <v>2.7925</v>
          </cell>
          <cell r="R118">
            <v>2.9649000000000001</v>
          </cell>
        </row>
        <row r="119">
          <cell r="A119" t="str">
            <v>LV_LU</v>
          </cell>
          <cell r="B119" t="str">
            <v>Low Voltage Service Rate</v>
          </cell>
          <cell r="C119" t="str">
            <v>Rate</v>
          </cell>
          <cell r="E119" t="str">
            <v>$/kW</v>
          </cell>
          <cell r="F119">
            <v>5.5800000000000002E-2</v>
          </cell>
          <cell r="G119">
            <v>0.3886</v>
          </cell>
          <cell r="H119">
            <v>0.14369999999999999</v>
          </cell>
          <cell r="I119">
            <v>0.14369999999999999</v>
          </cell>
          <cell r="J119">
            <v>0.14369999999999999</v>
          </cell>
          <cell r="K119">
            <v>0.14369999999999999</v>
          </cell>
          <cell r="L119">
            <v>0.14369999999999999</v>
          </cell>
          <cell r="M119">
            <v>0.14369999999999999</v>
          </cell>
          <cell r="N119">
            <v>0.14369999999999999</v>
          </cell>
          <cell r="O119">
            <v>0.16300000000000001</v>
          </cell>
          <cell r="P119">
            <v>0.16309999999999999</v>
          </cell>
          <cell r="Q119">
            <v>0.16309999999999999</v>
          </cell>
          <cell r="R119">
            <v>0.16309999999999999</v>
          </cell>
        </row>
        <row r="120">
          <cell r="A120" t="str">
            <v>RAL13_LU</v>
          </cell>
          <cell r="B120" t="str">
            <v xml:space="preserve">Disposition of Deferral/Variance Accounts (2013) </v>
          </cell>
          <cell r="C120" t="str">
            <v>Rate Rider</v>
          </cell>
          <cell r="E120" t="str">
            <v>$/kW</v>
          </cell>
          <cell r="H120">
            <v>-0.20419999999999999</v>
          </cell>
          <cell r="I120">
            <v>0</v>
          </cell>
          <cell r="J120">
            <v>-0.20419999999999999</v>
          </cell>
          <cell r="K120">
            <v>0</v>
          </cell>
          <cell r="L120">
            <v>0</v>
          </cell>
          <cell r="M120">
            <v>0</v>
          </cell>
        </row>
        <row r="121">
          <cell r="A121" t="str">
            <v>GA13_LU</v>
          </cell>
          <cell r="B121" t="str">
            <v xml:space="preserve">Disposition of Global Adjustment Sub-Account (2013) </v>
          </cell>
          <cell r="C121" t="str">
            <v>Rate Rider</v>
          </cell>
          <cell r="D121" t="str">
            <v>non_RPP</v>
          </cell>
          <cell r="E121" t="str">
            <v>$/kWh</v>
          </cell>
          <cell r="H121">
            <v>1.8E-3</v>
          </cell>
          <cell r="I121">
            <v>0</v>
          </cell>
          <cell r="J121">
            <v>1.8E-3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RAL14_LU</v>
          </cell>
          <cell r="B122" t="str">
            <v xml:space="preserve">Disposition of Deferral/Variance Account (2014) </v>
          </cell>
          <cell r="C122" t="str">
            <v>Rate Rider</v>
          </cell>
          <cell r="E122" t="str">
            <v>$/kW</v>
          </cell>
          <cell r="H122">
            <v>0</v>
          </cell>
          <cell r="I122">
            <v>0</v>
          </cell>
          <cell r="J122">
            <v>-0.1973</v>
          </cell>
          <cell r="K122">
            <v>-0.1973</v>
          </cell>
          <cell r="L122">
            <v>-0.1973</v>
          </cell>
          <cell r="M122">
            <v>-0.1973</v>
          </cell>
        </row>
        <row r="123">
          <cell r="A123" t="str">
            <v>ICMV_LU</v>
          </cell>
          <cell r="B123" t="str">
            <v>ICM Rate Rider  (2014) - in effect until the effective date of the next cost of service rates</v>
          </cell>
          <cell r="C123" t="str">
            <v>Rate Rider</v>
          </cell>
          <cell r="E123" t="str">
            <v>$/kW</v>
          </cell>
          <cell r="H123">
            <v>0</v>
          </cell>
          <cell r="I123">
            <v>0</v>
          </cell>
          <cell r="J123">
            <v>7.3000000000000001E-3</v>
          </cell>
          <cell r="K123">
            <v>7.3000000000000001E-3</v>
          </cell>
          <cell r="L123">
            <v>7.3000000000000001E-3</v>
          </cell>
          <cell r="M123">
            <v>7.3000000000000001E-3</v>
          </cell>
          <cell r="N123">
            <v>7.3000000000000001E-3</v>
          </cell>
        </row>
        <row r="124">
          <cell r="A124" t="str">
            <v>TAXC_LU</v>
          </cell>
          <cell r="B124" t="str">
            <v>Tax Change</v>
          </cell>
          <cell r="C124" t="str">
            <v>Rate Rider</v>
          </cell>
          <cell r="E124" t="str">
            <v>$/kW</v>
          </cell>
          <cell r="F124">
            <v>-1.7500000000000002E-2</v>
          </cell>
          <cell r="G124">
            <v>-7.6399999999999996E-2</v>
          </cell>
        </row>
        <row r="125">
          <cell r="A125" t="str">
            <v>TFD_LU</v>
          </cell>
          <cell r="B125" t="str">
            <v>Transformer Discount</v>
          </cell>
          <cell r="C125" t="str">
            <v>Rate</v>
          </cell>
          <cell r="E125" t="str">
            <v>$/kW</v>
          </cell>
          <cell r="F125">
            <v>-0.6</v>
          </cell>
          <cell r="G125">
            <v>-0.6</v>
          </cell>
          <cell r="H125">
            <v>-0.6</v>
          </cell>
          <cell r="I125">
            <v>-0.6</v>
          </cell>
          <cell r="J125">
            <v>-0.6</v>
          </cell>
          <cell r="K125">
            <v>-0.6</v>
          </cell>
          <cell r="L125">
            <v>-0.6</v>
          </cell>
          <cell r="M125">
            <v>-0.6</v>
          </cell>
          <cell r="N125">
            <v>-0.6</v>
          </cell>
          <cell r="O125">
            <v>-0.6</v>
          </cell>
          <cell r="P125">
            <v>-0.6</v>
          </cell>
          <cell r="Q125">
            <v>-0.6</v>
          </cell>
          <cell r="R125">
            <v>-0.6</v>
          </cell>
        </row>
        <row r="126">
          <cell r="A126" t="str">
            <v>RAL16_LU</v>
          </cell>
          <cell r="B126" t="str">
            <v xml:space="preserve">Disposition of Deferral/Variance Accounts (2016) </v>
          </cell>
          <cell r="C126" t="str">
            <v>Rate Rider</v>
          </cell>
          <cell r="E126" t="str">
            <v>$/kW</v>
          </cell>
          <cell r="N126">
            <v>0.15840000000000001</v>
          </cell>
          <cell r="O126">
            <v>0.15840000000000001</v>
          </cell>
          <cell r="P126">
            <v>0.15840000000000001</v>
          </cell>
        </row>
        <row r="127">
          <cell r="A127" t="str">
            <v>RALP16_LU</v>
          </cell>
          <cell r="B127" t="str">
            <v xml:space="preserve">Disposition of Deferral/Variance Accounts - Power (2016) </v>
          </cell>
          <cell r="C127" t="str">
            <v>Rate Rider</v>
          </cell>
          <cell r="E127" t="str">
            <v>$/kW</v>
          </cell>
          <cell r="N127">
            <v>-0.16589999999999999</v>
          </cell>
          <cell r="O127">
            <v>-0.16589999999999999</v>
          </cell>
          <cell r="P127">
            <v>-0.16589999999999999</v>
          </cell>
        </row>
        <row r="128">
          <cell r="A128" t="str">
            <v>GA16_LU</v>
          </cell>
          <cell r="B128" t="str">
            <v xml:space="preserve">Disposition of Deferral/Variance Accounts - Power - Global Adjustment (2016) </v>
          </cell>
          <cell r="C128" t="str">
            <v>Rate Rider</v>
          </cell>
          <cell r="D128" t="str">
            <v>non_RPP</v>
          </cell>
          <cell r="E128" t="str">
            <v>$/kW</v>
          </cell>
          <cell r="N128">
            <v>0</v>
          </cell>
          <cell r="O128">
            <v>0</v>
          </cell>
          <cell r="P128">
            <v>0</v>
          </cell>
        </row>
        <row r="129">
          <cell r="A129" t="str">
            <v>2RAL16_LU</v>
          </cell>
          <cell r="B129" t="str">
            <v xml:space="preserve">Disposition of Deferral/Variance Accounts - Group 2 Accounts (2016) </v>
          </cell>
          <cell r="C129" t="str">
            <v>Rate Rider</v>
          </cell>
          <cell r="E129" t="str">
            <v>$/kW</v>
          </cell>
          <cell r="N129">
            <v>8.4000000000000005E-2</v>
          </cell>
          <cell r="O129">
            <v>8.4000000000000005E-2</v>
          </cell>
          <cell r="P129">
            <v>8.4000000000000005E-2</v>
          </cell>
        </row>
        <row r="130">
          <cell r="A130" t="str">
            <v>LRVA16_LU</v>
          </cell>
          <cell r="B130" t="str">
            <v>Lost Revenue Adjustment Mechanism Variance Account (LRAMVA) (2016)</v>
          </cell>
          <cell r="C130" t="str">
            <v>Rate Rider</v>
          </cell>
          <cell r="E130" t="str">
            <v>$/kW</v>
          </cell>
          <cell r="N130">
            <v>-3.56E-2</v>
          </cell>
          <cell r="O130">
            <v>0</v>
          </cell>
          <cell r="P130">
            <v>0</v>
          </cell>
        </row>
        <row r="131">
          <cell r="A131" t="str">
            <v>PPE16_LU</v>
          </cell>
          <cell r="B131" t="str">
            <v>Account 1575 (2016)</v>
          </cell>
          <cell r="C131" t="str">
            <v>Rate Rider</v>
          </cell>
          <cell r="E131" t="str">
            <v>$/kW</v>
          </cell>
          <cell r="N131">
            <v>0</v>
          </cell>
          <cell r="O131">
            <v>0</v>
          </cell>
          <cell r="P131">
            <v>0</v>
          </cell>
        </row>
        <row r="132">
          <cell r="A132" t="str">
            <v>SG16_LU</v>
          </cell>
          <cell r="B132" t="str">
            <v>Smart Grid True-up (2016)</v>
          </cell>
          <cell r="C132" t="str">
            <v>Rate Rider</v>
          </cell>
          <cell r="E132" t="str">
            <v>$</v>
          </cell>
          <cell r="N132">
            <v>-199.61</v>
          </cell>
          <cell r="O132">
            <v>-199.61</v>
          </cell>
          <cell r="P132">
            <v>0</v>
          </cell>
        </row>
        <row r="133">
          <cell r="A133" t="str">
            <v>FRV_LU</v>
          </cell>
          <cell r="B133" t="str">
            <v>Foregone Revenue/Var</v>
          </cell>
          <cell r="C133" t="str">
            <v>Rate Rider</v>
          </cell>
          <cell r="E133" t="str">
            <v>$/kW</v>
          </cell>
          <cell r="N133">
            <v>7.5899999999999995E-2</v>
          </cell>
        </row>
        <row r="136">
          <cell r="A136" t="str">
            <v>TN_LU</v>
          </cell>
          <cell r="B136" t="str">
            <v>Retail Transmission Rate - Network Service Rate</v>
          </cell>
          <cell r="C136" t="str">
            <v>Rate</v>
          </cell>
          <cell r="E136" t="str">
            <v>$/kW</v>
          </cell>
          <cell r="F136">
            <v>3.1284999999999998</v>
          </cell>
          <cell r="G136">
            <v>3.1192000000000002</v>
          </cell>
          <cell r="H136">
            <v>3.2216</v>
          </cell>
          <cell r="I136">
            <v>3.2216</v>
          </cell>
          <cell r="J136">
            <v>3.3451</v>
          </cell>
          <cell r="K136">
            <v>3.3451</v>
          </cell>
          <cell r="L136">
            <v>3.4638</v>
          </cell>
          <cell r="M136">
            <v>3.4638</v>
          </cell>
          <cell r="N136">
            <v>3.4638</v>
          </cell>
          <cell r="O136">
            <v>3.5360999999999998</v>
          </cell>
          <cell r="P136">
            <v>3.6097999999999999</v>
          </cell>
          <cell r="Q136">
            <v>3.6867999999999999</v>
          </cell>
          <cell r="R136">
            <v>3.7780999999999998</v>
          </cell>
        </row>
        <row r="137">
          <cell r="A137" t="str">
            <v>TC_LU</v>
          </cell>
          <cell r="B137" t="str">
            <v>Retail Transmission Rate - Line and Transformation Connection Service Rate</v>
          </cell>
          <cell r="C137" t="str">
            <v>Rate</v>
          </cell>
          <cell r="E137" t="str">
            <v>$/kW</v>
          </cell>
          <cell r="F137">
            <v>1.1529</v>
          </cell>
          <cell r="G137">
            <v>2.5775000000000001</v>
          </cell>
          <cell r="H137">
            <v>1.1183000000000001</v>
          </cell>
          <cell r="I137">
            <v>1.1183000000000001</v>
          </cell>
          <cell r="J137">
            <v>1.1732</v>
          </cell>
          <cell r="K137">
            <v>1.1732</v>
          </cell>
          <cell r="L137">
            <v>1.2027000000000001</v>
          </cell>
          <cell r="M137">
            <v>1.2027000000000001</v>
          </cell>
          <cell r="N137">
            <v>1.2027000000000001</v>
          </cell>
          <cell r="O137">
            <v>1.3178000000000001</v>
          </cell>
          <cell r="P137">
            <v>1.3495999999999999</v>
          </cell>
          <cell r="Q137">
            <v>1.3829</v>
          </cell>
          <cell r="R137">
            <v>1.4218</v>
          </cell>
        </row>
        <row r="140">
          <cell r="B140" t="str">
            <v>UNMETERED SCATTERED LOAD</v>
          </cell>
        </row>
        <row r="141">
          <cell r="A141" t="str">
            <v>Fix_USL</v>
          </cell>
          <cell r="B141" t="str">
            <v>Service Charge</v>
          </cell>
          <cell r="C141" t="str">
            <v>Rate</v>
          </cell>
          <cell r="E141" t="str">
            <v>$</v>
          </cell>
          <cell r="F141">
            <v>14.32</v>
          </cell>
          <cell r="G141">
            <v>7.95</v>
          </cell>
          <cell r="H141">
            <v>6.82</v>
          </cell>
          <cell r="I141">
            <v>6.82</v>
          </cell>
          <cell r="J141">
            <v>6.92</v>
          </cell>
          <cell r="K141">
            <v>6.85</v>
          </cell>
          <cell r="L141">
            <v>7.01</v>
          </cell>
          <cell r="M141">
            <v>7.01</v>
          </cell>
          <cell r="N141">
            <v>7.14</v>
          </cell>
          <cell r="O141">
            <v>8.7899999999999991</v>
          </cell>
          <cell r="P141">
            <v>9.44</v>
          </cell>
          <cell r="Q141">
            <v>9.81</v>
          </cell>
          <cell r="R141">
            <v>10.14</v>
          </cell>
        </row>
        <row r="142">
          <cell r="A142" t="str">
            <v>FR_USL</v>
          </cell>
          <cell r="B142" t="str">
            <v>Foregone Revenue/Fix</v>
          </cell>
          <cell r="C142" t="str">
            <v>Rate Rider</v>
          </cell>
          <cell r="E142" t="str">
            <v>$</v>
          </cell>
          <cell r="H142">
            <v>-0.34</v>
          </cell>
          <cell r="I142">
            <v>-0.34</v>
          </cell>
          <cell r="J142">
            <v>0.05</v>
          </cell>
          <cell r="K142">
            <v>0.05</v>
          </cell>
          <cell r="L142">
            <v>0</v>
          </cell>
          <cell r="M142">
            <v>0</v>
          </cell>
          <cell r="N142">
            <v>0.39</v>
          </cell>
        </row>
        <row r="143">
          <cell r="A143" t="str">
            <v>PPE_USL</v>
          </cell>
          <cell r="B143" t="str">
            <v xml:space="preserve">Recovery of CGAAP/CWIP Differential </v>
          </cell>
          <cell r="C143" t="str">
            <v>Rate Rider</v>
          </cell>
          <cell r="E143" t="str">
            <v>$</v>
          </cell>
          <cell r="H143">
            <v>0.11</v>
          </cell>
          <cell r="I143">
            <v>0.11</v>
          </cell>
          <cell r="J143">
            <v>0.11</v>
          </cell>
          <cell r="K143">
            <v>0.11</v>
          </cell>
          <cell r="L143">
            <v>0.11</v>
          </cell>
          <cell r="M143">
            <v>0.11</v>
          </cell>
          <cell r="N143">
            <v>0.11</v>
          </cell>
        </row>
        <row r="144">
          <cell r="A144" t="str">
            <v>ICMF_USL</v>
          </cell>
          <cell r="B144" t="str">
            <v>ICM Rate Rider  (2014) - in effect until the effective date of the next cost of service rates</v>
          </cell>
          <cell r="C144" t="str">
            <v>Rate Rider</v>
          </cell>
          <cell r="E144" t="str">
            <v>$</v>
          </cell>
          <cell r="H144">
            <v>0</v>
          </cell>
          <cell r="I144">
            <v>0</v>
          </cell>
          <cell r="J144">
            <v>0.04</v>
          </cell>
          <cell r="K144">
            <v>0.04</v>
          </cell>
          <cell r="L144">
            <v>0.04</v>
          </cell>
          <cell r="M144">
            <v>0.04</v>
          </cell>
          <cell r="N144">
            <v>0.04</v>
          </cell>
        </row>
        <row r="145">
          <cell r="A145" t="str">
            <v>SGD_USL</v>
          </cell>
          <cell r="B145" t="str">
            <v xml:space="preserve">Smart Grid Funding Adder(2014) </v>
          </cell>
          <cell r="C145" t="str">
            <v>Rate Adder</v>
          </cell>
          <cell r="E145" t="str">
            <v>$</v>
          </cell>
          <cell r="H145">
            <v>0</v>
          </cell>
          <cell r="I145">
            <v>0</v>
          </cell>
          <cell r="J145">
            <v>0.08</v>
          </cell>
          <cell r="K145">
            <v>0.08</v>
          </cell>
          <cell r="L145">
            <v>0</v>
          </cell>
          <cell r="M145">
            <v>0</v>
          </cell>
        </row>
        <row r="146">
          <cell r="A146" t="str">
            <v>Var_USL</v>
          </cell>
          <cell r="B146" t="str">
            <v>Distribution Volumetric Rate</v>
          </cell>
          <cell r="C146" t="str">
            <v>Rate</v>
          </cell>
          <cell r="E146" t="str">
            <v>$/kWh</v>
          </cell>
          <cell r="F146">
            <v>8.6999999999999994E-3</v>
          </cell>
          <cell r="G146">
            <v>1.61E-2</v>
          </cell>
          <cell r="H146">
            <v>1.55E-2</v>
          </cell>
          <cell r="I146">
            <v>1.55E-2</v>
          </cell>
          <cell r="J146">
            <v>1.5699999999999999E-2</v>
          </cell>
          <cell r="K146">
            <v>1.5599999999999999E-2</v>
          </cell>
          <cell r="L146">
            <v>1.5900000000000001E-2</v>
          </cell>
          <cell r="M146">
            <v>1.5900000000000001E-2</v>
          </cell>
          <cell r="N146">
            <v>1.6199999999999999E-2</v>
          </cell>
          <cell r="O146">
            <v>1.9900000000000001E-2</v>
          </cell>
          <cell r="P146">
            <v>2.1600000000000001E-2</v>
          </cell>
          <cell r="Q146">
            <v>2.2499999999999999E-2</v>
          </cell>
          <cell r="R146">
            <v>2.3199999999999998E-2</v>
          </cell>
        </row>
        <row r="147">
          <cell r="A147" t="str">
            <v>LV_USL</v>
          </cell>
          <cell r="B147" t="str">
            <v>Low Voltage Service Rate</v>
          </cell>
          <cell r="C147" t="str">
            <v>Rate</v>
          </cell>
          <cell r="E147" t="str">
            <v>$/kWh</v>
          </cell>
          <cell r="F147">
            <v>1E-4</v>
          </cell>
          <cell r="G147">
            <v>6.9999999999999999E-4</v>
          </cell>
          <cell r="H147">
            <v>2.9999999999999997E-4</v>
          </cell>
          <cell r="I147">
            <v>2.9999999999999997E-4</v>
          </cell>
          <cell r="J147">
            <v>2.9999999999999997E-4</v>
          </cell>
          <cell r="K147">
            <v>2.9999999999999997E-4</v>
          </cell>
          <cell r="L147">
            <v>2.9999999999999997E-4</v>
          </cell>
          <cell r="M147">
            <v>2.9999999999999997E-4</v>
          </cell>
          <cell r="N147">
            <v>2.9999999999999997E-4</v>
          </cell>
          <cell r="O147">
            <v>5.0000000000000001E-4</v>
          </cell>
          <cell r="P147">
            <v>5.0000000000000001E-4</v>
          </cell>
          <cell r="Q147">
            <v>5.0000000000000001E-4</v>
          </cell>
          <cell r="R147">
            <v>5.0000000000000001E-4</v>
          </cell>
        </row>
        <row r="148">
          <cell r="A148" t="str">
            <v>RAL13_USL</v>
          </cell>
          <cell r="B148" t="str">
            <v xml:space="preserve">Disposition of Deferral/Variance Accounts (2013) </v>
          </cell>
          <cell r="C148" t="str">
            <v>Rate Rider</v>
          </cell>
          <cell r="E148" t="str">
            <v>$/kWh</v>
          </cell>
          <cell r="H148">
            <v>-2.3E-3</v>
          </cell>
          <cell r="I148">
            <v>-1.5E-3</v>
          </cell>
          <cell r="J148">
            <v>-2.3E-3</v>
          </cell>
          <cell r="K148">
            <v>-1.5E-3</v>
          </cell>
          <cell r="L148">
            <v>0</v>
          </cell>
          <cell r="M148">
            <v>0</v>
          </cell>
        </row>
        <row r="149">
          <cell r="A149" t="str">
            <v>GA13_USL</v>
          </cell>
          <cell r="B149" t="str">
            <v xml:space="preserve">Disposition of Global Adjustment Sub-Account (2013) </v>
          </cell>
          <cell r="C149" t="str">
            <v>Rate Rider</v>
          </cell>
          <cell r="D149" t="str">
            <v>non_RPP</v>
          </cell>
          <cell r="E149" t="str">
            <v>$/kWh</v>
          </cell>
          <cell r="H149">
            <v>1.8E-3</v>
          </cell>
          <cell r="I149">
            <v>3.0999999999999999E-3</v>
          </cell>
          <cell r="J149">
            <v>1.8E-3</v>
          </cell>
          <cell r="K149">
            <v>3.0999999999999999E-3</v>
          </cell>
          <cell r="L149">
            <v>0</v>
          </cell>
          <cell r="M149">
            <v>0</v>
          </cell>
        </row>
        <row r="150">
          <cell r="A150" t="str">
            <v>RAL14_USL</v>
          </cell>
          <cell r="B150" t="str">
            <v xml:space="preserve">Disposition of Deferral/Variance Account (2014) </v>
          </cell>
          <cell r="C150" t="str">
            <v>Rate Rider</v>
          </cell>
          <cell r="E150" t="str">
            <v>$/kWh</v>
          </cell>
          <cell r="G150">
            <v>-8.9999999999999998E-4</v>
          </cell>
          <cell r="H150">
            <v>0</v>
          </cell>
          <cell r="I150">
            <v>0</v>
          </cell>
          <cell r="J150">
            <v>-5.9999999999999995E-4</v>
          </cell>
          <cell r="K150">
            <v>-5.9999999999999995E-4</v>
          </cell>
          <cell r="L150">
            <v>-5.9999999999999995E-4</v>
          </cell>
          <cell r="M150">
            <v>-5.9999999999999995E-4</v>
          </cell>
        </row>
        <row r="151">
          <cell r="A151" t="str">
            <v>GA14_USL</v>
          </cell>
          <cell r="B151" t="str">
            <v xml:space="preserve">Disposition of Global Adjustment Sub-Account (2014) </v>
          </cell>
          <cell r="C151" t="str">
            <v>Rate Rider</v>
          </cell>
          <cell r="D151" t="str">
            <v>non_RPP</v>
          </cell>
          <cell r="E151" t="str">
            <v>$/kWh</v>
          </cell>
          <cell r="H151">
            <v>0</v>
          </cell>
          <cell r="I151">
            <v>0</v>
          </cell>
          <cell r="J151">
            <v>-2.0000000000000001E-4</v>
          </cell>
          <cell r="K151">
            <v>-2.0000000000000001E-4</v>
          </cell>
          <cell r="L151">
            <v>-2.0000000000000001E-4</v>
          </cell>
          <cell r="M151">
            <v>-2.0000000000000001E-4</v>
          </cell>
        </row>
        <row r="152">
          <cell r="A152" t="str">
            <v>ICMV_USL</v>
          </cell>
          <cell r="B152" t="str">
            <v>ICM Rate Rider  (2014) - in effect until the effective date of the next cost of service rates</v>
          </cell>
          <cell r="C152" t="str">
            <v>Rate Rider</v>
          </cell>
          <cell r="E152" t="str">
            <v>$/kWh</v>
          </cell>
          <cell r="H152">
            <v>0</v>
          </cell>
          <cell r="I152">
            <v>0</v>
          </cell>
          <cell r="J152">
            <v>1E-4</v>
          </cell>
          <cell r="K152">
            <v>1E-4</v>
          </cell>
          <cell r="L152">
            <v>1E-4</v>
          </cell>
          <cell r="M152">
            <v>1E-4</v>
          </cell>
          <cell r="N152">
            <v>1E-4</v>
          </cell>
        </row>
        <row r="153">
          <cell r="A153" t="str">
            <v>TAXC_USL</v>
          </cell>
          <cell r="B153" t="str">
            <v>Tax Change</v>
          </cell>
          <cell r="C153" t="str">
            <v>Rate Rider</v>
          </cell>
          <cell r="E153" t="str">
            <v>$/kWh</v>
          </cell>
          <cell r="F153">
            <v>-6.9999999999999999E-4</v>
          </cell>
          <cell r="G153">
            <v>-5.0000000000000001E-4</v>
          </cell>
        </row>
        <row r="154">
          <cell r="A154" t="str">
            <v>RAL16_USL</v>
          </cell>
          <cell r="B154" t="str">
            <v xml:space="preserve">Disposition of Deferral/Variance Accounts (2016) </v>
          </cell>
          <cell r="C154" t="str">
            <v>Rate Rider</v>
          </cell>
          <cell r="E154" t="str">
            <v>$/kWh</v>
          </cell>
          <cell r="N154">
            <v>2.9999999999999997E-4</v>
          </cell>
          <cell r="O154">
            <v>2.9999999999999997E-4</v>
          </cell>
          <cell r="P154">
            <v>2.9999999999999997E-4</v>
          </cell>
        </row>
        <row r="155">
          <cell r="A155" t="str">
            <v>RALP16_USL</v>
          </cell>
          <cell r="B155" t="str">
            <v xml:space="preserve">Disposition of Deferral/Variance Accounts - Power (2016) </v>
          </cell>
          <cell r="C155" t="str">
            <v>Rate Rider</v>
          </cell>
          <cell r="E155" t="str">
            <v>$/kWh</v>
          </cell>
          <cell r="N155">
            <v>-2.9999999999999997E-4</v>
          </cell>
          <cell r="O155">
            <v>-2.9999999999999997E-4</v>
          </cell>
          <cell r="P155">
            <v>-2.9999999999999997E-4</v>
          </cell>
        </row>
        <row r="156">
          <cell r="A156" t="str">
            <v>GA16_USL</v>
          </cell>
          <cell r="B156" t="str">
            <v xml:space="preserve">Disposition of Deferral/Variance Accounts - Power - Global Adjustment (2016) </v>
          </cell>
          <cell r="C156" t="str">
            <v>Rate Rider</v>
          </cell>
          <cell r="D156" t="str">
            <v>non_RPP</v>
          </cell>
          <cell r="E156" t="str">
            <v>$/kWh</v>
          </cell>
          <cell r="N156">
            <v>1.1999999999999999E-3</v>
          </cell>
          <cell r="O156">
            <v>1.1999999999999999E-3</v>
          </cell>
          <cell r="P156">
            <v>1.1999999999999999E-3</v>
          </cell>
        </row>
        <row r="157">
          <cell r="A157" t="str">
            <v>2RAL16_USL</v>
          </cell>
          <cell r="B157" t="str">
            <v xml:space="preserve">Disposition of Deferral/Variance Accounts - Group 2 Accounts (2016) </v>
          </cell>
          <cell r="C157" t="str">
            <v>Rate Rider</v>
          </cell>
          <cell r="E157" t="str">
            <v>$/kWh</v>
          </cell>
          <cell r="N157">
            <v>2.0000000000000001E-4</v>
          </cell>
          <cell r="O157">
            <v>2.0000000000000001E-4</v>
          </cell>
          <cell r="P157">
            <v>2.0000000000000001E-4</v>
          </cell>
        </row>
        <row r="158">
          <cell r="A158" t="str">
            <v>LRVA16_USL</v>
          </cell>
          <cell r="B158" t="str">
            <v>Lost Revenue Adjustment Mechanism Variance Account (LRAMVA) (2016)</v>
          </cell>
          <cell r="C158" t="str">
            <v>Rate Rider</v>
          </cell>
          <cell r="E158" t="str">
            <v>$/kWh</v>
          </cell>
          <cell r="N158">
            <v>-2.0000000000000001E-4</v>
          </cell>
          <cell r="O158">
            <v>0</v>
          </cell>
          <cell r="P158">
            <v>0</v>
          </cell>
        </row>
        <row r="159">
          <cell r="A159" t="str">
            <v>PPE16_USL</v>
          </cell>
          <cell r="B159" t="str">
            <v>Account 1575 (2016)</v>
          </cell>
          <cell r="C159" t="str">
            <v>Rate Rider</v>
          </cell>
          <cell r="E159" t="str">
            <v>$/kWh</v>
          </cell>
          <cell r="N159">
            <v>0</v>
          </cell>
          <cell r="O159">
            <v>0</v>
          </cell>
          <cell r="P159">
            <v>0</v>
          </cell>
        </row>
        <row r="160">
          <cell r="A160" t="str">
            <v>SG16_USL</v>
          </cell>
          <cell r="B160" t="str">
            <v>Smart Grid True-up (2016)</v>
          </cell>
          <cell r="C160" t="str">
            <v>Rate Rider</v>
          </cell>
          <cell r="E160" t="str">
            <v>$</v>
          </cell>
          <cell r="N160">
            <v>-0.02</v>
          </cell>
          <cell r="O160">
            <v>-0.02</v>
          </cell>
          <cell r="P160">
            <v>0</v>
          </cell>
        </row>
        <row r="161">
          <cell r="A161" t="str">
            <v>FRV_USL</v>
          </cell>
          <cell r="B161" t="str">
            <v>Foregone Revenue/Var</v>
          </cell>
          <cell r="C161" t="str">
            <v>Rate Rider</v>
          </cell>
          <cell r="E161" t="str">
            <v>$/kWh</v>
          </cell>
          <cell r="N161">
            <v>8.9999999999999998E-4</v>
          </cell>
        </row>
        <row r="164">
          <cell r="A164" t="str">
            <v>TN_USL</v>
          </cell>
          <cell r="B164" t="str">
            <v>Retail Transmission Rate - Network Service Rate</v>
          </cell>
          <cell r="C164" t="str">
            <v>Rate</v>
          </cell>
          <cell r="E164" t="str">
            <v>$/kWh</v>
          </cell>
          <cell r="F164">
            <v>6.6E-3</v>
          </cell>
          <cell r="G164">
            <v>6.3E-3</v>
          </cell>
          <cell r="H164">
            <v>6.7000000000000002E-3</v>
          </cell>
          <cell r="I164">
            <v>6.7000000000000002E-3</v>
          </cell>
          <cell r="J164">
            <v>7.0000000000000001E-3</v>
          </cell>
          <cell r="K164">
            <v>7.0000000000000001E-3</v>
          </cell>
          <cell r="L164">
            <v>7.1999999999999998E-3</v>
          </cell>
          <cell r="M164">
            <v>7.1999999999999998E-3</v>
          </cell>
          <cell r="N164">
            <v>7.1999999999999998E-3</v>
          </cell>
          <cell r="O164">
            <v>6.8999999999999999E-3</v>
          </cell>
          <cell r="P164">
            <v>6.7999999999999996E-3</v>
          </cell>
          <cell r="Q164">
            <v>6.7000000000000002E-3</v>
          </cell>
          <cell r="R164">
            <v>6.6E-3</v>
          </cell>
        </row>
        <row r="165">
          <cell r="A165" t="str">
            <v>TC_USL</v>
          </cell>
          <cell r="B165" t="str">
            <v>Retail Transmission Rate - Line and Transformation Connection Service Rate</v>
          </cell>
          <cell r="C165" t="str">
            <v>Rate</v>
          </cell>
          <cell r="E165" t="str">
            <v>$/kWh</v>
          </cell>
          <cell r="F165">
            <v>2.7000000000000001E-3</v>
          </cell>
          <cell r="G165">
            <v>4.7999999999999996E-3</v>
          </cell>
          <cell r="H165">
            <v>3.0999999999999999E-3</v>
          </cell>
          <cell r="I165">
            <v>3.0999999999999999E-3</v>
          </cell>
          <cell r="J165">
            <v>3.3E-3</v>
          </cell>
          <cell r="K165">
            <v>3.3E-3</v>
          </cell>
          <cell r="L165">
            <v>3.3999999999999998E-3</v>
          </cell>
          <cell r="M165">
            <v>3.3999999999999998E-3</v>
          </cell>
          <cell r="N165">
            <v>3.3999999999999998E-3</v>
          </cell>
          <cell r="O165">
            <v>3.5000000000000001E-3</v>
          </cell>
          <cell r="P165">
            <v>3.5000000000000001E-3</v>
          </cell>
          <cell r="Q165">
            <v>3.3999999999999998E-3</v>
          </cell>
          <cell r="R165">
            <v>3.3999999999999998E-3</v>
          </cell>
        </row>
        <row r="168">
          <cell r="B168" t="str">
            <v>SENTINEL</v>
          </cell>
        </row>
        <row r="169">
          <cell r="A169" t="str">
            <v>Fix_SE</v>
          </cell>
          <cell r="B169" t="str">
            <v>Service Charge</v>
          </cell>
          <cell r="C169" t="str">
            <v>Rate</v>
          </cell>
          <cell r="E169" t="str">
            <v>$</v>
          </cell>
          <cell r="F169">
            <v>2</v>
          </cell>
          <cell r="H169">
            <v>3.32</v>
          </cell>
          <cell r="I169">
            <v>3.32</v>
          </cell>
          <cell r="J169">
            <v>3.37</v>
          </cell>
          <cell r="K169">
            <v>3.37</v>
          </cell>
          <cell r="L169">
            <v>3.41</v>
          </cell>
          <cell r="M169">
            <v>3.41</v>
          </cell>
          <cell r="N169">
            <v>3.47</v>
          </cell>
          <cell r="O169">
            <v>4.28</v>
          </cell>
          <cell r="P169">
            <v>4.6100000000000003</v>
          </cell>
          <cell r="Q169">
            <v>4.8099999999999996</v>
          </cell>
          <cell r="R169">
            <v>5</v>
          </cell>
        </row>
        <row r="170">
          <cell r="A170" t="str">
            <v>FR_SE</v>
          </cell>
          <cell r="B170" t="str">
            <v>Foregone Revenue/Fix</v>
          </cell>
          <cell r="C170" t="str">
            <v>Rate Rider</v>
          </cell>
          <cell r="E170" t="str">
            <v>$</v>
          </cell>
          <cell r="H170">
            <v>0</v>
          </cell>
          <cell r="I170">
            <v>0</v>
          </cell>
          <cell r="J170">
            <v>0.04</v>
          </cell>
          <cell r="K170">
            <v>0.04</v>
          </cell>
          <cell r="L170">
            <v>0</v>
          </cell>
          <cell r="M170">
            <v>0</v>
          </cell>
          <cell r="N170">
            <v>0.18</v>
          </cell>
        </row>
        <row r="171">
          <cell r="A171" t="str">
            <v>PPE_SE</v>
          </cell>
          <cell r="B171" t="str">
            <v xml:space="preserve">Recovery of CGAAP/CWIP Differential </v>
          </cell>
          <cell r="C171" t="str">
            <v>Rate Rider</v>
          </cell>
          <cell r="E171" t="str">
            <v>$</v>
          </cell>
          <cell r="H171">
            <v>0.09</v>
          </cell>
          <cell r="I171">
            <v>0.09</v>
          </cell>
          <cell r="J171">
            <v>0.09</v>
          </cell>
          <cell r="K171">
            <v>0.09</v>
          </cell>
          <cell r="L171">
            <v>0.09</v>
          </cell>
          <cell r="M171">
            <v>0.09</v>
          </cell>
          <cell r="N171">
            <v>0.09</v>
          </cell>
        </row>
        <row r="172">
          <cell r="A172" t="str">
            <v>ICMF_SE</v>
          </cell>
          <cell r="B172" t="str">
            <v>ICM Rate Rider  (2014) - in effect until the effective date of the next cost of service rates</v>
          </cell>
          <cell r="C172" t="str">
            <v>Rate Rider</v>
          </cell>
          <cell r="E172" t="str">
            <v>$</v>
          </cell>
          <cell r="H172">
            <v>0</v>
          </cell>
          <cell r="I172">
            <v>0</v>
          </cell>
          <cell r="J172">
            <v>0.02</v>
          </cell>
          <cell r="K172">
            <v>0.02</v>
          </cell>
          <cell r="L172">
            <v>0.02</v>
          </cell>
          <cell r="M172">
            <v>0.02</v>
          </cell>
          <cell r="N172">
            <v>0.02</v>
          </cell>
        </row>
        <row r="173">
          <cell r="A173" t="str">
            <v>SGD_SE</v>
          </cell>
          <cell r="B173" t="str">
            <v xml:space="preserve">Smart Grid Funding Adder(2014) </v>
          </cell>
          <cell r="C173" t="str">
            <v>Rate Adder</v>
          </cell>
          <cell r="E173" t="str">
            <v>$</v>
          </cell>
          <cell r="H173">
            <v>0</v>
          </cell>
          <cell r="I173">
            <v>0</v>
          </cell>
          <cell r="J173">
            <v>7.0000000000000007E-2</v>
          </cell>
          <cell r="K173">
            <v>7.0000000000000007E-2</v>
          </cell>
          <cell r="L173">
            <v>0</v>
          </cell>
          <cell r="M173">
            <v>0</v>
          </cell>
        </row>
        <row r="174">
          <cell r="A174" t="str">
            <v>Var_SE</v>
          </cell>
          <cell r="B174" t="str">
            <v>Distribution Volumetric Rate</v>
          </cell>
          <cell r="C174" t="str">
            <v>Rate</v>
          </cell>
          <cell r="E174" t="str">
            <v>$/kW</v>
          </cell>
          <cell r="F174">
            <v>9.3917000000000002</v>
          </cell>
          <cell r="H174">
            <v>7.8049999999999997</v>
          </cell>
          <cell r="I174">
            <v>7.8049999999999997</v>
          </cell>
          <cell r="J174">
            <v>7.9142999999999999</v>
          </cell>
          <cell r="K174">
            <v>7.9142999999999999</v>
          </cell>
          <cell r="L174">
            <v>8.0172000000000008</v>
          </cell>
          <cell r="M174">
            <v>8.0172000000000008</v>
          </cell>
          <cell r="N174">
            <v>8.1615000000000002</v>
          </cell>
          <cell r="O174">
            <v>10.050000000000001</v>
          </cell>
          <cell r="P174">
            <v>10.9284</v>
          </cell>
          <cell r="Q174">
            <v>11.434900000000001</v>
          </cell>
          <cell r="R174">
            <v>11.8673</v>
          </cell>
        </row>
        <row r="175">
          <cell r="A175" t="str">
            <v>LV_SE</v>
          </cell>
          <cell r="B175" t="str">
            <v>Low Voltage Service Rate</v>
          </cell>
          <cell r="C175" t="str">
            <v>Rate</v>
          </cell>
          <cell r="E175" t="str">
            <v>$/kW</v>
          </cell>
          <cell r="F175">
            <v>4.0099999999999997E-2</v>
          </cell>
          <cell r="H175">
            <v>0.1031</v>
          </cell>
          <cell r="I175">
            <v>0.1031</v>
          </cell>
          <cell r="J175">
            <v>0.1031</v>
          </cell>
          <cell r="K175">
            <v>0.1031</v>
          </cell>
          <cell r="L175">
            <v>0.1031</v>
          </cell>
          <cell r="M175">
            <v>0.1031</v>
          </cell>
          <cell r="N175">
            <v>0.1031</v>
          </cell>
          <cell r="O175">
            <v>0.11700000000000001</v>
          </cell>
          <cell r="P175">
            <v>0.11700000000000001</v>
          </cell>
          <cell r="Q175">
            <v>0.11700000000000001</v>
          </cell>
          <cell r="R175">
            <v>0.11700000000000001</v>
          </cell>
        </row>
        <row r="176">
          <cell r="A176" t="str">
            <v>RAL13_SE</v>
          </cell>
          <cell r="B176" t="str">
            <v xml:space="preserve">Disposition of Deferral/Variance Accounts (2013) </v>
          </cell>
          <cell r="C176" t="str">
            <v>Rate Rider</v>
          </cell>
          <cell r="E176" t="str">
            <v>$/kW</v>
          </cell>
          <cell r="H176">
            <v>-0.80879999999999996</v>
          </cell>
          <cell r="I176">
            <v>0</v>
          </cell>
          <cell r="J176">
            <v>-0.80879999999999996</v>
          </cell>
          <cell r="K176">
            <v>0</v>
          </cell>
          <cell r="L176">
            <v>0</v>
          </cell>
          <cell r="M176">
            <v>0</v>
          </cell>
        </row>
        <row r="177">
          <cell r="A177" t="str">
            <v>GA13_SE</v>
          </cell>
          <cell r="B177" t="str">
            <v xml:space="preserve">Disposition of Global Adjustment Sub-Account (2013) </v>
          </cell>
          <cell r="C177" t="str">
            <v>Rate Rider</v>
          </cell>
          <cell r="D177" t="str">
            <v>non_RPP</v>
          </cell>
          <cell r="E177" t="str">
            <v>$/kWh</v>
          </cell>
          <cell r="H177">
            <v>1.8E-3</v>
          </cell>
          <cell r="I177">
            <v>0</v>
          </cell>
          <cell r="J177">
            <v>1.8E-3</v>
          </cell>
          <cell r="K177">
            <v>0</v>
          </cell>
          <cell r="L177">
            <v>0</v>
          </cell>
          <cell r="M177">
            <v>0</v>
          </cell>
        </row>
        <row r="178">
          <cell r="A178" t="str">
            <v>RAL14_SE</v>
          </cell>
          <cell r="B178" t="str">
            <v xml:space="preserve">Disposition of Deferral/Variance Account (2014) </v>
          </cell>
          <cell r="C178" t="str">
            <v>Rate Rider</v>
          </cell>
          <cell r="E178" t="str">
            <v>$/kW</v>
          </cell>
          <cell r="H178">
            <v>0</v>
          </cell>
          <cell r="I178">
            <v>0</v>
          </cell>
          <cell r="J178">
            <v>-0.22969999999999999</v>
          </cell>
          <cell r="K178">
            <v>-0.22969999999999999</v>
          </cell>
          <cell r="L178">
            <v>-0.22969999999999999</v>
          </cell>
          <cell r="M178">
            <v>-0.22969999999999999</v>
          </cell>
        </row>
        <row r="179">
          <cell r="A179" t="str">
            <v>GA14_SE</v>
          </cell>
          <cell r="B179" t="str">
            <v xml:space="preserve">Disposition of Global Adjustment Sub-Account (2014) </v>
          </cell>
          <cell r="C179" t="str">
            <v>Rate Rider</v>
          </cell>
          <cell r="D179" t="str">
            <v>non_RPP</v>
          </cell>
          <cell r="E179" t="str">
            <v>$/kW</v>
          </cell>
          <cell r="H179">
            <v>0</v>
          </cell>
          <cell r="I179">
            <v>0</v>
          </cell>
          <cell r="J179">
            <v>-7.3200000000000001E-2</v>
          </cell>
          <cell r="K179">
            <v>-7.3200000000000001E-2</v>
          </cell>
          <cell r="L179">
            <v>-7.3200000000000001E-2</v>
          </cell>
          <cell r="M179">
            <v>-7.3200000000000001E-2</v>
          </cell>
        </row>
        <row r="180">
          <cell r="A180" t="str">
            <v>ICMV_SE</v>
          </cell>
          <cell r="B180" t="str">
            <v>ICM Rate Rider  (2014) - in effect until the effective date of the next cost of service rates</v>
          </cell>
          <cell r="C180" t="str">
            <v>Rate Rider</v>
          </cell>
          <cell r="E180" t="str">
            <v>$/kW</v>
          </cell>
          <cell r="H180">
            <v>0</v>
          </cell>
          <cell r="I180">
            <v>0</v>
          </cell>
          <cell r="J180">
            <v>4.1599999999999998E-2</v>
          </cell>
          <cell r="K180">
            <v>4.1599999999999998E-2</v>
          </cell>
          <cell r="L180">
            <v>4.1599999999999998E-2</v>
          </cell>
          <cell r="M180">
            <v>4.1599999999999998E-2</v>
          </cell>
          <cell r="N180">
            <v>4.1599999999999998E-2</v>
          </cell>
        </row>
        <row r="181">
          <cell r="A181" t="str">
            <v>TAXC_SE</v>
          </cell>
          <cell r="B181" t="str">
            <v>Tax Change</v>
          </cell>
          <cell r="C181" t="str">
            <v>Rate Rider</v>
          </cell>
          <cell r="E181" t="str">
            <v>$/kW</v>
          </cell>
          <cell r="F181">
            <v>-0.14580000000000001</v>
          </cell>
        </row>
        <row r="182">
          <cell r="A182" t="str">
            <v>RAL16_SE</v>
          </cell>
          <cell r="B182" t="str">
            <v xml:space="preserve">Disposition of Deferral/Variance Accounts (2016) </v>
          </cell>
          <cell r="C182" t="str">
            <v>Rate Rider</v>
          </cell>
          <cell r="E182" t="str">
            <v>$/kW</v>
          </cell>
          <cell r="N182">
            <v>0.121</v>
          </cell>
          <cell r="O182">
            <v>0.121</v>
          </cell>
          <cell r="P182">
            <v>0.121</v>
          </cell>
        </row>
        <row r="183">
          <cell r="A183" t="str">
            <v>RALP16_SE</v>
          </cell>
          <cell r="B183" t="str">
            <v xml:space="preserve">Disposition of Deferral/Variance Accounts - Power (2016) </v>
          </cell>
          <cell r="C183" t="str">
            <v>Rate Rider</v>
          </cell>
          <cell r="E183" t="str">
            <v>$/kW</v>
          </cell>
          <cell r="N183">
            <v>-0.12670000000000001</v>
          </cell>
          <cell r="O183">
            <v>-0.12670000000000001</v>
          </cell>
          <cell r="P183">
            <v>-0.12670000000000001</v>
          </cell>
        </row>
        <row r="184">
          <cell r="A184" t="str">
            <v>GA16_SE</v>
          </cell>
          <cell r="B184" t="str">
            <v xml:space="preserve">Disposition of Deferral/Variance Accounts - Power - Global Adjustment (2016) </v>
          </cell>
          <cell r="C184" t="str">
            <v>Rate Rider</v>
          </cell>
          <cell r="D184" t="str">
            <v>non_RPP</v>
          </cell>
          <cell r="E184" t="str">
            <v>$/kW</v>
          </cell>
          <cell r="N184">
            <v>0.44700000000000001</v>
          </cell>
          <cell r="O184">
            <v>0.44700000000000001</v>
          </cell>
          <cell r="P184">
            <v>0.44700000000000001</v>
          </cell>
        </row>
        <row r="185">
          <cell r="A185" t="str">
            <v>2RAL16_SE</v>
          </cell>
          <cell r="B185" t="str">
            <v xml:space="preserve">Disposition of Deferral/Variance Accounts - Group 2 Accounts (2016) </v>
          </cell>
          <cell r="C185" t="str">
            <v>Rate Rider</v>
          </cell>
          <cell r="E185" t="str">
            <v>$/kW</v>
          </cell>
          <cell r="N185">
            <v>6.4100000000000004E-2</v>
          </cell>
          <cell r="O185">
            <v>6.4100000000000004E-2</v>
          </cell>
          <cell r="P185">
            <v>6.4100000000000004E-2</v>
          </cell>
        </row>
        <row r="186">
          <cell r="A186" t="str">
            <v>LRVA16_SE</v>
          </cell>
          <cell r="B186" t="str">
            <v>Lost Revenue Adjustment Mechanism Variance Account (LRAMVA) (2016)</v>
          </cell>
          <cell r="C186" t="str">
            <v>Rate Rider</v>
          </cell>
          <cell r="E186" t="str">
            <v>$/kW</v>
          </cell>
          <cell r="N186">
            <v>-0.1678</v>
          </cell>
          <cell r="O186">
            <v>0</v>
          </cell>
          <cell r="P186">
            <v>0</v>
          </cell>
        </row>
        <row r="187">
          <cell r="A187" t="str">
            <v>PPE16_SE</v>
          </cell>
          <cell r="B187" t="str">
            <v>Account 1575 (2016)</v>
          </cell>
          <cell r="C187" t="str">
            <v>Rate Rider</v>
          </cell>
          <cell r="E187" t="str">
            <v>$/kW</v>
          </cell>
          <cell r="N187">
            <v>0</v>
          </cell>
          <cell r="O187">
            <v>0</v>
          </cell>
          <cell r="P187">
            <v>0</v>
          </cell>
        </row>
        <row r="188">
          <cell r="A188" t="str">
            <v>SG16_SE</v>
          </cell>
          <cell r="B188" t="str">
            <v>Smart Grid True-up (2016)</v>
          </cell>
          <cell r="C188" t="str">
            <v>Rate Rider</v>
          </cell>
          <cell r="E188" t="str">
            <v>$</v>
          </cell>
          <cell r="N188">
            <v>-0.01</v>
          </cell>
          <cell r="O188">
            <v>-0.01</v>
          </cell>
          <cell r="P188">
            <v>0</v>
          </cell>
        </row>
        <row r="189">
          <cell r="A189" t="str">
            <v>FRV_SE</v>
          </cell>
          <cell r="B189" t="str">
            <v>Foregone Revenue/Var</v>
          </cell>
          <cell r="C189" t="str">
            <v>Rate Rider</v>
          </cell>
          <cell r="E189" t="str">
            <v>$/kW</v>
          </cell>
          <cell r="N189">
            <v>0.42320000000000002</v>
          </cell>
        </row>
        <row r="192">
          <cell r="A192" t="str">
            <v>TN_SE</v>
          </cell>
          <cell r="B192" t="str">
            <v>Retail Transmission Rate - Network Service Rate</v>
          </cell>
          <cell r="C192" t="str">
            <v>Rate</v>
          </cell>
          <cell r="E192" t="str">
            <v>$/kW</v>
          </cell>
          <cell r="F192">
            <v>2.0377999999999998</v>
          </cell>
          <cell r="H192">
            <v>2.0983999999999998</v>
          </cell>
          <cell r="I192">
            <v>2.0983999999999998</v>
          </cell>
          <cell r="J192">
            <v>2.1787999999999998</v>
          </cell>
          <cell r="K192">
            <v>2.1787999999999998</v>
          </cell>
          <cell r="L192">
            <v>2.2561</v>
          </cell>
          <cell r="M192">
            <v>2.2561</v>
          </cell>
          <cell r="N192">
            <v>2.2561</v>
          </cell>
          <cell r="O192">
            <v>2.2743000000000002</v>
          </cell>
          <cell r="P192">
            <v>2.3047</v>
          </cell>
          <cell r="Q192">
            <v>2.3365</v>
          </cell>
          <cell r="R192">
            <v>2.3763999999999998</v>
          </cell>
        </row>
        <row r="193">
          <cell r="A193" t="str">
            <v>TC_SE</v>
          </cell>
          <cell r="B193" t="str">
            <v>Retail Transmission Rate - Line and Transformation Connection Service Rate</v>
          </cell>
          <cell r="C193" t="str">
            <v>Rate</v>
          </cell>
          <cell r="E193" t="str">
            <v>$/kW</v>
          </cell>
          <cell r="F193">
            <v>0.82720000000000005</v>
          </cell>
          <cell r="H193">
            <v>0.8024</v>
          </cell>
          <cell r="I193">
            <v>0.8024</v>
          </cell>
          <cell r="J193">
            <v>0.84179999999999999</v>
          </cell>
          <cell r="K193">
            <v>0.84179999999999999</v>
          </cell>
          <cell r="L193">
            <v>0.8629</v>
          </cell>
          <cell r="M193">
            <v>0.8629</v>
          </cell>
          <cell r="N193">
            <v>0.8629</v>
          </cell>
          <cell r="O193">
            <v>0.93359999999999999</v>
          </cell>
          <cell r="P193">
            <v>0.94910000000000005</v>
          </cell>
          <cell r="Q193">
            <v>0.96530000000000005</v>
          </cell>
          <cell r="R193">
            <v>0.98509999999999998</v>
          </cell>
        </row>
        <row r="196">
          <cell r="B196" t="str">
            <v>STREET LIGHTING</v>
          </cell>
        </row>
        <row r="197">
          <cell r="A197" t="str">
            <v>Fix_SL</v>
          </cell>
          <cell r="B197" t="str">
            <v>Service Charge</v>
          </cell>
          <cell r="C197" t="str">
            <v>Rate</v>
          </cell>
          <cell r="E197" t="str">
            <v>$</v>
          </cell>
          <cell r="F197">
            <v>0.84</v>
          </cell>
          <cell r="G197">
            <v>3.02</v>
          </cell>
          <cell r="H197">
            <v>1.22</v>
          </cell>
          <cell r="I197">
            <v>1.22</v>
          </cell>
          <cell r="J197">
            <v>1.24</v>
          </cell>
          <cell r="K197">
            <v>1.24</v>
          </cell>
          <cell r="L197">
            <v>1.26</v>
          </cell>
          <cell r="M197">
            <v>1.26</v>
          </cell>
          <cell r="N197">
            <v>1.28</v>
          </cell>
          <cell r="O197">
            <v>1.42</v>
          </cell>
          <cell r="P197">
            <v>1.17</v>
          </cell>
          <cell r="Q197">
            <v>1.21</v>
          </cell>
          <cell r="R197">
            <v>1.25</v>
          </cell>
        </row>
        <row r="198">
          <cell r="A198" t="str">
            <v>FR_SL</v>
          </cell>
          <cell r="B198" t="str">
            <v>Foregone Revenue/Fix</v>
          </cell>
          <cell r="C198" t="str">
            <v>Rate Rider</v>
          </cell>
          <cell r="E198" t="str">
            <v>$</v>
          </cell>
          <cell r="H198">
            <v>0</v>
          </cell>
          <cell r="I198">
            <v>0</v>
          </cell>
          <cell r="J198">
            <v>0.01</v>
          </cell>
          <cell r="K198">
            <v>0.01</v>
          </cell>
          <cell r="L198">
            <v>0</v>
          </cell>
          <cell r="M198">
            <v>0</v>
          </cell>
          <cell r="N198">
            <v>0.06</v>
          </cell>
        </row>
        <row r="199">
          <cell r="A199" t="str">
            <v>PPE_SL</v>
          </cell>
          <cell r="B199" t="str">
            <v xml:space="preserve">Recovery of CGAAP/CWIP Differential </v>
          </cell>
          <cell r="C199" t="str">
            <v>Rate Rider</v>
          </cell>
          <cell r="E199" t="str">
            <v>$</v>
          </cell>
          <cell r="H199">
            <v>0.02</v>
          </cell>
          <cell r="I199">
            <v>0.02</v>
          </cell>
          <cell r="J199">
            <v>0.02</v>
          </cell>
          <cell r="K199">
            <v>0.02</v>
          </cell>
          <cell r="L199">
            <v>0.02</v>
          </cell>
          <cell r="M199">
            <v>0.02</v>
          </cell>
          <cell r="N199">
            <v>0.02</v>
          </cell>
        </row>
        <row r="200">
          <cell r="A200" t="str">
            <v>ICMF_SL</v>
          </cell>
          <cell r="B200" t="str">
            <v>ICM Rate Rider  (2014) - in effect until the effective date of the next cost of service rates</v>
          </cell>
          <cell r="C200" t="str">
            <v>Rate Rider</v>
          </cell>
          <cell r="E200" t="str">
            <v>$</v>
          </cell>
          <cell r="H200">
            <v>0</v>
          </cell>
          <cell r="I200">
            <v>0</v>
          </cell>
          <cell r="J200">
            <v>0.01</v>
          </cell>
          <cell r="K200">
            <v>0.01</v>
          </cell>
          <cell r="L200">
            <v>0.01</v>
          </cell>
          <cell r="M200">
            <v>0.01</v>
          </cell>
          <cell r="N200">
            <v>0.01</v>
          </cell>
        </row>
        <row r="201">
          <cell r="A201" t="str">
            <v>SGD_SL</v>
          </cell>
          <cell r="B201" t="str">
            <v xml:space="preserve">Smart Grid Funding Adder(2014) </v>
          </cell>
          <cell r="C201" t="str">
            <v>Rate Rider</v>
          </cell>
          <cell r="E201" t="str">
            <v>$</v>
          </cell>
          <cell r="H201">
            <v>0</v>
          </cell>
          <cell r="I201">
            <v>0</v>
          </cell>
          <cell r="J201">
            <v>0.02</v>
          </cell>
          <cell r="K201">
            <v>0.02</v>
          </cell>
          <cell r="L201">
            <v>0</v>
          </cell>
          <cell r="M201">
            <v>0</v>
          </cell>
        </row>
        <row r="202">
          <cell r="A202" t="str">
            <v>Var_SL</v>
          </cell>
          <cell r="B202" t="str">
            <v>Distribution Volumetric Rate</v>
          </cell>
          <cell r="C202" t="str">
            <v>Rate</v>
          </cell>
          <cell r="E202" t="str">
            <v>$/kW</v>
          </cell>
          <cell r="F202">
            <v>4.8616000000000001</v>
          </cell>
          <cell r="G202">
            <v>11.296099999999999</v>
          </cell>
          <cell r="H202">
            <v>6.4785000000000004</v>
          </cell>
          <cell r="I202">
            <v>6.4785000000000004</v>
          </cell>
          <cell r="J202">
            <v>6.5692000000000004</v>
          </cell>
          <cell r="K202">
            <v>6.5692000000000004</v>
          </cell>
          <cell r="L202">
            <v>6.6546000000000003</v>
          </cell>
          <cell r="M202">
            <v>6.6546000000000003</v>
          </cell>
          <cell r="N202">
            <v>6.7744</v>
          </cell>
          <cell r="O202">
            <v>7.5717999999999996</v>
          </cell>
          <cell r="P202">
            <v>6.2099000000000002</v>
          </cell>
          <cell r="Q202">
            <v>6.5189000000000004</v>
          </cell>
          <cell r="R202">
            <v>6.6505999999999998</v>
          </cell>
        </row>
        <row r="203">
          <cell r="A203" t="str">
            <v>LV_SL</v>
          </cell>
          <cell r="B203" t="str">
            <v>Low Voltage Service Rate</v>
          </cell>
          <cell r="C203" t="str">
            <v>Rate</v>
          </cell>
          <cell r="E203" t="str">
            <v>$/kW</v>
          </cell>
          <cell r="F203">
            <v>3.6700000000000003E-2</v>
          </cell>
          <cell r="G203">
            <v>0.2301</v>
          </cell>
          <cell r="H203">
            <v>9.1700000000000004E-2</v>
          </cell>
          <cell r="I203">
            <v>9.1700000000000004E-2</v>
          </cell>
          <cell r="J203">
            <v>9.1700000000000004E-2</v>
          </cell>
          <cell r="K203">
            <v>9.1700000000000004E-2</v>
          </cell>
          <cell r="L203">
            <v>9.1700000000000004E-2</v>
          </cell>
          <cell r="M203">
            <v>9.1700000000000004E-2</v>
          </cell>
          <cell r="N203">
            <v>9.1700000000000004E-2</v>
          </cell>
          <cell r="O203">
            <v>0.1288</v>
          </cell>
          <cell r="P203">
            <v>0.1288</v>
          </cell>
          <cell r="Q203">
            <v>0.12889999999999999</v>
          </cell>
          <cell r="R203">
            <v>0.1288</v>
          </cell>
        </row>
        <row r="204">
          <cell r="A204" t="str">
            <v>RAL13_SL</v>
          </cell>
          <cell r="B204" t="str">
            <v xml:space="preserve">Disposition of Deferral/Variance Accounts (2013) </v>
          </cell>
          <cell r="C204" t="str">
            <v>Rate Rider</v>
          </cell>
          <cell r="E204" t="str">
            <v>$/kW</v>
          </cell>
          <cell r="H204">
            <v>-0.67120000000000002</v>
          </cell>
          <cell r="I204">
            <v>-0.47460000000000002</v>
          </cell>
          <cell r="J204">
            <v>-0.67120000000000002</v>
          </cell>
          <cell r="K204">
            <v>-0.47460000000000002</v>
          </cell>
          <cell r="L204">
            <v>0</v>
          </cell>
          <cell r="M204">
            <v>0</v>
          </cell>
        </row>
        <row r="205">
          <cell r="A205" t="str">
            <v>GA13_SL</v>
          </cell>
          <cell r="B205" t="str">
            <v xml:space="preserve">Disposition of Global Adjustment Sub-Account (2013) </v>
          </cell>
          <cell r="C205" t="str">
            <v>Rate Rider</v>
          </cell>
          <cell r="D205" t="str">
            <v>non_RPP</v>
          </cell>
          <cell r="E205" t="str">
            <v>$/kWh</v>
          </cell>
          <cell r="H205">
            <v>1.8E-3</v>
          </cell>
          <cell r="I205">
            <v>3.0999999999999999E-3</v>
          </cell>
          <cell r="J205">
            <v>1.8E-3</v>
          </cell>
          <cell r="K205">
            <v>3.0999999999999999E-3</v>
          </cell>
          <cell r="L205">
            <v>0</v>
          </cell>
          <cell r="M205">
            <v>0</v>
          </cell>
        </row>
        <row r="206">
          <cell r="A206" t="str">
            <v>RAL14_SL</v>
          </cell>
          <cell r="B206" t="str">
            <v xml:space="preserve">Disposition of Deferral/Variance Account (2014) </v>
          </cell>
          <cell r="C206" t="str">
            <v>Rate Rider</v>
          </cell>
          <cell r="E206" t="str">
            <v>$/kW</v>
          </cell>
          <cell r="G206">
            <v>-0.1545</v>
          </cell>
          <cell r="H206">
            <v>0</v>
          </cell>
          <cell r="I206">
            <v>0</v>
          </cell>
          <cell r="J206">
            <v>-0.20019999999999999</v>
          </cell>
          <cell r="K206">
            <v>-0.20019999999999999</v>
          </cell>
          <cell r="L206">
            <v>-0.20019999999999999</v>
          </cell>
          <cell r="M206">
            <v>-0.20019999999999999</v>
          </cell>
        </row>
        <row r="207">
          <cell r="A207" t="str">
            <v>GA14_SL</v>
          </cell>
          <cell r="B207" t="str">
            <v xml:space="preserve">Disposition of Global Adjustment Sub-Account (2014) </v>
          </cell>
          <cell r="C207" t="str">
            <v>Rate Rider</v>
          </cell>
          <cell r="D207" t="str">
            <v>non_RPP</v>
          </cell>
          <cell r="E207" t="str">
            <v>$/kW</v>
          </cell>
          <cell r="H207">
            <v>0</v>
          </cell>
          <cell r="I207">
            <v>0</v>
          </cell>
          <cell r="J207">
            <v>-6.5299999999999997E-2</v>
          </cell>
          <cell r="K207">
            <v>-6.5299999999999997E-2</v>
          </cell>
          <cell r="L207">
            <v>-6.5299999999999997E-2</v>
          </cell>
          <cell r="M207">
            <v>-6.5299999999999997E-2</v>
          </cell>
        </row>
        <row r="208">
          <cell r="A208" t="str">
            <v>ICMV_SL</v>
          </cell>
          <cell r="B208" t="str">
            <v>ICM Rate Rider  (2014) - in effect until the effective date of the next cost of service rates</v>
          </cell>
          <cell r="C208" t="str">
            <v>Rate Rider</v>
          </cell>
          <cell r="E208" t="str">
            <v>$/kW</v>
          </cell>
          <cell r="H208">
            <v>0</v>
          </cell>
          <cell r="I208">
            <v>0</v>
          </cell>
          <cell r="J208">
            <v>3.4500000000000003E-2</v>
          </cell>
          <cell r="K208">
            <v>3.4500000000000003E-2</v>
          </cell>
          <cell r="L208">
            <v>3.4500000000000003E-2</v>
          </cell>
          <cell r="M208">
            <v>3.4500000000000003E-2</v>
          </cell>
          <cell r="N208">
            <v>3.4500000000000003E-2</v>
          </cell>
        </row>
        <row r="209">
          <cell r="A209" t="str">
            <v>TAXC_SL</v>
          </cell>
          <cell r="B209" t="str">
            <v>Tax Change</v>
          </cell>
          <cell r="C209" t="str">
            <v>Rate Rider</v>
          </cell>
          <cell r="E209" t="str">
            <v>$/kW</v>
          </cell>
          <cell r="F209">
            <v>-0.12759999999999999</v>
          </cell>
          <cell r="G209">
            <v>-0.47799999999999998</v>
          </cell>
        </row>
        <row r="210">
          <cell r="A210" t="str">
            <v>RAL16_SL</v>
          </cell>
          <cell r="B210" t="str">
            <v xml:space="preserve">Disposition of Deferral/Variance Accounts (2016) </v>
          </cell>
          <cell r="C210" t="str">
            <v>Rate Rider</v>
          </cell>
          <cell r="E210" t="str">
            <v>$/kW</v>
          </cell>
          <cell r="N210">
            <v>0.1116</v>
          </cell>
          <cell r="O210">
            <v>0.1116</v>
          </cell>
          <cell r="P210">
            <v>0.1116</v>
          </cell>
        </row>
        <row r="211">
          <cell r="A211" t="str">
            <v>RALP16_SL</v>
          </cell>
          <cell r="B211" t="str">
            <v xml:space="preserve">Disposition of Deferral/Variance Accounts - Power (2016) </v>
          </cell>
          <cell r="C211" t="str">
            <v>Rate Rider</v>
          </cell>
          <cell r="E211" t="str">
            <v>$/kW</v>
          </cell>
          <cell r="N211">
            <v>-0.1169</v>
          </cell>
          <cell r="O211">
            <v>-0.1169</v>
          </cell>
          <cell r="P211">
            <v>-0.1169</v>
          </cell>
        </row>
        <row r="212">
          <cell r="A212" t="str">
            <v>GA16_SL</v>
          </cell>
          <cell r="B212" t="str">
            <v xml:space="preserve">Disposition of Deferral/Variance Accounts - Power - Global Adjustment (2016) </v>
          </cell>
          <cell r="C212" t="str">
            <v>Rate Rider</v>
          </cell>
          <cell r="D212" t="str">
            <v>non_RPP</v>
          </cell>
          <cell r="E212" t="str">
            <v>$/kW</v>
          </cell>
          <cell r="N212">
            <v>0.41239999999999999</v>
          </cell>
          <cell r="O212">
            <v>0.41239999999999999</v>
          </cell>
          <cell r="P212">
            <v>0.41239999999999999</v>
          </cell>
        </row>
        <row r="213">
          <cell r="A213" t="str">
            <v>2RAL16_SL</v>
          </cell>
          <cell r="B213" t="str">
            <v xml:space="preserve">Disposition of Deferral/Variance Accounts - Group 2 Accounts (2016) </v>
          </cell>
          <cell r="C213" t="str">
            <v>Rate Rider</v>
          </cell>
          <cell r="E213" t="str">
            <v>$/kW</v>
          </cell>
          <cell r="N213">
            <v>5.9200000000000003E-2</v>
          </cell>
          <cell r="O213">
            <v>5.9200000000000003E-2</v>
          </cell>
          <cell r="P213">
            <v>5.9200000000000003E-2</v>
          </cell>
        </row>
        <row r="214">
          <cell r="A214" t="str">
            <v>LRVA16_SL</v>
          </cell>
          <cell r="B214" t="str">
            <v>Lost Revenue Adjustment Mechanism Variance Account (LRAMVA) (2016)</v>
          </cell>
          <cell r="C214" t="str">
            <v>Rate Rider</v>
          </cell>
          <cell r="E214" t="str">
            <v>$/kW</v>
          </cell>
          <cell r="N214">
            <v>-0.14549999999999999</v>
          </cell>
          <cell r="O214">
            <v>-0.14549999999999999</v>
          </cell>
          <cell r="P214">
            <v>0</v>
          </cell>
        </row>
        <row r="215">
          <cell r="A215" t="str">
            <v>PPE16_SL</v>
          </cell>
          <cell r="B215" t="str">
            <v>Account 1575 (2016)</v>
          </cell>
          <cell r="C215" t="str">
            <v>Rate Rider</v>
          </cell>
          <cell r="E215" t="str">
            <v>$/kW</v>
          </cell>
          <cell r="N215">
            <v>0</v>
          </cell>
          <cell r="O215">
            <v>0</v>
          </cell>
          <cell r="P215">
            <v>0</v>
          </cell>
        </row>
        <row r="216">
          <cell r="A216" t="str">
            <v>FRV_SL</v>
          </cell>
          <cell r="B216" t="str">
            <v>Foregone Revenue/Var</v>
          </cell>
          <cell r="C216" t="str">
            <v>Rate Rider</v>
          </cell>
          <cell r="E216" t="str">
            <v>$/kW</v>
          </cell>
          <cell r="N216">
            <v>0.27210000000000001</v>
          </cell>
          <cell r="O216">
            <v>0</v>
          </cell>
          <cell r="P216">
            <v>0</v>
          </cell>
        </row>
        <row r="217">
          <cell r="A217" t="str">
            <v>SG16_SL</v>
          </cell>
          <cell r="B217" t="str">
            <v>Smart Grid True-up (2016)</v>
          </cell>
          <cell r="C217" t="str">
            <v>Rate Rider</v>
          </cell>
          <cell r="E217" t="str">
            <v>$</v>
          </cell>
          <cell r="N217">
            <v>0</v>
          </cell>
          <cell r="O217">
            <v>0</v>
          </cell>
          <cell r="P217">
            <v>0</v>
          </cell>
        </row>
        <row r="220">
          <cell r="A220" t="str">
            <v>TN_SL</v>
          </cell>
          <cell r="B220" t="str">
            <v>Retail Transmission Rate - Network Service Rate</v>
          </cell>
          <cell r="C220" t="str">
            <v>Rate</v>
          </cell>
          <cell r="E220" t="str">
            <v>$/kW</v>
          </cell>
          <cell r="F220">
            <v>2.0173999999999999</v>
          </cell>
          <cell r="G220">
            <v>1.9589000000000001</v>
          </cell>
          <cell r="H220">
            <v>2.0649999999999999</v>
          </cell>
          <cell r="I220">
            <v>2.0649999999999999</v>
          </cell>
          <cell r="J220">
            <v>2.1442000000000001</v>
          </cell>
          <cell r="K220">
            <v>2.1442000000000001</v>
          </cell>
          <cell r="L220">
            <v>2.2202999999999999</v>
          </cell>
          <cell r="M220">
            <v>2.2202999999999999</v>
          </cell>
          <cell r="N220">
            <v>2.2202999999999999</v>
          </cell>
          <cell r="O220">
            <v>2.9430999999999998</v>
          </cell>
          <cell r="P220">
            <v>3.1322999999999999</v>
          </cell>
          <cell r="Q220">
            <v>3.1753</v>
          </cell>
          <cell r="R220">
            <v>3.2378999999999998</v>
          </cell>
        </row>
        <row r="221">
          <cell r="A221" t="str">
            <v>TC_SL</v>
          </cell>
          <cell r="B221" t="str">
            <v>Retail Transmission Rate - Line and Transformation Connection Service Rate</v>
          </cell>
          <cell r="C221" t="str">
            <v>Rate</v>
          </cell>
          <cell r="E221" t="str">
            <v>$/kW</v>
          </cell>
          <cell r="F221">
            <v>0.75839999999999996</v>
          </cell>
          <cell r="G221">
            <v>1.5002</v>
          </cell>
          <cell r="H221">
            <v>0.88360000000000005</v>
          </cell>
          <cell r="I221">
            <v>0.88360000000000005</v>
          </cell>
          <cell r="J221">
            <v>0.92700000000000005</v>
          </cell>
          <cell r="K221">
            <v>0.92700000000000005</v>
          </cell>
          <cell r="L221">
            <v>0.95030000000000003</v>
          </cell>
          <cell r="M221">
            <v>0.95030000000000003</v>
          </cell>
          <cell r="N221">
            <v>0.95030000000000003</v>
          </cell>
          <cell r="O221">
            <v>1.3520000000000001</v>
          </cell>
          <cell r="P221">
            <v>1.4435</v>
          </cell>
          <cell r="Q221">
            <v>1.4681</v>
          </cell>
          <cell r="R221">
            <v>1.502</v>
          </cell>
        </row>
        <row r="226">
          <cell r="A226" t="str">
            <v>LF</v>
          </cell>
          <cell r="B226" t="str">
            <v>Loss Factor</v>
          </cell>
          <cell r="E226" t="str">
            <v>LF</v>
          </cell>
          <cell r="F226">
            <v>1.0345</v>
          </cell>
          <cell r="G226">
            <v>1.0345</v>
          </cell>
          <cell r="H226">
            <v>1.0345</v>
          </cell>
          <cell r="I226">
            <v>1.0345</v>
          </cell>
          <cell r="J226">
            <v>1.0345</v>
          </cell>
          <cell r="K226">
            <v>1.0345</v>
          </cell>
          <cell r="L226">
            <v>1.0345</v>
          </cell>
          <cell r="M226">
            <v>1.0345</v>
          </cell>
          <cell r="N226">
            <v>1.0345</v>
          </cell>
          <cell r="O226">
            <v>1.0368999999999999</v>
          </cell>
          <cell r="P226">
            <v>1.0368999999999999</v>
          </cell>
          <cell r="Q226">
            <v>1.0368999999999999</v>
          </cell>
          <cell r="R226">
            <v>1.0368999999999999</v>
          </cell>
        </row>
        <row r="227">
          <cell r="A227" t="str">
            <v>LF_LU</v>
          </cell>
          <cell r="B227" t="str">
            <v>Loss Factor - Large User</v>
          </cell>
          <cell r="E227" t="str">
            <v>LF LU</v>
          </cell>
          <cell r="F227">
            <v>1.0145</v>
          </cell>
          <cell r="G227">
            <v>1.0145</v>
          </cell>
          <cell r="H227">
            <v>1.0145</v>
          </cell>
          <cell r="I227">
            <v>1.0145</v>
          </cell>
          <cell r="J227">
            <v>1.0145</v>
          </cell>
          <cell r="K227">
            <v>1.0145</v>
          </cell>
          <cell r="L227">
            <v>1.0145</v>
          </cell>
          <cell r="M227">
            <v>1.0145</v>
          </cell>
          <cell r="N227">
            <v>1.0145</v>
          </cell>
          <cell r="O227">
            <v>1.0145</v>
          </cell>
          <cell r="P227">
            <v>1.0145</v>
          </cell>
          <cell r="Q227">
            <v>1.0145</v>
          </cell>
          <cell r="R227">
            <v>1.0145</v>
          </cell>
        </row>
        <row r="233">
          <cell r="B233" t="str">
            <v>COMMODITY RATES</v>
          </cell>
        </row>
        <row r="234">
          <cell r="E234" t="str">
            <v>May 1st, 2011</v>
          </cell>
          <cell r="G234" t="str">
            <v>May 1st, 2012</v>
          </cell>
          <cell r="I234" t="str">
            <v>May 1st, 2013</v>
          </cell>
          <cell r="K234" t="str">
            <v>May 1st, 2014</v>
          </cell>
          <cell r="M234" t="str">
            <v>May 1st, 2015</v>
          </cell>
          <cell r="N234" t="str">
            <v>May 1st, 2016</v>
          </cell>
          <cell r="O234" t="str">
            <v>May 1st, 2017</v>
          </cell>
          <cell r="P234" t="str">
            <v>May 1st, 2018</v>
          </cell>
          <cell r="Q234" t="str">
            <v>May 1st, 2019</v>
          </cell>
          <cell r="R234" t="str">
            <v>May 1st, 2020</v>
          </cell>
        </row>
        <row r="235">
          <cell r="B235" t="str">
            <v xml:space="preserve">AVG RPP </v>
          </cell>
          <cell r="D235" t="str">
            <v>$/kWh</v>
          </cell>
          <cell r="E235">
            <v>7.2980000000000003E-2</v>
          </cell>
          <cell r="G235">
            <v>8.0689999999999998E-2</v>
          </cell>
          <cell r="I235">
            <v>8.3949999999999997E-2</v>
          </cell>
        </row>
        <row r="236">
          <cell r="B236" t="str">
            <v>AVG non-RPP</v>
          </cell>
          <cell r="D236" t="str">
            <v>$/kWh</v>
          </cell>
          <cell r="E236">
            <v>7.3226479796471122E-2</v>
          </cell>
          <cell r="G236">
            <v>7.1774486439540652E-2</v>
          </cell>
          <cell r="I236">
            <v>8.6725100453403953E-2</v>
          </cell>
          <cell r="J236">
            <v>0</v>
          </cell>
          <cell r="K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 xml:space="preserve"> Tier 1</v>
          </cell>
          <cell r="D237" t="str">
            <v>$/kWh</v>
          </cell>
          <cell r="E237">
            <v>6.8000000000000005E-2</v>
          </cell>
          <cell r="G237">
            <v>7.4999999999999997E-2</v>
          </cell>
          <cell r="I237">
            <v>7.8E-2</v>
          </cell>
        </row>
        <row r="238">
          <cell r="B238" t="str">
            <v xml:space="preserve"> Tier 2</v>
          </cell>
          <cell r="D238" t="str">
            <v>$/kWh</v>
          </cell>
          <cell r="E238">
            <v>7.9000000000000001E-2</v>
          </cell>
          <cell r="G238">
            <v>8.7999999999999995E-2</v>
          </cell>
          <cell r="I238">
            <v>9.0999999999999998E-2</v>
          </cell>
        </row>
        <row r="239">
          <cell r="B239" t="str">
            <v>ON-peak</v>
          </cell>
          <cell r="D239" t="str">
            <v>$/kWh</v>
          </cell>
          <cell r="E239">
            <v>0.107</v>
          </cell>
          <cell r="G239">
            <v>0.11700000000000001</v>
          </cell>
          <cell r="I239">
            <v>0.124</v>
          </cell>
        </row>
        <row r="240">
          <cell r="B240" t="str">
            <v>MID-Peak</v>
          </cell>
          <cell r="D240" t="str">
            <v>$/kWh</v>
          </cell>
          <cell r="E240">
            <v>8.8999999999999996E-2</v>
          </cell>
          <cell r="G240">
            <v>0.1</v>
          </cell>
          <cell r="I240">
            <v>0.104</v>
          </cell>
        </row>
        <row r="241">
          <cell r="B241" t="str">
            <v>OFF-Peak</v>
          </cell>
          <cell r="D241" t="str">
            <v>$/kWh</v>
          </cell>
          <cell r="E241">
            <v>5.8999999999999997E-2</v>
          </cell>
          <cell r="G241">
            <v>6.5000000000000002E-2</v>
          </cell>
          <cell r="I241">
            <v>6.7000000000000004E-2</v>
          </cell>
        </row>
        <row r="242">
          <cell r="B242" t="str">
            <v>Non- RPP</v>
          </cell>
          <cell r="D242" t="str">
            <v>$/kWh</v>
          </cell>
          <cell r="E242">
            <v>3.285188125385443E-2</v>
          </cell>
          <cell r="G242">
            <v>2.4133571105072429E-2</v>
          </cell>
          <cell r="I242">
            <v>2.3226123188405789E-2</v>
          </cell>
        </row>
        <row r="243">
          <cell r="B243" t="str">
            <v>Global Adjustment</v>
          </cell>
          <cell r="D243" t="str">
            <v>$/kWh</v>
          </cell>
          <cell r="E243">
            <v>4.0374598542616692E-2</v>
          </cell>
          <cell r="G243">
            <v>4.7640915334468216E-2</v>
          </cell>
          <cell r="I243">
            <v>6.349897726499816E-2</v>
          </cell>
        </row>
        <row r="244">
          <cell r="E244" t="str">
            <v>Nov 1st, 2011</v>
          </cell>
          <cell r="G244" t="str">
            <v>Nov 1st, 2012</v>
          </cell>
          <cell r="I244" t="str">
            <v>Nov 1st, 2013</v>
          </cell>
          <cell r="K244" t="str">
            <v>Nov 1st, 2014</v>
          </cell>
          <cell r="M244" t="str">
            <v>Nov 1st, 2015</v>
          </cell>
          <cell r="N244" t="str">
            <v>Nov 1st, 2016</v>
          </cell>
          <cell r="O244" t="str">
            <v>Nov 1st, 2017</v>
          </cell>
          <cell r="P244" t="str">
            <v>Nov 1st, 2018</v>
          </cell>
          <cell r="Q244" t="str">
            <v>Nov 1st, 2019</v>
          </cell>
          <cell r="R244" t="str">
            <v>Nov 1st, 2020</v>
          </cell>
        </row>
        <row r="245">
          <cell r="B245" t="str">
            <v xml:space="preserve">AVG RPP </v>
          </cell>
          <cell r="D245" t="str">
            <v>$/kWh</v>
          </cell>
          <cell r="E245">
            <v>7.5649999999999995E-2</v>
          </cell>
          <cell r="G245">
            <v>7.9320000000000002E-2</v>
          </cell>
          <cell r="I245">
            <v>8.8999999999999996E-2</v>
          </cell>
        </row>
        <row r="246">
          <cell r="B246" t="str">
            <v>AVG non-RPP</v>
          </cell>
          <cell r="D246" t="str">
            <v>$/kWh</v>
          </cell>
          <cell r="E246">
            <v>7.3782733705817824E-2</v>
          </cell>
          <cell r="G246">
            <v>7.7224489290347018E-2</v>
          </cell>
          <cell r="I246">
            <v>8.7095356520461381E-2</v>
          </cell>
          <cell r="J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 xml:space="preserve"> Tier 1</v>
          </cell>
          <cell r="D247" t="str">
            <v>$/kWh</v>
          </cell>
          <cell r="E247">
            <v>7.0999999999999994E-2</v>
          </cell>
          <cell r="G247">
            <v>7.3999999999999996E-2</v>
          </cell>
          <cell r="I247">
            <v>8.3000000000000004E-2</v>
          </cell>
        </row>
        <row r="248">
          <cell r="B248" t="str">
            <v xml:space="preserve"> Tier 2</v>
          </cell>
          <cell r="D248" t="str">
            <v>$/kWh</v>
          </cell>
          <cell r="E248">
            <v>8.3000000000000004E-2</v>
          </cell>
          <cell r="G248">
            <v>8.6999999999999994E-2</v>
          </cell>
          <cell r="I248">
            <v>9.7000000000000003E-2</v>
          </cell>
        </row>
        <row r="249">
          <cell r="B249" t="str">
            <v>ON-peak</v>
          </cell>
          <cell r="D249" t="str">
            <v>$/kWh</v>
          </cell>
          <cell r="E249">
            <v>0.108</v>
          </cell>
          <cell r="G249">
            <v>0.11799999999999999</v>
          </cell>
          <cell r="I249">
            <v>0.129</v>
          </cell>
        </row>
        <row r="250">
          <cell r="B250" t="str">
            <v>MID-Peak</v>
          </cell>
          <cell r="D250" t="str">
            <v>$/kWh</v>
          </cell>
          <cell r="E250">
            <v>9.1999999999999998E-2</v>
          </cell>
          <cell r="G250">
            <v>9.9000000000000005E-2</v>
          </cell>
          <cell r="I250">
            <v>0.109</v>
          </cell>
        </row>
        <row r="251">
          <cell r="B251" t="str">
            <v>OFF-Peak</v>
          </cell>
          <cell r="D251" t="str">
            <v>$/kWh</v>
          </cell>
          <cell r="E251">
            <v>6.2E-2</v>
          </cell>
          <cell r="G251">
            <v>6.3E-2</v>
          </cell>
          <cell r="I251">
            <v>7.1999999999999995E-2</v>
          </cell>
        </row>
        <row r="252">
          <cell r="B252" t="str">
            <v>Non- RPP</v>
          </cell>
          <cell r="D252" t="str">
            <v>$/kWh</v>
          </cell>
          <cell r="E252">
            <v>2.2656296908937151E-2</v>
          </cell>
          <cell r="G252">
            <v>2.7076109289617487E-2</v>
          </cell>
          <cell r="I252">
            <v>2.243511160714284E-2</v>
          </cell>
        </row>
        <row r="253">
          <cell r="B253" t="str">
            <v>Global Adjustment</v>
          </cell>
          <cell r="D253" t="str">
            <v>$/kWh</v>
          </cell>
          <cell r="E253">
            <v>5.1126436796880677E-2</v>
          </cell>
          <cell r="G253">
            <v>5.0148380000729527E-2</v>
          </cell>
          <cell r="I253">
            <v>6.4660244913318538E-2</v>
          </cell>
        </row>
        <row r="257">
          <cell r="B257" t="str">
            <v>MONTHLY RATES &amp; CHARGES - REGULATORY COMPONENT</v>
          </cell>
          <cell r="E257" t="str">
            <v>PS South</v>
          </cell>
          <cell r="G257" t="str">
            <v>PS South</v>
          </cell>
          <cell r="I257" t="str">
            <v>PS South</v>
          </cell>
          <cell r="K257" t="str">
            <v>PS South</v>
          </cell>
          <cell r="M257" t="str">
            <v>PS South</v>
          </cell>
          <cell r="N257" t="str">
            <v>PS</v>
          </cell>
          <cell r="O257" t="str">
            <v>PS</v>
          </cell>
          <cell r="P257" t="str">
            <v>PS</v>
          </cell>
          <cell r="Q257" t="str">
            <v>PS</v>
          </cell>
          <cell r="R257" t="str">
            <v>PS</v>
          </cell>
        </row>
        <row r="258">
          <cell r="B258" t="str">
            <v xml:space="preserve">Wholesale Market Service Rate </v>
          </cell>
          <cell r="C258" t="str">
            <v>Rate</v>
          </cell>
          <cell r="D258" t="str">
            <v>$/kWh</v>
          </cell>
          <cell r="E258">
            <v>5.1999999999999998E-3</v>
          </cell>
          <cell r="G258">
            <v>5.1999999999999998E-3</v>
          </cell>
          <cell r="I258">
            <v>4.4000000000000003E-3</v>
          </cell>
          <cell r="K258">
            <v>4.4000000000000003E-3</v>
          </cell>
          <cell r="M258">
            <v>4.4000000000000003E-3</v>
          </cell>
          <cell r="N258">
            <v>4.4000000000000003E-3</v>
          </cell>
          <cell r="O258">
            <v>4.4000000000000003E-3</v>
          </cell>
          <cell r="P258">
            <v>4.4000000000000003E-3</v>
          </cell>
          <cell r="Q258">
            <v>4.4000000000000003E-3</v>
          </cell>
          <cell r="R258">
            <v>4.4000000000000003E-3</v>
          </cell>
        </row>
        <row r="259">
          <cell r="B259" t="str">
            <v>Rural Rate Protection Charge</v>
          </cell>
          <cell r="C259" t="str">
            <v>Rate</v>
          </cell>
          <cell r="D259" t="str">
            <v>$/kWh</v>
          </cell>
          <cell r="E259">
            <v>1.2999999999999999E-3</v>
          </cell>
          <cell r="G259">
            <v>1.1000000000000001E-3</v>
          </cell>
          <cell r="I259">
            <v>1.1999999999999999E-3</v>
          </cell>
          <cell r="K259">
            <v>1.2999999999999999E-3</v>
          </cell>
          <cell r="M259">
            <v>1.2999999999999999E-3</v>
          </cell>
          <cell r="N259">
            <v>1.2999999999999999E-3</v>
          </cell>
          <cell r="O259">
            <v>1.2999999999999999E-3</v>
          </cell>
          <cell r="P259">
            <v>1.2999999999999999E-3</v>
          </cell>
          <cell r="Q259">
            <v>1.2999999999999999E-3</v>
          </cell>
          <cell r="R259">
            <v>1.2999999999999999E-3</v>
          </cell>
        </row>
        <row r="260">
          <cell r="B260" t="str">
            <v>Debt Retirement Charge</v>
          </cell>
          <cell r="C260" t="str">
            <v>Rate</v>
          </cell>
          <cell r="D260" t="str">
            <v>$/kWh</v>
          </cell>
          <cell r="E260">
            <v>7.0000000000000001E-3</v>
          </cell>
          <cell r="G260">
            <v>7.0000000000000001E-3</v>
          </cell>
          <cell r="I260">
            <v>7.0000000000000001E-3</v>
          </cell>
          <cell r="K260">
            <v>7.0000000000000001E-3</v>
          </cell>
          <cell r="M260">
            <v>7.0000000000000001E-3</v>
          </cell>
          <cell r="N260">
            <v>7.0000000000000001E-3</v>
          </cell>
          <cell r="O260">
            <v>7.0000000000000001E-3</v>
          </cell>
          <cell r="P260">
            <v>7.0000000000000001E-3</v>
          </cell>
          <cell r="Q260">
            <v>7.0000000000000001E-3</v>
          </cell>
          <cell r="R260">
            <v>7.0000000000000001E-3</v>
          </cell>
        </row>
        <row r="261">
          <cell r="B261" t="str">
            <v>Sub-Total</v>
          </cell>
          <cell r="E261">
            <v>1.35E-2</v>
          </cell>
          <cell r="G261">
            <v>1.3299999999999999E-2</v>
          </cell>
          <cell r="I261">
            <v>1.26E-2</v>
          </cell>
          <cell r="K261">
            <v>1.2699999999999999E-2</v>
          </cell>
          <cell r="M261">
            <v>1.2699999999999999E-2</v>
          </cell>
          <cell r="N261">
            <v>1.2699999999999999E-2</v>
          </cell>
          <cell r="O261">
            <v>1.2699999999999999E-2</v>
          </cell>
          <cell r="P261">
            <v>1.2699999999999999E-2</v>
          </cell>
          <cell r="Q261">
            <v>1.2699999999999999E-2</v>
          </cell>
          <cell r="R261">
            <v>1.2699999999999999E-2</v>
          </cell>
        </row>
        <row r="263">
          <cell r="B263" t="str">
            <v>Admin charge</v>
          </cell>
          <cell r="D263" t="str">
            <v>$</v>
          </cell>
          <cell r="E263">
            <v>0.25</v>
          </cell>
          <cell r="G263">
            <v>0.25</v>
          </cell>
          <cell r="I263">
            <v>0.25</v>
          </cell>
          <cell r="K263">
            <v>0.25</v>
          </cell>
          <cell r="M263">
            <v>0.25</v>
          </cell>
          <cell r="N263">
            <v>0.25</v>
          </cell>
          <cell r="O263">
            <v>0.25</v>
          </cell>
          <cell r="P263">
            <v>0.25</v>
          </cell>
          <cell r="Q263">
            <v>0.25</v>
          </cell>
          <cell r="R263">
            <v>0.25</v>
          </cell>
        </row>
        <row r="264">
          <cell r="B264" t="str">
            <v>Smart Meter Entity Charge</v>
          </cell>
          <cell r="D264" t="str">
            <v>$</v>
          </cell>
          <cell r="E264">
            <v>0</v>
          </cell>
          <cell r="G264">
            <v>0.79</v>
          </cell>
          <cell r="I264">
            <v>0.79</v>
          </cell>
          <cell r="K264">
            <v>0.79</v>
          </cell>
          <cell r="M264">
            <v>0.79</v>
          </cell>
          <cell r="N264">
            <v>0.79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72">
          <cell r="A272">
            <v>2011</v>
          </cell>
        </row>
        <row r="273">
          <cell r="A273">
            <v>2012</v>
          </cell>
        </row>
        <row r="274">
          <cell r="A274">
            <v>2013</v>
          </cell>
        </row>
        <row r="275">
          <cell r="A275">
            <v>2014</v>
          </cell>
        </row>
        <row r="276">
          <cell r="A276">
            <v>2015</v>
          </cell>
        </row>
        <row r="277">
          <cell r="A277">
            <v>2016</v>
          </cell>
        </row>
        <row r="278">
          <cell r="A278">
            <v>2017</v>
          </cell>
        </row>
        <row r="279">
          <cell r="A279">
            <v>2018</v>
          </cell>
        </row>
        <row r="280">
          <cell r="A280">
            <v>2019</v>
          </cell>
        </row>
        <row r="281">
          <cell r="A281">
            <v>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view="pageBreakPreview" zoomScale="85" zoomScaleNormal="85" zoomScaleSheetLayoutView="85" workbookViewId="0">
      <selection activeCell="J53" sqref="J53"/>
    </sheetView>
  </sheetViews>
  <sheetFormatPr defaultRowHeight="16.5" outlineLevelRow="1" outlineLevelCol="1" x14ac:dyDescent="0.3"/>
  <cols>
    <col min="1" max="1" width="11.28515625" style="219" customWidth="1"/>
    <col min="2" max="2" width="30.7109375" style="202" customWidth="1"/>
    <col min="3" max="5" width="16.140625" style="202" customWidth="1"/>
    <col min="6" max="6" width="18.42578125" style="202" hidden="1" customWidth="1" outlineLevel="1"/>
    <col min="7" max="7" width="25.28515625" style="202" customWidth="1" collapsed="1"/>
    <col min="8" max="9" width="18.42578125" style="202" customWidth="1"/>
    <col min="10" max="10" width="4.5703125" style="202" customWidth="1"/>
    <col min="11" max="11" width="13.42578125" style="321" customWidth="1"/>
    <col min="12" max="12" width="16.140625" style="262" customWidth="1"/>
    <col min="13" max="13" width="3.140625" style="202" customWidth="1"/>
    <col min="14" max="190" width="9.140625" style="202"/>
    <col min="191" max="191" width="11.28515625" style="202" customWidth="1"/>
    <col min="192" max="192" width="27.140625" style="202" customWidth="1"/>
    <col min="193" max="193" width="13.7109375" style="202" customWidth="1"/>
    <col min="194" max="194" width="14.140625" style="202" customWidth="1"/>
    <col min="195" max="199" width="13.42578125" style="202" customWidth="1"/>
    <col min="200" max="200" width="9.140625" style="202"/>
    <col min="201" max="204" width="13.42578125" style="202" customWidth="1"/>
    <col min="205" max="205" width="9.140625" style="202"/>
    <col min="206" max="209" width="13.42578125" style="202" customWidth="1"/>
    <col min="210" max="210" width="9.140625" style="202"/>
    <col min="211" max="214" width="13.42578125" style="202" customWidth="1"/>
    <col min="215" max="215" width="9.140625" style="202"/>
    <col min="216" max="219" width="13.42578125" style="202" customWidth="1"/>
    <col min="220" max="446" width="9.140625" style="202"/>
    <col min="447" max="447" width="11.28515625" style="202" customWidth="1"/>
    <col min="448" max="448" width="27.140625" style="202" customWidth="1"/>
    <col min="449" max="449" width="13.7109375" style="202" customWidth="1"/>
    <col min="450" max="450" width="14.140625" style="202" customWidth="1"/>
    <col min="451" max="455" width="13.42578125" style="202" customWidth="1"/>
    <col min="456" max="456" width="9.140625" style="202"/>
    <col min="457" max="460" width="13.42578125" style="202" customWidth="1"/>
    <col min="461" max="461" width="9.140625" style="202"/>
    <col min="462" max="465" width="13.42578125" style="202" customWidth="1"/>
    <col min="466" max="466" width="9.140625" style="202"/>
    <col min="467" max="470" width="13.42578125" style="202" customWidth="1"/>
    <col min="471" max="471" width="9.140625" style="202"/>
    <col min="472" max="475" width="13.42578125" style="202" customWidth="1"/>
    <col min="476" max="702" width="9.140625" style="202"/>
    <col min="703" max="703" width="11.28515625" style="202" customWidth="1"/>
    <col min="704" max="704" width="27.140625" style="202" customWidth="1"/>
    <col min="705" max="705" width="13.7109375" style="202" customWidth="1"/>
    <col min="706" max="706" width="14.140625" style="202" customWidth="1"/>
    <col min="707" max="711" width="13.42578125" style="202" customWidth="1"/>
    <col min="712" max="712" width="9.140625" style="202"/>
    <col min="713" max="716" width="13.42578125" style="202" customWidth="1"/>
    <col min="717" max="717" width="9.140625" style="202"/>
    <col min="718" max="721" width="13.42578125" style="202" customWidth="1"/>
    <col min="722" max="722" width="9.140625" style="202"/>
    <col min="723" max="726" width="13.42578125" style="202" customWidth="1"/>
    <col min="727" max="727" width="9.140625" style="202"/>
    <col min="728" max="731" width="13.42578125" style="202" customWidth="1"/>
    <col min="732" max="958" width="9.140625" style="202"/>
    <col min="959" max="959" width="11.28515625" style="202" customWidth="1"/>
    <col min="960" max="960" width="27.140625" style="202" customWidth="1"/>
    <col min="961" max="961" width="13.7109375" style="202" customWidth="1"/>
    <col min="962" max="962" width="14.140625" style="202" customWidth="1"/>
    <col min="963" max="967" width="13.42578125" style="202" customWidth="1"/>
    <col min="968" max="968" width="9.140625" style="202"/>
    <col min="969" max="972" width="13.42578125" style="202" customWidth="1"/>
    <col min="973" max="973" width="9.140625" style="202"/>
    <col min="974" max="977" width="13.42578125" style="202" customWidth="1"/>
    <col min="978" max="978" width="9.140625" style="202"/>
    <col min="979" max="982" width="13.42578125" style="202" customWidth="1"/>
    <col min="983" max="983" width="9.140625" style="202"/>
    <col min="984" max="987" width="13.42578125" style="202" customWidth="1"/>
    <col min="988" max="1214" width="9.140625" style="202"/>
    <col min="1215" max="1215" width="11.28515625" style="202" customWidth="1"/>
    <col min="1216" max="1216" width="27.140625" style="202" customWidth="1"/>
    <col min="1217" max="1217" width="13.7109375" style="202" customWidth="1"/>
    <col min="1218" max="1218" width="14.140625" style="202" customWidth="1"/>
    <col min="1219" max="1223" width="13.42578125" style="202" customWidth="1"/>
    <col min="1224" max="1224" width="9.140625" style="202"/>
    <col min="1225" max="1228" width="13.42578125" style="202" customWidth="1"/>
    <col min="1229" max="1229" width="9.140625" style="202"/>
    <col min="1230" max="1233" width="13.42578125" style="202" customWidth="1"/>
    <col min="1234" max="1234" width="9.140625" style="202"/>
    <col min="1235" max="1238" width="13.42578125" style="202" customWidth="1"/>
    <col min="1239" max="1239" width="9.140625" style="202"/>
    <col min="1240" max="1243" width="13.42578125" style="202" customWidth="1"/>
    <col min="1244" max="1470" width="9.140625" style="202"/>
    <col min="1471" max="1471" width="11.28515625" style="202" customWidth="1"/>
    <col min="1472" max="1472" width="27.140625" style="202" customWidth="1"/>
    <col min="1473" max="1473" width="13.7109375" style="202" customWidth="1"/>
    <col min="1474" max="1474" width="14.140625" style="202" customWidth="1"/>
    <col min="1475" max="1479" width="13.42578125" style="202" customWidth="1"/>
    <col min="1480" max="1480" width="9.140625" style="202"/>
    <col min="1481" max="1484" width="13.42578125" style="202" customWidth="1"/>
    <col min="1485" max="1485" width="9.140625" style="202"/>
    <col min="1486" max="1489" width="13.42578125" style="202" customWidth="1"/>
    <col min="1490" max="1490" width="9.140625" style="202"/>
    <col min="1491" max="1494" width="13.42578125" style="202" customWidth="1"/>
    <col min="1495" max="1495" width="9.140625" style="202"/>
    <col min="1496" max="1499" width="13.42578125" style="202" customWidth="1"/>
    <col min="1500" max="1726" width="9.140625" style="202"/>
    <col min="1727" max="1727" width="11.28515625" style="202" customWidth="1"/>
    <col min="1728" max="1728" width="27.140625" style="202" customWidth="1"/>
    <col min="1729" max="1729" width="13.7109375" style="202" customWidth="1"/>
    <col min="1730" max="1730" width="14.140625" style="202" customWidth="1"/>
    <col min="1731" max="1735" width="13.42578125" style="202" customWidth="1"/>
    <col min="1736" max="1736" width="9.140625" style="202"/>
    <col min="1737" max="1740" width="13.42578125" style="202" customWidth="1"/>
    <col min="1741" max="1741" width="9.140625" style="202"/>
    <col min="1742" max="1745" width="13.42578125" style="202" customWidth="1"/>
    <col min="1746" max="1746" width="9.140625" style="202"/>
    <col min="1747" max="1750" width="13.42578125" style="202" customWidth="1"/>
    <col min="1751" max="1751" width="9.140625" style="202"/>
    <col min="1752" max="1755" width="13.42578125" style="202" customWidth="1"/>
    <col min="1756" max="1982" width="9.140625" style="202"/>
    <col min="1983" max="1983" width="11.28515625" style="202" customWidth="1"/>
    <col min="1984" max="1984" width="27.140625" style="202" customWidth="1"/>
    <col min="1985" max="1985" width="13.7109375" style="202" customWidth="1"/>
    <col min="1986" max="1986" width="14.140625" style="202" customWidth="1"/>
    <col min="1987" max="1991" width="13.42578125" style="202" customWidth="1"/>
    <col min="1992" max="1992" width="9.140625" style="202"/>
    <col min="1993" max="1996" width="13.42578125" style="202" customWidth="1"/>
    <col min="1997" max="1997" width="9.140625" style="202"/>
    <col min="1998" max="2001" width="13.42578125" style="202" customWidth="1"/>
    <col min="2002" max="2002" width="9.140625" style="202"/>
    <col min="2003" max="2006" width="13.42578125" style="202" customWidth="1"/>
    <col min="2007" max="2007" width="9.140625" style="202"/>
    <col min="2008" max="2011" width="13.42578125" style="202" customWidth="1"/>
    <col min="2012" max="2238" width="9.140625" style="202"/>
    <col min="2239" max="2239" width="11.28515625" style="202" customWidth="1"/>
    <col min="2240" max="2240" width="27.140625" style="202" customWidth="1"/>
    <col min="2241" max="2241" width="13.7109375" style="202" customWidth="1"/>
    <col min="2242" max="2242" width="14.140625" style="202" customWidth="1"/>
    <col min="2243" max="2247" width="13.42578125" style="202" customWidth="1"/>
    <col min="2248" max="2248" width="9.140625" style="202"/>
    <col min="2249" max="2252" width="13.42578125" style="202" customWidth="1"/>
    <col min="2253" max="2253" width="9.140625" style="202"/>
    <col min="2254" max="2257" width="13.42578125" style="202" customWidth="1"/>
    <col min="2258" max="2258" width="9.140625" style="202"/>
    <col min="2259" max="2262" width="13.42578125" style="202" customWidth="1"/>
    <col min="2263" max="2263" width="9.140625" style="202"/>
    <col min="2264" max="2267" width="13.42578125" style="202" customWidth="1"/>
    <col min="2268" max="2494" width="9.140625" style="202"/>
    <col min="2495" max="2495" width="11.28515625" style="202" customWidth="1"/>
    <col min="2496" max="2496" width="27.140625" style="202" customWidth="1"/>
    <col min="2497" max="2497" width="13.7109375" style="202" customWidth="1"/>
    <col min="2498" max="2498" width="14.140625" style="202" customWidth="1"/>
    <col min="2499" max="2503" width="13.42578125" style="202" customWidth="1"/>
    <col min="2504" max="2504" width="9.140625" style="202"/>
    <col min="2505" max="2508" width="13.42578125" style="202" customWidth="1"/>
    <col min="2509" max="2509" width="9.140625" style="202"/>
    <col min="2510" max="2513" width="13.42578125" style="202" customWidth="1"/>
    <col min="2514" max="2514" width="9.140625" style="202"/>
    <col min="2515" max="2518" width="13.42578125" style="202" customWidth="1"/>
    <col min="2519" max="2519" width="9.140625" style="202"/>
    <col min="2520" max="2523" width="13.42578125" style="202" customWidth="1"/>
    <col min="2524" max="2750" width="9.140625" style="202"/>
    <col min="2751" max="2751" width="11.28515625" style="202" customWidth="1"/>
    <col min="2752" max="2752" width="27.140625" style="202" customWidth="1"/>
    <col min="2753" max="2753" width="13.7109375" style="202" customWidth="1"/>
    <col min="2754" max="2754" width="14.140625" style="202" customWidth="1"/>
    <col min="2755" max="2759" width="13.42578125" style="202" customWidth="1"/>
    <col min="2760" max="2760" width="9.140625" style="202"/>
    <col min="2761" max="2764" width="13.42578125" style="202" customWidth="1"/>
    <col min="2765" max="2765" width="9.140625" style="202"/>
    <col min="2766" max="2769" width="13.42578125" style="202" customWidth="1"/>
    <col min="2770" max="2770" width="9.140625" style="202"/>
    <col min="2771" max="2774" width="13.42578125" style="202" customWidth="1"/>
    <col min="2775" max="2775" width="9.140625" style="202"/>
    <col min="2776" max="2779" width="13.42578125" style="202" customWidth="1"/>
    <col min="2780" max="3006" width="9.140625" style="202"/>
    <col min="3007" max="3007" width="11.28515625" style="202" customWidth="1"/>
    <col min="3008" max="3008" width="27.140625" style="202" customWidth="1"/>
    <col min="3009" max="3009" width="13.7109375" style="202" customWidth="1"/>
    <col min="3010" max="3010" width="14.140625" style="202" customWidth="1"/>
    <col min="3011" max="3015" width="13.42578125" style="202" customWidth="1"/>
    <col min="3016" max="3016" width="9.140625" style="202"/>
    <col min="3017" max="3020" width="13.42578125" style="202" customWidth="1"/>
    <col min="3021" max="3021" width="9.140625" style="202"/>
    <col min="3022" max="3025" width="13.42578125" style="202" customWidth="1"/>
    <col min="3026" max="3026" width="9.140625" style="202"/>
    <col min="3027" max="3030" width="13.42578125" style="202" customWidth="1"/>
    <col min="3031" max="3031" width="9.140625" style="202"/>
    <col min="3032" max="3035" width="13.42578125" style="202" customWidth="1"/>
    <col min="3036" max="3262" width="9.140625" style="202"/>
    <col min="3263" max="3263" width="11.28515625" style="202" customWidth="1"/>
    <col min="3264" max="3264" width="27.140625" style="202" customWidth="1"/>
    <col min="3265" max="3265" width="13.7109375" style="202" customWidth="1"/>
    <col min="3266" max="3266" width="14.140625" style="202" customWidth="1"/>
    <col min="3267" max="3271" width="13.42578125" style="202" customWidth="1"/>
    <col min="3272" max="3272" width="9.140625" style="202"/>
    <col min="3273" max="3276" width="13.42578125" style="202" customWidth="1"/>
    <col min="3277" max="3277" width="9.140625" style="202"/>
    <col min="3278" max="3281" width="13.42578125" style="202" customWidth="1"/>
    <col min="3282" max="3282" width="9.140625" style="202"/>
    <col min="3283" max="3286" width="13.42578125" style="202" customWidth="1"/>
    <col min="3287" max="3287" width="9.140625" style="202"/>
    <col min="3288" max="3291" width="13.42578125" style="202" customWidth="1"/>
    <col min="3292" max="3518" width="9.140625" style="202"/>
    <col min="3519" max="3519" width="11.28515625" style="202" customWidth="1"/>
    <col min="3520" max="3520" width="27.140625" style="202" customWidth="1"/>
    <col min="3521" max="3521" width="13.7109375" style="202" customWidth="1"/>
    <col min="3522" max="3522" width="14.140625" style="202" customWidth="1"/>
    <col min="3523" max="3527" width="13.42578125" style="202" customWidth="1"/>
    <col min="3528" max="3528" width="9.140625" style="202"/>
    <col min="3529" max="3532" width="13.42578125" style="202" customWidth="1"/>
    <col min="3533" max="3533" width="9.140625" style="202"/>
    <col min="3534" max="3537" width="13.42578125" style="202" customWidth="1"/>
    <col min="3538" max="3538" width="9.140625" style="202"/>
    <col min="3539" max="3542" width="13.42578125" style="202" customWidth="1"/>
    <col min="3543" max="3543" width="9.140625" style="202"/>
    <col min="3544" max="3547" width="13.42578125" style="202" customWidth="1"/>
    <col min="3548" max="3774" width="9.140625" style="202"/>
    <col min="3775" max="3775" width="11.28515625" style="202" customWidth="1"/>
    <col min="3776" max="3776" width="27.140625" style="202" customWidth="1"/>
    <col min="3777" max="3777" width="13.7109375" style="202" customWidth="1"/>
    <col min="3778" max="3778" width="14.140625" style="202" customWidth="1"/>
    <col min="3779" max="3783" width="13.42578125" style="202" customWidth="1"/>
    <col min="3784" max="3784" width="9.140625" style="202"/>
    <col min="3785" max="3788" width="13.42578125" style="202" customWidth="1"/>
    <col min="3789" max="3789" width="9.140625" style="202"/>
    <col min="3790" max="3793" width="13.42578125" style="202" customWidth="1"/>
    <col min="3794" max="3794" width="9.140625" style="202"/>
    <col min="3795" max="3798" width="13.42578125" style="202" customWidth="1"/>
    <col min="3799" max="3799" width="9.140625" style="202"/>
    <col min="3800" max="3803" width="13.42578125" style="202" customWidth="1"/>
    <col min="3804" max="4030" width="9.140625" style="202"/>
    <col min="4031" max="4031" width="11.28515625" style="202" customWidth="1"/>
    <col min="4032" max="4032" width="27.140625" style="202" customWidth="1"/>
    <col min="4033" max="4033" width="13.7109375" style="202" customWidth="1"/>
    <col min="4034" max="4034" width="14.140625" style="202" customWidth="1"/>
    <col min="4035" max="4039" width="13.42578125" style="202" customWidth="1"/>
    <col min="4040" max="4040" width="9.140625" style="202"/>
    <col min="4041" max="4044" width="13.42578125" style="202" customWidth="1"/>
    <col min="4045" max="4045" width="9.140625" style="202"/>
    <col min="4046" max="4049" width="13.42578125" style="202" customWidth="1"/>
    <col min="4050" max="4050" width="9.140625" style="202"/>
    <col min="4051" max="4054" width="13.42578125" style="202" customWidth="1"/>
    <col min="4055" max="4055" width="9.140625" style="202"/>
    <col min="4056" max="4059" width="13.42578125" style="202" customWidth="1"/>
    <col min="4060" max="4286" width="9.140625" style="202"/>
    <col min="4287" max="4287" width="11.28515625" style="202" customWidth="1"/>
    <col min="4288" max="4288" width="27.140625" style="202" customWidth="1"/>
    <col min="4289" max="4289" width="13.7109375" style="202" customWidth="1"/>
    <col min="4290" max="4290" width="14.140625" style="202" customWidth="1"/>
    <col min="4291" max="4295" width="13.42578125" style="202" customWidth="1"/>
    <col min="4296" max="4296" width="9.140625" style="202"/>
    <col min="4297" max="4300" width="13.42578125" style="202" customWidth="1"/>
    <col min="4301" max="4301" width="9.140625" style="202"/>
    <col min="4302" max="4305" width="13.42578125" style="202" customWidth="1"/>
    <col min="4306" max="4306" width="9.140625" style="202"/>
    <col min="4307" max="4310" width="13.42578125" style="202" customWidth="1"/>
    <col min="4311" max="4311" width="9.140625" style="202"/>
    <col min="4312" max="4315" width="13.42578125" style="202" customWidth="1"/>
    <col min="4316" max="4542" width="9.140625" style="202"/>
    <col min="4543" max="4543" width="11.28515625" style="202" customWidth="1"/>
    <col min="4544" max="4544" width="27.140625" style="202" customWidth="1"/>
    <col min="4545" max="4545" width="13.7109375" style="202" customWidth="1"/>
    <col min="4546" max="4546" width="14.140625" style="202" customWidth="1"/>
    <col min="4547" max="4551" width="13.42578125" style="202" customWidth="1"/>
    <col min="4552" max="4552" width="9.140625" style="202"/>
    <col min="4553" max="4556" width="13.42578125" style="202" customWidth="1"/>
    <col min="4557" max="4557" width="9.140625" style="202"/>
    <col min="4558" max="4561" width="13.42578125" style="202" customWidth="1"/>
    <col min="4562" max="4562" width="9.140625" style="202"/>
    <col min="4563" max="4566" width="13.42578125" style="202" customWidth="1"/>
    <col min="4567" max="4567" width="9.140625" style="202"/>
    <col min="4568" max="4571" width="13.42578125" style="202" customWidth="1"/>
    <col min="4572" max="4798" width="9.140625" style="202"/>
    <col min="4799" max="4799" width="11.28515625" style="202" customWidth="1"/>
    <col min="4800" max="4800" width="27.140625" style="202" customWidth="1"/>
    <col min="4801" max="4801" width="13.7109375" style="202" customWidth="1"/>
    <col min="4802" max="4802" width="14.140625" style="202" customWidth="1"/>
    <col min="4803" max="4807" width="13.42578125" style="202" customWidth="1"/>
    <col min="4808" max="4808" width="9.140625" style="202"/>
    <col min="4809" max="4812" width="13.42578125" style="202" customWidth="1"/>
    <col min="4813" max="4813" width="9.140625" style="202"/>
    <col min="4814" max="4817" width="13.42578125" style="202" customWidth="1"/>
    <col min="4818" max="4818" width="9.140625" style="202"/>
    <col min="4819" max="4822" width="13.42578125" style="202" customWidth="1"/>
    <col min="4823" max="4823" width="9.140625" style="202"/>
    <col min="4824" max="4827" width="13.42578125" style="202" customWidth="1"/>
    <col min="4828" max="5054" width="9.140625" style="202"/>
    <col min="5055" max="5055" width="11.28515625" style="202" customWidth="1"/>
    <col min="5056" max="5056" width="27.140625" style="202" customWidth="1"/>
    <col min="5057" max="5057" width="13.7109375" style="202" customWidth="1"/>
    <col min="5058" max="5058" width="14.140625" style="202" customWidth="1"/>
    <col min="5059" max="5063" width="13.42578125" style="202" customWidth="1"/>
    <col min="5064" max="5064" width="9.140625" style="202"/>
    <col min="5065" max="5068" width="13.42578125" style="202" customWidth="1"/>
    <col min="5069" max="5069" width="9.140625" style="202"/>
    <col min="5070" max="5073" width="13.42578125" style="202" customWidth="1"/>
    <col min="5074" max="5074" width="9.140625" style="202"/>
    <col min="5075" max="5078" width="13.42578125" style="202" customWidth="1"/>
    <col min="5079" max="5079" width="9.140625" style="202"/>
    <col min="5080" max="5083" width="13.42578125" style="202" customWidth="1"/>
    <col min="5084" max="5310" width="9.140625" style="202"/>
    <col min="5311" max="5311" width="11.28515625" style="202" customWidth="1"/>
    <col min="5312" max="5312" width="27.140625" style="202" customWidth="1"/>
    <col min="5313" max="5313" width="13.7109375" style="202" customWidth="1"/>
    <col min="5314" max="5314" width="14.140625" style="202" customWidth="1"/>
    <col min="5315" max="5319" width="13.42578125" style="202" customWidth="1"/>
    <col min="5320" max="5320" width="9.140625" style="202"/>
    <col min="5321" max="5324" width="13.42578125" style="202" customWidth="1"/>
    <col min="5325" max="5325" width="9.140625" style="202"/>
    <col min="5326" max="5329" width="13.42578125" style="202" customWidth="1"/>
    <col min="5330" max="5330" width="9.140625" style="202"/>
    <col min="5331" max="5334" width="13.42578125" style="202" customWidth="1"/>
    <col min="5335" max="5335" width="9.140625" style="202"/>
    <col min="5336" max="5339" width="13.42578125" style="202" customWidth="1"/>
    <col min="5340" max="5566" width="9.140625" style="202"/>
    <col min="5567" max="5567" width="11.28515625" style="202" customWidth="1"/>
    <col min="5568" max="5568" width="27.140625" style="202" customWidth="1"/>
    <col min="5569" max="5569" width="13.7109375" style="202" customWidth="1"/>
    <col min="5570" max="5570" width="14.140625" style="202" customWidth="1"/>
    <col min="5571" max="5575" width="13.42578125" style="202" customWidth="1"/>
    <col min="5576" max="5576" width="9.140625" style="202"/>
    <col min="5577" max="5580" width="13.42578125" style="202" customWidth="1"/>
    <col min="5581" max="5581" width="9.140625" style="202"/>
    <col min="5582" max="5585" width="13.42578125" style="202" customWidth="1"/>
    <col min="5586" max="5586" width="9.140625" style="202"/>
    <col min="5587" max="5590" width="13.42578125" style="202" customWidth="1"/>
    <col min="5591" max="5591" width="9.140625" style="202"/>
    <col min="5592" max="5595" width="13.42578125" style="202" customWidth="1"/>
    <col min="5596" max="5822" width="9.140625" style="202"/>
    <col min="5823" max="5823" width="11.28515625" style="202" customWidth="1"/>
    <col min="5824" max="5824" width="27.140625" style="202" customWidth="1"/>
    <col min="5825" max="5825" width="13.7109375" style="202" customWidth="1"/>
    <col min="5826" max="5826" width="14.140625" style="202" customWidth="1"/>
    <col min="5827" max="5831" width="13.42578125" style="202" customWidth="1"/>
    <col min="5832" max="5832" width="9.140625" style="202"/>
    <col min="5833" max="5836" width="13.42578125" style="202" customWidth="1"/>
    <col min="5837" max="5837" width="9.140625" style="202"/>
    <col min="5838" max="5841" width="13.42578125" style="202" customWidth="1"/>
    <col min="5842" max="5842" width="9.140625" style="202"/>
    <col min="5843" max="5846" width="13.42578125" style="202" customWidth="1"/>
    <col min="5847" max="5847" width="9.140625" style="202"/>
    <col min="5848" max="5851" width="13.42578125" style="202" customWidth="1"/>
    <col min="5852" max="6078" width="9.140625" style="202"/>
    <col min="6079" max="6079" width="11.28515625" style="202" customWidth="1"/>
    <col min="6080" max="6080" width="27.140625" style="202" customWidth="1"/>
    <col min="6081" max="6081" width="13.7109375" style="202" customWidth="1"/>
    <col min="6082" max="6082" width="14.140625" style="202" customWidth="1"/>
    <col min="6083" max="6087" width="13.42578125" style="202" customWidth="1"/>
    <col min="6088" max="6088" width="9.140625" style="202"/>
    <col min="6089" max="6092" width="13.42578125" style="202" customWidth="1"/>
    <col min="6093" max="6093" width="9.140625" style="202"/>
    <col min="6094" max="6097" width="13.42578125" style="202" customWidth="1"/>
    <col min="6098" max="6098" width="9.140625" style="202"/>
    <col min="6099" max="6102" width="13.42578125" style="202" customWidth="1"/>
    <col min="6103" max="6103" width="9.140625" style="202"/>
    <col min="6104" max="6107" width="13.42578125" style="202" customWidth="1"/>
    <col min="6108" max="6334" width="9.140625" style="202"/>
    <col min="6335" max="6335" width="11.28515625" style="202" customWidth="1"/>
    <col min="6336" max="6336" width="27.140625" style="202" customWidth="1"/>
    <col min="6337" max="6337" width="13.7109375" style="202" customWidth="1"/>
    <col min="6338" max="6338" width="14.140625" style="202" customWidth="1"/>
    <col min="6339" max="6343" width="13.42578125" style="202" customWidth="1"/>
    <col min="6344" max="6344" width="9.140625" style="202"/>
    <col min="6345" max="6348" width="13.42578125" style="202" customWidth="1"/>
    <col min="6349" max="6349" width="9.140625" style="202"/>
    <col min="6350" max="6353" width="13.42578125" style="202" customWidth="1"/>
    <col min="6354" max="6354" width="9.140625" style="202"/>
    <col min="6355" max="6358" width="13.42578125" style="202" customWidth="1"/>
    <col min="6359" max="6359" width="9.140625" style="202"/>
    <col min="6360" max="6363" width="13.42578125" style="202" customWidth="1"/>
    <col min="6364" max="6590" width="9.140625" style="202"/>
    <col min="6591" max="6591" width="11.28515625" style="202" customWidth="1"/>
    <col min="6592" max="6592" width="27.140625" style="202" customWidth="1"/>
    <col min="6593" max="6593" width="13.7109375" style="202" customWidth="1"/>
    <col min="6594" max="6594" width="14.140625" style="202" customWidth="1"/>
    <col min="6595" max="6599" width="13.42578125" style="202" customWidth="1"/>
    <col min="6600" max="6600" width="9.140625" style="202"/>
    <col min="6601" max="6604" width="13.42578125" style="202" customWidth="1"/>
    <col min="6605" max="6605" width="9.140625" style="202"/>
    <col min="6606" max="6609" width="13.42578125" style="202" customWidth="1"/>
    <col min="6610" max="6610" width="9.140625" style="202"/>
    <col min="6611" max="6614" width="13.42578125" style="202" customWidth="1"/>
    <col min="6615" max="6615" width="9.140625" style="202"/>
    <col min="6616" max="6619" width="13.42578125" style="202" customWidth="1"/>
    <col min="6620" max="6846" width="9.140625" style="202"/>
    <col min="6847" max="6847" width="11.28515625" style="202" customWidth="1"/>
    <col min="6848" max="6848" width="27.140625" style="202" customWidth="1"/>
    <col min="6849" max="6849" width="13.7109375" style="202" customWidth="1"/>
    <col min="6850" max="6850" width="14.140625" style="202" customWidth="1"/>
    <col min="6851" max="6855" width="13.42578125" style="202" customWidth="1"/>
    <col min="6856" max="6856" width="9.140625" style="202"/>
    <col min="6857" max="6860" width="13.42578125" style="202" customWidth="1"/>
    <col min="6861" max="6861" width="9.140625" style="202"/>
    <col min="6862" max="6865" width="13.42578125" style="202" customWidth="1"/>
    <col min="6866" max="6866" width="9.140625" style="202"/>
    <col min="6867" max="6870" width="13.42578125" style="202" customWidth="1"/>
    <col min="6871" max="6871" width="9.140625" style="202"/>
    <col min="6872" max="6875" width="13.42578125" style="202" customWidth="1"/>
    <col min="6876" max="7102" width="9.140625" style="202"/>
    <col min="7103" max="7103" width="11.28515625" style="202" customWidth="1"/>
    <col min="7104" max="7104" width="27.140625" style="202" customWidth="1"/>
    <col min="7105" max="7105" width="13.7109375" style="202" customWidth="1"/>
    <col min="7106" max="7106" width="14.140625" style="202" customWidth="1"/>
    <col min="7107" max="7111" width="13.42578125" style="202" customWidth="1"/>
    <col min="7112" max="7112" width="9.140625" style="202"/>
    <col min="7113" max="7116" width="13.42578125" style="202" customWidth="1"/>
    <col min="7117" max="7117" width="9.140625" style="202"/>
    <col min="7118" max="7121" width="13.42578125" style="202" customWidth="1"/>
    <col min="7122" max="7122" width="9.140625" style="202"/>
    <col min="7123" max="7126" width="13.42578125" style="202" customWidth="1"/>
    <col min="7127" max="7127" width="9.140625" style="202"/>
    <col min="7128" max="7131" width="13.42578125" style="202" customWidth="1"/>
    <col min="7132" max="7358" width="9.140625" style="202"/>
    <col min="7359" max="7359" width="11.28515625" style="202" customWidth="1"/>
    <col min="7360" max="7360" width="27.140625" style="202" customWidth="1"/>
    <col min="7361" max="7361" width="13.7109375" style="202" customWidth="1"/>
    <col min="7362" max="7362" width="14.140625" style="202" customWidth="1"/>
    <col min="7363" max="7367" width="13.42578125" style="202" customWidth="1"/>
    <col min="7368" max="7368" width="9.140625" style="202"/>
    <col min="7369" max="7372" width="13.42578125" style="202" customWidth="1"/>
    <col min="7373" max="7373" width="9.140625" style="202"/>
    <col min="7374" max="7377" width="13.42578125" style="202" customWidth="1"/>
    <col min="7378" max="7378" width="9.140625" style="202"/>
    <col min="7379" max="7382" width="13.42578125" style="202" customWidth="1"/>
    <col min="7383" max="7383" width="9.140625" style="202"/>
    <col min="7384" max="7387" width="13.42578125" style="202" customWidth="1"/>
    <col min="7388" max="7614" width="9.140625" style="202"/>
    <col min="7615" max="7615" width="11.28515625" style="202" customWidth="1"/>
    <col min="7616" max="7616" width="27.140625" style="202" customWidth="1"/>
    <col min="7617" max="7617" width="13.7109375" style="202" customWidth="1"/>
    <col min="7618" max="7618" width="14.140625" style="202" customWidth="1"/>
    <col min="7619" max="7623" width="13.42578125" style="202" customWidth="1"/>
    <col min="7624" max="7624" width="9.140625" style="202"/>
    <col min="7625" max="7628" width="13.42578125" style="202" customWidth="1"/>
    <col min="7629" max="7629" width="9.140625" style="202"/>
    <col min="7630" max="7633" width="13.42578125" style="202" customWidth="1"/>
    <col min="7634" max="7634" width="9.140625" style="202"/>
    <col min="7635" max="7638" width="13.42578125" style="202" customWidth="1"/>
    <col min="7639" max="7639" width="9.140625" style="202"/>
    <col min="7640" max="7643" width="13.42578125" style="202" customWidth="1"/>
    <col min="7644" max="7870" width="9.140625" style="202"/>
    <col min="7871" max="7871" width="11.28515625" style="202" customWidth="1"/>
    <col min="7872" max="7872" width="27.140625" style="202" customWidth="1"/>
    <col min="7873" max="7873" width="13.7109375" style="202" customWidth="1"/>
    <col min="7874" max="7874" width="14.140625" style="202" customWidth="1"/>
    <col min="7875" max="7879" width="13.42578125" style="202" customWidth="1"/>
    <col min="7880" max="7880" width="9.140625" style="202"/>
    <col min="7881" max="7884" width="13.42578125" style="202" customWidth="1"/>
    <col min="7885" max="7885" width="9.140625" style="202"/>
    <col min="7886" max="7889" width="13.42578125" style="202" customWidth="1"/>
    <col min="7890" max="7890" width="9.140625" style="202"/>
    <col min="7891" max="7894" width="13.42578125" style="202" customWidth="1"/>
    <col min="7895" max="7895" width="9.140625" style="202"/>
    <col min="7896" max="7899" width="13.42578125" style="202" customWidth="1"/>
    <col min="7900" max="8126" width="9.140625" style="202"/>
    <col min="8127" max="8127" width="11.28515625" style="202" customWidth="1"/>
    <col min="8128" max="8128" width="27.140625" style="202" customWidth="1"/>
    <col min="8129" max="8129" width="13.7109375" style="202" customWidth="1"/>
    <col min="8130" max="8130" width="14.140625" style="202" customWidth="1"/>
    <col min="8131" max="8135" width="13.42578125" style="202" customWidth="1"/>
    <col min="8136" max="8136" width="9.140625" style="202"/>
    <col min="8137" max="8140" width="13.42578125" style="202" customWidth="1"/>
    <col min="8141" max="8141" width="9.140625" style="202"/>
    <col min="8142" max="8145" width="13.42578125" style="202" customWidth="1"/>
    <col min="8146" max="8146" width="9.140625" style="202"/>
    <col min="8147" max="8150" width="13.42578125" style="202" customWidth="1"/>
    <col min="8151" max="8151" width="9.140625" style="202"/>
    <col min="8152" max="8155" width="13.42578125" style="202" customWidth="1"/>
    <col min="8156" max="8382" width="9.140625" style="202"/>
    <col min="8383" max="8383" width="11.28515625" style="202" customWidth="1"/>
    <col min="8384" max="8384" width="27.140625" style="202" customWidth="1"/>
    <col min="8385" max="8385" width="13.7109375" style="202" customWidth="1"/>
    <col min="8386" max="8386" width="14.140625" style="202" customWidth="1"/>
    <col min="8387" max="8391" width="13.42578125" style="202" customWidth="1"/>
    <col min="8392" max="8392" width="9.140625" style="202"/>
    <col min="8393" max="8396" width="13.42578125" style="202" customWidth="1"/>
    <col min="8397" max="8397" width="9.140625" style="202"/>
    <col min="8398" max="8401" width="13.42578125" style="202" customWidth="1"/>
    <col min="8402" max="8402" width="9.140625" style="202"/>
    <col min="8403" max="8406" width="13.42578125" style="202" customWidth="1"/>
    <col min="8407" max="8407" width="9.140625" style="202"/>
    <col min="8408" max="8411" width="13.42578125" style="202" customWidth="1"/>
    <col min="8412" max="8638" width="9.140625" style="202"/>
    <col min="8639" max="8639" width="11.28515625" style="202" customWidth="1"/>
    <col min="8640" max="8640" width="27.140625" style="202" customWidth="1"/>
    <col min="8641" max="8641" width="13.7109375" style="202" customWidth="1"/>
    <col min="8642" max="8642" width="14.140625" style="202" customWidth="1"/>
    <col min="8643" max="8647" width="13.42578125" style="202" customWidth="1"/>
    <col min="8648" max="8648" width="9.140625" style="202"/>
    <col min="8649" max="8652" width="13.42578125" style="202" customWidth="1"/>
    <col min="8653" max="8653" width="9.140625" style="202"/>
    <col min="8654" max="8657" width="13.42578125" style="202" customWidth="1"/>
    <col min="8658" max="8658" width="9.140625" style="202"/>
    <col min="8659" max="8662" width="13.42578125" style="202" customWidth="1"/>
    <col min="8663" max="8663" width="9.140625" style="202"/>
    <col min="8664" max="8667" width="13.42578125" style="202" customWidth="1"/>
    <col min="8668" max="8894" width="9.140625" style="202"/>
    <col min="8895" max="8895" width="11.28515625" style="202" customWidth="1"/>
    <col min="8896" max="8896" width="27.140625" style="202" customWidth="1"/>
    <col min="8897" max="8897" width="13.7109375" style="202" customWidth="1"/>
    <col min="8898" max="8898" width="14.140625" style="202" customWidth="1"/>
    <col min="8899" max="8903" width="13.42578125" style="202" customWidth="1"/>
    <col min="8904" max="8904" width="9.140625" style="202"/>
    <col min="8905" max="8908" width="13.42578125" style="202" customWidth="1"/>
    <col min="8909" max="8909" width="9.140625" style="202"/>
    <col min="8910" max="8913" width="13.42578125" style="202" customWidth="1"/>
    <col min="8914" max="8914" width="9.140625" style="202"/>
    <col min="8915" max="8918" width="13.42578125" style="202" customWidth="1"/>
    <col min="8919" max="8919" width="9.140625" style="202"/>
    <col min="8920" max="8923" width="13.42578125" style="202" customWidth="1"/>
    <col min="8924" max="9150" width="9.140625" style="202"/>
    <col min="9151" max="9151" width="11.28515625" style="202" customWidth="1"/>
    <col min="9152" max="9152" width="27.140625" style="202" customWidth="1"/>
    <col min="9153" max="9153" width="13.7109375" style="202" customWidth="1"/>
    <col min="9154" max="9154" width="14.140625" style="202" customWidth="1"/>
    <col min="9155" max="9159" width="13.42578125" style="202" customWidth="1"/>
    <col min="9160" max="9160" width="9.140625" style="202"/>
    <col min="9161" max="9164" width="13.42578125" style="202" customWidth="1"/>
    <col min="9165" max="9165" width="9.140625" style="202"/>
    <col min="9166" max="9169" width="13.42578125" style="202" customWidth="1"/>
    <col min="9170" max="9170" width="9.140625" style="202"/>
    <col min="9171" max="9174" width="13.42578125" style="202" customWidth="1"/>
    <col min="9175" max="9175" width="9.140625" style="202"/>
    <col min="9176" max="9179" width="13.42578125" style="202" customWidth="1"/>
    <col min="9180" max="9406" width="9.140625" style="202"/>
    <col min="9407" max="9407" width="11.28515625" style="202" customWidth="1"/>
    <col min="9408" max="9408" width="27.140625" style="202" customWidth="1"/>
    <col min="9409" max="9409" width="13.7109375" style="202" customWidth="1"/>
    <col min="9410" max="9410" width="14.140625" style="202" customWidth="1"/>
    <col min="9411" max="9415" width="13.42578125" style="202" customWidth="1"/>
    <col min="9416" max="9416" width="9.140625" style="202"/>
    <col min="9417" max="9420" width="13.42578125" style="202" customWidth="1"/>
    <col min="9421" max="9421" width="9.140625" style="202"/>
    <col min="9422" max="9425" width="13.42578125" style="202" customWidth="1"/>
    <col min="9426" max="9426" width="9.140625" style="202"/>
    <col min="9427" max="9430" width="13.42578125" style="202" customWidth="1"/>
    <col min="9431" max="9431" width="9.140625" style="202"/>
    <col min="9432" max="9435" width="13.42578125" style="202" customWidth="1"/>
    <col min="9436" max="9662" width="9.140625" style="202"/>
    <col min="9663" max="9663" width="11.28515625" style="202" customWidth="1"/>
    <col min="9664" max="9664" width="27.140625" style="202" customWidth="1"/>
    <col min="9665" max="9665" width="13.7109375" style="202" customWidth="1"/>
    <col min="9666" max="9666" width="14.140625" style="202" customWidth="1"/>
    <col min="9667" max="9671" width="13.42578125" style="202" customWidth="1"/>
    <col min="9672" max="9672" width="9.140625" style="202"/>
    <col min="9673" max="9676" width="13.42578125" style="202" customWidth="1"/>
    <col min="9677" max="9677" width="9.140625" style="202"/>
    <col min="9678" max="9681" width="13.42578125" style="202" customWidth="1"/>
    <col min="9682" max="9682" width="9.140625" style="202"/>
    <col min="9683" max="9686" width="13.42578125" style="202" customWidth="1"/>
    <col min="9687" max="9687" width="9.140625" style="202"/>
    <col min="9688" max="9691" width="13.42578125" style="202" customWidth="1"/>
    <col min="9692" max="9918" width="9.140625" style="202"/>
    <col min="9919" max="9919" width="11.28515625" style="202" customWidth="1"/>
    <col min="9920" max="9920" width="27.140625" style="202" customWidth="1"/>
    <col min="9921" max="9921" width="13.7109375" style="202" customWidth="1"/>
    <col min="9922" max="9922" width="14.140625" style="202" customWidth="1"/>
    <col min="9923" max="9927" width="13.42578125" style="202" customWidth="1"/>
    <col min="9928" max="9928" width="9.140625" style="202"/>
    <col min="9929" max="9932" width="13.42578125" style="202" customWidth="1"/>
    <col min="9933" max="9933" width="9.140625" style="202"/>
    <col min="9934" max="9937" width="13.42578125" style="202" customWidth="1"/>
    <col min="9938" max="9938" width="9.140625" style="202"/>
    <col min="9939" max="9942" width="13.42578125" style="202" customWidth="1"/>
    <col min="9943" max="9943" width="9.140625" style="202"/>
    <col min="9944" max="9947" width="13.42578125" style="202" customWidth="1"/>
    <col min="9948" max="10174" width="9.140625" style="202"/>
    <col min="10175" max="10175" width="11.28515625" style="202" customWidth="1"/>
    <col min="10176" max="10176" width="27.140625" style="202" customWidth="1"/>
    <col min="10177" max="10177" width="13.7109375" style="202" customWidth="1"/>
    <col min="10178" max="10178" width="14.140625" style="202" customWidth="1"/>
    <col min="10179" max="10183" width="13.42578125" style="202" customWidth="1"/>
    <col min="10184" max="10184" width="9.140625" style="202"/>
    <col min="10185" max="10188" width="13.42578125" style="202" customWidth="1"/>
    <col min="10189" max="10189" width="9.140625" style="202"/>
    <col min="10190" max="10193" width="13.42578125" style="202" customWidth="1"/>
    <col min="10194" max="10194" width="9.140625" style="202"/>
    <col min="10195" max="10198" width="13.42578125" style="202" customWidth="1"/>
    <col min="10199" max="10199" width="9.140625" style="202"/>
    <col min="10200" max="10203" width="13.42578125" style="202" customWidth="1"/>
    <col min="10204" max="10430" width="9.140625" style="202"/>
    <col min="10431" max="10431" width="11.28515625" style="202" customWidth="1"/>
    <col min="10432" max="10432" width="27.140625" style="202" customWidth="1"/>
    <col min="10433" max="10433" width="13.7109375" style="202" customWidth="1"/>
    <col min="10434" max="10434" width="14.140625" style="202" customWidth="1"/>
    <col min="10435" max="10439" width="13.42578125" style="202" customWidth="1"/>
    <col min="10440" max="10440" width="9.140625" style="202"/>
    <col min="10441" max="10444" width="13.42578125" style="202" customWidth="1"/>
    <col min="10445" max="10445" width="9.140625" style="202"/>
    <col min="10446" max="10449" width="13.42578125" style="202" customWidth="1"/>
    <col min="10450" max="10450" width="9.140625" style="202"/>
    <col min="10451" max="10454" width="13.42578125" style="202" customWidth="1"/>
    <col min="10455" max="10455" width="9.140625" style="202"/>
    <col min="10456" max="10459" width="13.42578125" style="202" customWidth="1"/>
    <col min="10460" max="10686" width="9.140625" style="202"/>
    <col min="10687" max="10687" width="11.28515625" style="202" customWidth="1"/>
    <col min="10688" max="10688" width="27.140625" style="202" customWidth="1"/>
    <col min="10689" max="10689" width="13.7109375" style="202" customWidth="1"/>
    <col min="10690" max="10690" width="14.140625" style="202" customWidth="1"/>
    <col min="10691" max="10695" width="13.42578125" style="202" customWidth="1"/>
    <col min="10696" max="10696" width="9.140625" style="202"/>
    <col min="10697" max="10700" width="13.42578125" style="202" customWidth="1"/>
    <col min="10701" max="10701" width="9.140625" style="202"/>
    <col min="10702" max="10705" width="13.42578125" style="202" customWidth="1"/>
    <col min="10706" max="10706" width="9.140625" style="202"/>
    <col min="10707" max="10710" width="13.42578125" style="202" customWidth="1"/>
    <col min="10711" max="10711" width="9.140625" style="202"/>
    <col min="10712" max="10715" width="13.42578125" style="202" customWidth="1"/>
    <col min="10716" max="10942" width="9.140625" style="202"/>
    <col min="10943" max="10943" width="11.28515625" style="202" customWidth="1"/>
    <col min="10944" max="10944" width="27.140625" style="202" customWidth="1"/>
    <col min="10945" max="10945" width="13.7109375" style="202" customWidth="1"/>
    <col min="10946" max="10946" width="14.140625" style="202" customWidth="1"/>
    <col min="10947" max="10951" width="13.42578125" style="202" customWidth="1"/>
    <col min="10952" max="10952" width="9.140625" style="202"/>
    <col min="10953" max="10956" width="13.42578125" style="202" customWidth="1"/>
    <col min="10957" max="10957" width="9.140625" style="202"/>
    <col min="10958" max="10961" width="13.42578125" style="202" customWidth="1"/>
    <col min="10962" max="10962" width="9.140625" style="202"/>
    <col min="10963" max="10966" width="13.42578125" style="202" customWidth="1"/>
    <col min="10967" max="10967" width="9.140625" style="202"/>
    <col min="10968" max="10971" width="13.42578125" style="202" customWidth="1"/>
    <col min="10972" max="11198" width="9.140625" style="202"/>
    <col min="11199" max="11199" width="11.28515625" style="202" customWidth="1"/>
    <col min="11200" max="11200" width="27.140625" style="202" customWidth="1"/>
    <col min="11201" max="11201" width="13.7109375" style="202" customWidth="1"/>
    <col min="11202" max="11202" width="14.140625" style="202" customWidth="1"/>
    <col min="11203" max="11207" width="13.42578125" style="202" customWidth="1"/>
    <col min="11208" max="11208" width="9.140625" style="202"/>
    <col min="11209" max="11212" width="13.42578125" style="202" customWidth="1"/>
    <col min="11213" max="11213" width="9.140625" style="202"/>
    <col min="11214" max="11217" width="13.42578125" style="202" customWidth="1"/>
    <col min="11218" max="11218" width="9.140625" style="202"/>
    <col min="11219" max="11222" width="13.42578125" style="202" customWidth="1"/>
    <col min="11223" max="11223" width="9.140625" style="202"/>
    <col min="11224" max="11227" width="13.42578125" style="202" customWidth="1"/>
    <col min="11228" max="11454" width="9.140625" style="202"/>
    <col min="11455" max="11455" width="11.28515625" style="202" customWidth="1"/>
    <col min="11456" max="11456" width="27.140625" style="202" customWidth="1"/>
    <col min="11457" max="11457" width="13.7109375" style="202" customWidth="1"/>
    <col min="11458" max="11458" width="14.140625" style="202" customWidth="1"/>
    <col min="11459" max="11463" width="13.42578125" style="202" customWidth="1"/>
    <col min="11464" max="11464" width="9.140625" style="202"/>
    <col min="11465" max="11468" width="13.42578125" style="202" customWidth="1"/>
    <col min="11469" max="11469" width="9.140625" style="202"/>
    <col min="11470" max="11473" width="13.42578125" style="202" customWidth="1"/>
    <col min="11474" max="11474" width="9.140625" style="202"/>
    <col min="11475" max="11478" width="13.42578125" style="202" customWidth="1"/>
    <col min="11479" max="11479" width="9.140625" style="202"/>
    <col min="11480" max="11483" width="13.42578125" style="202" customWidth="1"/>
    <col min="11484" max="11710" width="9.140625" style="202"/>
    <col min="11711" max="11711" width="11.28515625" style="202" customWidth="1"/>
    <col min="11712" max="11712" width="27.140625" style="202" customWidth="1"/>
    <col min="11713" max="11713" width="13.7109375" style="202" customWidth="1"/>
    <col min="11714" max="11714" width="14.140625" style="202" customWidth="1"/>
    <col min="11715" max="11719" width="13.42578125" style="202" customWidth="1"/>
    <col min="11720" max="11720" width="9.140625" style="202"/>
    <col min="11721" max="11724" width="13.42578125" style="202" customWidth="1"/>
    <col min="11725" max="11725" width="9.140625" style="202"/>
    <col min="11726" max="11729" width="13.42578125" style="202" customWidth="1"/>
    <col min="11730" max="11730" width="9.140625" style="202"/>
    <col min="11731" max="11734" width="13.42578125" style="202" customWidth="1"/>
    <col min="11735" max="11735" width="9.140625" style="202"/>
    <col min="11736" max="11739" width="13.42578125" style="202" customWidth="1"/>
    <col min="11740" max="11966" width="9.140625" style="202"/>
    <col min="11967" max="11967" width="11.28515625" style="202" customWidth="1"/>
    <col min="11968" max="11968" width="27.140625" style="202" customWidth="1"/>
    <col min="11969" max="11969" width="13.7109375" style="202" customWidth="1"/>
    <col min="11970" max="11970" width="14.140625" style="202" customWidth="1"/>
    <col min="11971" max="11975" width="13.42578125" style="202" customWidth="1"/>
    <col min="11976" max="11976" width="9.140625" style="202"/>
    <col min="11977" max="11980" width="13.42578125" style="202" customWidth="1"/>
    <col min="11981" max="11981" width="9.140625" style="202"/>
    <col min="11982" max="11985" width="13.42578125" style="202" customWidth="1"/>
    <col min="11986" max="11986" width="9.140625" style="202"/>
    <col min="11987" max="11990" width="13.42578125" style="202" customWidth="1"/>
    <col min="11991" max="11991" width="9.140625" style="202"/>
    <col min="11992" max="11995" width="13.42578125" style="202" customWidth="1"/>
    <col min="11996" max="12222" width="9.140625" style="202"/>
    <col min="12223" max="12223" width="11.28515625" style="202" customWidth="1"/>
    <col min="12224" max="12224" width="27.140625" style="202" customWidth="1"/>
    <col min="12225" max="12225" width="13.7109375" style="202" customWidth="1"/>
    <col min="12226" max="12226" width="14.140625" style="202" customWidth="1"/>
    <col min="12227" max="12231" width="13.42578125" style="202" customWidth="1"/>
    <col min="12232" max="12232" width="9.140625" style="202"/>
    <col min="12233" max="12236" width="13.42578125" style="202" customWidth="1"/>
    <col min="12237" max="12237" width="9.140625" style="202"/>
    <col min="12238" max="12241" width="13.42578125" style="202" customWidth="1"/>
    <col min="12242" max="12242" width="9.140625" style="202"/>
    <col min="12243" max="12246" width="13.42578125" style="202" customWidth="1"/>
    <col min="12247" max="12247" width="9.140625" style="202"/>
    <col min="12248" max="12251" width="13.42578125" style="202" customWidth="1"/>
    <col min="12252" max="12478" width="9.140625" style="202"/>
    <col min="12479" max="12479" width="11.28515625" style="202" customWidth="1"/>
    <col min="12480" max="12480" width="27.140625" style="202" customWidth="1"/>
    <col min="12481" max="12481" width="13.7109375" style="202" customWidth="1"/>
    <col min="12482" max="12482" width="14.140625" style="202" customWidth="1"/>
    <col min="12483" max="12487" width="13.42578125" style="202" customWidth="1"/>
    <col min="12488" max="12488" width="9.140625" style="202"/>
    <col min="12489" max="12492" width="13.42578125" style="202" customWidth="1"/>
    <col min="12493" max="12493" width="9.140625" style="202"/>
    <col min="12494" max="12497" width="13.42578125" style="202" customWidth="1"/>
    <col min="12498" max="12498" width="9.140625" style="202"/>
    <col min="12499" max="12502" width="13.42578125" style="202" customWidth="1"/>
    <col min="12503" max="12503" width="9.140625" style="202"/>
    <col min="12504" max="12507" width="13.42578125" style="202" customWidth="1"/>
    <col min="12508" max="12734" width="9.140625" style="202"/>
    <col min="12735" max="12735" width="11.28515625" style="202" customWidth="1"/>
    <col min="12736" max="12736" width="27.140625" style="202" customWidth="1"/>
    <col min="12737" max="12737" width="13.7109375" style="202" customWidth="1"/>
    <col min="12738" max="12738" width="14.140625" style="202" customWidth="1"/>
    <col min="12739" max="12743" width="13.42578125" style="202" customWidth="1"/>
    <col min="12744" max="12744" width="9.140625" style="202"/>
    <col min="12745" max="12748" width="13.42578125" style="202" customWidth="1"/>
    <col min="12749" max="12749" width="9.140625" style="202"/>
    <col min="12750" max="12753" width="13.42578125" style="202" customWidth="1"/>
    <col min="12754" max="12754" width="9.140625" style="202"/>
    <col min="12755" max="12758" width="13.42578125" style="202" customWidth="1"/>
    <col min="12759" max="12759" width="9.140625" style="202"/>
    <col min="12760" max="12763" width="13.42578125" style="202" customWidth="1"/>
    <col min="12764" max="12990" width="9.140625" style="202"/>
    <col min="12991" max="12991" width="11.28515625" style="202" customWidth="1"/>
    <col min="12992" max="12992" width="27.140625" style="202" customWidth="1"/>
    <col min="12993" max="12993" width="13.7109375" style="202" customWidth="1"/>
    <col min="12994" max="12994" width="14.140625" style="202" customWidth="1"/>
    <col min="12995" max="12999" width="13.42578125" style="202" customWidth="1"/>
    <col min="13000" max="13000" width="9.140625" style="202"/>
    <col min="13001" max="13004" width="13.42578125" style="202" customWidth="1"/>
    <col min="13005" max="13005" width="9.140625" style="202"/>
    <col min="13006" max="13009" width="13.42578125" style="202" customWidth="1"/>
    <col min="13010" max="13010" width="9.140625" style="202"/>
    <col min="13011" max="13014" width="13.42578125" style="202" customWidth="1"/>
    <col min="13015" max="13015" width="9.140625" style="202"/>
    <col min="13016" max="13019" width="13.42578125" style="202" customWidth="1"/>
    <col min="13020" max="13246" width="9.140625" style="202"/>
    <col min="13247" max="13247" width="11.28515625" style="202" customWidth="1"/>
    <col min="13248" max="13248" width="27.140625" style="202" customWidth="1"/>
    <col min="13249" max="13249" width="13.7109375" style="202" customWidth="1"/>
    <col min="13250" max="13250" width="14.140625" style="202" customWidth="1"/>
    <col min="13251" max="13255" width="13.42578125" style="202" customWidth="1"/>
    <col min="13256" max="13256" width="9.140625" style="202"/>
    <col min="13257" max="13260" width="13.42578125" style="202" customWidth="1"/>
    <col min="13261" max="13261" width="9.140625" style="202"/>
    <col min="13262" max="13265" width="13.42578125" style="202" customWidth="1"/>
    <col min="13266" max="13266" width="9.140625" style="202"/>
    <col min="13267" max="13270" width="13.42578125" style="202" customWidth="1"/>
    <col min="13271" max="13271" width="9.140625" style="202"/>
    <col min="13272" max="13275" width="13.42578125" style="202" customWidth="1"/>
    <col min="13276" max="13502" width="9.140625" style="202"/>
    <col min="13503" max="13503" width="11.28515625" style="202" customWidth="1"/>
    <col min="13504" max="13504" width="27.140625" style="202" customWidth="1"/>
    <col min="13505" max="13505" width="13.7109375" style="202" customWidth="1"/>
    <col min="13506" max="13506" width="14.140625" style="202" customWidth="1"/>
    <col min="13507" max="13511" width="13.42578125" style="202" customWidth="1"/>
    <col min="13512" max="13512" width="9.140625" style="202"/>
    <col min="13513" max="13516" width="13.42578125" style="202" customWidth="1"/>
    <col min="13517" max="13517" width="9.140625" style="202"/>
    <col min="13518" max="13521" width="13.42578125" style="202" customWidth="1"/>
    <col min="13522" max="13522" width="9.140625" style="202"/>
    <col min="13523" max="13526" width="13.42578125" style="202" customWidth="1"/>
    <col min="13527" max="13527" width="9.140625" style="202"/>
    <col min="13528" max="13531" width="13.42578125" style="202" customWidth="1"/>
    <col min="13532" max="13758" width="9.140625" style="202"/>
    <col min="13759" max="13759" width="11.28515625" style="202" customWidth="1"/>
    <col min="13760" max="13760" width="27.140625" style="202" customWidth="1"/>
    <col min="13761" max="13761" width="13.7109375" style="202" customWidth="1"/>
    <col min="13762" max="13762" width="14.140625" style="202" customWidth="1"/>
    <col min="13763" max="13767" width="13.42578125" style="202" customWidth="1"/>
    <col min="13768" max="13768" width="9.140625" style="202"/>
    <col min="13769" max="13772" width="13.42578125" style="202" customWidth="1"/>
    <col min="13773" max="13773" width="9.140625" style="202"/>
    <col min="13774" max="13777" width="13.42578125" style="202" customWidth="1"/>
    <col min="13778" max="13778" width="9.140625" style="202"/>
    <col min="13779" max="13782" width="13.42578125" style="202" customWidth="1"/>
    <col min="13783" max="13783" width="9.140625" style="202"/>
    <col min="13784" max="13787" width="13.42578125" style="202" customWidth="1"/>
    <col min="13788" max="14014" width="9.140625" style="202"/>
    <col min="14015" max="14015" width="11.28515625" style="202" customWidth="1"/>
    <col min="14016" max="14016" width="27.140625" style="202" customWidth="1"/>
    <col min="14017" max="14017" width="13.7109375" style="202" customWidth="1"/>
    <col min="14018" max="14018" width="14.140625" style="202" customWidth="1"/>
    <col min="14019" max="14023" width="13.42578125" style="202" customWidth="1"/>
    <col min="14024" max="14024" width="9.140625" style="202"/>
    <col min="14025" max="14028" width="13.42578125" style="202" customWidth="1"/>
    <col min="14029" max="14029" width="9.140625" style="202"/>
    <col min="14030" max="14033" width="13.42578125" style="202" customWidth="1"/>
    <col min="14034" max="14034" width="9.140625" style="202"/>
    <col min="14035" max="14038" width="13.42578125" style="202" customWidth="1"/>
    <col min="14039" max="14039" width="9.140625" style="202"/>
    <col min="14040" max="14043" width="13.42578125" style="202" customWidth="1"/>
    <col min="14044" max="14270" width="9.140625" style="202"/>
    <col min="14271" max="14271" width="11.28515625" style="202" customWidth="1"/>
    <col min="14272" max="14272" width="27.140625" style="202" customWidth="1"/>
    <col min="14273" max="14273" width="13.7109375" style="202" customWidth="1"/>
    <col min="14274" max="14274" width="14.140625" style="202" customWidth="1"/>
    <col min="14275" max="14279" width="13.42578125" style="202" customWidth="1"/>
    <col min="14280" max="14280" width="9.140625" style="202"/>
    <col min="14281" max="14284" width="13.42578125" style="202" customWidth="1"/>
    <col min="14285" max="14285" width="9.140625" style="202"/>
    <col min="14286" max="14289" width="13.42578125" style="202" customWidth="1"/>
    <col min="14290" max="14290" width="9.140625" style="202"/>
    <col min="14291" max="14294" width="13.42578125" style="202" customWidth="1"/>
    <col min="14295" max="14295" width="9.140625" style="202"/>
    <col min="14296" max="14299" width="13.42578125" style="202" customWidth="1"/>
    <col min="14300" max="14526" width="9.140625" style="202"/>
    <col min="14527" max="14527" width="11.28515625" style="202" customWidth="1"/>
    <col min="14528" max="14528" width="27.140625" style="202" customWidth="1"/>
    <col min="14529" max="14529" width="13.7109375" style="202" customWidth="1"/>
    <col min="14530" max="14530" width="14.140625" style="202" customWidth="1"/>
    <col min="14531" max="14535" width="13.42578125" style="202" customWidth="1"/>
    <col min="14536" max="14536" width="9.140625" style="202"/>
    <col min="14537" max="14540" width="13.42578125" style="202" customWidth="1"/>
    <col min="14541" max="14541" width="9.140625" style="202"/>
    <col min="14542" max="14545" width="13.42578125" style="202" customWidth="1"/>
    <col min="14546" max="14546" width="9.140625" style="202"/>
    <col min="14547" max="14550" width="13.42578125" style="202" customWidth="1"/>
    <col min="14551" max="14551" width="9.140625" style="202"/>
    <col min="14552" max="14555" width="13.42578125" style="202" customWidth="1"/>
    <col min="14556" max="14782" width="9.140625" style="202"/>
    <col min="14783" max="14783" width="11.28515625" style="202" customWidth="1"/>
    <col min="14784" max="14784" width="27.140625" style="202" customWidth="1"/>
    <col min="14785" max="14785" width="13.7109375" style="202" customWidth="1"/>
    <col min="14786" max="14786" width="14.140625" style="202" customWidth="1"/>
    <col min="14787" max="14791" width="13.42578125" style="202" customWidth="1"/>
    <col min="14792" max="14792" width="9.140625" style="202"/>
    <col min="14793" max="14796" width="13.42578125" style="202" customWidth="1"/>
    <col min="14797" max="14797" width="9.140625" style="202"/>
    <col min="14798" max="14801" width="13.42578125" style="202" customWidth="1"/>
    <col min="14802" max="14802" width="9.140625" style="202"/>
    <col min="14803" max="14806" width="13.42578125" style="202" customWidth="1"/>
    <col min="14807" max="14807" width="9.140625" style="202"/>
    <col min="14808" max="14811" width="13.42578125" style="202" customWidth="1"/>
    <col min="14812" max="15038" width="9.140625" style="202"/>
    <col min="15039" max="15039" width="11.28515625" style="202" customWidth="1"/>
    <col min="15040" max="15040" width="27.140625" style="202" customWidth="1"/>
    <col min="15041" max="15041" width="13.7109375" style="202" customWidth="1"/>
    <col min="15042" max="15042" width="14.140625" style="202" customWidth="1"/>
    <col min="15043" max="15047" width="13.42578125" style="202" customWidth="1"/>
    <col min="15048" max="15048" width="9.140625" style="202"/>
    <col min="15049" max="15052" width="13.42578125" style="202" customWidth="1"/>
    <col min="15053" max="15053" width="9.140625" style="202"/>
    <col min="15054" max="15057" width="13.42578125" style="202" customWidth="1"/>
    <col min="15058" max="15058" width="9.140625" style="202"/>
    <col min="15059" max="15062" width="13.42578125" style="202" customWidth="1"/>
    <col min="15063" max="15063" width="9.140625" style="202"/>
    <col min="15064" max="15067" width="13.42578125" style="202" customWidth="1"/>
    <col min="15068" max="15294" width="9.140625" style="202"/>
    <col min="15295" max="15295" width="11.28515625" style="202" customWidth="1"/>
    <col min="15296" max="15296" width="27.140625" style="202" customWidth="1"/>
    <col min="15297" max="15297" width="13.7109375" style="202" customWidth="1"/>
    <col min="15298" max="15298" width="14.140625" style="202" customWidth="1"/>
    <col min="15299" max="15303" width="13.42578125" style="202" customWidth="1"/>
    <col min="15304" max="15304" width="9.140625" style="202"/>
    <col min="15305" max="15308" width="13.42578125" style="202" customWidth="1"/>
    <col min="15309" max="15309" width="9.140625" style="202"/>
    <col min="15310" max="15313" width="13.42578125" style="202" customWidth="1"/>
    <col min="15314" max="15314" width="9.140625" style="202"/>
    <col min="15315" max="15318" width="13.42578125" style="202" customWidth="1"/>
    <col min="15319" max="15319" width="9.140625" style="202"/>
    <col min="15320" max="15323" width="13.42578125" style="202" customWidth="1"/>
    <col min="15324" max="15550" width="9.140625" style="202"/>
    <col min="15551" max="15551" width="11.28515625" style="202" customWidth="1"/>
    <col min="15552" max="15552" width="27.140625" style="202" customWidth="1"/>
    <col min="15553" max="15553" width="13.7109375" style="202" customWidth="1"/>
    <col min="15554" max="15554" width="14.140625" style="202" customWidth="1"/>
    <col min="15555" max="15559" width="13.42578125" style="202" customWidth="1"/>
    <col min="15560" max="15560" width="9.140625" style="202"/>
    <col min="15561" max="15564" width="13.42578125" style="202" customWidth="1"/>
    <col min="15565" max="15565" width="9.140625" style="202"/>
    <col min="15566" max="15569" width="13.42578125" style="202" customWidth="1"/>
    <col min="15570" max="15570" width="9.140625" style="202"/>
    <col min="15571" max="15574" width="13.42578125" style="202" customWidth="1"/>
    <col min="15575" max="15575" width="9.140625" style="202"/>
    <col min="15576" max="15579" width="13.42578125" style="202" customWidth="1"/>
    <col min="15580" max="15806" width="9.140625" style="202"/>
    <col min="15807" max="15807" width="11.28515625" style="202" customWidth="1"/>
    <col min="15808" max="15808" width="27.140625" style="202" customWidth="1"/>
    <col min="15809" max="15809" width="13.7109375" style="202" customWidth="1"/>
    <col min="15810" max="15810" width="14.140625" style="202" customWidth="1"/>
    <col min="15811" max="15815" width="13.42578125" style="202" customWidth="1"/>
    <col min="15816" max="15816" width="9.140625" style="202"/>
    <col min="15817" max="15820" width="13.42578125" style="202" customWidth="1"/>
    <col min="15821" max="15821" width="9.140625" style="202"/>
    <col min="15822" max="15825" width="13.42578125" style="202" customWidth="1"/>
    <col min="15826" max="15826" width="9.140625" style="202"/>
    <col min="15827" max="15830" width="13.42578125" style="202" customWidth="1"/>
    <col min="15831" max="15831" width="9.140625" style="202"/>
    <col min="15832" max="15835" width="13.42578125" style="202" customWidth="1"/>
    <col min="15836" max="16062" width="9.140625" style="202"/>
    <col min="16063" max="16063" width="11.28515625" style="202" customWidth="1"/>
    <col min="16064" max="16064" width="27.140625" style="202" customWidth="1"/>
    <col min="16065" max="16065" width="13.7109375" style="202" customWidth="1"/>
    <col min="16066" max="16066" width="14.140625" style="202" customWidth="1"/>
    <col min="16067" max="16071" width="13.42578125" style="202" customWidth="1"/>
    <col min="16072" max="16072" width="9.140625" style="202"/>
    <col min="16073" max="16076" width="13.42578125" style="202" customWidth="1"/>
    <col min="16077" max="16077" width="9.140625" style="202"/>
    <col min="16078" max="16081" width="13.42578125" style="202" customWidth="1"/>
    <col min="16082" max="16082" width="9.140625" style="202"/>
    <col min="16083" max="16086" width="13.42578125" style="202" customWidth="1"/>
    <col min="16087" max="16087" width="9.140625" style="202"/>
    <col min="16088" max="16091" width="13.42578125" style="202" customWidth="1"/>
    <col min="16092" max="16384" width="9.140625" style="202"/>
  </cols>
  <sheetData>
    <row r="1" spans="1:12" ht="22.5" customHeight="1" x14ac:dyDescent="0.3">
      <c r="A1" s="220"/>
      <c r="B1" s="263" t="s">
        <v>149</v>
      </c>
    </row>
    <row r="2" spans="1:12" ht="17.25" hidden="1" outlineLevel="1" thickBot="1" x14ac:dyDescent="0.35">
      <c r="A2" s="221" t="s">
        <v>93</v>
      </c>
      <c r="B2" s="201" t="s">
        <v>94</v>
      </c>
    </row>
    <row r="3" spans="1:12" ht="33" hidden="1" customHeight="1" outlineLevel="1" thickBot="1" x14ac:dyDescent="0.35">
      <c r="A3" s="221"/>
      <c r="G3" s="459" t="s">
        <v>95</v>
      </c>
      <c r="H3" s="460"/>
      <c r="I3" s="461"/>
      <c r="K3" s="462"/>
      <c r="L3" s="462"/>
    </row>
    <row r="4" spans="1:12" ht="33.75" hidden="1" customHeight="1" outlineLevel="1" x14ac:dyDescent="0.3">
      <c r="A4" s="221"/>
      <c r="B4" s="463" t="s">
        <v>96</v>
      </c>
      <c r="C4" s="465" t="s">
        <v>97</v>
      </c>
      <c r="D4" s="222" t="s">
        <v>98</v>
      </c>
      <c r="E4" s="222" t="s">
        <v>99</v>
      </c>
      <c r="F4" s="222"/>
      <c r="G4" s="467" t="s">
        <v>100</v>
      </c>
      <c r="H4" s="455"/>
      <c r="I4" s="468"/>
      <c r="K4" s="447"/>
      <c r="L4" s="447"/>
    </row>
    <row r="5" spans="1:12" ht="17.25" hidden="1" outlineLevel="1" thickBot="1" x14ac:dyDescent="0.35">
      <c r="A5" s="221"/>
      <c r="B5" s="464"/>
      <c r="C5" s="466"/>
      <c r="D5" s="223" t="s">
        <v>101</v>
      </c>
      <c r="E5" s="223" t="s">
        <v>64</v>
      </c>
      <c r="F5" s="223"/>
      <c r="G5" s="223" t="s">
        <v>65</v>
      </c>
      <c r="H5" s="318"/>
      <c r="I5" s="224" t="s">
        <v>66</v>
      </c>
      <c r="K5" s="442"/>
      <c r="L5" s="442"/>
    </row>
    <row r="6" spans="1:12" hidden="1" outlineLevel="1" x14ac:dyDescent="0.3">
      <c r="A6" s="221"/>
      <c r="B6" s="203" t="s">
        <v>67</v>
      </c>
      <c r="C6" s="204" t="s">
        <v>63</v>
      </c>
      <c r="D6" s="225">
        <v>750</v>
      </c>
      <c r="E6" s="225"/>
      <c r="F6" s="226"/>
      <c r="G6" s="226">
        <f>Residential!L47</f>
        <v>1.8200407887837962</v>
      </c>
      <c r="H6" s="226"/>
      <c r="I6" s="227">
        <f>Residential!M47</f>
        <v>6.6367053681859384E-2</v>
      </c>
      <c r="K6" s="443"/>
      <c r="L6" s="444"/>
    </row>
    <row r="7" spans="1:12" hidden="1" outlineLevel="1" x14ac:dyDescent="0.3">
      <c r="A7" s="221"/>
      <c r="B7" s="208" t="s">
        <v>102</v>
      </c>
      <c r="C7" s="209" t="s">
        <v>63</v>
      </c>
      <c r="D7" s="228">
        <v>2000</v>
      </c>
      <c r="E7" s="228"/>
      <c r="F7" s="229"/>
      <c r="G7" s="229">
        <f>'GS&lt;50'!L47</f>
        <v>4.9100000000000108</v>
      </c>
      <c r="H7" s="229"/>
      <c r="I7" s="230">
        <f>'GS&lt;50'!M47</f>
        <v>7.6866525896035306E-2</v>
      </c>
      <c r="K7" s="443"/>
      <c r="L7" s="444"/>
    </row>
    <row r="8" spans="1:12" hidden="1" outlineLevel="1" x14ac:dyDescent="0.3">
      <c r="A8" s="221"/>
      <c r="B8" s="231" t="s">
        <v>103</v>
      </c>
      <c r="C8" s="232" t="s">
        <v>64</v>
      </c>
      <c r="D8" s="233">
        <v>80000</v>
      </c>
      <c r="E8" s="228">
        <v>250</v>
      </c>
      <c r="F8" s="229"/>
      <c r="G8" s="229">
        <f>'GS&gt;50'!L50</f>
        <v>201.6600000000002</v>
      </c>
      <c r="H8" s="229"/>
      <c r="I8" s="230">
        <f>'GS&gt;50'!M50</f>
        <v>0.20283849163640774</v>
      </c>
      <c r="K8" s="443"/>
      <c r="L8" s="444"/>
    </row>
    <row r="9" spans="1:12" hidden="1" outlineLevel="1" x14ac:dyDescent="0.3">
      <c r="A9" s="221"/>
      <c r="B9" s="231" t="s">
        <v>68</v>
      </c>
      <c r="C9" s="232" t="s">
        <v>64</v>
      </c>
      <c r="D9" s="233">
        <v>2800000</v>
      </c>
      <c r="E9" s="228">
        <v>7350</v>
      </c>
      <c r="F9" s="229"/>
      <c r="G9" s="229">
        <f>LU!L50</f>
        <v>1275.8550000000068</v>
      </c>
      <c r="H9" s="229"/>
      <c r="I9" s="230">
        <f>LU!M50</f>
        <v>7.2415539893379663E-2</v>
      </c>
      <c r="K9" s="443"/>
      <c r="L9" s="444"/>
    </row>
    <row r="10" spans="1:12" hidden="1" outlineLevel="1" x14ac:dyDescent="0.3">
      <c r="A10" s="221"/>
      <c r="B10" s="231" t="s">
        <v>69</v>
      </c>
      <c r="C10" s="232" t="s">
        <v>63</v>
      </c>
      <c r="D10" s="233">
        <v>150</v>
      </c>
      <c r="E10" s="228"/>
      <c r="F10" s="229"/>
      <c r="G10" s="229">
        <f>USL!L49</f>
        <v>0.67999999999999972</v>
      </c>
      <c r="H10" s="229"/>
      <c r="I10" s="230">
        <f>USL!M49</f>
        <v>7.0796460176991122E-2</v>
      </c>
      <c r="K10" s="443"/>
      <c r="L10" s="444"/>
    </row>
    <row r="11" spans="1:12" hidden="1" outlineLevel="1" x14ac:dyDescent="0.3">
      <c r="A11" s="221"/>
      <c r="B11" s="231" t="s">
        <v>104</v>
      </c>
      <c r="C11" s="232" t="s">
        <v>64</v>
      </c>
      <c r="D11" s="233">
        <v>180</v>
      </c>
      <c r="E11" s="228">
        <v>1</v>
      </c>
      <c r="F11" s="229"/>
      <c r="G11" s="229">
        <f>Sentinel!L50</f>
        <v>0.68810000000000038</v>
      </c>
      <c r="H11" s="229"/>
      <c r="I11" s="230">
        <f>Sentinel!M50</f>
        <v>5.8903089394704657E-2</v>
      </c>
      <c r="K11" s="443"/>
      <c r="L11" s="444"/>
    </row>
    <row r="12" spans="1:12" ht="17.25" hidden="1" outlineLevel="1" thickBot="1" x14ac:dyDescent="0.35">
      <c r="A12" s="221"/>
      <c r="B12" s="234" t="s">
        <v>70</v>
      </c>
      <c r="C12" s="215" t="s">
        <v>64</v>
      </c>
      <c r="D12" s="235">
        <v>280</v>
      </c>
      <c r="E12" s="235">
        <v>1</v>
      </c>
      <c r="F12" s="236"/>
      <c r="G12" s="236">
        <f>SL!L50</f>
        <v>0.85799999999999876</v>
      </c>
      <c r="H12" s="236"/>
      <c r="I12" s="237">
        <f>SL!M50</f>
        <v>0.10717631628255557</v>
      </c>
      <c r="K12" s="443"/>
      <c r="L12" s="444"/>
    </row>
    <row r="13" spans="1:12" hidden="1" outlineLevel="1" x14ac:dyDescent="0.3">
      <c r="A13" s="221"/>
    </row>
    <row r="14" spans="1:12" hidden="1" outlineLevel="1" x14ac:dyDescent="0.3">
      <c r="A14" s="221" t="s">
        <v>105</v>
      </c>
      <c r="B14" s="201" t="s">
        <v>106</v>
      </c>
    </row>
    <row r="15" spans="1:12" ht="17.25" hidden="1" outlineLevel="1" thickBot="1" x14ac:dyDescent="0.35">
      <c r="A15" s="221"/>
      <c r="G15" s="448"/>
      <c r="H15" s="448"/>
      <c r="I15" s="448"/>
    </row>
    <row r="16" spans="1:12" ht="33" hidden="1" customHeight="1" outlineLevel="1" x14ac:dyDescent="0.3">
      <c r="A16" s="221"/>
      <c r="B16" s="451" t="s">
        <v>96</v>
      </c>
      <c r="C16" s="453" t="s">
        <v>97</v>
      </c>
      <c r="D16" s="222" t="s">
        <v>98</v>
      </c>
      <c r="E16" s="222" t="s">
        <v>99</v>
      </c>
      <c r="F16" s="317"/>
      <c r="G16" s="455" t="s">
        <v>107</v>
      </c>
      <c r="H16" s="456"/>
      <c r="I16" s="457"/>
      <c r="K16" s="447"/>
      <c r="L16" s="447"/>
    </row>
    <row r="17" spans="1:12" ht="17.25" hidden="1" outlineLevel="1" thickBot="1" x14ac:dyDescent="0.35">
      <c r="A17" s="221"/>
      <c r="B17" s="452"/>
      <c r="C17" s="454"/>
      <c r="D17" s="223" t="s">
        <v>101</v>
      </c>
      <c r="E17" s="223" t="s">
        <v>64</v>
      </c>
      <c r="F17" s="223"/>
      <c r="G17" s="223" t="s">
        <v>65</v>
      </c>
      <c r="H17" s="318"/>
      <c r="I17" s="224" t="s">
        <v>66</v>
      </c>
      <c r="K17" s="442"/>
      <c r="L17" s="442"/>
    </row>
    <row r="18" spans="1:12" hidden="1" outlineLevel="1" x14ac:dyDescent="0.3">
      <c r="A18" s="221"/>
      <c r="B18" s="203" t="str">
        <f t="shared" ref="B18:E24" si="0">B6</f>
        <v>Residential</v>
      </c>
      <c r="C18" s="204" t="str">
        <f t="shared" si="0"/>
        <v>kWh</v>
      </c>
      <c r="D18" s="205">
        <f t="shared" si="0"/>
        <v>750</v>
      </c>
      <c r="E18" s="205">
        <f t="shared" si="0"/>
        <v>0</v>
      </c>
      <c r="F18" s="206"/>
      <c r="G18" s="206">
        <f>Residential!L50</f>
        <v>1.8200407887837926</v>
      </c>
      <c r="H18" s="206"/>
      <c r="I18" s="207">
        <f>Residential!M50</f>
        <v>5.0074826175362727E-2</v>
      </c>
      <c r="K18" s="445"/>
      <c r="L18" s="446"/>
    </row>
    <row r="19" spans="1:12" hidden="1" outlineLevel="1" x14ac:dyDescent="0.3">
      <c r="A19" s="221"/>
      <c r="B19" s="208" t="str">
        <f t="shared" si="0"/>
        <v>GS&lt;50 kW</v>
      </c>
      <c r="C19" s="209" t="str">
        <f t="shared" si="0"/>
        <v>kWh</v>
      </c>
      <c r="D19" s="210">
        <f t="shared" si="0"/>
        <v>2000</v>
      </c>
      <c r="E19" s="210">
        <f t="shared" si="0"/>
        <v>0</v>
      </c>
      <c r="F19" s="211"/>
      <c r="G19" s="211">
        <f>'GS&lt;50'!L50</f>
        <v>4.9100000000000108</v>
      </c>
      <c r="H19" s="211"/>
      <c r="I19" s="212">
        <f>'GS&lt;50'!M50</f>
        <v>5.7777784053708293E-2</v>
      </c>
      <c r="K19" s="445"/>
      <c r="L19" s="446"/>
    </row>
    <row r="20" spans="1:12" hidden="1" outlineLevel="1" x14ac:dyDescent="0.3">
      <c r="A20" s="221"/>
      <c r="B20" s="208" t="str">
        <f t="shared" si="0"/>
        <v>GS&gt;50 kW</v>
      </c>
      <c r="C20" s="209" t="str">
        <f t="shared" si="0"/>
        <v>kW</v>
      </c>
      <c r="D20" s="213">
        <f t="shared" si="0"/>
        <v>80000</v>
      </c>
      <c r="E20" s="210">
        <f t="shared" si="0"/>
        <v>250</v>
      </c>
      <c r="F20" s="211"/>
      <c r="G20" s="211">
        <f>'GS&gt;50'!L53</f>
        <v>201.66000000000031</v>
      </c>
      <c r="H20" s="211"/>
      <c r="I20" s="212">
        <f>'GS&gt;50'!M53</f>
        <v>9.9973229423837864E-2</v>
      </c>
      <c r="K20" s="445"/>
      <c r="L20" s="446"/>
    </row>
    <row r="21" spans="1:12" hidden="1" outlineLevel="1" x14ac:dyDescent="0.3">
      <c r="A21" s="221"/>
      <c r="B21" s="208" t="str">
        <f t="shared" si="0"/>
        <v>Large Use</v>
      </c>
      <c r="C21" s="209" t="str">
        <f t="shared" si="0"/>
        <v>kW</v>
      </c>
      <c r="D21" s="213">
        <f t="shared" si="0"/>
        <v>2800000</v>
      </c>
      <c r="E21" s="210">
        <f t="shared" si="0"/>
        <v>7350</v>
      </c>
      <c r="F21" s="211"/>
      <c r="G21" s="211">
        <f>LU!L53</f>
        <v>1275.8550000000032</v>
      </c>
      <c r="H21" s="211"/>
      <c r="I21" s="212">
        <f>LU!M53</f>
        <v>2.4574756391414869E-2</v>
      </c>
      <c r="K21" s="445"/>
      <c r="L21" s="446"/>
    </row>
    <row r="22" spans="1:12" hidden="1" outlineLevel="1" x14ac:dyDescent="0.3">
      <c r="A22" s="221"/>
      <c r="B22" s="208" t="str">
        <f t="shared" si="0"/>
        <v>Unmetered Scattered Load</v>
      </c>
      <c r="C22" s="209" t="str">
        <f t="shared" si="0"/>
        <v>kWh</v>
      </c>
      <c r="D22" s="213">
        <f t="shared" si="0"/>
        <v>150</v>
      </c>
      <c r="E22" s="210">
        <f t="shared" si="0"/>
        <v>0</v>
      </c>
      <c r="F22" s="211"/>
      <c r="G22" s="211">
        <f>USL!L52</f>
        <v>0.67999999999999972</v>
      </c>
      <c r="H22" s="211"/>
      <c r="I22" s="212">
        <f>USL!M52</f>
        <v>6.0445223516214182E-2</v>
      </c>
      <c r="K22" s="445"/>
      <c r="L22" s="446"/>
    </row>
    <row r="23" spans="1:12" hidden="1" outlineLevel="1" x14ac:dyDescent="0.3">
      <c r="A23" s="221"/>
      <c r="B23" s="208" t="str">
        <f t="shared" si="0"/>
        <v>Sentinel Lights</v>
      </c>
      <c r="C23" s="209" t="str">
        <f t="shared" si="0"/>
        <v>kW</v>
      </c>
      <c r="D23" s="213">
        <f t="shared" si="0"/>
        <v>180</v>
      </c>
      <c r="E23" s="210">
        <f t="shared" si="0"/>
        <v>1</v>
      </c>
      <c r="F23" s="211"/>
      <c r="G23" s="211">
        <f>Sentinel!L53</f>
        <v>0.68810000000000038</v>
      </c>
      <c r="H23" s="211"/>
      <c r="I23" s="212">
        <f>Sentinel!M53</f>
        <v>4.6490416123343876E-2</v>
      </c>
      <c r="K23" s="445"/>
      <c r="L23" s="446"/>
    </row>
    <row r="24" spans="1:12" ht="17.25" hidden="1" outlineLevel="1" thickBot="1" x14ac:dyDescent="0.35">
      <c r="A24" s="221"/>
      <c r="B24" s="214" t="str">
        <f t="shared" si="0"/>
        <v>Street Lighting</v>
      </c>
      <c r="C24" s="215" t="str">
        <f t="shared" si="0"/>
        <v>kW</v>
      </c>
      <c r="D24" s="216">
        <f t="shared" si="0"/>
        <v>280</v>
      </c>
      <c r="E24" s="216">
        <f t="shared" si="0"/>
        <v>1</v>
      </c>
      <c r="F24" s="217"/>
      <c r="G24" s="217">
        <f>SL!L53</f>
        <v>0.85799999999999876</v>
      </c>
      <c r="H24" s="217"/>
      <c r="I24" s="218">
        <f>Sentinel!M53</f>
        <v>4.6490416123343876E-2</v>
      </c>
      <c r="K24" s="445"/>
      <c r="L24" s="446"/>
    </row>
    <row r="25" spans="1:12" hidden="1" outlineLevel="1" x14ac:dyDescent="0.3">
      <c r="A25" s="221"/>
    </row>
    <row r="26" spans="1:12" hidden="1" outlineLevel="1" x14ac:dyDescent="0.3">
      <c r="A26" s="221"/>
    </row>
    <row r="27" spans="1:12" hidden="1" outlineLevel="1" x14ac:dyDescent="0.3">
      <c r="A27" s="221" t="s">
        <v>108</v>
      </c>
      <c r="B27" s="201" t="s">
        <v>109</v>
      </c>
    </row>
    <row r="28" spans="1:12" ht="17.25" hidden="1" outlineLevel="1" thickBot="1" x14ac:dyDescent="0.35">
      <c r="G28" s="448"/>
      <c r="H28" s="448"/>
      <c r="I28" s="448"/>
    </row>
    <row r="29" spans="1:12" ht="33" hidden="1" customHeight="1" outlineLevel="1" x14ac:dyDescent="0.3">
      <c r="B29" s="451" t="s">
        <v>96</v>
      </c>
      <c r="C29" s="453" t="s">
        <v>97</v>
      </c>
      <c r="D29" s="222" t="s">
        <v>98</v>
      </c>
      <c r="E29" s="222" t="s">
        <v>99</v>
      </c>
      <c r="F29" s="317"/>
      <c r="G29" s="455" t="s">
        <v>110</v>
      </c>
      <c r="H29" s="456"/>
      <c r="I29" s="457"/>
      <c r="K29" s="447"/>
      <c r="L29" s="447"/>
    </row>
    <row r="30" spans="1:12" ht="17.25" hidden="1" outlineLevel="1" thickBot="1" x14ac:dyDescent="0.35">
      <c r="B30" s="452"/>
      <c r="C30" s="454"/>
      <c r="D30" s="223" t="s">
        <v>101</v>
      </c>
      <c r="E30" s="223" t="s">
        <v>64</v>
      </c>
      <c r="F30" s="223"/>
      <c r="G30" s="223" t="s">
        <v>65</v>
      </c>
      <c r="H30" s="318"/>
      <c r="I30" s="224" t="s">
        <v>66</v>
      </c>
      <c r="K30" s="442"/>
      <c r="L30" s="442"/>
    </row>
    <row r="31" spans="1:12" hidden="1" outlineLevel="1" x14ac:dyDescent="0.3">
      <c r="B31" s="203" t="str">
        <f>B18</f>
        <v>Residential</v>
      </c>
      <c r="C31" s="204" t="str">
        <f>C18</f>
        <v>kWh</v>
      </c>
      <c r="D31" s="205">
        <f>D18</f>
        <v>750</v>
      </c>
      <c r="E31" s="205">
        <f>E18</f>
        <v>0</v>
      </c>
      <c r="F31" s="206"/>
      <c r="G31" s="206">
        <f>Residential!L65</f>
        <v>2.056646091325689</v>
      </c>
      <c r="H31" s="206"/>
      <c r="I31" s="207">
        <f>Residential!M65</f>
        <v>1.4548314058318692E-2</v>
      </c>
      <c r="K31" s="445"/>
      <c r="L31" s="446"/>
    </row>
    <row r="32" spans="1:12" hidden="1" outlineLevel="1" x14ac:dyDescent="0.3">
      <c r="B32" s="208" t="str">
        <f t="shared" ref="B32:E37" si="1">B19</f>
        <v>GS&lt;50 kW</v>
      </c>
      <c r="C32" s="209" t="str">
        <f t="shared" si="1"/>
        <v>kWh</v>
      </c>
      <c r="D32" s="210">
        <f t="shared" si="1"/>
        <v>2000</v>
      </c>
      <c r="E32" s="210">
        <f t="shared" si="1"/>
        <v>0</v>
      </c>
      <c r="F32" s="211"/>
      <c r="G32" s="211">
        <f>'GS&lt;50'!L65</f>
        <v>5.5482999999999834</v>
      </c>
      <c r="H32" s="211"/>
      <c r="I32" s="212">
        <f>'GS&lt;50'!M65</f>
        <v>1.464583652872074E-2</v>
      </c>
      <c r="K32" s="445"/>
      <c r="L32" s="446"/>
    </row>
    <row r="33" spans="2:13" s="202" customFormat="1" hidden="1" outlineLevel="1" x14ac:dyDescent="0.3">
      <c r="B33" s="208" t="str">
        <f t="shared" si="1"/>
        <v>GS&gt;50 kW</v>
      </c>
      <c r="C33" s="209" t="str">
        <f t="shared" si="1"/>
        <v>kW</v>
      </c>
      <c r="D33" s="210">
        <f t="shared" si="1"/>
        <v>80000</v>
      </c>
      <c r="E33" s="210">
        <f t="shared" si="1"/>
        <v>250</v>
      </c>
      <c r="F33" s="211"/>
      <c r="G33" s="211">
        <f>'GS&gt;50'!L68</f>
        <v>227.8757999999998</v>
      </c>
      <c r="H33" s="211"/>
      <c r="I33" s="212">
        <f>'GS&gt;50'!M68</f>
        <v>1.6359486998418164E-2</v>
      </c>
      <c r="K33" s="445"/>
      <c r="L33" s="446"/>
    </row>
    <row r="34" spans="2:13" s="202" customFormat="1" hidden="1" outlineLevel="1" x14ac:dyDescent="0.3">
      <c r="B34" s="208" t="str">
        <f t="shared" si="1"/>
        <v>Large Use</v>
      </c>
      <c r="C34" s="209" t="str">
        <f t="shared" si="1"/>
        <v>kW</v>
      </c>
      <c r="D34" s="210">
        <f t="shared" si="1"/>
        <v>2800000</v>
      </c>
      <c r="E34" s="210">
        <f t="shared" si="1"/>
        <v>7350</v>
      </c>
      <c r="F34" s="211"/>
      <c r="G34" s="211">
        <f>LU!L68</f>
        <v>1441.7161499999929</v>
      </c>
      <c r="H34" s="211"/>
      <c r="I34" s="212">
        <f>LU!M68</f>
        <v>3.0911336275124988E-3</v>
      </c>
      <c r="K34" s="445"/>
      <c r="L34" s="446"/>
    </row>
    <row r="35" spans="2:13" s="202" customFormat="1" hidden="1" outlineLevel="1" x14ac:dyDescent="0.3">
      <c r="B35" s="208" t="str">
        <f t="shared" si="1"/>
        <v>Unmetered Scattered Load</v>
      </c>
      <c r="C35" s="209" t="str">
        <f t="shared" si="1"/>
        <v>kWh</v>
      </c>
      <c r="D35" s="210">
        <f t="shared" si="1"/>
        <v>150</v>
      </c>
      <c r="E35" s="210">
        <f t="shared" si="1"/>
        <v>0</v>
      </c>
      <c r="F35" s="211"/>
      <c r="G35" s="211">
        <f>USL!L67</f>
        <v>0.76839999999999975</v>
      </c>
      <c r="H35" s="211"/>
      <c r="I35" s="212">
        <f>USL!M67</f>
        <v>2.2056449622931205E-2</v>
      </c>
      <c r="K35" s="445"/>
      <c r="L35" s="446"/>
    </row>
    <row r="36" spans="2:13" s="202" customFormat="1" hidden="1" outlineLevel="1" x14ac:dyDescent="0.3">
      <c r="B36" s="208" t="str">
        <f t="shared" si="1"/>
        <v>Sentinel Lights</v>
      </c>
      <c r="C36" s="209" t="str">
        <f t="shared" si="1"/>
        <v>kW</v>
      </c>
      <c r="D36" s="210">
        <f t="shared" si="1"/>
        <v>180</v>
      </c>
      <c r="E36" s="210">
        <f t="shared" si="1"/>
        <v>1</v>
      </c>
      <c r="F36" s="211"/>
      <c r="G36" s="211">
        <f>Sentinel!L68</f>
        <v>0.7775529999999975</v>
      </c>
      <c r="H36" s="211"/>
      <c r="I36" s="212">
        <f>Sentinel!M68</f>
        <v>1.7990927479347801E-2</v>
      </c>
      <c r="K36" s="445"/>
      <c r="L36" s="446"/>
    </row>
    <row r="37" spans="2:13" s="202" customFormat="1" ht="17.25" hidden="1" outlineLevel="1" thickBot="1" x14ac:dyDescent="0.35">
      <c r="B37" s="214" t="str">
        <f t="shared" si="1"/>
        <v>Street Lighting</v>
      </c>
      <c r="C37" s="215" t="str">
        <f t="shared" si="1"/>
        <v>kW</v>
      </c>
      <c r="D37" s="216">
        <f t="shared" si="1"/>
        <v>280</v>
      </c>
      <c r="E37" s="216">
        <f t="shared" si="1"/>
        <v>1</v>
      </c>
      <c r="F37" s="217"/>
      <c r="G37" s="217">
        <f>SL!L68</f>
        <v>0.96954000000000207</v>
      </c>
      <c r="H37" s="217"/>
      <c r="I37" s="218">
        <f>SL!M68</f>
        <v>1.8059732856895449E-2</v>
      </c>
      <c r="K37" s="445"/>
      <c r="L37" s="446"/>
    </row>
    <row r="38" spans="2:13" hidden="1" outlineLevel="1" x14ac:dyDescent="0.3"/>
    <row r="39" spans="2:13" hidden="1" outlineLevel="1" x14ac:dyDescent="0.3"/>
    <row r="40" spans="2:13" s="202" customFormat="1" ht="17.25" collapsed="1" thickBot="1" x14ac:dyDescent="0.35">
      <c r="B40" s="201" t="s">
        <v>92</v>
      </c>
      <c r="H40" s="262"/>
      <c r="I40" s="262"/>
      <c r="J40" s="262"/>
      <c r="K40" s="321"/>
      <c r="L40" s="262"/>
      <c r="M40" s="262"/>
    </row>
    <row r="41" spans="2:13" s="202" customFormat="1" ht="33" x14ac:dyDescent="0.3">
      <c r="B41" s="449" t="s">
        <v>96</v>
      </c>
      <c r="C41" s="256" t="s">
        <v>116</v>
      </c>
      <c r="D41" s="256" t="s">
        <v>122</v>
      </c>
      <c r="E41" s="256" t="s">
        <v>119</v>
      </c>
      <c r="F41" s="334"/>
      <c r="G41" s="335" t="s">
        <v>148</v>
      </c>
      <c r="H41" s="437"/>
      <c r="I41" s="437"/>
      <c r="J41" s="262"/>
      <c r="K41" s="321"/>
      <c r="L41" s="262"/>
      <c r="M41" s="262"/>
    </row>
    <row r="42" spans="2:13" s="202" customFormat="1" ht="17.25" thickBot="1" x14ac:dyDescent="0.35">
      <c r="B42" s="450"/>
      <c r="C42" s="257" t="s">
        <v>117</v>
      </c>
      <c r="D42" s="257" t="s">
        <v>118</v>
      </c>
      <c r="E42" s="257" t="s">
        <v>120</v>
      </c>
      <c r="F42" s="319"/>
      <c r="G42" s="320">
        <v>2016</v>
      </c>
      <c r="H42" s="438"/>
      <c r="I42" s="438"/>
      <c r="J42" s="262"/>
      <c r="K42" s="321"/>
      <c r="L42" s="262"/>
      <c r="M42" s="262"/>
    </row>
    <row r="43" spans="2:13" s="202" customFormat="1" x14ac:dyDescent="0.3">
      <c r="B43" s="208" t="s">
        <v>67</v>
      </c>
      <c r="C43" s="253" t="s">
        <v>63</v>
      </c>
      <c r="D43" s="258">
        <v>750</v>
      </c>
      <c r="E43" s="258"/>
      <c r="F43" s="260"/>
      <c r="G43" s="249">
        <f t="shared" ref="G43:G49" si="2">I6</f>
        <v>6.6367053681859384E-2</v>
      </c>
      <c r="H43" s="250"/>
      <c r="I43" s="250"/>
      <c r="J43" s="262"/>
      <c r="K43" s="262"/>
      <c r="L43" s="262"/>
      <c r="M43" s="262"/>
    </row>
    <row r="44" spans="2:13" s="202" customFormat="1" x14ac:dyDescent="0.3">
      <c r="B44" s="208" t="s">
        <v>102</v>
      </c>
      <c r="C44" s="254" t="s">
        <v>63</v>
      </c>
      <c r="D44" s="259">
        <v>2000</v>
      </c>
      <c r="E44" s="259"/>
      <c r="F44" s="261"/>
      <c r="G44" s="251">
        <f t="shared" si="2"/>
        <v>7.6866525896035306E-2</v>
      </c>
      <c r="H44" s="250"/>
      <c r="I44" s="250"/>
      <c r="J44" s="262"/>
      <c r="K44" s="262"/>
      <c r="L44" s="262"/>
      <c r="M44" s="262"/>
    </row>
    <row r="45" spans="2:13" s="202" customFormat="1" x14ac:dyDescent="0.3">
      <c r="B45" s="208" t="s">
        <v>103</v>
      </c>
      <c r="C45" s="254" t="s">
        <v>64</v>
      </c>
      <c r="D45" s="259">
        <v>80000</v>
      </c>
      <c r="E45" s="259">
        <v>250</v>
      </c>
      <c r="F45" s="261"/>
      <c r="G45" s="251">
        <f t="shared" si="2"/>
        <v>0.20283849163640774</v>
      </c>
      <c r="H45" s="250"/>
      <c r="I45" s="250"/>
      <c r="J45" s="262"/>
      <c r="K45" s="262"/>
      <c r="L45" s="262"/>
      <c r="M45" s="262"/>
    </row>
    <row r="46" spans="2:13" s="202" customFormat="1" x14ac:dyDescent="0.3">
      <c r="B46" s="208" t="s">
        <v>68</v>
      </c>
      <c r="C46" s="254" t="s">
        <v>64</v>
      </c>
      <c r="D46" s="259">
        <v>2800000</v>
      </c>
      <c r="E46" s="259">
        <v>7350</v>
      </c>
      <c r="F46" s="261"/>
      <c r="G46" s="251">
        <f t="shared" si="2"/>
        <v>7.2415539893379663E-2</v>
      </c>
      <c r="H46" s="250"/>
      <c r="I46" s="250"/>
      <c r="J46" s="262"/>
      <c r="K46" s="262"/>
      <c r="L46" s="262"/>
      <c r="M46" s="262"/>
    </row>
    <row r="47" spans="2:13" s="202" customFormat="1" x14ac:dyDescent="0.3">
      <c r="B47" s="208" t="s">
        <v>69</v>
      </c>
      <c r="C47" s="254" t="s">
        <v>63</v>
      </c>
      <c r="D47" s="259">
        <v>150</v>
      </c>
      <c r="E47" s="259"/>
      <c r="F47" s="261"/>
      <c r="G47" s="251">
        <f t="shared" si="2"/>
        <v>7.0796460176991122E-2</v>
      </c>
      <c r="H47" s="250"/>
      <c r="I47" s="250"/>
      <c r="J47" s="262"/>
      <c r="K47" s="262"/>
      <c r="L47" s="262"/>
      <c r="M47" s="262"/>
    </row>
    <row r="48" spans="2:13" s="202" customFormat="1" x14ac:dyDescent="0.3">
      <c r="B48" s="208" t="s">
        <v>104</v>
      </c>
      <c r="C48" s="254" t="s">
        <v>64</v>
      </c>
      <c r="D48" s="259">
        <v>180</v>
      </c>
      <c r="E48" s="259"/>
      <c r="F48" s="261"/>
      <c r="G48" s="251">
        <f t="shared" si="2"/>
        <v>5.8903089394704657E-2</v>
      </c>
      <c r="H48" s="250"/>
      <c r="I48" s="250"/>
      <c r="J48" s="262"/>
      <c r="K48" s="262"/>
      <c r="L48" s="262"/>
      <c r="M48" s="262"/>
    </row>
    <row r="49" spans="1:13" ht="17.25" thickBot="1" x14ac:dyDescent="0.35">
      <c r="A49" s="202"/>
      <c r="B49" s="208" t="s">
        <v>70</v>
      </c>
      <c r="C49" s="254" t="s">
        <v>64</v>
      </c>
      <c r="D49" s="259">
        <v>280</v>
      </c>
      <c r="E49" s="259"/>
      <c r="F49" s="261"/>
      <c r="G49" s="251">
        <f t="shared" si="2"/>
        <v>0.10717631628255557</v>
      </c>
      <c r="H49" s="250"/>
      <c r="I49" s="250"/>
      <c r="J49" s="262"/>
      <c r="M49" s="262"/>
    </row>
    <row r="50" spans="1:13" ht="17.25" thickBot="1" x14ac:dyDescent="0.35">
      <c r="A50" s="202"/>
      <c r="B50" s="248" t="s">
        <v>115</v>
      </c>
      <c r="C50" s="255"/>
      <c r="D50" s="255"/>
      <c r="E50" s="255"/>
      <c r="F50" s="266"/>
      <c r="G50" s="252">
        <f>AVERAGE(G43:G49)</f>
        <v>9.3623353851704769E-2</v>
      </c>
      <c r="H50" s="439"/>
      <c r="I50" s="439"/>
      <c r="J50" s="262"/>
      <c r="K50" s="322"/>
      <c r="M50" s="262"/>
    </row>
    <row r="51" spans="1:13" x14ac:dyDescent="0.3">
      <c r="F51" s="262"/>
      <c r="G51" s="262"/>
      <c r="H51" s="262"/>
      <c r="I51" s="262"/>
      <c r="J51" s="262"/>
      <c r="K51" s="322"/>
      <c r="M51" s="262"/>
    </row>
    <row r="52" spans="1:13" ht="17.25" thickBot="1" x14ac:dyDescent="0.35">
      <c r="A52" s="202"/>
      <c r="F52" s="262"/>
      <c r="G52" s="262"/>
      <c r="H52" s="262"/>
      <c r="I52" s="262"/>
      <c r="J52" s="262"/>
      <c r="K52" s="322"/>
      <c r="M52" s="262"/>
    </row>
    <row r="53" spans="1:13" ht="33" x14ac:dyDescent="0.3">
      <c r="A53" s="202"/>
      <c r="B53" s="449" t="s">
        <v>96</v>
      </c>
      <c r="C53" s="256" t="s">
        <v>116</v>
      </c>
      <c r="D53" s="256" t="s">
        <v>122</v>
      </c>
      <c r="E53" s="256" t="s">
        <v>119</v>
      </c>
      <c r="F53" s="334"/>
      <c r="G53" s="336" t="s">
        <v>109</v>
      </c>
      <c r="H53" s="437"/>
      <c r="I53" s="437"/>
      <c r="J53" s="262"/>
      <c r="K53" s="458"/>
      <c r="L53" s="458"/>
      <c r="M53" s="262"/>
    </row>
    <row r="54" spans="1:13" ht="17.25" thickBot="1" x14ac:dyDescent="0.35">
      <c r="A54" s="202"/>
      <c r="B54" s="450"/>
      <c r="C54" s="257" t="s">
        <v>117</v>
      </c>
      <c r="D54" s="257" t="s">
        <v>118</v>
      </c>
      <c r="E54" s="257" t="s">
        <v>120</v>
      </c>
      <c r="F54" s="319"/>
      <c r="G54" s="320">
        <v>2016</v>
      </c>
      <c r="H54" s="438"/>
      <c r="I54" s="438"/>
      <c r="J54" s="262"/>
      <c r="K54" s="323"/>
      <c r="L54" s="323"/>
      <c r="M54" s="262"/>
    </row>
    <row r="55" spans="1:13" x14ac:dyDescent="0.3">
      <c r="A55" s="202"/>
      <c r="B55" s="208" t="s">
        <v>67</v>
      </c>
      <c r="C55" s="253" t="s">
        <v>63</v>
      </c>
      <c r="D55" s="258">
        <v>750</v>
      </c>
      <c r="E55" s="258"/>
      <c r="F55" s="260"/>
      <c r="G55" s="249">
        <f>I31</f>
        <v>1.4548314058318692E-2</v>
      </c>
      <c r="H55" s="250"/>
      <c r="I55" s="250"/>
      <c r="J55" s="262"/>
      <c r="K55" s="324"/>
      <c r="L55" s="324"/>
      <c r="M55" s="262"/>
    </row>
    <row r="56" spans="1:13" x14ac:dyDescent="0.3">
      <c r="A56" s="202"/>
      <c r="B56" s="208" t="s">
        <v>102</v>
      </c>
      <c r="C56" s="254" t="s">
        <v>63</v>
      </c>
      <c r="D56" s="259">
        <v>2000</v>
      </c>
      <c r="E56" s="259"/>
      <c r="F56" s="261"/>
      <c r="G56" s="251">
        <f t="shared" ref="G56:G61" si="3">I32</f>
        <v>1.464583652872074E-2</v>
      </c>
      <c r="H56" s="250"/>
      <c r="I56" s="250"/>
      <c r="J56" s="262"/>
      <c r="K56" s="324"/>
      <c r="L56" s="324"/>
      <c r="M56" s="262"/>
    </row>
    <row r="57" spans="1:13" x14ac:dyDescent="0.3">
      <c r="A57" s="202"/>
      <c r="B57" s="208" t="s">
        <v>103</v>
      </c>
      <c r="C57" s="254" t="s">
        <v>64</v>
      </c>
      <c r="D57" s="259">
        <v>80000</v>
      </c>
      <c r="E57" s="259">
        <v>250</v>
      </c>
      <c r="F57" s="261"/>
      <c r="G57" s="251">
        <f t="shared" si="3"/>
        <v>1.6359486998418164E-2</v>
      </c>
      <c r="H57" s="250"/>
      <c r="I57" s="250"/>
      <c r="J57" s="262"/>
      <c r="K57" s="324"/>
      <c r="L57" s="324"/>
      <c r="M57" s="262"/>
    </row>
    <row r="58" spans="1:13" x14ac:dyDescent="0.3">
      <c r="A58" s="202"/>
      <c r="B58" s="208" t="s">
        <v>68</v>
      </c>
      <c r="C58" s="254" t="s">
        <v>64</v>
      </c>
      <c r="D58" s="259">
        <v>2800000</v>
      </c>
      <c r="E58" s="259">
        <v>7350</v>
      </c>
      <c r="F58" s="261"/>
      <c r="G58" s="251">
        <f t="shared" si="3"/>
        <v>3.0911336275124988E-3</v>
      </c>
      <c r="H58" s="250"/>
      <c r="I58" s="250"/>
      <c r="J58" s="262"/>
      <c r="K58" s="324"/>
      <c r="L58" s="324"/>
      <c r="M58" s="262"/>
    </row>
    <row r="59" spans="1:13" x14ac:dyDescent="0.3">
      <c r="A59" s="202"/>
      <c r="B59" s="208" t="s">
        <v>69</v>
      </c>
      <c r="C59" s="254" t="s">
        <v>63</v>
      </c>
      <c r="D59" s="259">
        <v>150</v>
      </c>
      <c r="E59" s="259"/>
      <c r="F59" s="261"/>
      <c r="G59" s="251">
        <f t="shared" si="3"/>
        <v>2.2056449622931205E-2</v>
      </c>
      <c r="H59" s="250"/>
      <c r="I59" s="250"/>
      <c r="J59" s="262"/>
      <c r="K59" s="324"/>
      <c r="L59" s="324"/>
      <c r="M59" s="262"/>
    </row>
    <row r="60" spans="1:13" x14ac:dyDescent="0.3">
      <c r="A60" s="202"/>
      <c r="B60" s="208" t="s">
        <v>104</v>
      </c>
      <c r="C60" s="254" t="s">
        <v>64</v>
      </c>
      <c r="D60" s="259">
        <v>180</v>
      </c>
      <c r="E60" s="259"/>
      <c r="F60" s="261"/>
      <c r="G60" s="251">
        <f t="shared" si="3"/>
        <v>1.7990927479347801E-2</v>
      </c>
      <c r="H60" s="250"/>
      <c r="I60" s="250"/>
      <c r="J60" s="262"/>
      <c r="K60" s="324"/>
      <c r="L60" s="324"/>
      <c r="M60" s="262"/>
    </row>
    <row r="61" spans="1:13" ht="17.25" thickBot="1" x14ac:dyDescent="0.35">
      <c r="A61" s="202"/>
      <c r="B61" s="208" t="s">
        <v>70</v>
      </c>
      <c r="C61" s="254" t="s">
        <v>64</v>
      </c>
      <c r="D61" s="259">
        <v>280</v>
      </c>
      <c r="E61" s="259"/>
      <c r="F61" s="261"/>
      <c r="G61" s="251">
        <f t="shared" si="3"/>
        <v>1.8059732856895449E-2</v>
      </c>
      <c r="H61" s="250"/>
      <c r="I61" s="250"/>
      <c r="J61" s="262"/>
      <c r="K61" s="324"/>
      <c r="L61" s="324"/>
      <c r="M61" s="262"/>
    </row>
    <row r="62" spans="1:13" ht="17.25" thickBot="1" x14ac:dyDescent="0.35">
      <c r="A62" s="202"/>
      <c r="B62" s="248" t="s">
        <v>115</v>
      </c>
      <c r="C62" s="255"/>
      <c r="D62" s="255"/>
      <c r="E62" s="255"/>
      <c r="F62" s="266"/>
      <c r="G62" s="252">
        <f>AVERAGE(G55:G61)</f>
        <v>1.5250268738877793E-2</v>
      </c>
      <c r="H62" s="439"/>
      <c r="I62" s="439"/>
      <c r="J62" s="262"/>
      <c r="K62" s="440"/>
      <c r="L62" s="440"/>
      <c r="M62" s="262"/>
    </row>
    <row r="63" spans="1:13" x14ac:dyDescent="0.3">
      <c r="H63" s="262"/>
      <c r="I63" s="262"/>
      <c r="J63" s="262"/>
      <c r="K63" s="441"/>
    </row>
    <row r="64" spans="1:13" x14ac:dyDescent="0.3">
      <c r="H64" s="262"/>
      <c r="I64" s="262"/>
      <c r="J64" s="262"/>
    </row>
    <row r="65" spans="8:10" x14ac:dyDescent="0.3">
      <c r="H65" s="262"/>
      <c r="I65" s="262"/>
      <c r="J65" s="262"/>
    </row>
    <row r="66" spans="8:10" x14ac:dyDescent="0.3">
      <c r="H66" s="262"/>
      <c r="I66" s="262"/>
      <c r="J66" s="262"/>
    </row>
    <row r="67" spans="8:10" x14ac:dyDescent="0.3">
      <c r="H67" s="262"/>
      <c r="I67" s="262"/>
      <c r="J67" s="262"/>
    </row>
    <row r="68" spans="8:10" x14ac:dyDescent="0.3">
      <c r="H68" s="262"/>
      <c r="I68" s="262"/>
      <c r="J68" s="262"/>
    </row>
    <row r="69" spans="8:10" x14ac:dyDescent="0.3">
      <c r="H69" s="262"/>
      <c r="I69" s="262"/>
      <c r="J69" s="262"/>
    </row>
    <row r="70" spans="8:10" x14ac:dyDescent="0.3">
      <c r="H70" s="262"/>
      <c r="I70" s="262"/>
      <c r="J70" s="262"/>
    </row>
    <row r="71" spans="8:10" x14ac:dyDescent="0.3">
      <c r="H71" s="262"/>
      <c r="I71" s="262"/>
      <c r="J71" s="262"/>
    </row>
    <row r="72" spans="8:10" x14ac:dyDescent="0.3">
      <c r="H72" s="262"/>
      <c r="I72" s="262"/>
      <c r="J72" s="262"/>
    </row>
    <row r="73" spans="8:10" x14ac:dyDescent="0.3">
      <c r="H73" s="262"/>
      <c r="I73" s="262"/>
      <c r="J73" s="262"/>
    </row>
    <row r="74" spans="8:10" x14ac:dyDescent="0.3">
      <c r="H74" s="262"/>
      <c r="I74" s="262"/>
      <c r="J74" s="262"/>
    </row>
  </sheetData>
  <mergeCells count="19">
    <mergeCell ref="G15:I15"/>
    <mergeCell ref="B16:B17"/>
    <mergeCell ref="C16:C17"/>
    <mergeCell ref="G16:I16"/>
    <mergeCell ref="K16:L16"/>
    <mergeCell ref="G3:I3"/>
    <mergeCell ref="K3:L3"/>
    <mergeCell ref="B4:B5"/>
    <mergeCell ref="C4:C5"/>
    <mergeCell ref="G4:I4"/>
    <mergeCell ref="K4:L4"/>
    <mergeCell ref="K29:L29"/>
    <mergeCell ref="G28:I28"/>
    <mergeCell ref="B53:B54"/>
    <mergeCell ref="B41:B42"/>
    <mergeCell ref="B29:B30"/>
    <mergeCell ref="C29:C30"/>
    <mergeCell ref="G29:I29"/>
    <mergeCell ref="K53:L53"/>
  </mergeCells>
  <conditionalFormatting sqref="I31:I37">
    <cfRule type="expression" dxfId="1" priority="10" stopIfTrue="1">
      <formula>ABS(I31)&gt;0.1</formula>
    </cfRule>
  </conditionalFormatting>
  <conditionalFormatting sqref="L31:L37">
    <cfRule type="expression" dxfId="0" priority="8" stopIfTrue="1">
      <formula>ABS(L31)&gt;0.1</formula>
    </cfRule>
  </conditionalFormatting>
  <pageMargins left="0.70866141732283472" right="0.70866141732283472" top="0.74803149606299213" bottom="0.74803149606299213" header="0.31496062992125984" footer="0.31496062992125984"/>
  <pageSetup scale="66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0"/>
  <sheetViews>
    <sheetView view="pageBreakPreview" topLeftCell="B1" zoomScale="70" zoomScaleNormal="85" zoomScaleSheetLayoutView="70" workbookViewId="0">
      <selection activeCell="AD6" sqref="AD6"/>
    </sheetView>
  </sheetViews>
  <sheetFormatPr defaultRowHeight="15" outlineLevelRow="1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5" customWidth="1"/>
    <col min="6" max="6" width="12.28515625" style="2" customWidth="1"/>
    <col min="7" max="7" width="12.42578125" style="2" customWidth="1"/>
    <col min="8" max="8" width="1.28515625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7109375" style="2" customWidth="1"/>
    <col min="15" max="15" width="12.140625" style="2" hidden="1" customWidth="1" outlineLevel="1"/>
    <col min="16" max="16" width="12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2" width="0" style="29" hidden="1" customWidth="1" outlineLevel="1"/>
    <col min="23" max="23" width="9.140625" style="29" collapsed="1"/>
    <col min="24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141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142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142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143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144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144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144"/>
      <c r="F8" s="93"/>
      <c r="G8" s="93"/>
      <c r="H8" s="93"/>
      <c r="I8" s="93"/>
      <c r="J8" s="93"/>
      <c r="K8" s="93"/>
      <c r="L8" s="111"/>
      <c r="M8" s="117"/>
      <c r="N8" s="93"/>
      <c r="O8" s="93"/>
      <c r="P8" s="93">
        <v>1380</v>
      </c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>
        <f>P8*4</f>
        <v>5520</v>
      </c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54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55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5"/>
      <c r="F17" s="5"/>
      <c r="G17" s="5"/>
      <c r="H17" s="5"/>
      <c r="K17" s="5"/>
      <c r="L17" s="163"/>
      <c r="M17" s="119"/>
      <c r="N17" s="5"/>
      <c r="O17" s="5"/>
      <c r="P17" s="5"/>
      <c r="Q17" s="5"/>
      <c r="R17" s="163"/>
      <c r="S17" s="119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146"/>
      <c r="F18" s="9">
        <v>750</v>
      </c>
      <c r="O18" s="331"/>
      <c r="P18" s="331"/>
      <c r="Q18" s="331"/>
      <c r="R18" s="341"/>
      <c r="S18" s="34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O19" s="331"/>
      <c r="P19" s="331"/>
      <c r="Q19" s="331"/>
      <c r="R19" s="341"/>
      <c r="S19" s="34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0.5" customHeight="1" x14ac:dyDescent="0.25">
      <c r="B20" s="7"/>
      <c r="D20" s="10"/>
      <c r="E20" s="146"/>
      <c r="F20" s="472" t="s">
        <v>51</v>
      </c>
      <c r="G20" s="473"/>
      <c r="H20" s="29"/>
      <c r="I20" s="474">
        <v>2016</v>
      </c>
      <c r="J20" s="475"/>
      <c r="K20" s="29"/>
      <c r="L20" s="472" t="s">
        <v>145</v>
      </c>
      <c r="M20" s="473"/>
      <c r="N20" s="29"/>
      <c r="O20" s="477"/>
      <c r="P20" s="478"/>
      <c r="Q20" s="93"/>
      <c r="R20" s="479"/>
      <c r="S20" s="480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ht="15" customHeight="1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A22" s="2" t="s">
        <v>89</v>
      </c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">
        <v>81</v>
      </c>
      <c r="B23" s="15" t="s">
        <v>12</v>
      </c>
      <c r="C23" s="15"/>
      <c r="D23" s="99" t="s">
        <v>57</v>
      </c>
      <c r="E23" s="147">
        <v>1</v>
      </c>
      <c r="F23" s="114">
        <f>IF($A23&lt;&gt;"",VLOOKUP($A23,[3]Rates!$A$1:$R$65536,12,FALSE),0)</f>
        <v>12.67</v>
      </c>
      <c r="G23" s="18">
        <f t="shared" ref="G23:G38" si="0">E23*F23</f>
        <v>12.67</v>
      </c>
      <c r="H23" s="38"/>
      <c r="I23" s="114">
        <f>IF($A23&lt;&gt;"",VLOOKUP($A23,[3]Rates!$A$1:$R$65536,14,FALSE),0)</f>
        <v>12.9</v>
      </c>
      <c r="J23" s="18">
        <f>$E23*I23</f>
        <v>12.9</v>
      </c>
      <c r="K23" s="38"/>
      <c r="L23" s="167">
        <f>J23-G23</f>
        <v>0.23000000000000043</v>
      </c>
      <c r="M23" s="123">
        <f>IF((G23)=0,"",(L23/G23))</f>
        <v>1.8153117600631447E-2</v>
      </c>
      <c r="N23" s="38"/>
      <c r="O23" s="349"/>
      <c r="P23" s="350"/>
      <c r="Q23" s="238"/>
      <c r="R23" s="351"/>
      <c r="S23" s="352"/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47">
        <v>1</v>
      </c>
      <c r="F24" s="114">
        <f>IF(A24&lt;&gt;"",VLOOKUP(A24,[3]Rates!$A$1:$R$65536,12,FALSE),0)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59" si="2">J24-G24</f>
        <v>0</v>
      </c>
      <c r="M24" s="123" t="str">
        <f t="shared" ref="M24:M45" si="3">IF((G24)=0,"",(L24/G24))</f>
        <v/>
      </c>
      <c r="N24" s="38"/>
      <c r="O24" s="349"/>
      <c r="P24" s="350"/>
      <c r="Q24" s="238"/>
      <c r="R24" s="351"/>
      <c r="S24" s="352"/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76" customFormat="1" x14ac:dyDescent="0.25">
      <c r="A25" s="276" t="s">
        <v>82</v>
      </c>
      <c r="B25" s="277" t="s">
        <v>71</v>
      </c>
      <c r="C25" s="278"/>
      <c r="D25" s="279" t="s">
        <v>57</v>
      </c>
      <c r="E25" s="280">
        <v>1</v>
      </c>
      <c r="F25" s="281">
        <f>IF(A25&lt;&gt;"",VLOOKUP(A25,[3]Rates!$A$1:$R$65536,12,FALSE),0)</f>
        <v>0.2</v>
      </c>
      <c r="G25" s="282">
        <f t="shared" si="0"/>
        <v>0.2</v>
      </c>
      <c r="H25" s="283"/>
      <c r="I25" s="281">
        <f>IF($A25&lt;&gt;"",VLOOKUP($A25,[3]Rates!$A$1:$R$65536,14,FALSE),0)</f>
        <v>0.2</v>
      </c>
      <c r="J25" s="282">
        <f t="shared" si="1"/>
        <v>0.2</v>
      </c>
      <c r="K25" s="283"/>
      <c r="L25" s="284">
        <f>J25-G25</f>
        <v>0</v>
      </c>
      <c r="M25" s="285">
        <f t="shared" si="3"/>
        <v>0</v>
      </c>
      <c r="N25" s="283"/>
      <c r="O25" s="353"/>
      <c r="P25" s="354"/>
      <c r="Q25" s="355"/>
      <c r="R25" s="356"/>
      <c r="S25" s="357"/>
      <c r="T25" s="283"/>
    </row>
    <row r="26" spans="1:360" s="276" customFormat="1" x14ac:dyDescent="0.25">
      <c r="A26" s="276" t="s">
        <v>83</v>
      </c>
      <c r="B26" s="277" t="s">
        <v>72</v>
      </c>
      <c r="C26" s="278"/>
      <c r="D26" s="279" t="s">
        <v>57</v>
      </c>
      <c r="E26" s="280">
        <v>1</v>
      </c>
      <c r="F26" s="281">
        <f>IF(A26&lt;&gt;"",VLOOKUP(A26,[3]Rates!$A$1:$R$65536,12,FALSE),0)</f>
        <v>7.0000000000000007E-2</v>
      </c>
      <c r="G26" s="282">
        <f t="shared" si="0"/>
        <v>7.0000000000000007E-2</v>
      </c>
      <c r="H26" s="283"/>
      <c r="I26" s="281">
        <f>IF($A26&lt;&gt;"",VLOOKUP($A26,[3]Rates!$A$1:$R$65536,14,FALSE),0)</f>
        <v>7.0000000000000007E-2</v>
      </c>
      <c r="J26" s="282">
        <f t="shared" si="1"/>
        <v>7.0000000000000007E-2</v>
      </c>
      <c r="K26" s="283"/>
      <c r="L26" s="284">
        <f>J26-G26</f>
        <v>0</v>
      </c>
      <c r="M26" s="285">
        <f t="shared" si="3"/>
        <v>0</v>
      </c>
      <c r="N26" s="283"/>
      <c r="O26" s="353"/>
      <c r="P26" s="354"/>
      <c r="Q26" s="355"/>
      <c r="R26" s="356"/>
      <c r="S26" s="357"/>
      <c r="T26" s="283"/>
    </row>
    <row r="27" spans="1:360" x14ac:dyDescent="0.25">
      <c r="A27" s="139" t="s">
        <v>128</v>
      </c>
      <c r="B27" s="22" t="s">
        <v>129</v>
      </c>
      <c r="C27" s="15"/>
      <c r="D27" s="279" t="s">
        <v>57</v>
      </c>
      <c r="E27" s="147">
        <v>1</v>
      </c>
      <c r="F27" s="114">
        <f>IF(A27&lt;&gt;"",VLOOKUP(A27,[3]Rates!$A$1:$R$65536,12,FALSE),0)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1.33</v>
      </c>
      <c r="J27" s="18">
        <f t="shared" si="1"/>
        <v>1.33</v>
      </c>
      <c r="K27" s="38"/>
      <c r="L27" s="167">
        <f t="shared" si="2"/>
        <v>1.33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47">
        <v>1</v>
      </c>
      <c r="F28" s="114">
        <f>IF(A28&lt;&gt;"",VLOOKUP(A28,[3]Rates!$A$1:$R$65536,12,FALSE),0)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">
        <v>84</v>
      </c>
      <c r="B29" s="15" t="s">
        <v>14</v>
      </c>
      <c r="C29" s="15"/>
      <c r="D29" s="99" t="s">
        <v>58</v>
      </c>
      <c r="E29" s="147">
        <f>$F$18</f>
        <v>750</v>
      </c>
      <c r="F29" s="16">
        <f>IF(A29&lt;&gt;"",VLOOKUP(A29,[3]Rates!$A$1:$R$65536,12,FALSE),0)</f>
        <v>1.4E-2</v>
      </c>
      <c r="G29" s="18">
        <f t="shared" si="0"/>
        <v>10.5</v>
      </c>
      <c r="H29" s="38"/>
      <c r="I29" s="16">
        <f>IF($A29&lt;&gt;"",VLOOKUP($A29,[3]Rates!$A$1:$R$65536,14,FALSE),0)</f>
        <v>1.43E-2</v>
      </c>
      <c r="J29" s="18">
        <f t="shared" si="1"/>
        <v>10.725</v>
      </c>
      <c r="K29" s="38"/>
      <c r="L29" s="167">
        <f t="shared" si="2"/>
        <v>0.22499999999999964</v>
      </c>
      <c r="M29" s="123">
        <f t="shared" si="3"/>
        <v>2.1428571428571394E-2</v>
      </c>
      <c r="N29" s="38"/>
      <c r="O29" s="358"/>
      <c r="P29" s="350"/>
      <c r="Q29" s="238"/>
      <c r="R29" s="351"/>
      <c r="S29" s="352"/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47">
        <f t="shared" ref="E30" si="4">$F$18</f>
        <v>750</v>
      </c>
      <c r="F30" s="16">
        <f>IF(A30&lt;&gt;"",VLOOKUP(A30,[3]Rates!$A$1:$R$65536,12,FALSE),0)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/>
      <c r="B31" s="15" t="s">
        <v>16</v>
      </c>
      <c r="C31" s="15"/>
      <c r="D31" s="99" t="s">
        <v>58</v>
      </c>
      <c r="E31" s="147">
        <f>$F$18</f>
        <v>750</v>
      </c>
      <c r="F31" s="16">
        <f>IF(A31&lt;&gt;"",VLOOKUP(A31,[3]Rates!$A$1:$R$65536,12,FALSE),0)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7">
        <f t="shared" si="2"/>
        <v>0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76" customFormat="1" x14ac:dyDescent="0.25">
      <c r="A32" s="276" t="s">
        <v>85</v>
      </c>
      <c r="B32" s="286" t="s">
        <v>72</v>
      </c>
      <c r="C32" s="278"/>
      <c r="D32" s="279" t="s">
        <v>58</v>
      </c>
      <c r="E32" s="280">
        <f t="shared" ref="E32" si="5">$F$18</f>
        <v>750</v>
      </c>
      <c r="F32" s="287">
        <f>IF(A32&lt;&gt;"",VLOOKUP(A32,[3]Rates!$A$1:$R$65536,12,FALSE),0)</f>
        <v>1E-4</v>
      </c>
      <c r="G32" s="282">
        <f t="shared" si="0"/>
        <v>7.4999999999999997E-2</v>
      </c>
      <c r="H32" s="283"/>
      <c r="I32" s="114">
        <f>IF($A32&lt;&gt;"",VLOOKUP($A32,[3]Rates!$A$1:$R$65536,14,FALSE),0)</f>
        <v>1E-4</v>
      </c>
      <c r="J32" s="282">
        <f t="shared" si="1"/>
        <v>7.4999999999999997E-2</v>
      </c>
      <c r="K32" s="283"/>
      <c r="L32" s="284">
        <f t="shared" si="2"/>
        <v>0</v>
      </c>
      <c r="M32" s="285">
        <f t="shared" si="3"/>
        <v>0</v>
      </c>
      <c r="N32" s="283"/>
      <c r="O32" s="359"/>
      <c r="P32" s="354"/>
      <c r="Q32" s="355"/>
      <c r="R32" s="356"/>
      <c r="S32" s="357"/>
      <c r="T32" s="283"/>
    </row>
    <row r="33" spans="1:360" x14ac:dyDescent="0.25">
      <c r="A33" s="139" t="str">
        <f>[3]Rates!$A36</f>
        <v>2RAL16_R</v>
      </c>
      <c r="B33" s="23" t="str">
        <f>[3]Rates!$B$36</f>
        <v xml:space="preserve">Disposition of Deferral/Variance Accounts - Group 2 Accounts (2016) </v>
      </c>
      <c r="C33" s="15"/>
      <c r="D33" s="99" t="s">
        <v>57</v>
      </c>
      <c r="E33" s="147">
        <v>1</v>
      </c>
      <c r="F33" s="16">
        <f>IF(A33&lt;&gt;"",VLOOKUP(A33,[3]Rates!$A$1:$R$65536,12,FALSE),0)</f>
        <v>0</v>
      </c>
      <c r="G33" s="18">
        <f t="shared" si="0"/>
        <v>0</v>
      </c>
      <c r="H33" s="38"/>
      <c r="I33" s="114">
        <f>IF($A33&lt;&gt;"",VLOOKUP($A33,[3]Rates!$A$1:$R$65536,14,FALSE),0)</f>
        <v>0.11504078878379524</v>
      </c>
      <c r="J33" s="18">
        <f t="shared" si="1"/>
        <v>0.11504078878379524</v>
      </c>
      <c r="K33" s="38"/>
      <c r="L33" s="167">
        <f t="shared" si="2"/>
        <v>0.11504078878379524</v>
      </c>
      <c r="M33" s="123" t="str">
        <f t="shared" si="3"/>
        <v/>
      </c>
      <c r="N33" s="38"/>
      <c r="O33" s="349"/>
      <c r="P33" s="350"/>
      <c r="Q33" s="238"/>
      <c r="R33" s="351"/>
      <c r="S33" s="352"/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[3]Rates!$A37</f>
        <v>LRVA16_R</v>
      </c>
      <c r="B34" s="23" t="str">
        <f>[3]Rates!$B$37</f>
        <v>Lost Revenue Adjustment Mechanism Variance Account (LRAMVA) (2016)</v>
      </c>
      <c r="C34" s="15"/>
      <c r="D34" s="99" t="s">
        <v>57</v>
      </c>
      <c r="E34" s="147">
        <v>1</v>
      </c>
      <c r="F34" s="16">
        <f>IF(A34&lt;&gt;"",VLOOKUP(A34,[3]Rates!$A$1:$R$65536,12,FALSE),0)</f>
        <v>0</v>
      </c>
      <c r="G34" s="18">
        <f t="shared" si="0"/>
        <v>0</v>
      </c>
      <c r="H34" s="38"/>
      <c r="I34" s="114">
        <f>IF($A34&lt;&gt;"",VLOOKUP($A34,[3]Rates!$A$1:$R$65536,14,FALSE),0)</f>
        <v>-0.1</v>
      </c>
      <c r="J34" s="18">
        <f t="shared" si="1"/>
        <v>-0.1</v>
      </c>
      <c r="K34" s="38"/>
      <c r="L34" s="167">
        <f t="shared" si="2"/>
        <v>-0.1</v>
      </c>
      <c r="M34" s="123" t="str">
        <f t="shared" si="3"/>
        <v/>
      </c>
      <c r="N34" s="38"/>
      <c r="O34" s="349"/>
      <c r="P34" s="350"/>
      <c r="Q34" s="238"/>
      <c r="R34" s="351"/>
      <c r="S34" s="352"/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[3]Rates!$A38</f>
        <v>PPE16_R</v>
      </c>
      <c r="B35" s="23" t="str">
        <f>[3]Rates!$B$38</f>
        <v>Account 1575 (2016)</v>
      </c>
      <c r="C35" s="15"/>
      <c r="D35" s="99" t="s">
        <v>57</v>
      </c>
      <c r="E35" s="147">
        <v>1</v>
      </c>
      <c r="F35" s="16">
        <f>IF(A35&lt;&gt;"",VLOOKUP(A35,[3]Rates!$A$1:$R$65536,12,FALSE),0)</f>
        <v>0</v>
      </c>
      <c r="G35" s="18">
        <f t="shared" si="0"/>
        <v>0</v>
      </c>
      <c r="H35" s="38"/>
      <c r="I35" s="114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49"/>
      <c r="P35" s="350"/>
      <c r="Q35" s="238"/>
      <c r="R35" s="351"/>
      <c r="S35" s="352"/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[3]Rates!$A39</f>
        <v>SG16_R</v>
      </c>
      <c r="B36" s="23" t="str">
        <f>[3]Rates!$B$39</f>
        <v>Smart Grid True-up (2016)</v>
      </c>
      <c r="C36" s="15"/>
      <c r="D36" s="99" t="s">
        <v>57</v>
      </c>
      <c r="E36" s="147">
        <v>1</v>
      </c>
      <c r="F36" s="16">
        <f>IF(A36&lt;&gt;"",VLOOKUP(A36,[3]Rates!$A$1:$R$65536,12,FALSE),0)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-0.04</v>
      </c>
      <c r="J36" s="18">
        <f t="shared" si="1"/>
        <v>-0.04</v>
      </c>
      <c r="K36" s="38"/>
      <c r="L36" s="167">
        <f t="shared" si="2"/>
        <v>-0.04</v>
      </c>
      <c r="M36" s="123" t="str">
        <f t="shared" si="3"/>
        <v/>
      </c>
      <c r="N36" s="38"/>
      <c r="O36" s="349"/>
      <c r="P36" s="350"/>
      <c r="Q36" s="238"/>
      <c r="R36" s="351"/>
      <c r="S36" s="352"/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 t="str">
        <f>[3]Rates!$A40</f>
        <v>SMA16_R</v>
      </c>
      <c r="B37" s="23" t="str">
        <f>[3]Rates!$B$40</f>
        <v>Recovery of Stranded Meter Assets (2016)</v>
      </c>
      <c r="C37" s="15"/>
      <c r="D37" s="99" t="s">
        <v>57</v>
      </c>
      <c r="E37" s="147">
        <v>1</v>
      </c>
      <c r="F37" s="16">
        <f>IF(A37&lt;&gt;"",VLOOKUP(A37,[3]Rates!$A$1:$R$65536,12,FALSE),0)</f>
        <v>0</v>
      </c>
      <c r="G37" s="18">
        <f t="shared" si="0"/>
        <v>0</v>
      </c>
      <c r="H37" s="38"/>
      <c r="I37" s="114">
        <f>IF($A37&lt;&gt;"",VLOOKUP($A37,[3]Rates!$A$1:$R$65536,14,FALSE),0)</f>
        <v>0.06</v>
      </c>
      <c r="J37" s="18">
        <f t="shared" si="1"/>
        <v>0.06</v>
      </c>
      <c r="K37" s="38"/>
      <c r="L37" s="167">
        <f t="shared" si="2"/>
        <v>0.06</v>
      </c>
      <c r="M37" s="123" t="str">
        <f t="shared" si="3"/>
        <v/>
      </c>
      <c r="N37" s="38"/>
      <c r="O37" s="349"/>
      <c r="P37" s="350"/>
      <c r="Q37" s="238"/>
      <c r="R37" s="351"/>
      <c r="S37" s="352"/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s="276" customFormat="1" x14ac:dyDescent="0.25">
      <c r="A38" s="276" t="s">
        <v>86</v>
      </c>
      <c r="B38" s="286"/>
      <c r="C38" s="278"/>
      <c r="D38" s="306" t="s">
        <v>58</v>
      </c>
      <c r="E38" s="307">
        <f>F18</f>
        <v>750</v>
      </c>
      <c r="F38" s="287"/>
      <c r="G38" s="282">
        <f t="shared" si="0"/>
        <v>0</v>
      </c>
      <c r="H38" s="283"/>
      <c r="I38" s="287">
        <f>IF($A38&lt;&gt;"",VLOOKUP($A38,[3]Rates!$A$1:$R$65536,14,FALSE),0)</f>
        <v>0</v>
      </c>
      <c r="J38" s="282">
        <f t="shared" si="1"/>
        <v>0</v>
      </c>
      <c r="K38" s="283"/>
      <c r="L38" s="284">
        <f t="shared" si="2"/>
        <v>0</v>
      </c>
      <c r="M38" s="285" t="str">
        <f t="shared" si="3"/>
        <v/>
      </c>
      <c r="N38" s="283"/>
      <c r="O38" s="359"/>
      <c r="P38" s="354"/>
      <c r="Q38" s="355"/>
      <c r="R38" s="356"/>
      <c r="S38" s="357"/>
      <c r="T38" s="283"/>
    </row>
    <row r="39" spans="1:360" s="29" customFormat="1" x14ac:dyDescent="0.25">
      <c r="A39" s="140"/>
      <c r="B39" s="24" t="s">
        <v>17</v>
      </c>
      <c r="C39" s="25"/>
      <c r="D39" s="100"/>
      <c r="E39" s="148"/>
      <c r="F39" s="26"/>
      <c r="G39" s="28">
        <f>SUM(G23:G38)</f>
        <v>23.514999999999997</v>
      </c>
      <c r="H39" s="38"/>
      <c r="I39" s="26"/>
      <c r="J39" s="28">
        <f>SUM(J23:J38)</f>
        <v>25.335040788783793</v>
      </c>
      <c r="K39" s="38"/>
      <c r="L39" s="168">
        <f t="shared" si="2"/>
        <v>1.8200407887837962</v>
      </c>
      <c r="M39" s="124">
        <f>IF((G39)=0,"",(L39/G39))</f>
        <v>7.7399140496865679E-2</v>
      </c>
      <c r="N39" s="38"/>
      <c r="O39" s="360"/>
      <c r="P39" s="361"/>
      <c r="Q39" s="238"/>
      <c r="R39" s="362"/>
      <c r="S39" s="363"/>
      <c r="T39" s="38"/>
    </row>
    <row r="40" spans="1:360" s="276" customFormat="1" x14ac:dyDescent="0.25">
      <c r="A40" s="276" t="s">
        <v>87</v>
      </c>
      <c r="B40" s="288"/>
      <c r="C40" s="278"/>
      <c r="D40" s="306" t="s">
        <v>58</v>
      </c>
      <c r="E40" s="307">
        <f>$F$18</f>
        <v>750</v>
      </c>
      <c r="F40" s="287"/>
      <c r="G40" s="282">
        <f t="shared" ref="G40:G46" si="6">E40*F40</f>
        <v>0</v>
      </c>
      <c r="H40" s="283"/>
      <c r="I40" s="287">
        <f>IF($A40&lt;&gt;"",VLOOKUP($A40,[3]Rates!$A$1:$R$65536,14,FALSE),0)</f>
        <v>0</v>
      </c>
      <c r="J40" s="282">
        <f>$E40*I40</f>
        <v>0</v>
      </c>
      <c r="K40" s="283"/>
      <c r="L40" s="284">
        <f t="shared" si="2"/>
        <v>0</v>
      </c>
      <c r="M40" s="285" t="str">
        <f t="shared" si="3"/>
        <v/>
      </c>
      <c r="N40" s="283"/>
      <c r="O40" s="359"/>
      <c r="P40" s="354"/>
      <c r="Q40" s="355"/>
      <c r="R40" s="356"/>
      <c r="S40" s="357"/>
      <c r="T40" s="283"/>
    </row>
    <row r="41" spans="1:360" x14ac:dyDescent="0.25">
      <c r="A41" s="139" t="str">
        <f>[3]Rates!$A$33</f>
        <v>RAL16_R</v>
      </c>
      <c r="B41" s="30" t="str">
        <f>[3]Rates!$B$33</f>
        <v xml:space="preserve">Disposition of Deferral/Variance Accounts (2016) </v>
      </c>
      <c r="C41" s="15"/>
      <c r="D41" s="99" t="s">
        <v>58</v>
      </c>
      <c r="E41" s="147">
        <f t="shared" ref="E41:E44" si="7">$F$18</f>
        <v>750</v>
      </c>
      <c r="F41" s="16">
        <f>IF(A41&lt;&gt;"",VLOOKUP(A41,[3]Rates!$A$1:$R$65536,12,FALSE),0)</f>
        <v>0</v>
      </c>
      <c r="G41" s="18">
        <f t="shared" si="6"/>
        <v>0</v>
      </c>
      <c r="H41" s="21"/>
      <c r="I41" s="16">
        <f>IF($A41&lt;&gt;"",VLOOKUP($A41,[3]Rates!$A$1:$R$65536,14,FALSE),0)</f>
        <v>2.9999999999999997E-4</v>
      </c>
      <c r="J41" s="18">
        <f t="shared" ref="J41:J46" si="8">$E41*I41</f>
        <v>0.22499999999999998</v>
      </c>
      <c r="K41" s="21"/>
      <c r="L41" s="167">
        <f t="shared" si="2"/>
        <v>0.22499999999999998</v>
      </c>
      <c r="M41" s="123" t="str">
        <f t="shared" si="3"/>
        <v/>
      </c>
      <c r="N41" s="238"/>
      <c r="O41" s="358"/>
      <c r="P41" s="350"/>
      <c r="Q41" s="238"/>
      <c r="R41" s="351"/>
      <c r="S41" s="352"/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[3]Rates!$A$34</f>
        <v>RALP16_R</v>
      </c>
      <c r="B42" s="30" t="str">
        <f>[3]Rates!$B$34</f>
        <v xml:space="preserve">Disposition of Deferral/Variance Accounts - Power (2016) </v>
      </c>
      <c r="C42" s="15"/>
      <c r="D42" s="99" t="s">
        <v>58</v>
      </c>
      <c r="E42" s="147">
        <f t="shared" si="7"/>
        <v>750</v>
      </c>
      <c r="F42" s="16">
        <f>IF(A42&lt;&gt;"",VLOOKUP(A42,[3]Rates!$A$1:$R$65536,12,FALSE),0)</f>
        <v>0</v>
      </c>
      <c r="G42" s="18">
        <f t="shared" si="6"/>
        <v>0</v>
      </c>
      <c r="H42" s="21"/>
      <c r="I42" s="16">
        <f>IF($A42&lt;&gt;"",VLOOKUP($A42,[3]Rates!$A$1:$R$65536,14,FALSE),0)</f>
        <v>-2.9999999999999997E-4</v>
      </c>
      <c r="J42" s="18">
        <f t="shared" si="8"/>
        <v>-0.22499999999999998</v>
      </c>
      <c r="K42" s="21"/>
      <c r="L42" s="167">
        <f t="shared" si="2"/>
        <v>-0.22499999999999998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47">
        <f t="shared" si="7"/>
        <v>750</v>
      </c>
      <c r="F43" s="16">
        <f>IF(A43&lt;&gt;"",VLOOKUP(A43,[3]Rates!$A$1:$R$65536,12,FALSE),0)</f>
        <v>0</v>
      </c>
      <c r="G43" s="18">
        <f t="shared" si="6"/>
        <v>0</v>
      </c>
      <c r="H43" s="21"/>
      <c r="I43" s="16">
        <f>IF($A43&lt;&gt;"",VLOOKUP($A43,[3]Rates!$A$1:$R$65536,14,FALSE),0)</f>
        <v>0</v>
      </c>
      <c r="J43" s="18">
        <f t="shared" si="8"/>
        <v>0</v>
      </c>
      <c r="K43" s="21"/>
      <c r="L43" s="167">
        <f t="shared" si="2"/>
        <v>0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1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">
        <v>88</v>
      </c>
      <c r="B44" s="31" t="s">
        <v>18</v>
      </c>
      <c r="C44" s="15"/>
      <c r="D44" s="99" t="s">
        <v>58</v>
      </c>
      <c r="E44" s="147">
        <f t="shared" si="7"/>
        <v>750</v>
      </c>
      <c r="F44" s="16">
        <f>IF(A44&lt;&gt;"",VLOOKUP(A44,[3]Rates!$A$1:$R$65536,12,FALSE),0)</f>
        <v>2.9999999999999997E-4</v>
      </c>
      <c r="G44" s="18">
        <f t="shared" si="6"/>
        <v>0.22499999999999998</v>
      </c>
      <c r="H44" s="38"/>
      <c r="I44" s="16">
        <f>IF($A44&lt;&gt;"",VLOOKUP($A44,[3]Rates!$A$1:$R$65536,14,FALSE),0)</f>
        <v>2.9999999999999997E-4</v>
      </c>
      <c r="J44" s="18">
        <f t="shared" si="8"/>
        <v>0.22499999999999998</v>
      </c>
      <c r="K44" s="38"/>
      <c r="L44" s="167">
        <f t="shared" si="2"/>
        <v>0</v>
      </c>
      <c r="M44" s="123">
        <f t="shared" si="3"/>
        <v>0</v>
      </c>
      <c r="N44" s="38"/>
      <c r="O44" s="358"/>
      <c r="P44" s="350"/>
      <c r="Q44" s="238"/>
      <c r="R44" s="351"/>
      <c r="S44" s="352"/>
      <c r="T44" s="38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B45" s="31" t="s">
        <v>19</v>
      </c>
      <c r="C45" s="15"/>
      <c r="D45" s="99"/>
      <c r="E45" s="311">
        <f>$F$18*(1+$F$74)-$F$18</f>
        <v>25.875</v>
      </c>
      <c r="F45" s="32">
        <f>IF(ISBLANK(D16)=TRUE, 0, IF(D16="TOU", 0.64*$F$55+0.18*$F$56+0.18*$F$57, IF(AND(D16="non-TOU", E59&gt;0), F59,F58)))</f>
        <v>0.11183999999999999</v>
      </c>
      <c r="G45" s="18">
        <f>E45*F45</f>
        <v>2.8938599999999997</v>
      </c>
      <c r="H45" s="90">
        <f>$F$18*(1+$O$74)-$F$18</f>
        <v>0</v>
      </c>
      <c r="I45" s="32">
        <f>0.64*$F$55+0.18*$F$56+0.18*$F$57</f>
        <v>0.11183999999999999</v>
      </c>
      <c r="J45" s="18">
        <f>$E45*I45</f>
        <v>2.8938599999999997</v>
      </c>
      <c r="K45" s="38"/>
      <c r="L45" s="169">
        <f t="shared" si="2"/>
        <v>0</v>
      </c>
      <c r="M45" s="123">
        <f t="shared" si="3"/>
        <v>0</v>
      </c>
      <c r="N45" s="38"/>
      <c r="O45" s="364"/>
      <c r="P45" s="350"/>
      <c r="Q45" s="238"/>
      <c r="R45" s="365"/>
      <c r="S45" s="352"/>
      <c r="T45" s="3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B46" s="31" t="s">
        <v>20</v>
      </c>
      <c r="C46" s="15"/>
      <c r="D46" s="99" t="s">
        <v>57</v>
      </c>
      <c r="E46" s="147">
        <v>1</v>
      </c>
      <c r="F46" s="264">
        <v>0.79</v>
      </c>
      <c r="G46" s="18">
        <f t="shared" si="6"/>
        <v>0.79</v>
      </c>
      <c r="H46" s="38"/>
      <c r="I46" s="264">
        <v>0.79</v>
      </c>
      <c r="J46" s="18">
        <f t="shared" si="8"/>
        <v>0.79</v>
      </c>
      <c r="K46" s="38"/>
      <c r="L46" s="169">
        <f t="shared" si="2"/>
        <v>0</v>
      </c>
      <c r="M46" s="123"/>
      <c r="N46" s="38"/>
      <c r="O46" s="366"/>
      <c r="P46" s="350"/>
      <c r="Q46" s="238"/>
      <c r="R46" s="365"/>
      <c r="S46" s="352"/>
      <c r="T46" s="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ht="15" customHeight="1" x14ac:dyDescent="0.25">
      <c r="B47" s="33" t="s">
        <v>21</v>
      </c>
      <c r="C47" s="34"/>
      <c r="D47" s="35"/>
      <c r="E47" s="149"/>
      <c r="F47" s="35"/>
      <c r="G47" s="37">
        <f>SUM(G40:G46)+G39</f>
        <v>27.423859999999998</v>
      </c>
      <c r="H47" s="38"/>
      <c r="I47" s="35"/>
      <c r="J47" s="37">
        <f>SUM(J40:J46)+J39</f>
        <v>29.243900788783794</v>
      </c>
      <c r="K47" s="38"/>
      <c r="L47" s="170">
        <f t="shared" si="2"/>
        <v>1.8200407887837962</v>
      </c>
      <c r="M47" s="125">
        <f>IF((G47)=0,"",(L47/G47))</f>
        <v>6.6367053681859384E-2</v>
      </c>
      <c r="N47" s="38"/>
      <c r="O47" s="367"/>
      <c r="P47" s="368"/>
      <c r="Q47" s="238"/>
      <c r="R47" s="369"/>
      <c r="S47" s="370"/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 t="s">
        <v>90</v>
      </c>
      <c r="B48" s="19" t="s">
        <v>22</v>
      </c>
      <c r="C48" s="19"/>
      <c r="D48" s="101" t="s">
        <v>58</v>
      </c>
      <c r="E48" s="150">
        <f>F18*(1+F74)</f>
        <v>775.875</v>
      </c>
      <c r="F48" s="20">
        <f>IF(A48&lt;&gt;"",VLOOKUP(A48,[3]Rates!$A$1:$R$65536,12,FALSE),0)</f>
        <v>8.0000000000000002E-3</v>
      </c>
      <c r="G48" s="18">
        <f>E48*F48</f>
        <v>6.2069999999999999</v>
      </c>
      <c r="H48" s="39">
        <f>F18*(1+O74)</f>
        <v>750</v>
      </c>
      <c r="I48" s="20">
        <f>IF($A48&lt;&gt;"",VLOOKUP($A48,[3]Rates!$A$1:$R$65536,14,FALSE),0)</f>
        <v>8.0000000000000002E-3</v>
      </c>
      <c r="J48" s="18">
        <f>$E48*I48</f>
        <v>6.2069999999999999</v>
      </c>
      <c r="K48" s="38"/>
      <c r="L48" s="171">
        <f t="shared" si="2"/>
        <v>0</v>
      </c>
      <c r="M48" s="123">
        <f t="shared" ref="M48:M59" si="9">IF((G48)=0,"",(L48/G48))</f>
        <v>0</v>
      </c>
      <c r="N48" s="38"/>
      <c r="O48" s="371"/>
      <c r="P48" s="350"/>
      <c r="Q48" s="238"/>
      <c r="R48" s="372"/>
      <c r="S48" s="352"/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 t="s">
        <v>91</v>
      </c>
      <c r="B49" s="40" t="s">
        <v>23</v>
      </c>
      <c r="C49" s="19"/>
      <c r="D49" s="101" t="s">
        <v>58</v>
      </c>
      <c r="E49" s="150">
        <f>E48</f>
        <v>775.875</v>
      </c>
      <c r="F49" s="20">
        <f>IF(A49&lt;&gt;"",VLOOKUP(A49,[3]Rates!$A$1:$R$65536,12,FALSE),0)</f>
        <v>3.5000000000000001E-3</v>
      </c>
      <c r="G49" s="18">
        <f>E49*F49</f>
        <v>2.7155624999999999</v>
      </c>
      <c r="H49" s="39">
        <f>H48</f>
        <v>750</v>
      </c>
      <c r="I49" s="20">
        <f>IF($A49&lt;&gt;"",VLOOKUP($A49,[3]Rates!$A$1:$R$65536,14,FALSE),0)</f>
        <v>3.5000000000000001E-3</v>
      </c>
      <c r="J49" s="18">
        <f>$E49*I49</f>
        <v>2.7155624999999999</v>
      </c>
      <c r="K49" s="38"/>
      <c r="L49" s="171">
        <f t="shared" si="2"/>
        <v>0</v>
      </c>
      <c r="M49" s="123">
        <f t="shared" si="9"/>
        <v>0</v>
      </c>
      <c r="N49" s="38"/>
      <c r="O49" s="371"/>
      <c r="P49" s="350"/>
      <c r="Q49" s="238"/>
      <c r="R49" s="372"/>
      <c r="S49" s="352"/>
      <c r="T49" s="38"/>
    </row>
    <row r="50" spans="1:360" x14ac:dyDescent="0.25">
      <c r="B50" s="33" t="s">
        <v>24</v>
      </c>
      <c r="C50" s="25"/>
      <c r="D50" s="41"/>
      <c r="E50" s="149"/>
      <c r="F50" s="41"/>
      <c r="G50" s="37">
        <f>SUM(G47:G49)</f>
        <v>36.346422499999996</v>
      </c>
      <c r="H50" s="109"/>
      <c r="I50" s="41"/>
      <c r="J50" s="37">
        <f>SUM(J47:J49)</f>
        <v>38.166463288783788</v>
      </c>
      <c r="K50" s="109"/>
      <c r="L50" s="172">
        <f t="shared" si="2"/>
        <v>1.8200407887837926</v>
      </c>
      <c r="M50" s="125">
        <f t="shared" si="9"/>
        <v>5.0074826175362727E-2</v>
      </c>
      <c r="N50" s="109"/>
      <c r="O50" s="373"/>
      <c r="P50" s="368"/>
      <c r="Q50" s="374"/>
      <c r="R50" s="375"/>
      <c r="S50" s="370"/>
      <c r="T50" s="109"/>
    </row>
    <row r="51" spans="1:360" x14ac:dyDescent="0.25">
      <c r="B51" s="42" t="s">
        <v>25</v>
      </c>
      <c r="C51" s="15"/>
      <c r="D51" s="99" t="s">
        <v>58</v>
      </c>
      <c r="E51" s="150">
        <f>E49</f>
        <v>775.875</v>
      </c>
      <c r="F51" s="43">
        <v>3.5999999999999999E-3</v>
      </c>
      <c r="G51" s="44">
        <f t="shared" ref="G51:G59" si="10">E51*F51</f>
        <v>2.7931499999999998</v>
      </c>
      <c r="H51" s="39">
        <f>H49</f>
        <v>750</v>
      </c>
      <c r="I51" s="43">
        <v>3.5999999999999999E-3</v>
      </c>
      <c r="J51" s="44">
        <f>$E51*I51</f>
        <v>2.7931499999999998</v>
      </c>
      <c r="K51" s="17"/>
      <c r="L51" s="173">
        <f>J51-G51</f>
        <v>0</v>
      </c>
      <c r="M51" s="126">
        <f t="shared" si="9"/>
        <v>0</v>
      </c>
      <c r="N51" s="325"/>
      <c r="O51" s="376"/>
      <c r="P51" s="377"/>
      <c r="Q51" s="238"/>
      <c r="R51" s="378"/>
      <c r="S51" s="379"/>
      <c r="T51" s="21"/>
    </row>
    <row r="52" spans="1:360" x14ac:dyDescent="0.25">
      <c r="B52" s="42" t="s">
        <v>26</v>
      </c>
      <c r="C52" s="15"/>
      <c r="D52" s="99" t="s">
        <v>58</v>
      </c>
      <c r="E52" s="150">
        <f>E49</f>
        <v>775.875</v>
      </c>
      <c r="F52" s="43">
        <v>1.2999999999999999E-3</v>
      </c>
      <c r="G52" s="44">
        <f t="shared" si="10"/>
        <v>1.0086374999999999</v>
      </c>
      <c r="H52" s="39">
        <f>H49</f>
        <v>750</v>
      </c>
      <c r="I52" s="43">
        <v>1.2999999999999999E-3</v>
      </c>
      <c r="J52" s="44">
        <f>$E52*I52</f>
        <v>1.0086374999999999</v>
      </c>
      <c r="K52" s="17"/>
      <c r="L52" s="173">
        <f t="shared" si="2"/>
        <v>0</v>
      </c>
      <c r="M52" s="126">
        <f t="shared" si="9"/>
        <v>0</v>
      </c>
      <c r="N52" s="325"/>
      <c r="O52" s="376"/>
      <c r="P52" s="377"/>
      <c r="Q52" s="238"/>
      <c r="R52" s="378"/>
      <c r="S52" s="379"/>
      <c r="T52" s="21"/>
    </row>
    <row r="53" spans="1:360" x14ac:dyDescent="0.25">
      <c r="B53" s="15" t="s">
        <v>27</v>
      </c>
      <c r="C53" s="15"/>
      <c r="D53" s="99" t="s">
        <v>57</v>
      </c>
      <c r="E53" s="147">
        <v>1</v>
      </c>
      <c r="F53" s="134">
        <v>0.25</v>
      </c>
      <c r="G53" s="44">
        <f t="shared" si="10"/>
        <v>0.25</v>
      </c>
      <c r="H53" s="17"/>
      <c r="I53" s="134">
        <v>0.25</v>
      </c>
      <c r="J53" s="44">
        <f t="shared" ref="J53:J59" si="11">$E53*I53</f>
        <v>0.25</v>
      </c>
      <c r="K53" s="17"/>
      <c r="L53" s="173">
        <f t="shared" si="2"/>
        <v>0</v>
      </c>
      <c r="M53" s="126">
        <f t="shared" si="9"/>
        <v>0</v>
      </c>
      <c r="N53" s="325"/>
      <c r="O53" s="380"/>
      <c r="P53" s="377"/>
      <c r="Q53" s="238"/>
      <c r="R53" s="378"/>
      <c r="S53" s="379"/>
      <c r="T53" s="21"/>
    </row>
    <row r="54" spans="1:360" x14ac:dyDescent="0.25">
      <c r="B54" s="15" t="s">
        <v>28</v>
      </c>
      <c r="C54" s="15"/>
      <c r="D54" s="99" t="s">
        <v>58</v>
      </c>
      <c r="E54" s="150">
        <f>F18</f>
        <v>750</v>
      </c>
      <c r="F54" s="43">
        <v>0</v>
      </c>
      <c r="G54" s="44">
        <f t="shared" si="10"/>
        <v>0</v>
      </c>
      <c r="H54" s="17"/>
      <c r="I54" s="46"/>
      <c r="J54" s="44">
        <f t="shared" si="11"/>
        <v>0</v>
      </c>
      <c r="K54" s="17"/>
      <c r="L54" s="173">
        <f t="shared" si="2"/>
        <v>0</v>
      </c>
      <c r="M54" s="126" t="str">
        <f t="shared" si="9"/>
        <v/>
      </c>
      <c r="N54" s="325"/>
      <c r="O54" s="381"/>
      <c r="P54" s="377"/>
      <c r="Q54" s="238"/>
      <c r="R54" s="378"/>
      <c r="S54" s="379"/>
      <c r="T54" s="21"/>
    </row>
    <row r="55" spans="1:360" x14ac:dyDescent="0.25">
      <c r="B55" s="31" t="s">
        <v>29</v>
      </c>
      <c r="C55" s="15"/>
      <c r="D55" s="99" t="s">
        <v>58</v>
      </c>
      <c r="E55" s="151">
        <f>0.64*$F$18</f>
        <v>480</v>
      </c>
      <c r="F55" s="46">
        <v>8.6999999999999994E-2</v>
      </c>
      <c r="G55" s="44">
        <f t="shared" si="10"/>
        <v>41.76</v>
      </c>
      <c r="H55" s="17"/>
      <c r="I55" s="46">
        <f>F55</f>
        <v>8.6999999999999994E-2</v>
      </c>
      <c r="J55" s="44">
        <f t="shared" si="11"/>
        <v>41.76</v>
      </c>
      <c r="K55" s="17"/>
      <c r="L55" s="174">
        <f t="shared" si="2"/>
        <v>0</v>
      </c>
      <c r="M55" s="126">
        <f t="shared" si="9"/>
        <v>0</v>
      </c>
      <c r="N55" s="325"/>
      <c r="O55" s="381"/>
      <c r="P55" s="377"/>
      <c r="Q55" s="238"/>
      <c r="R55" s="382"/>
      <c r="S55" s="379"/>
      <c r="T55" s="21"/>
    </row>
    <row r="56" spans="1:360" x14ac:dyDescent="0.25">
      <c r="B56" s="31" t="s">
        <v>30</v>
      </c>
      <c r="C56" s="15"/>
      <c r="D56" s="99" t="s">
        <v>58</v>
      </c>
      <c r="E56" s="151">
        <f>0.18*$F$18</f>
        <v>135</v>
      </c>
      <c r="F56" s="46">
        <v>0.13200000000000001</v>
      </c>
      <c r="G56" s="44">
        <f t="shared" si="10"/>
        <v>17.82</v>
      </c>
      <c r="H56" s="17"/>
      <c r="I56" s="46">
        <f t="shared" ref="I56:I59" si="12">F56</f>
        <v>0.13200000000000001</v>
      </c>
      <c r="J56" s="44">
        <f t="shared" si="11"/>
        <v>17.82</v>
      </c>
      <c r="K56" s="17"/>
      <c r="L56" s="174">
        <f t="shared" si="2"/>
        <v>0</v>
      </c>
      <c r="M56" s="126">
        <f t="shared" si="9"/>
        <v>0</v>
      </c>
      <c r="N56" s="325"/>
      <c r="O56" s="381"/>
      <c r="P56" s="377"/>
      <c r="Q56" s="238"/>
      <c r="R56" s="382"/>
      <c r="S56" s="379"/>
      <c r="T56" s="21"/>
    </row>
    <row r="57" spans="1:360" x14ac:dyDescent="0.25">
      <c r="B57" s="7" t="s">
        <v>31</v>
      </c>
      <c r="C57" s="15"/>
      <c r="D57" s="99" t="s">
        <v>58</v>
      </c>
      <c r="E57" s="151">
        <f>0.18*$F$18</f>
        <v>135</v>
      </c>
      <c r="F57" s="46">
        <v>0.18</v>
      </c>
      <c r="G57" s="44">
        <f t="shared" si="10"/>
        <v>24.3</v>
      </c>
      <c r="H57" s="17"/>
      <c r="I57" s="46">
        <f t="shared" si="12"/>
        <v>0.18</v>
      </c>
      <c r="J57" s="44">
        <f t="shared" si="11"/>
        <v>24.3</v>
      </c>
      <c r="K57" s="17"/>
      <c r="L57" s="174">
        <f t="shared" si="2"/>
        <v>0</v>
      </c>
      <c r="M57" s="126">
        <f t="shared" si="9"/>
        <v>0</v>
      </c>
      <c r="N57" s="325"/>
      <c r="O57" s="381"/>
      <c r="P57" s="377"/>
      <c r="Q57" s="238"/>
      <c r="R57" s="382"/>
      <c r="S57" s="379"/>
      <c r="T57" s="21"/>
    </row>
    <row r="58" spans="1:360" s="51" customFormat="1" x14ac:dyDescent="0.2">
      <c r="B58" s="48" t="s">
        <v>127</v>
      </c>
      <c r="C58" s="49"/>
      <c r="D58" s="102" t="s">
        <v>58</v>
      </c>
      <c r="E58" s="152">
        <f>IF(AND($R$1=1, F18&gt;=600), 600, IF(AND($R$1=1, AND(F18&lt;600, F18&gt;=2)), F18, IF(AND($R$1=2, F18&gt;=1000), 1000, IF(AND($R$1=2, AND(F18&lt;1000, F18&gt;=0)), F18))))</f>
        <v>750</v>
      </c>
      <c r="F58" s="43">
        <v>1.1000000000000001E-3</v>
      </c>
      <c r="G58" s="44">
        <f t="shared" si="10"/>
        <v>0.82500000000000007</v>
      </c>
      <c r="H58" s="110"/>
      <c r="I58" s="43">
        <v>1.1000000000000001E-3</v>
      </c>
      <c r="J58" s="44">
        <f>$E58*I58</f>
        <v>0.82500000000000007</v>
      </c>
      <c r="K58" s="110"/>
      <c r="L58" s="173">
        <f t="shared" si="2"/>
        <v>0</v>
      </c>
      <c r="M58" s="126">
        <f t="shared" si="9"/>
        <v>0</v>
      </c>
      <c r="N58" s="326"/>
      <c r="O58" s="381"/>
      <c r="P58" s="377"/>
      <c r="Q58" s="383"/>
      <c r="R58" s="382"/>
      <c r="S58" s="379"/>
      <c r="T58" s="107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</row>
    <row r="59" spans="1:360" s="51" customFormat="1" ht="15.75" thickBot="1" x14ac:dyDescent="0.25">
      <c r="B59" s="48"/>
      <c r="C59" s="49"/>
      <c r="D59" s="102"/>
      <c r="E59" s="152"/>
      <c r="F59" s="46"/>
      <c r="G59" s="44">
        <f t="shared" si="10"/>
        <v>0</v>
      </c>
      <c r="H59" s="110"/>
      <c r="I59" s="46">
        <f t="shared" si="12"/>
        <v>0</v>
      </c>
      <c r="J59" s="44">
        <f t="shared" si="11"/>
        <v>0</v>
      </c>
      <c r="K59" s="110"/>
      <c r="L59" s="174">
        <f t="shared" si="2"/>
        <v>0</v>
      </c>
      <c r="M59" s="126" t="str">
        <f t="shared" si="9"/>
        <v/>
      </c>
      <c r="N59" s="326"/>
      <c r="O59" s="381"/>
      <c r="P59" s="377"/>
      <c r="Q59" s="383"/>
      <c r="R59" s="382"/>
      <c r="S59" s="379"/>
      <c r="T59" s="107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</row>
    <row r="60" spans="1:360" ht="15.75" thickBot="1" x14ac:dyDescent="0.3">
      <c r="B60" s="52"/>
      <c r="C60" s="53"/>
      <c r="D60" s="103"/>
      <c r="E60" s="153"/>
      <c r="F60" s="85"/>
      <c r="G60" s="86"/>
      <c r="H60" s="17"/>
      <c r="I60" s="85"/>
      <c r="J60" s="86"/>
      <c r="K60" s="17"/>
      <c r="L60" s="175"/>
      <c r="M60" s="127"/>
      <c r="N60" s="325"/>
      <c r="O60" s="384"/>
      <c r="P60" s="385"/>
      <c r="Q60" s="238"/>
      <c r="R60" s="386"/>
      <c r="S60" s="387"/>
      <c r="T60" s="21"/>
    </row>
    <row r="61" spans="1:360" x14ac:dyDescent="0.25">
      <c r="B61" s="55" t="s">
        <v>32</v>
      </c>
      <c r="C61" s="15"/>
      <c r="D61" s="15"/>
      <c r="E61" s="154"/>
      <c r="F61" s="56"/>
      <c r="G61" s="58">
        <f>SUM(G51:G58,G50)</f>
        <v>125.10320999999999</v>
      </c>
      <c r="H61" s="57"/>
      <c r="I61" s="56"/>
      <c r="J61" s="58">
        <f>SUM(J51:J58,J50)</f>
        <v>126.92325078878379</v>
      </c>
      <c r="K61" s="57"/>
      <c r="L61" s="176">
        <f>J61-G61</f>
        <v>1.8200407887837997</v>
      </c>
      <c r="M61" s="128">
        <f>IF((G61)=0,"",(L61/G61))</f>
        <v>1.4548314058318726E-2</v>
      </c>
      <c r="N61" s="327"/>
      <c r="O61" s="388"/>
      <c r="P61" s="389"/>
      <c r="Q61" s="374"/>
      <c r="R61" s="390"/>
      <c r="S61" s="391"/>
      <c r="T61" s="337"/>
    </row>
    <row r="62" spans="1:360" x14ac:dyDescent="0.25">
      <c r="B62" s="59" t="s">
        <v>33</v>
      </c>
      <c r="C62" s="15"/>
      <c r="D62" s="15"/>
      <c r="E62" s="155"/>
      <c r="F62" s="60">
        <v>0.13</v>
      </c>
      <c r="G62" s="62">
        <f>G61*F62</f>
        <v>16.2634173</v>
      </c>
      <c r="H62" s="61"/>
      <c r="I62" s="60">
        <v>0.13</v>
      </c>
      <c r="J62" s="62">
        <f>J61*I62</f>
        <v>16.500022602541893</v>
      </c>
      <c r="K62" s="61"/>
      <c r="L62" s="176">
        <f>J62-G62</f>
        <v>0.23660530254189283</v>
      </c>
      <c r="M62" s="129">
        <f>IF((G62)=0,"",(L62/G62))</f>
        <v>1.4548314058318655E-2</v>
      </c>
      <c r="N62" s="328"/>
      <c r="O62" s="392"/>
      <c r="P62" s="393"/>
      <c r="Q62" s="394"/>
      <c r="R62" s="390"/>
      <c r="S62" s="395"/>
      <c r="T62" s="338"/>
    </row>
    <row r="63" spans="1:360" x14ac:dyDescent="0.25">
      <c r="B63" s="63" t="s">
        <v>34</v>
      </c>
      <c r="C63" s="15"/>
      <c r="D63" s="15"/>
      <c r="E63" s="155"/>
      <c r="F63" s="64"/>
      <c r="G63" s="62">
        <f>G61+G62</f>
        <v>141.3666273</v>
      </c>
      <c r="H63" s="61"/>
      <c r="I63" s="64"/>
      <c r="J63" s="62">
        <f>J61+J62</f>
        <v>143.42327339132569</v>
      </c>
      <c r="K63" s="61"/>
      <c r="L63" s="176">
        <f>J63-G63</f>
        <v>2.056646091325689</v>
      </c>
      <c r="M63" s="129">
        <f>IF((G63)=0,"",(L63/G63))</f>
        <v>1.4548314058318692E-2</v>
      </c>
      <c r="N63" s="328"/>
      <c r="O63" s="396"/>
      <c r="P63" s="393"/>
      <c r="Q63" s="394"/>
      <c r="R63" s="390"/>
      <c r="S63" s="395"/>
      <c r="T63" s="338"/>
    </row>
    <row r="64" spans="1:360" ht="15" customHeight="1" x14ac:dyDescent="0.25">
      <c r="B64" s="483" t="s">
        <v>35</v>
      </c>
      <c r="C64" s="483"/>
      <c r="D64" s="483"/>
      <c r="E64" s="155"/>
      <c r="F64" s="56">
        <v>0</v>
      </c>
      <c r="G64" s="65">
        <f>-G63*F64</f>
        <v>0</v>
      </c>
      <c r="H64" s="61"/>
      <c r="I64" s="64"/>
      <c r="J64" s="65"/>
      <c r="K64" s="61"/>
      <c r="L64" s="177">
        <f>J64-G64</f>
        <v>0</v>
      </c>
      <c r="M64" s="130" t="str">
        <f>IF((G64)=0,"",(L64/G64))</f>
        <v/>
      </c>
      <c r="N64" s="328"/>
      <c r="O64" s="396"/>
      <c r="P64" s="397"/>
      <c r="Q64" s="394"/>
      <c r="R64" s="398"/>
      <c r="S64" s="399"/>
      <c r="T64" s="338"/>
    </row>
    <row r="65" spans="1:360" ht="15.75" customHeight="1" thickBot="1" x14ac:dyDescent="0.3">
      <c r="B65" s="484" t="s">
        <v>36</v>
      </c>
      <c r="C65" s="484"/>
      <c r="D65" s="484"/>
      <c r="E65" s="156"/>
      <c r="F65" s="66"/>
      <c r="G65" s="67">
        <f>G63+G64</f>
        <v>141.3666273</v>
      </c>
      <c r="H65" s="57"/>
      <c r="I65" s="66"/>
      <c r="J65" s="67">
        <f>J63+J64</f>
        <v>143.42327339132569</v>
      </c>
      <c r="K65" s="57"/>
      <c r="L65" s="178">
        <f>J65-G65</f>
        <v>2.056646091325689</v>
      </c>
      <c r="M65" s="131">
        <f>IF((G65)=0,"",(L65/G65))</f>
        <v>1.4548314058318692E-2</v>
      </c>
      <c r="N65" s="327"/>
      <c r="O65" s="400"/>
      <c r="P65" s="401"/>
      <c r="Q65" s="374"/>
      <c r="R65" s="402"/>
      <c r="S65" s="403"/>
      <c r="T65" s="337"/>
    </row>
    <row r="66" spans="1:360" s="51" customFormat="1" ht="15.75" thickBot="1" x14ac:dyDescent="0.25">
      <c r="B66" s="68"/>
      <c r="C66" s="69"/>
      <c r="D66" s="70"/>
      <c r="E66" s="157"/>
      <c r="F66" s="85"/>
      <c r="G66" s="86"/>
      <c r="H66" s="110"/>
      <c r="I66" s="85"/>
      <c r="J66" s="86"/>
      <c r="K66" s="110"/>
      <c r="L66" s="179"/>
      <c r="M66" s="127"/>
      <c r="N66" s="326"/>
      <c r="O66" s="384"/>
      <c r="P66" s="385"/>
      <c r="Q66" s="383"/>
      <c r="R66" s="404"/>
      <c r="S66" s="387"/>
      <c r="T66" s="107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</row>
    <row r="67" spans="1:360" s="51" customFormat="1" ht="12.75" hidden="1" outlineLevel="1" x14ac:dyDescent="0.2">
      <c r="B67" s="72" t="s">
        <v>37</v>
      </c>
      <c r="C67" s="49"/>
      <c r="D67" s="49"/>
      <c r="E67" s="158"/>
      <c r="F67" s="73"/>
      <c r="G67" s="75">
        <f>SUM(G58:G59,G50,G51:G54)</f>
        <v>41.223209999999995</v>
      </c>
      <c r="H67" s="74"/>
      <c r="I67" s="73"/>
      <c r="J67" s="75">
        <f>SUM(J58:J59,J50,J51:J54)</f>
        <v>43.043250788783787</v>
      </c>
      <c r="K67" s="74"/>
      <c r="L67" s="180">
        <f>J67-G67</f>
        <v>1.8200407887837926</v>
      </c>
      <c r="M67" s="128">
        <f>IF((G67)=0,"",(L67/G67))</f>
        <v>4.4150874926620051E-2</v>
      </c>
      <c r="N67" s="332"/>
      <c r="O67" s="405"/>
      <c r="P67" s="406"/>
      <c r="Q67" s="407"/>
      <c r="R67" s="408"/>
      <c r="S67" s="391"/>
      <c r="T67" s="339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</row>
    <row r="68" spans="1:360" s="51" customFormat="1" ht="12.75" hidden="1" outlineLevel="1" x14ac:dyDescent="0.2">
      <c r="B68" s="76" t="s">
        <v>33</v>
      </c>
      <c r="C68" s="49"/>
      <c r="D68" s="49"/>
      <c r="E68" s="158"/>
      <c r="F68" s="77">
        <v>0.13</v>
      </c>
      <c r="G68" s="79">
        <f>G67*F68</f>
        <v>5.3590172999999997</v>
      </c>
      <c r="H68" s="78"/>
      <c r="I68" s="77">
        <v>0.13</v>
      </c>
      <c r="J68" s="79">
        <f>J67*I68</f>
        <v>5.5956226025418925</v>
      </c>
      <c r="K68" s="78"/>
      <c r="L68" s="180">
        <f>J68-G68</f>
        <v>0.23660530254189283</v>
      </c>
      <c r="M68" s="129">
        <f>IF((G68)=0,"",(L68/G68))</f>
        <v>4.4150874926620003E-2</v>
      </c>
      <c r="N68" s="333"/>
      <c r="O68" s="409"/>
      <c r="P68" s="410"/>
      <c r="Q68" s="411"/>
      <c r="R68" s="408"/>
      <c r="S68" s="395"/>
      <c r="T68" s="340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80" t="s">
        <v>34</v>
      </c>
      <c r="C69" s="49"/>
      <c r="D69" s="49"/>
      <c r="E69" s="159"/>
      <c r="F69" s="81"/>
      <c r="G69" s="79">
        <f>G67+G68</f>
        <v>46.582227299999992</v>
      </c>
      <c r="H69" s="78"/>
      <c r="I69" s="81"/>
      <c r="J69" s="79">
        <f>J67+J68</f>
        <v>48.638873391325681</v>
      </c>
      <c r="K69" s="78"/>
      <c r="L69" s="180">
        <f>J69-G69</f>
        <v>2.056646091325689</v>
      </c>
      <c r="M69" s="129">
        <f>IF((G69)=0,"",(L69/G69))</f>
        <v>4.4150874926620121E-2</v>
      </c>
      <c r="N69" s="333"/>
      <c r="O69" s="412"/>
      <c r="P69" s="410"/>
      <c r="Q69" s="411"/>
      <c r="R69" s="408"/>
      <c r="S69" s="395"/>
      <c r="T69" s="340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customHeight="1" outlineLevel="1" x14ac:dyDescent="0.2">
      <c r="B70" s="485" t="s">
        <v>35</v>
      </c>
      <c r="C70" s="485"/>
      <c r="D70" s="485"/>
      <c r="E70" s="159"/>
      <c r="F70" s="73">
        <v>0.1</v>
      </c>
      <c r="G70" s="82">
        <f>-G69*F70</f>
        <v>-4.6582227299999994</v>
      </c>
      <c r="H70" s="78"/>
      <c r="I70" s="81"/>
      <c r="J70" s="82"/>
      <c r="K70" s="78"/>
      <c r="L70" s="181">
        <f>J70-G70</f>
        <v>4.6582227299999994</v>
      </c>
      <c r="M70" s="130">
        <f>IF((G70)=0,"",(L70/G70))</f>
        <v>-1</v>
      </c>
      <c r="N70" s="333"/>
      <c r="O70" s="412"/>
      <c r="P70" s="413"/>
      <c r="Q70" s="411"/>
      <c r="R70" s="414"/>
      <c r="S70" s="399"/>
      <c r="T70" s="340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3.5" hidden="1" customHeight="1" outlineLevel="1" thickBot="1" x14ac:dyDescent="0.2">
      <c r="B71" s="476" t="s">
        <v>38</v>
      </c>
      <c r="C71" s="476"/>
      <c r="D71" s="476"/>
      <c r="E71" s="160"/>
      <c r="F71" s="83"/>
      <c r="G71" s="84">
        <f>SUM(G69:G70)</f>
        <v>41.924004569999994</v>
      </c>
      <c r="H71" s="74"/>
      <c r="I71" s="83"/>
      <c r="J71" s="84">
        <f>SUM(J69:J70)</f>
        <v>48.638873391325681</v>
      </c>
      <c r="K71" s="74"/>
      <c r="L71" s="182">
        <f>J71-G71</f>
        <v>6.7148688213256875</v>
      </c>
      <c r="M71" s="132">
        <f>IF((G71)=0,"",(L71/G71))</f>
        <v>0.16016763880735568</v>
      </c>
      <c r="N71" s="332"/>
      <c r="O71" s="415"/>
      <c r="P71" s="416"/>
      <c r="Q71" s="407"/>
      <c r="R71" s="417"/>
      <c r="S71" s="403"/>
      <c r="T71" s="339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5.75" hidden="1" outlineLevel="1" thickBot="1" x14ac:dyDescent="0.25">
      <c r="B72" s="68"/>
      <c r="C72" s="69"/>
      <c r="D72" s="70"/>
      <c r="E72" s="157"/>
      <c r="F72" s="85"/>
      <c r="G72" s="91"/>
      <c r="H72" s="110"/>
      <c r="I72" s="85"/>
      <c r="J72" s="91"/>
      <c r="K72" s="110"/>
      <c r="L72" s="175"/>
      <c r="M72" s="133"/>
      <c r="N72" s="326"/>
      <c r="O72" s="384"/>
      <c r="P72" s="385"/>
      <c r="Q72" s="383"/>
      <c r="R72" s="386"/>
      <c r="S72" s="387"/>
      <c r="T72" s="107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collapsed="1" x14ac:dyDescent="0.25">
      <c r="J73" s="47"/>
      <c r="O73" s="331"/>
      <c r="P73" s="418"/>
      <c r="Q73" s="331"/>
      <c r="R73" s="341"/>
      <c r="S73" s="342"/>
    </row>
    <row r="74" spans="1:360" x14ac:dyDescent="0.25">
      <c r="B74" s="8" t="s">
        <v>39</v>
      </c>
      <c r="F74" s="87">
        <v>3.4500000000000003E-2</v>
      </c>
      <c r="I74" s="87">
        <v>3.4500000000000003E-2</v>
      </c>
      <c r="O74" s="419"/>
      <c r="P74" s="331"/>
      <c r="Q74" s="331"/>
      <c r="R74" s="341"/>
      <c r="S74" s="342"/>
    </row>
    <row r="75" spans="1:360" x14ac:dyDescent="0.25">
      <c r="O75" s="331"/>
      <c r="P75" s="331"/>
      <c r="Q75" s="331"/>
      <c r="R75" s="341"/>
      <c r="S75" s="342"/>
    </row>
    <row r="76" spans="1:360" x14ac:dyDescent="0.25">
      <c r="A76" s="88" t="s">
        <v>40</v>
      </c>
      <c r="O76" s="331"/>
      <c r="P76" s="331"/>
      <c r="Q76" s="331"/>
      <c r="R76" s="341"/>
      <c r="S76" s="342"/>
    </row>
    <row r="77" spans="1:360" x14ac:dyDescent="0.25">
      <c r="B77" s="265" t="s">
        <v>123</v>
      </c>
      <c r="O77" s="331"/>
      <c r="P77" s="331"/>
      <c r="Q77" s="331"/>
      <c r="R77" s="341"/>
      <c r="S77" s="342"/>
    </row>
    <row r="78" spans="1:360" x14ac:dyDescent="0.25">
      <c r="A78" s="2" t="s">
        <v>41</v>
      </c>
      <c r="B78" s="2" t="s">
        <v>124</v>
      </c>
      <c r="O78" s="331"/>
      <c r="P78" s="331"/>
      <c r="Q78" s="331"/>
      <c r="R78" s="341"/>
      <c r="S78" s="342"/>
    </row>
    <row r="79" spans="1:360" x14ac:dyDescent="0.25">
      <c r="A79" s="2" t="s">
        <v>42</v>
      </c>
      <c r="B79" s="2" t="s">
        <v>125</v>
      </c>
      <c r="O79" s="331"/>
      <c r="P79" s="331"/>
      <c r="Q79" s="331"/>
      <c r="R79" s="341"/>
      <c r="S79" s="342"/>
    </row>
    <row r="80" spans="1:360" x14ac:dyDescent="0.25">
      <c r="B80" s="2" t="s">
        <v>126</v>
      </c>
      <c r="O80" s="331"/>
      <c r="P80" s="331"/>
      <c r="Q80" s="331"/>
      <c r="R80" s="341"/>
      <c r="S80" s="342"/>
    </row>
    <row r="81" spans="1:360" x14ac:dyDescent="0.25">
      <c r="A81" s="7" t="s">
        <v>43</v>
      </c>
      <c r="M81" s="2"/>
      <c r="S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</row>
    <row r="82" spans="1:360" x14ac:dyDescent="0.25">
      <c r="A82" s="7" t="s">
        <v>44</v>
      </c>
      <c r="M82" s="2"/>
      <c r="S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</row>
    <row r="84" spans="1:360" x14ac:dyDescent="0.25">
      <c r="A84" s="2" t="s">
        <v>45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2" t="s">
        <v>46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A86" s="2" t="s">
        <v>47</v>
      </c>
      <c r="M86" s="2"/>
      <c r="S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A87" s="2" t="s">
        <v>48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49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90" spans="1:360" x14ac:dyDescent="0.25">
      <c r="A90" s="89"/>
      <c r="B90" s="2" t="s">
        <v>50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</sheetData>
  <mergeCells count="14">
    <mergeCell ref="B71:D71"/>
    <mergeCell ref="O20:P20"/>
    <mergeCell ref="R20:S20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8:D49 D40:D46 D66 D51:D60 D72 D23:D38">
      <formula1>"Monthly, per kWh, per kW"</formula1>
    </dataValidation>
  </dataValidations>
  <pageMargins left="0.7" right="0.7" top="0.75" bottom="0.75" header="0.3" footer="0.3"/>
  <pageSetup scale="4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0"/>
  <sheetViews>
    <sheetView view="pageBreakPreview" topLeftCell="B1" zoomScale="70" zoomScaleNormal="70" zoomScaleSheetLayoutView="70" workbookViewId="0">
      <selection activeCell="Z8" sqref="Z8"/>
    </sheetView>
  </sheetViews>
  <sheetFormatPr defaultRowHeight="15" outlineLevelRow="1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87" customWidth="1"/>
    <col min="6" max="6" width="12.28515625" style="2" customWidth="1"/>
    <col min="7" max="7" width="12.42578125" style="2" customWidth="1"/>
    <col min="8" max="8" width="1.85546875" style="2" customWidth="1"/>
    <col min="9" max="10" width="13.5703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2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1" width="0" style="29" hidden="1" customWidth="1" outlineLevel="1"/>
    <col min="22" max="22" width="9.140625" style="29" collapsed="1"/>
    <col min="23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183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18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18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185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186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186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186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121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73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188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188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188"/>
      <c r="F17" s="5"/>
      <c r="G17" s="5"/>
      <c r="H17" s="5"/>
      <c r="K17" s="5"/>
      <c r="L17" s="163"/>
      <c r="M17" s="119"/>
      <c r="N17" s="5"/>
      <c r="O17" s="420"/>
      <c r="P17" s="420"/>
      <c r="Q17" s="420"/>
      <c r="R17" s="421"/>
      <c r="S17" s="422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189"/>
      <c r="F18" s="9">
        <v>2000</v>
      </c>
      <c r="O18" s="331"/>
      <c r="P18" s="331"/>
      <c r="Q18" s="331"/>
      <c r="R18" s="341"/>
      <c r="S18" s="34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O19" s="331"/>
      <c r="P19" s="331"/>
      <c r="Q19" s="331"/>
      <c r="R19" s="341"/>
      <c r="S19" s="34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5.75" customHeight="1" x14ac:dyDescent="0.25">
      <c r="B20" s="7"/>
      <c r="D20" s="10"/>
      <c r="E20" s="189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481" t="s">
        <v>5</v>
      </c>
      <c r="E21" s="190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482"/>
      <c r="E22" s="191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[3]Rates!$A$48</f>
        <v>Fix_GS</v>
      </c>
      <c r="B23" s="15" t="s">
        <v>12</v>
      </c>
      <c r="C23" s="15"/>
      <c r="D23" s="99" t="s">
        <v>57</v>
      </c>
      <c r="E23" s="137">
        <v>1</v>
      </c>
      <c r="F23" s="114">
        <f>IF($A23&lt;&gt;"",VLOOKUP($A23,[3]Rates!$A$1:$R$65536,12,FALSE),0)</f>
        <v>26.08</v>
      </c>
      <c r="G23" s="18">
        <f t="shared" ref="G23:G38" si="0">E23*F23</f>
        <v>26.08</v>
      </c>
      <c r="H23" s="38"/>
      <c r="I23" s="114">
        <f>IF($A23&lt;&gt;"",VLOOKUP($A23,[3]Rates!$A$1:$R$65536,14,FALSE),0)</f>
        <v>26.55</v>
      </c>
      <c r="J23" s="18">
        <f>$E23*I23</f>
        <v>26.55</v>
      </c>
      <c r="K23" s="38"/>
      <c r="L23" s="167">
        <f>J23-G23</f>
        <v>0.47000000000000242</v>
      </c>
      <c r="M23" s="123">
        <f>IF((G23)=0,"",(L23/G23))</f>
        <v>1.8021472392638131E-2</v>
      </c>
      <c r="N23" s="38"/>
      <c r="O23" s="349"/>
      <c r="P23" s="350"/>
      <c r="Q23" s="238"/>
      <c r="R23" s="351"/>
      <c r="S23" s="352"/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3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59" si="2">J24-G24</f>
        <v>0</v>
      </c>
      <c r="M24" s="123" t="str">
        <f t="shared" ref="M24:M45" si="3">IF((G24)=0,"",(L24/G24))</f>
        <v/>
      </c>
      <c r="N24" s="38"/>
      <c r="O24" s="349"/>
      <c r="P24" s="350"/>
      <c r="Q24" s="238"/>
      <c r="R24" s="351"/>
      <c r="S24" s="352"/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5" customFormat="1" x14ac:dyDescent="0.25">
      <c r="A25" s="289" t="str">
        <f>[3]Rates!$A$50</f>
        <v>PPE_GS</v>
      </c>
      <c r="B25" s="299" t="s">
        <v>71</v>
      </c>
      <c r="C25" s="291"/>
      <c r="D25" s="292" t="s">
        <v>57</v>
      </c>
      <c r="E25" s="293">
        <v>1</v>
      </c>
      <c r="F25" s="300">
        <f>IF($A25&lt;&gt;"",VLOOKUP($A25,[3]Rates!$A$1:$R$65536,12,FALSE),0)</f>
        <v>0.55000000000000004</v>
      </c>
      <c r="G25" s="295">
        <f t="shared" si="0"/>
        <v>0.55000000000000004</v>
      </c>
      <c r="H25" s="296"/>
      <c r="I25" s="300">
        <f>IF($A25&lt;&gt;"",VLOOKUP($A25,[3]Rates!$A$1:$R$65536,14,FALSE),0)</f>
        <v>0.55000000000000004</v>
      </c>
      <c r="J25" s="295">
        <f t="shared" si="1"/>
        <v>0.55000000000000004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296"/>
    </row>
    <row r="26" spans="1:360" s="265" customFormat="1" x14ac:dyDescent="0.25">
      <c r="A26" s="289" t="str">
        <f>[3]Rates!$A$51</f>
        <v>ICMF_GS</v>
      </c>
      <c r="B26" s="299" t="s">
        <v>72</v>
      </c>
      <c r="C26" s="291"/>
      <c r="D26" s="292" t="s">
        <v>57</v>
      </c>
      <c r="E26" s="293">
        <v>1</v>
      </c>
      <c r="F26" s="300">
        <f>IF($A26&lt;&gt;"",VLOOKUP($A26,[3]Rates!$A$1:$R$65536,12,FALSE),0)</f>
        <v>0.14000000000000001</v>
      </c>
      <c r="G26" s="295">
        <f t="shared" si="0"/>
        <v>0.14000000000000001</v>
      </c>
      <c r="H26" s="296"/>
      <c r="I26" s="300">
        <f>IF($A26&lt;&gt;"",VLOOKUP($A26,[3]Rates!$A$1:$R$65536,14,FALSE),0)</f>
        <v>0.14000000000000001</v>
      </c>
      <c r="J26" s="295">
        <f t="shared" si="1"/>
        <v>0.14000000000000001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296"/>
    </row>
    <row r="27" spans="1:360" x14ac:dyDescent="0.25">
      <c r="A27" s="139" t="s">
        <v>130</v>
      </c>
      <c r="B27" s="22" t="s">
        <v>131</v>
      </c>
      <c r="C27" s="15"/>
      <c r="D27" s="305" t="s">
        <v>57</v>
      </c>
      <c r="E27" s="13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1.4</v>
      </c>
      <c r="J27" s="18">
        <f t="shared" si="1"/>
        <v>1.4</v>
      </c>
      <c r="K27" s="38"/>
      <c r="L27" s="167">
        <f t="shared" si="2"/>
        <v>1.4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3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[3]Rates!$A$53</f>
        <v>Var_GS</v>
      </c>
      <c r="B29" s="15" t="s">
        <v>14</v>
      </c>
      <c r="C29" s="15"/>
      <c r="D29" s="99" t="s">
        <v>58</v>
      </c>
      <c r="E29" s="137">
        <f>$F$18</f>
        <v>2000</v>
      </c>
      <c r="F29" s="16">
        <f>IF($A29&lt;&gt;"",VLOOKUP($A29,[3]Rates!$A$1:$R$65536,12,FALSE),0)</f>
        <v>1.3899999999999999E-2</v>
      </c>
      <c r="G29" s="18">
        <f t="shared" si="0"/>
        <v>27.799999999999997</v>
      </c>
      <c r="H29" s="38"/>
      <c r="I29" s="16">
        <f>IF($A29&lt;&gt;"",VLOOKUP($A29,[3]Rates!$A$1:$R$65536,14,FALSE),0)</f>
        <v>1.4200000000000001E-2</v>
      </c>
      <c r="J29" s="18">
        <f t="shared" si="1"/>
        <v>28.400000000000002</v>
      </c>
      <c r="K29" s="38"/>
      <c r="L29" s="167">
        <f t="shared" si="2"/>
        <v>0.60000000000000497</v>
      </c>
      <c r="M29" s="123">
        <f t="shared" si="3"/>
        <v>2.1582733812949822E-2</v>
      </c>
      <c r="N29" s="38"/>
      <c r="O29" s="358"/>
      <c r="P29" s="350"/>
      <c r="Q29" s="238"/>
      <c r="R29" s="351"/>
      <c r="S29" s="352"/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37">
        <f t="shared" ref="E30" si="4">$F$18</f>
        <v>2000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132</v>
      </c>
      <c r="B31" s="22" t="s">
        <v>133</v>
      </c>
      <c r="C31" s="15"/>
      <c r="D31" s="99" t="s">
        <v>58</v>
      </c>
      <c r="E31" s="137">
        <f>$F$18</f>
        <v>2000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8.9999999999999998E-4</v>
      </c>
      <c r="J31" s="18">
        <f t="shared" si="1"/>
        <v>1.8</v>
      </c>
      <c r="K31" s="38"/>
      <c r="L31" s="167">
        <f t="shared" si="2"/>
        <v>1.8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5" customFormat="1" x14ac:dyDescent="0.25">
      <c r="A32" s="289" t="str">
        <f>[3]Rates!$A$60</f>
        <v>ICMV_GS</v>
      </c>
      <c r="B32" s="290" t="s">
        <v>72</v>
      </c>
      <c r="C32" s="291"/>
      <c r="D32" s="292" t="s">
        <v>58</v>
      </c>
      <c r="E32" s="293">
        <f t="shared" ref="E32:E35" si="5">$F$18</f>
        <v>2000</v>
      </c>
      <c r="F32" s="294">
        <f>IF($A32&lt;&gt;"",VLOOKUP($A32,[3]Rates!$A$1:$R$65536,12,FALSE),0)</f>
        <v>1E-4</v>
      </c>
      <c r="G32" s="295">
        <f t="shared" si="0"/>
        <v>0.2</v>
      </c>
      <c r="H32" s="296"/>
      <c r="I32" s="16">
        <f>IF($A32&lt;&gt;"",VLOOKUP($A32,[3]Rates!$A$1:$R$65536,14,FALSE),0)</f>
        <v>1E-4</v>
      </c>
      <c r="J32" s="295">
        <f t="shared" si="1"/>
        <v>0.2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296"/>
    </row>
    <row r="33" spans="1:360" x14ac:dyDescent="0.25">
      <c r="A33" s="139" t="str">
        <f>[3]Rates!$A69</f>
        <v>2RAL16_GS</v>
      </c>
      <c r="B33" s="23" t="str">
        <f>[3]Rates!$B69</f>
        <v xml:space="preserve">Disposition of Deferral/Variance Accounts - Group 2 Accounts (2016) </v>
      </c>
      <c r="C33" s="15"/>
      <c r="D33" s="99" t="s">
        <v>58</v>
      </c>
      <c r="E33" s="137">
        <f t="shared" si="5"/>
        <v>2000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2.0000000000000001E-4</v>
      </c>
      <c r="J33" s="18">
        <f t="shared" si="1"/>
        <v>0.4</v>
      </c>
      <c r="K33" s="38"/>
      <c r="L33" s="167">
        <f t="shared" si="2"/>
        <v>0.4</v>
      </c>
      <c r="M33" s="123" t="str">
        <f t="shared" si="3"/>
        <v/>
      </c>
      <c r="N33" s="38"/>
      <c r="O33" s="358"/>
      <c r="P33" s="350"/>
      <c r="Q33" s="238"/>
      <c r="R33" s="351"/>
      <c r="S33" s="352"/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[3]Rates!$A70</f>
        <v>LRVA16_GS</v>
      </c>
      <c r="B34" s="23" t="str">
        <f>[3]Rates!$B70</f>
        <v>Lost Revenue Adjustment Mechanism Variance Account (LRAMVA) (2016)</v>
      </c>
      <c r="C34" s="15"/>
      <c r="D34" s="99" t="s">
        <v>58</v>
      </c>
      <c r="E34" s="137">
        <f t="shared" si="5"/>
        <v>2000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1E-4</v>
      </c>
      <c r="J34" s="18">
        <f t="shared" si="1"/>
        <v>0.2</v>
      </c>
      <c r="K34" s="38"/>
      <c r="L34" s="167">
        <f t="shared" si="2"/>
        <v>0.2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[3]Rates!$A71</f>
        <v>PPE16_GS</v>
      </c>
      <c r="B35" s="23" t="str">
        <f>[3]Rates!$B71</f>
        <v>Account 1575 (2016)</v>
      </c>
      <c r="C35" s="15"/>
      <c r="D35" s="99" t="s">
        <v>58</v>
      </c>
      <c r="E35" s="137">
        <f t="shared" si="5"/>
        <v>2000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[3]Rates!$A72</f>
        <v>SG16_GS</v>
      </c>
      <c r="B36" s="23" t="str">
        <f>[3]Rates!$B72</f>
        <v>Smart Grid True-up (2016)</v>
      </c>
      <c r="C36" s="15"/>
      <c r="D36" s="99" t="s">
        <v>57</v>
      </c>
      <c r="E36" s="137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-0.17</v>
      </c>
      <c r="J36" s="18">
        <f t="shared" si="1"/>
        <v>-0.17</v>
      </c>
      <c r="K36" s="38"/>
      <c r="L36" s="167">
        <f t="shared" si="2"/>
        <v>-0.17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 t="str">
        <f>[3]Rates!$A73</f>
        <v>SMA16_GS</v>
      </c>
      <c r="B37" s="23" t="str">
        <f>[3]Rates!$B73</f>
        <v>Recovery of Stranded Meter Assets (2016)</v>
      </c>
      <c r="C37" s="15"/>
      <c r="D37" s="99" t="s">
        <v>57</v>
      </c>
      <c r="E37" s="137">
        <v>1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14">
        <f>IF($A37&lt;&gt;"",VLOOKUP($A37,[3]Rates!$A$1:$R$65536,14,FALSE),0)</f>
        <v>0.21</v>
      </c>
      <c r="J37" s="18">
        <f t="shared" si="1"/>
        <v>0.21</v>
      </c>
      <c r="K37" s="38"/>
      <c r="L37" s="167">
        <f t="shared" si="2"/>
        <v>0.21</v>
      </c>
      <c r="M37" s="123" t="str">
        <f t="shared" si="3"/>
        <v/>
      </c>
      <c r="N37" s="38"/>
      <c r="O37" s="349"/>
      <c r="P37" s="350"/>
      <c r="Q37" s="238"/>
      <c r="R37" s="351"/>
      <c r="S37" s="352"/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s="265" customFormat="1" x14ac:dyDescent="0.25">
      <c r="A38" s="289" t="str">
        <f>[3]Rates!$A$65</f>
        <v>LRVA_GS</v>
      </c>
      <c r="B38" s="290"/>
      <c r="C38" s="291"/>
      <c r="D38" s="305" t="s">
        <v>58</v>
      </c>
      <c r="E38" s="308">
        <f>E35</f>
        <v>2000</v>
      </c>
      <c r="F38" s="294"/>
      <c r="G38" s="295">
        <f t="shared" si="0"/>
        <v>0</v>
      </c>
      <c r="H38" s="296"/>
      <c r="I38" s="294">
        <f>IF($A38&lt;&gt;"",VLOOKUP($A38,[3]Rates!$A$1:$R$65536,14,FALSE),0)</f>
        <v>0</v>
      </c>
      <c r="J38" s="295">
        <f t="shared" si="1"/>
        <v>0</v>
      </c>
      <c r="K38" s="296"/>
      <c r="L38" s="297">
        <f t="shared" si="2"/>
        <v>0</v>
      </c>
      <c r="M38" s="298" t="str">
        <f t="shared" si="3"/>
        <v/>
      </c>
      <c r="N38" s="296"/>
      <c r="O38" s="428"/>
      <c r="P38" s="424"/>
      <c r="Q38" s="425"/>
      <c r="R38" s="426"/>
      <c r="S38" s="427"/>
      <c r="T38" s="296"/>
    </row>
    <row r="39" spans="1:360" s="29" customFormat="1" x14ac:dyDescent="0.25">
      <c r="A39" s="139"/>
      <c r="B39" s="24" t="s">
        <v>17</v>
      </c>
      <c r="C39" s="25"/>
      <c r="D39" s="100"/>
      <c r="E39" s="192"/>
      <c r="F39" s="26"/>
      <c r="G39" s="28">
        <f>SUM(G23:G38)</f>
        <v>54.769999999999996</v>
      </c>
      <c r="H39" s="38"/>
      <c r="I39" s="26"/>
      <c r="J39" s="28">
        <f>SUM(J23:J38)</f>
        <v>59.680000000000007</v>
      </c>
      <c r="K39" s="38"/>
      <c r="L39" s="168">
        <f t="shared" si="2"/>
        <v>4.9100000000000108</v>
      </c>
      <c r="M39" s="124">
        <f>IF((G39)=0,"",(L39/G39))</f>
        <v>8.9647617308745861E-2</v>
      </c>
      <c r="N39" s="38"/>
      <c r="O39" s="360"/>
      <c r="P39" s="361"/>
      <c r="Q39" s="238"/>
      <c r="R39" s="362"/>
      <c r="S39" s="363"/>
      <c r="T39" s="38"/>
    </row>
    <row r="40" spans="1:360" s="265" customFormat="1" x14ac:dyDescent="0.25">
      <c r="A40" s="289" t="str">
        <f>[3]Rates!$A$58</f>
        <v>RAL14_GS</v>
      </c>
      <c r="B40" s="288"/>
      <c r="C40" s="291"/>
      <c r="D40" s="305" t="s">
        <v>58</v>
      </c>
      <c r="E40" s="308">
        <f>$F$18</f>
        <v>2000</v>
      </c>
      <c r="F40" s="294"/>
      <c r="G40" s="295">
        <f t="shared" ref="G40:G46" si="6">E40*F40</f>
        <v>0</v>
      </c>
      <c r="H40" s="296"/>
      <c r="I40" s="294">
        <f>IF($A40&lt;&gt;"",VLOOKUP($A40,[3]Rates!$A$1:$R$65536,14,FALSE),0)</f>
        <v>0</v>
      </c>
      <c r="J40" s="295">
        <f>$E40*I40</f>
        <v>0</v>
      </c>
      <c r="K40" s="296"/>
      <c r="L40" s="297">
        <f t="shared" si="2"/>
        <v>0</v>
      </c>
      <c r="M40" s="298" t="str">
        <f t="shared" si="3"/>
        <v/>
      </c>
      <c r="N40" s="296"/>
      <c r="O40" s="428"/>
      <c r="P40" s="424"/>
      <c r="Q40" s="425"/>
      <c r="R40" s="426"/>
      <c r="S40" s="427"/>
      <c r="T40" s="296"/>
    </row>
    <row r="41" spans="1:360" x14ac:dyDescent="0.25">
      <c r="A41" s="139" t="str">
        <f>[3]Rates!$A$66</f>
        <v>RAL16_GS</v>
      </c>
      <c r="B41" s="30" t="str">
        <f>[3]Rates!$B$66</f>
        <v xml:space="preserve">Disposition of Deferral/Variance Accounts (2016) </v>
      </c>
      <c r="C41" s="15"/>
      <c r="D41" s="99" t="s">
        <v>58</v>
      </c>
      <c r="E41" s="137">
        <f t="shared" ref="E41:E44" si="7">$F$18</f>
        <v>2000</v>
      </c>
      <c r="F41" s="16">
        <f>IF($A41&lt;&gt;"",VLOOKUP($A41,[3]Rates!$A$1:$R$65536,12,FALSE),0)</f>
        <v>0</v>
      </c>
      <c r="G41" s="18">
        <f t="shared" si="6"/>
        <v>0</v>
      </c>
      <c r="H41" s="21"/>
      <c r="I41" s="16">
        <f>IF($A41&lt;&gt;"",VLOOKUP($A41,[3]Rates!$A$1:$R$65536,14,FALSE),0)</f>
        <v>2.9999999999999997E-4</v>
      </c>
      <c r="J41" s="18">
        <f t="shared" ref="J41:J46" si="8">$E41*I41</f>
        <v>0.6</v>
      </c>
      <c r="K41" s="21"/>
      <c r="L41" s="167">
        <f t="shared" si="2"/>
        <v>0.6</v>
      </c>
      <c r="M41" s="123" t="str">
        <f t="shared" si="3"/>
        <v/>
      </c>
      <c r="N41" s="238"/>
      <c r="O41" s="358"/>
      <c r="P41" s="350"/>
      <c r="Q41" s="238"/>
      <c r="R41" s="351"/>
      <c r="S41" s="352"/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[3]Rates!$A$67</f>
        <v>RALP16_GS</v>
      </c>
      <c r="B42" s="30" t="str">
        <f>[3]Rates!$B$67</f>
        <v xml:space="preserve">Disposition of Deferral/Variance Accounts - Power (2016) </v>
      </c>
      <c r="C42" s="15"/>
      <c r="D42" s="99" t="s">
        <v>58</v>
      </c>
      <c r="E42" s="137">
        <f t="shared" si="7"/>
        <v>2000</v>
      </c>
      <c r="F42" s="16">
        <f>IF($A42&lt;&gt;"",VLOOKUP($A42,[3]Rates!$A$1:$R$65536,12,FALSE),0)</f>
        <v>0</v>
      </c>
      <c r="G42" s="18">
        <f t="shared" si="6"/>
        <v>0</v>
      </c>
      <c r="H42" s="21"/>
      <c r="I42" s="16">
        <f>IF($A42&lt;&gt;"",VLOOKUP($A42,[3]Rates!$A$1:$R$65536,14,FALSE),0)</f>
        <v>-2.9999999999999997E-4</v>
      </c>
      <c r="J42" s="18">
        <f t="shared" si="8"/>
        <v>-0.6</v>
      </c>
      <c r="K42" s="21"/>
      <c r="L42" s="167">
        <f t="shared" si="2"/>
        <v>-0.6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37"/>
      <c r="F43" s="16">
        <f>IF($A43&lt;&gt;"",VLOOKUP($A43,[3]Rates!$A$1:$R$65536,12,FALSE),0)</f>
        <v>0</v>
      </c>
      <c r="G43" s="18">
        <f t="shared" si="6"/>
        <v>0</v>
      </c>
      <c r="H43" s="21"/>
      <c r="I43" s="16">
        <f>IF($A43&lt;&gt;"",VLOOKUP($A43,[3]Rates!$A$1:$R$65536,14,FALSE),0)</f>
        <v>0</v>
      </c>
      <c r="J43" s="18">
        <f t="shared" si="8"/>
        <v>0</v>
      </c>
      <c r="K43" s="21"/>
      <c r="L43" s="167">
        <f t="shared" si="2"/>
        <v>0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1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[3]Rates!$A$54</f>
        <v>LV_GS</v>
      </c>
      <c r="B44" s="31" t="s">
        <v>18</v>
      </c>
      <c r="C44" s="15"/>
      <c r="D44" s="99" t="s">
        <v>58</v>
      </c>
      <c r="E44" s="137">
        <f t="shared" si="7"/>
        <v>2000</v>
      </c>
      <c r="F44" s="16">
        <f>IF($A44&lt;&gt;"",VLOOKUP($A44,[3]Rates!$A$1:$R$65536,12,FALSE),0)</f>
        <v>2.9999999999999997E-4</v>
      </c>
      <c r="G44" s="18">
        <f t="shared" si="6"/>
        <v>0.6</v>
      </c>
      <c r="H44" s="38"/>
      <c r="I44" s="16">
        <f>IF($A44&lt;&gt;"",VLOOKUP($A44,[3]Rates!$A$1:$R$65536,14,FALSE),0)</f>
        <v>2.9999999999999997E-4</v>
      </c>
      <c r="J44" s="18">
        <f t="shared" si="8"/>
        <v>0.6</v>
      </c>
      <c r="K44" s="38"/>
      <c r="L44" s="167">
        <f t="shared" si="2"/>
        <v>0</v>
      </c>
      <c r="M44" s="123">
        <f t="shared" si="3"/>
        <v>0</v>
      </c>
      <c r="N44" s="38"/>
      <c r="O44" s="358"/>
      <c r="P44" s="350"/>
      <c r="Q44" s="238"/>
      <c r="R44" s="351"/>
      <c r="S44" s="352"/>
      <c r="T44" s="38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1" t="s">
        <v>19</v>
      </c>
      <c r="C45" s="15"/>
      <c r="D45" s="99"/>
      <c r="E45" s="272">
        <f>$F$18*(1+$F$74)-$F$18</f>
        <v>69</v>
      </c>
      <c r="F45" s="32">
        <f>IF(ISBLANK(D16)=TRUE, 0, IF(D16="TOU", 0.64*$F$55+0.18*$F$56+0.18*$F$57, IF(AND(D16="non-TOU", E59&gt;0), F59,F58)))</f>
        <v>0.11183999999999999</v>
      </c>
      <c r="G45" s="18">
        <f>E45*F45</f>
        <v>7.7169599999999994</v>
      </c>
      <c r="H45" s="274">
        <f>$F$18*(1+$O$74)-$F$18</f>
        <v>0</v>
      </c>
      <c r="I45" s="32">
        <f>0.64*$F$55+0.18*$F$56+0.18*$F$57</f>
        <v>0.11183999999999999</v>
      </c>
      <c r="J45" s="18">
        <f>$E45*I45</f>
        <v>7.7169599999999994</v>
      </c>
      <c r="K45" s="38"/>
      <c r="L45" s="169">
        <f t="shared" si="2"/>
        <v>0</v>
      </c>
      <c r="M45" s="123">
        <f t="shared" si="3"/>
        <v>0</v>
      </c>
      <c r="N45" s="38"/>
      <c r="O45" s="364"/>
      <c r="P45" s="350"/>
      <c r="Q45" s="238"/>
      <c r="R45" s="365"/>
      <c r="S45" s="352"/>
      <c r="T45" s="3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1" t="s">
        <v>20</v>
      </c>
      <c r="C46" s="15"/>
      <c r="D46" s="99" t="s">
        <v>57</v>
      </c>
      <c r="E46" s="137">
        <v>1</v>
      </c>
      <c r="F46" s="32">
        <v>0.79</v>
      </c>
      <c r="G46" s="18">
        <f t="shared" si="6"/>
        <v>0.79</v>
      </c>
      <c r="H46" s="267"/>
      <c r="I46" s="32">
        <v>0.79</v>
      </c>
      <c r="J46" s="18">
        <f t="shared" si="8"/>
        <v>0.79</v>
      </c>
      <c r="K46" s="38"/>
      <c r="L46" s="169">
        <f t="shared" si="2"/>
        <v>0</v>
      </c>
      <c r="M46" s="123"/>
      <c r="N46" s="38"/>
      <c r="O46" s="364"/>
      <c r="P46" s="350"/>
      <c r="Q46" s="238"/>
      <c r="R46" s="365"/>
      <c r="S46" s="352"/>
      <c r="T46" s="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/>
      <c r="B47" s="33" t="s">
        <v>21</v>
      </c>
      <c r="C47" s="34"/>
      <c r="D47" s="35"/>
      <c r="E47" s="273"/>
      <c r="F47" s="35"/>
      <c r="G47" s="37">
        <f>SUM(G40:G46)+G39</f>
        <v>63.876959999999997</v>
      </c>
      <c r="H47" s="267"/>
      <c r="I47" s="35"/>
      <c r="J47" s="37">
        <f>SUM(J40:J46)+J39</f>
        <v>68.786960000000008</v>
      </c>
      <c r="K47" s="38"/>
      <c r="L47" s="170">
        <f t="shared" si="2"/>
        <v>4.9100000000000108</v>
      </c>
      <c r="M47" s="125">
        <f>IF((G47)=0,"",(L47/G47))</f>
        <v>7.6866525896035306E-2</v>
      </c>
      <c r="N47" s="38"/>
      <c r="O47" s="367"/>
      <c r="P47" s="368"/>
      <c r="Q47" s="238"/>
      <c r="R47" s="369"/>
      <c r="S47" s="370"/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 t="str">
        <f>[3]Rates!$A$76</f>
        <v>TN_GS</v>
      </c>
      <c r="B48" s="19" t="s">
        <v>22</v>
      </c>
      <c r="C48" s="19"/>
      <c r="D48" s="101" t="s">
        <v>58</v>
      </c>
      <c r="E48" s="137">
        <f>F18*(1+F74)</f>
        <v>2069</v>
      </c>
      <c r="F48" s="20">
        <f>IF($A48&lt;&gt;"",VLOOKUP($A48,[3]Rates!$A$1:$R$65536,12,FALSE),0)</f>
        <v>7.1999999999999998E-3</v>
      </c>
      <c r="G48" s="18">
        <f>E48*F48</f>
        <v>14.896799999999999</v>
      </c>
      <c r="H48" s="269">
        <f>F18*(1+O74)</f>
        <v>2000</v>
      </c>
      <c r="I48" s="20">
        <f>IF($A48&lt;&gt;"",VLOOKUP($A48,[3]Rates!$A$1:$R$65536,14,FALSE),0)</f>
        <v>7.1999999999999998E-3</v>
      </c>
      <c r="J48" s="18">
        <f>$E48*I48</f>
        <v>14.896799999999999</v>
      </c>
      <c r="K48" s="38"/>
      <c r="L48" s="171">
        <f>J48-G48</f>
        <v>0</v>
      </c>
      <c r="M48" s="123">
        <f t="shared" ref="M48:M59" si="9">IF((G48)=0,"",(L48/G48))</f>
        <v>0</v>
      </c>
      <c r="N48" s="38"/>
      <c r="O48" s="371"/>
      <c r="P48" s="350"/>
      <c r="Q48" s="238"/>
      <c r="R48" s="372"/>
      <c r="S48" s="352"/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 t="str">
        <f>[3]Rates!$A$77</f>
        <v>TC_GS</v>
      </c>
      <c r="B49" s="40" t="s">
        <v>23</v>
      </c>
      <c r="C49" s="19"/>
      <c r="D49" s="101" t="s">
        <v>58</v>
      </c>
      <c r="E49" s="137">
        <f>E48</f>
        <v>2069</v>
      </c>
      <c r="F49" s="20">
        <f>IF($A49&lt;&gt;"",VLOOKUP($A49,[3]Rates!$A$1:$R$65536,12,FALSE),0)</f>
        <v>3.0000000000000001E-3</v>
      </c>
      <c r="G49" s="18">
        <f>E49*F49</f>
        <v>6.2069999999999999</v>
      </c>
      <c r="H49" s="269">
        <f>H48</f>
        <v>2000</v>
      </c>
      <c r="I49" s="20">
        <f>IF($A49&lt;&gt;"",VLOOKUP($A49,[3]Rates!$A$1:$R$65536,14,FALSE),0)</f>
        <v>3.0000000000000001E-3</v>
      </c>
      <c r="J49" s="18">
        <f>$E49*I49</f>
        <v>6.2069999999999999</v>
      </c>
      <c r="K49" s="38"/>
      <c r="L49" s="171">
        <f t="shared" si="2"/>
        <v>0</v>
      </c>
      <c r="M49" s="123">
        <f t="shared" si="9"/>
        <v>0</v>
      </c>
      <c r="N49" s="38"/>
      <c r="O49" s="371"/>
      <c r="P49" s="350"/>
      <c r="Q49" s="238"/>
      <c r="R49" s="372"/>
      <c r="S49" s="352"/>
      <c r="T49" s="38"/>
    </row>
    <row r="50" spans="1:360" x14ac:dyDescent="0.25">
      <c r="B50" s="33" t="s">
        <v>24</v>
      </c>
      <c r="C50" s="25"/>
      <c r="D50" s="41"/>
      <c r="E50" s="273"/>
      <c r="F50" s="41"/>
      <c r="G50" s="37">
        <f>SUM(G47:G49)</f>
        <v>84.980759999999989</v>
      </c>
      <c r="H50" s="268"/>
      <c r="I50" s="41"/>
      <c r="J50" s="37">
        <f>SUM(J47:J49)</f>
        <v>89.89076</v>
      </c>
      <c r="K50" s="109"/>
      <c r="L50" s="172">
        <f t="shared" si="2"/>
        <v>4.9100000000000108</v>
      </c>
      <c r="M50" s="125">
        <f t="shared" si="9"/>
        <v>5.7777784053708293E-2</v>
      </c>
      <c r="N50" s="109"/>
      <c r="O50" s="373"/>
      <c r="P50" s="368"/>
      <c r="Q50" s="374"/>
      <c r="R50" s="375"/>
      <c r="S50" s="370"/>
      <c r="T50" s="109"/>
    </row>
    <row r="51" spans="1:360" x14ac:dyDescent="0.25">
      <c r="B51" s="42" t="s">
        <v>25</v>
      </c>
      <c r="C51" s="15"/>
      <c r="D51" s="99" t="s">
        <v>58</v>
      </c>
      <c r="E51" s="137">
        <f>E49</f>
        <v>2069</v>
      </c>
      <c r="F51" s="43">
        <v>3.5999999999999999E-3</v>
      </c>
      <c r="G51" s="44">
        <f t="shared" ref="G51:G59" si="10">E51*F51</f>
        <v>7.4483999999999995</v>
      </c>
      <c r="H51" s="269">
        <f>H49</f>
        <v>2000</v>
      </c>
      <c r="I51" s="43">
        <v>3.5999999999999999E-3</v>
      </c>
      <c r="J51" s="44">
        <f>$E51*I51</f>
        <v>7.4483999999999995</v>
      </c>
      <c r="K51" s="17"/>
      <c r="L51" s="173">
        <f t="shared" si="2"/>
        <v>0</v>
      </c>
      <c r="M51" s="126">
        <f t="shared" si="9"/>
        <v>0</v>
      </c>
      <c r="N51" s="325"/>
      <c r="O51" s="376"/>
      <c r="P51" s="377"/>
      <c r="Q51" s="238"/>
      <c r="R51" s="378"/>
      <c r="S51" s="379"/>
      <c r="T51" s="21"/>
    </row>
    <row r="52" spans="1:360" x14ac:dyDescent="0.25">
      <c r="B52" s="42" t="s">
        <v>26</v>
      </c>
      <c r="C52" s="15"/>
      <c r="D52" s="99" t="s">
        <v>58</v>
      </c>
      <c r="E52" s="137">
        <f>E49</f>
        <v>2069</v>
      </c>
      <c r="F52" s="43">
        <v>1.2999999999999999E-3</v>
      </c>
      <c r="G52" s="44">
        <f t="shared" si="10"/>
        <v>2.6896999999999998</v>
      </c>
      <c r="H52" s="269">
        <f>H49</f>
        <v>2000</v>
      </c>
      <c r="I52" s="43">
        <v>1.2999999999999999E-3</v>
      </c>
      <c r="J52" s="44">
        <f>$E52*I52</f>
        <v>2.6896999999999998</v>
      </c>
      <c r="K52" s="17"/>
      <c r="L52" s="173">
        <f t="shared" si="2"/>
        <v>0</v>
      </c>
      <c r="M52" s="126">
        <f t="shared" si="9"/>
        <v>0</v>
      </c>
      <c r="N52" s="325"/>
      <c r="O52" s="376"/>
      <c r="P52" s="377"/>
      <c r="Q52" s="238"/>
      <c r="R52" s="378"/>
      <c r="S52" s="379"/>
      <c r="T52" s="21"/>
    </row>
    <row r="53" spans="1:360" x14ac:dyDescent="0.25">
      <c r="B53" s="15" t="s">
        <v>27</v>
      </c>
      <c r="C53" s="15"/>
      <c r="D53" s="99" t="s">
        <v>57</v>
      </c>
      <c r="E53" s="137">
        <v>1</v>
      </c>
      <c r="F53" s="134">
        <v>0.25</v>
      </c>
      <c r="G53" s="44">
        <f t="shared" si="10"/>
        <v>0.25</v>
      </c>
      <c r="H53" s="269"/>
      <c r="I53" s="43">
        <v>0.25</v>
      </c>
      <c r="J53" s="44">
        <f t="shared" ref="J53:J54" si="11">$E53*I53</f>
        <v>0.25</v>
      </c>
      <c r="K53" s="17"/>
      <c r="L53" s="173">
        <f t="shared" si="2"/>
        <v>0</v>
      </c>
      <c r="M53" s="126">
        <f t="shared" si="9"/>
        <v>0</v>
      </c>
      <c r="N53" s="325"/>
      <c r="O53" s="376"/>
      <c r="P53" s="377"/>
      <c r="Q53" s="238"/>
      <c r="R53" s="378"/>
      <c r="S53" s="379"/>
      <c r="T53" s="21"/>
    </row>
    <row r="54" spans="1:360" x14ac:dyDescent="0.25">
      <c r="B54" s="15" t="s">
        <v>28</v>
      </c>
      <c r="C54" s="15"/>
      <c r="D54" s="99" t="s">
        <v>58</v>
      </c>
      <c r="E54" s="137">
        <f>F18</f>
        <v>2000</v>
      </c>
      <c r="F54" s="43">
        <v>7.0000000000000001E-3</v>
      </c>
      <c r="G54" s="44">
        <f t="shared" si="10"/>
        <v>14</v>
      </c>
      <c r="H54" s="269"/>
      <c r="I54" s="43">
        <v>7.0000000000000001E-3</v>
      </c>
      <c r="J54" s="44">
        <f t="shared" si="11"/>
        <v>14</v>
      </c>
      <c r="K54" s="17"/>
      <c r="L54" s="173">
        <f t="shared" si="2"/>
        <v>0</v>
      </c>
      <c r="M54" s="126">
        <f t="shared" si="9"/>
        <v>0</v>
      </c>
      <c r="N54" s="325"/>
      <c r="O54" s="376"/>
      <c r="P54" s="377"/>
      <c r="Q54" s="238"/>
      <c r="R54" s="378"/>
      <c r="S54" s="379"/>
      <c r="T54" s="21"/>
    </row>
    <row r="55" spans="1:360" x14ac:dyDescent="0.25">
      <c r="B55" s="31" t="s">
        <v>29</v>
      </c>
      <c r="C55" s="15"/>
      <c r="D55" s="99" t="s">
        <v>58</v>
      </c>
      <c r="E55" s="137">
        <f>0.64*$F$18</f>
        <v>1280</v>
      </c>
      <c r="F55" s="46">
        <f>Residential!F55</f>
        <v>8.6999999999999994E-2</v>
      </c>
      <c r="G55" s="44">
        <f t="shared" si="10"/>
        <v>111.35999999999999</v>
      </c>
      <c r="H55" s="275">
        <f>0.64*$F$18</f>
        <v>1280</v>
      </c>
      <c r="I55" s="46">
        <f>F55</f>
        <v>8.6999999999999994E-2</v>
      </c>
      <c r="J55" s="44">
        <f>$H55*I55</f>
        <v>111.35999999999999</v>
      </c>
      <c r="K55" s="17"/>
      <c r="L55" s="174">
        <f t="shared" si="2"/>
        <v>0</v>
      </c>
      <c r="M55" s="126">
        <f t="shared" si="9"/>
        <v>0</v>
      </c>
      <c r="N55" s="325"/>
      <c r="O55" s="381"/>
      <c r="P55" s="377"/>
      <c r="Q55" s="238"/>
      <c r="R55" s="382"/>
      <c r="S55" s="379"/>
      <c r="T55" s="21"/>
    </row>
    <row r="56" spans="1:360" x14ac:dyDescent="0.25">
      <c r="B56" s="31" t="s">
        <v>30</v>
      </c>
      <c r="C56" s="15"/>
      <c r="D56" s="99" t="s">
        <v>58</v>
      </c>
      <c r="E56" s="137">
        <f>0.18*$F$18</f>
        <v>360</v>
      </c>
      <c r="F56" s="46">
        <f>Residential!F56</f>
        <v>0.13200000000000001</v>
      </c>
      <c r="G56" s="44">
        <f t="shared" si="10"/>
        <v>47.52</v>
      </c>
      <c r="H56" s="275">
        <f>0.18*$F$18</f>
        <v>360</v>
      </c>
      <c r="I56" s="46">
        <f t="shared" ref="I56:I59" si="12">F56</f>
        <v>0.13200000000000001</v>
      </c>
      <c r="J56" s="44">
        <f>$H56*I56</f>
        <v>47.52</v>
      </c>
      <c r="K56" s="17"/>
      <c r="L56" s="174">
        <f t="shared" si="2"/>
        <v>0</v>
      </c>
      <c r="M56" s="126">
        <f t="shared" si="9"/>
        <v>0</v>
      </c>
      <c r="N56" s="325"/>
      <c r="O56" s="381"/>
      <c r="P56" s="377"/>
      <c r="Q56" s="238"/>
      <c r="R56" s="382"/>
      <c r="S56" s="379"/>
      <c r="T56" s="21"/>
    </row>
    <row r="57" spans="1:360" x14ac:dyDescent="0.25">
      <c r="B57" s="7" t="s">
        <v>31</v>
      </c>
      <c r="C57" s="15"/>
      <c r="D57" s="99" t="s">
        <v>58</v>
      </c>
      <c r="E57" s="137">
        <f>0.18*$F$18</f>
        <v>360</v>
      </c>
      <c r="F57" s="46">
        <f>Residential!F57</f>
        <v>0.18</v>
      </c>
      <c r="G57" s="44">
        <f t="shared" si="10"/>
        <v>64.8</v>
      </c>
      <c r="H57" s="275">
        <f>0.18*$F$18</f>
        <v>360</v>
      </c>
      <c r="I57" s="46">
        <f t="shared" si="12"/>
        <v>0.18</v>
      </c>
      <c r="J57" s="44">
        <f>$H57*I57</f>
        <v>64.8</v>
      </c>
      <c r="K57" s="17"/>
      <c r="L57" s="174">
        <f t="shared" si="2"/>
        <v>0</v>
      </c>
      <c r="M57" s="126">
        <f t="shared" si="9"/>
        <v>0</v>
      </c>
      <c r="N57" s="325"/>
      <c r="O57" s="381"/>
      <c r="P57" s="377"/>
      <c r="Q57" s="238"/>
      <c r="R57" s="382"/>
      <c r="S57" s="379"/>
      <c r="T57" s="21"/>
    </row>
    <row r="58" spans="1:360" s="51" customFormat="1" x14ac:dyDescent="0.2">
      <c r="B58" s="48" t="s">
        <v>127</v>
      </c>
      <c r="C58" s="49"/>
      <c r="D58" s="102" t="s">
        <v>58</v>
      </c>
      <c r="E58" s="137">
        <f>F18</f>
        <v>2000</v>
      </c>
      <c r="F58" s="43">
        <v>1.1000000000000001E-3</v>
      </c>
      <c r="G58" s="44">
        <f>E58*F58</f>
        <v>2.2000000000000002</v>
      </c>
      <c r="H58" s="275"/>
      <c r="I58" s="43">
        <v>1.1000000000000001E-3</v>
      </c>
      <c r="J58" s="44">
        <f>$E58*I58</f>
        <v>2.2000000000000002</v>
      </c>
      <c r="K58" s="110"/>
      <c r="L58" s="174">
        <f t="shared" si="2"/>
        <v>0</v>
      </c>
      <c r="M58" s="126">
        <f t="shared" si="9"/>
        <v>0</v>
      </c>
      <c r="N58" s="326"/>
      <c r="O58" s="381"/>
      <c r="P58" s="377"/>
      <c r="Q58" s="383"/>
      <c r="R58" s="382"/>
      <c r="S58" s="379"/>
      <c r="T58" s="107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</row>
    <row r="59" spans="1:360" s="51" customFormat="1" ht="15.75" thickBot="1" x14ac:dyDescent="0.25">
      <c r="B59" s="48"/>
      <c r="C59" s="49"/>
      <c r="D59" s="102"/>
      <c r="E59" s="137"/>
      <c r="F59" s="46"/>
      <c r="G59" s="44">
        <f t="shared" si="10"/>
        <v>0</v>
      </c>
      <c r="H59" s="275"/>
      <c r="I59" s="46">
        <f t="shared" si="12"/>
        <v>0</v>
      </c>
      <c r="J59" s="44">
        <f>$H59*I59</f>
        <v>0</v>
      </c>
      <c r="K59" s="110"/>
      <c r="L59" s="174">
        <f t="shared" si="2"/>
        <v>0</v>
      </c>
      <c r="M59" s="126" t="str">
        <f t="shared" si="9"/>
        <v/>
      </c>
      <c r="N59" s="326"/>
      <c r="O59" s="381"/>
      <c r="P59" s="377"/>
      <c r="Q59" s="383"/>
      <c r="R59" s="382"/>
      <c r="S59" s="379"/>
      <c r="T59" s="107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</row>
    <row r="60" spans="1:360" ht="15.75" thickBot="1" x14ac:dyDescent="0.3">
      <c r="B60" s="52"/>
      <c r="C60" s="53"/>
      <c r="D60" s="103"/>
      <c r="E60" s="193"/>
      <c r="F60" s="85"/>
      <c r="G60" s="86"/>
      <c r="H60" s="17"/>
      <c r="I60" s="85"/>
      <c r="J60" s="86"/>
      <c r="K60" s="17"/>
      <c r="L60" s="175"/>
      <c r="M60" s="127"/>
      <c r="N60" s="325"/>
      <c r="O60" s="384"/>
      <c r="P60" s="385"/>
      <c r="Q60" s="238"/>
      <c r="R60" s="386"/>
      <c r="S60" s="387"/>
      <c r="T60" s="21"/>
    </row>
    <row r="61" spans="1:360" x14ac:dyDescent="0.25">
      <c r="B61" s="55" t="s">
        <v>32</v>
      </c>
      <c r="C61" s="15"/>
      <c r="D61" s="15"/>
      <c r="E61" s="194"/>
      <c r="F61" s="56"/>
      <c r="G61" s="58">
        <f>SUM(G51:G58,G50)</f>
        <v>335.24885999999998</v>
      </c>
      <c r="H61" s="57"/>
      <c r="I61" s="56"/>
      <c r="J61" s="58">
        <f>SUM(J51:J58,J50)</f>
        <v>340.15886</v>
      </c>
      <c r="K61" s="57"/>
      <c r="L61" s="176">
        <f>J61-G61</f>
        <v>4.910000000000025</v>
      </c>
      <c r="M61" s="128">
        <f>IF((G61)=0,"",(L61/G61))</f>
        <v>1.4645836528720859E-2</v>
      </c>
      <c r="N61" s="327"/>
      <c r="O61" s="388"/>
      <c r="P61" s="389"/>
      <c r="Q61" s="374"/>
      <c r="R61" s="390"/>
      <c r="S61" s="391"/>
      <c r="T61" s="337"/>
    </row>
    <row r="62" spans="1:360" x14ac:dyDescent="0.25">
      <c r="B62" s="59" t="s">
        <v>33</v>
      </c>
      <c r="C62" s="15"/>
      <c r="D62" s="15"/>
      <c r="E62" s="195"/>
      <c r="F62" s="60">
        <v>0.13</v>
      </c>
      <c r="G62" s="62">
        <f>G61*F62</f>
        <v>43.582351799999998</v>
      </c>
      <c r="H62" s="61"/>
      <c r="I62" s="60">
        <v>0.13</v>
      </c>
      <c r="J62" s="62">
        <f>J61*I62</f>
        <v>44.220651799999999</v>
      </c>
      <c r="K62" s="61"/>
      <c r="L62" s="176">
        <f>J62-G62</f>
        <v>0.63830000000000098</v>
      </c>
      <c r="M62" s="129">
        <f>IF((G62)=0,"",(L62/G62))</f>
        <v>1.4645836528720807E-2</v>
      </c>
      <c r="N62" s="328"/>
      <c r="O62" s="392"/>
      <c r="P62" s="393"/>
      <c r="Q62" s="394"/>
      <c r="R62" s="390"/>
      <c r="S62" s="395"/>
      <c r="T62" s="338"/>
    </row>
    <row r="63" spans="1:360" x14ac:dyDescent="0.25">
      <c r="B63" s="63" t="s">
        <v>34</v>
      </c>
      <c r="C63" s="15"/>
      <c r="D63" s="15"/>
      <c r="E63" s="195"/>
      <c r="F63" s="64"/>
      <c r="G63" s="62">
        <f>G61+G62</f>
        <v>378.83121180000001</v>
      </c>
      <c r="H63" s="61"/>
      <c r="I63" s="64"/>
      <c r="J63" s="62">
        <f>J61+J62</f>
        <v>384.37951179999999</v>
      </c>
      <c r="K63" s="61"/>
      <c r="L63" s="176">
        <f>J63-G63</f>
        <v>5.5482999999999834</v>
      </c>
      <c r="M63" s="129">
        <f>IF((G63)=0,"",(L63/G63))</f>
        <v>1.464583652872074E-2</v>
      </c>
      <c r="N63" s="328"/>
      <c r="O63" s="396"/>
      <c r="P63" s="393"/>
      <c r="Q63" s="394"/>
      <c r="R63" s="390"/>
      <c r="S63" s="395"/>
      <c r="T63" s="338"/>
    </row>
    <row r="64" spans="1:360" ht="15" customHeight="1" x14ac:dyDescent="0.25">
      <c r="B64" s="483" t="s">
        <v>35</v>
      </c>
      <c r="C64" s="483"/>
      <c r="D64" s="483"/>
      <c r="E64" s="195"/>
      <c r="F64" s="56">
        <v>0</v>
      </c>
      <c r="G64" s="65">
        <f>-G63*F64</f>
        <v>0</v>
      </c>
      <c r="H64" s="61"/>
      <c r="I64" s="64"/>
      <c r="J64" s="65"/>
      <c r="K64" s="61"/>
      <c r="L64" s="177">
        <f>J64-G64</f>
        <v>0</v>
      </c>
      <c r="M64" s="130" t="str">
        <f>IF((G64)=0,"",(L64/G64))</f>
        <v/>
      </c>
      <c r="N64" s="328"/>
      <c r="O64" s="396"/>
      <c r="P64" s="397"/>
      <c r="Q64" s="394"/>
      <c r="R64" s="398"/>
      <c r="S64" s="399"/>
      <c r="T64" s="338"/>
    </row>
    <row r="65" spans="1:360" ht="15.75" customHeight="1" thickBot="1" x14ac:dyDescent="0.3">
      <c r="B65" s="484" t="s">
        <v>36</v>
      </c>
      <c r="C65" s="484"/>
      <c r="D65" s="484"/>
      <c r="E65" s="196"/>
      <c r="F65" s="66"/>
      <c r="G65" s="67">
        <f>G63+G64</f>
        <v>378.83121180000001</v>
      </c>
      <c r="H65" s="57"/>
      <c r="I65" s="66"/>
      <c r="J65" s="67">
        <f>J63+J64</f>
        <v>384.37951179999999</v>
      </c>
      <c r="K65" s="57"/>
      <c r="L65" s="178">
        <f>J65-G65</f>
        <v>5.5482999999999834</v>
      </c>
      <c r="M65" s="131">
        <f>IF((G65)=0,"",(L65/G65))</f>
        <v>1.464583652872074E-2</v>
      </c>
      <c r="N65" s="327"/>
      <c r="O65" s="400"/>
      <c r="P65" s="401"/>
      <c r="Q65" s="374"/>
      <c r="R65" s="402"/>
      <c r="S65" s="403"/>
      <c r="T65" s="337"/>
    </row>
    <row r="66" spans="1:360" s="51" customFormat="1" ht="15.75" thickBot="1" x14ac:dyDescent="0.25">
      <c r="B66" s="68"/>
      <c r="C66" s="69"/>
      <c r="D66" s="70"/>
      <c r="E66" s="197"/>
      <c r="F66" s="85"/>
      <c r="G66" s="86"/>
      <c r="H66" s="110"/>
      <c r="I66" s="85"/>
      <c r="J66" s="86"/>
      <c r="K66" s="110"/>
      <c r="L66" s="179"/>
      <c r="M66" s="127"/>
      <c r="N66" s="326"/>
      <c r="O66" s="384"/>
      <c r="P66" s="385"/>
      <c r="Q66" s="383"/>
      <c r="R66" s="404"/>
      <c r="S66" s="387"/>
      <c r="T66" s="107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</row>
    <row r="67" spans="1:360" s="51" customFormat="1" ht="12.75" hidden="1" outlineLevel="1" x14ac:dyDescent="0.2">
      <c r="B67" s="72" t="s">
        <v>37</v>
      </c>
      <c r="C67" s="49"/>
      <c r="D67" s="49"/>
      <c r="E67" s="198"/>
      <c r="F67" s="73"/>
      <c r="G67" s="75">
        <f>SUM(G58:G59,G50,G51:G54)</f>
        <v>111.56885999999999</v>
      </c>
      <c r="H67" s="74"/>
      <c r="I67" s="73"/>
      <c r="J67" s="75">
        <f>SUM(J58:J59,J50,J51:J54)</f>
        <v>116.47886000000001</v>
      </c>
      <c r="K67" s="74"/>
      <c r="L67" s="180">
        <f>J67-G67</f>
        <v>4.910000000000025</v>
      </c>
      <c r="M67" s="128">
        <f>IF((G67)=0,"",(L67/G67))</f>
        <v>4.4008695616321841E-2</v>
      </c>
      <c r="N67" s="332"/>
      <c r="O67" s="405"/>
      <c r="P67" s="406"/>
      <c r="Q67" s="407"/>
      <c r="R67" s="408"/>
      <c r="S67" s="391"/>
      <c r="T67" s="339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</row>
    <row r="68" spans="1:360" s="51" customFormat="1" ht="12.75" hidden="1" outlineLevel="1" x14ac:dyDescent="0.2">
      <c r="B68" s="76" t="s">
        <v>33</v>
      </c>
      <c r="C68" s="49"/>
      <c r="D68" s="49"/>
      <c r="E68" s="198"/>
      <c r="F68" s="77">
        <v>0.13</v>
      </c>
      <c r="G68" s="79">
        <f>G67*F68</f>
        <v>14.503951799999999</v>
      </c>
      <c r="H68" s="78"/>
      <c r="I68" s="77">
        <v>0.13</v>
      </c>
      <c r="J68" s="79">
        <f>J67*I68</f>
        <v>15.142251800000002</v>
      </c>
      <c r="K68" s="78"/>
      <c r="L68" s="180">
        <f>J68-G68</f>
        <v>0.63830000000000275</v>
      </c>
      <c r="M68" s="129">
        <f>IF((G68)=0,"",(L68/G68))</f>
        <v>4.4008695616321807E-2</v>
      </c>
      <c r="N68" s="333"/>
      <c r="O68" s="409"/>
      <c r="P68" s="410"/>
      <c r="Q68" s="411"/>
      <c r="R68" s="408"/>
      <c r="S68" s="395"/>
      <c r="T68" s="340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80" t="s">
        <v>34</v>
      </c>
      <c r="C69" s="49"/>
      <c r="D69" s="49"/>
      <c r="E69" s="198"/>
      <c r="F69" s="81"/>
      <c r="G69" s="79">
        <f>G67+G68</f>
        <v>126.07281179999998</v>
      </c>
      <c r="H69" s="78"/>
      <c r="I69" s="81"/>
      <c r="J69" s="79">
        <f>J67+J68</f>
        <v>131.62111180000002</v>
      </c>
      <c r="K69" s="78"/>
      <c r="L69" s="180">
        <f>J69-G69</f>
        <v>5.5483000000000402</v>
      </c>
      <c r="M69" s="129">
        <f>IF((G69)=0,"",(L69/G69))</f>
        <v>4.4008695616321938E-2</v>
      </c>
      <c r="N69" s="333"/>
      <c r="O69" s="412"/>
      <c r="P69" s="410"/>
      <c r="Q69" s="411"/>
      <c r="R69" s="408"/>
      <c r="S69" s="395"/>
      <c r="T69" s="340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customHeight="1" outlineLevel="1" x14ac:dyDescent="0.2">
      <c r="B70" s="485" t="s">
        <v>35</v>
      </c>
      <c r="C70" s="485"/>
      <c r="D70" s="485"/>
      <c r="E70" s="198"/>
      <c r="F70" s="73">
        <v>0.1</v>
      </c>
      <c r="G70" s="82">
        <f>-G69*F70</f>
        <v>-12.607281179999999</v>
      </c>
      <c r="H70" s="78"/>
      <c r="I70" s="81"/>
      <c r="J70" s="82"/>
      <c r="K70" s="78"/>
      <c r="L70" s="181">
        <f>J70-G70</f>
        <v>12.607281179999999</v>
      </c>
      <c r="M70" s="130">
        <f>IF((G70)=0,"",(L70/G70))</f>
        <v>-1</v>
      </c>
      <c r="N70" s="333"/>
      <c r="O70" s="412"/>
      <c r="P70" s="413"/>
      <c r="Q70" s="411"/>
      <c r="R70" s="414"/>
      <c r="S70" s="399"/>
      <c r="T70" s="340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3.5" hidden="1" customHeight="1" outlineLevel="1" thickBot="1" x14ac:dyDescent="0.2">
      <c r="B71" s="476" t="s">
        <v>38</v>
      </c>
      <c r="C71" s="476"/>
      <c r="D71" s="476"/>
      <c r="E71" s="199"/>
      <c r="F71" s="83"/>
      <c r="G71" s="84">
        <f>SUM(G69:G70)</f>
        <v>113.46553061999998</v>
      </c>
      <c r="H71" s="74"/>
      <c r="I71" s="83"/>
      <c r="J71" s="84">
        <f>SUM(J69:J70)</f>
        <v>131.62111180000002</v>
      </c>
      <c r="K71" s="74"/>
      <c r="L71" s="182">
        <f>J71-G71</f>
        <v>18.155581180000041</v>
      </c>
      <c r="M71" s="132">
        <f>IF((G71)=0,"",(L71/G71))</f>
        <v>0.1600096617959133</v>
      </c>
      <c r="N71" s="332"/>
      <c r="O71" s="415"/>
      <c r="P71" s="416"/>
      <c r="Q71" s="407"/>
      <c r="R71" s="417"/>
      <c r="S71" s="403"/>
      <c r="T71" s="339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5.75" hidden="1" outlineLevel="1" thickBot="1" x14ac:dyDescent="0.25">
      <c r="B72" s="68"/>
      <c r="C72" s="69"/>
      <c r="D72" s="70"/>
      <c r="E72" s="197"/>
      <c r="F72" s="85"/>
      <c r="G72" s="91"/>
      <c r="H72" s="110"/>
      <c r="I72" s="85"/>
      <c r="J72" s="91"/>
      <c r="K72" s="110"/>
      <c r="L72" s="175"/>
      <c r="M72" s="133"/>
      <c r="N72" s="326"/>
      <c r="O72" s="384"/>
      <c r="P72" s="385"/>
      <c r="Q72" s="383"/>
      <c r="R72" s="386"/>
      <c r="S72" s="387"/>
      <c r="T72" s="107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collapsed="1" x14ac:dyDescent="0.25">
      <c r="J73" s="47"/>
      <c r="O73" s="331"/>
      <c r="P73" s="418"/>
      <c r="Q73" s="331"/>
      <c r="R73" s="341"/>
      <c r="S73" s="342"/>
    </row>
    <row r="74" spans="1:360" x14ac:dyDescent="0.25">
      <c r="B74" s="8" t="s">
        <v>39</v>
      </c>
      <c r="F74" s="87">
        <v>3.4500000000000003E-2</v>
      </c>
      <c r="I74" s="87">
        <v>3.4500000000000003E-2</v>
      </c>
      <c r="O74" s="419"/>
      <c r="P74" s="331"/>
      <c r="Q74" s="331"/>
      <c r="R74" s="341"/>
      <c r="S74" s="342"/>
    </row>
    <row r="75" spans="1:360" x14ac:dyDescent="0.25">
      <c r="O75" s="331"/>
      <c r="P75" s="331"/>
      <c r="Q75" s="331"/>
      <c r="R75" s="341"/>
      <c r="S75" s="342"/>
    </row>
    <row r="76" spans="1:360" x14ac:dyDescent="0.25">
      <c r="A76" s="88" t="s">
        <v>40</v>
      </c>
      <c r="O76" s="331"/>
      <c r="P76" s="331"/>
      <c r="Q76" s="331"/>
      <c r="R76" s="341"/>
      <c r="S76" s="342"/>
    </row>
    <row r="77" spans="1:360" x14ac:dyDescent="0.25">
      <c r="O77" s="331"/>
      <c r="P77" s="331"/>
      <c r="Q77" s="331"/>
      <c r="R77" s="341"/>
      <c r="S77" s="342"/>
    </row>
    <row r="78" spans="1:360" x14ac:dyDescent="0.25">
      <c r="A78" s="2" t="s">
        <v>41</v>
      </c>
      <c r="O78" s="331"/>
      <c r="P78" s="331"/>
      <c r="Q78" s="331"/>
      <c r="R78" s="341"/>
      <c r="S78" s="342"/>
    </row>
    <row r="79" spans="1:360" x14ac:dyDescent="0.25">
      <c r="A79" s="2" t="s">
        <v>42</v>
      </c>
      <c r="O79" s="331"/>
      <c r="P79" s="331"/>
      <c r="Q79" s="331"/>
      <c r="R79" s="341"/>
      <c r="S79" s="342"/>
    </row>
    <row r="80" spans="1:360" x14ac:dyDescent="0.25">
      <c r="O80" s="331"/>
      <c r="P80" s="331"/>
      <c r="Q80" s="331"/>
      <c r="R80" s="341"/>
      <c r="S80" s="342"/>
    </row>
    <row r="81" spans="1:360" x14ac:dyDescent="0.25">
      <c r="A81" s="7" t="s">
        <v>43</v>
      </c>
      <c r="M81" s="2"/>
      <c r="O81" s="331"/>
      <c r="P81" s="331"/>
      <c r="Q81" s="331"/>
      <c r="R81" s="341"/>
      <c r="S81" s="331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</row>
    <row r="82" spans="1:360" x14ac:dyDescent="0.25">
      <c r="A82" s="7" t="s">
        <v>44</v>
      </c>
      <c r="M82" s="2"/>
      <c r="S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</row>
    <row r="84" spans="1:360" x14ac:dyDescent="0.25">
      <c r="A84" s="2" t="s">
        <v>45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2" t="s">
        <v>46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A86" s="2" t="s">
        <v>47</v>
      </c>
      <c r="M86" s="2"/>
      <c r="S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A87" s="2" t="s">
        <v>48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49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90" spans="1:360" x14ac:dyDescent="0.25">
      <c r="A90" s="89"/>
      <c r="B90" s="2" t="s">
        <v>50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</sheetData>
  <mergeCells count="14">
    <mergeCell ref="O20:P20"/>
    <mergeCell ref="R20:S20"/>
    <mergeCell ref="B71:D71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8:D49 D40:D46 D66 D51:D60 D72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8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" zoomScale="70" zoomScaleNormal="70" zoomScaleSheetLayoutView="70" workbookViewId="0">
      <selection activeCell="O2" sqref="O1:U1048576"/>
    </sheetView>
  </sheetViews>
  <sheetFormatPr defaultRowHeight="15" outlineLevelRow="1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2.140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5.140625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3.5703125" style="2" hidden="1" customWidth="1" outlineLevel="1"/>
    <col min="21" max="21" width="0" style="29" hidden="1" customWidth="1" outlineLevel="1"/>
    <col min="22" max="22" width="9.140625" style="29" collapsed="1"/>
    <col min="23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75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74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7"/>
      <c r="D17" s="8" t="s">
        <v>4</v>
      </c>
      <c r="E17" s="8"/>
      <c r="F17" s="9">
        <v>80000</v>
      </c>
      <c r="L17" s="163"/>
      <c r="O17" s="331"/>
      <c r="P17" s="331"/>
      <c r="Q17" s="331"/>
      <c r="R17" s="421"/>
      <c r="S17" s="342"/>
      <c r="T17" s="331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250</v>
      </c>
      <c r="O18" s="331"/>
      <c r="P18" s="331"/>
      <c r="Q18" s="331"/>
      <c r="R18" s="341"/>
      <c r="S18" s="342"/>
      <c r="T18" s="331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O19" s="331"/>
      <c r="P19" s="331"/>
      <c r="Q19" s="331"/>
      <c r="R19" s="341"/>
      <c r="S19" s="342"/>
      <c r="T19" s="331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93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93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93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[3]Rates!$A$81</f>
        <v>Fix_GSL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138.47999999999999</v>
      </c>
      <c r="G23" s="18">
        <f t="shared" ref="G23:G38" si="0">E23*F23</f>
        <v>138.47999999999999</v>
      </c>
      <c r="H23" s="38"/>
      <c r="I23" s="114">
        <f>IF($A23&lt;&gt;"",VLOOKUP($A23,[3]Rates!$A$1:$R$65536,14,FALSE),0)</f>
        <v>140.97</v>
      </c>
      <c r="J23" s="18">
        <f>$E23*I23</f>
        <v>140.97</v>
      </c>
      <c r="K23" s="38"/>
      <c r="L23" s="167">
        <f>J23-G23</f>
        <v>2.4900000000000091</v>
      </c>
      <c r="M23" s="123">
        <f>IF((G23)=0,"",(L23/G23))</f>
        <v>1.7980935875216705E-2</v>
      </c>
      <c r="N23" s="38"/>
      <c r="O23" s="349"/>
      <c r="P23" s="350"/>
      <c r="Q23" s="238"/>
      <c r="R23" s="351"/>
      <c r="S23" s="352"/>
      <c r="T23" s="2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349"/>
      <c r="P24" s="350"/>
      <c r="Q24" s="238"/>
      <c r="R24" s="351"/>
      <c r="S24" s="352"/>
      <c r="T24" s="2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5" customFormat="1" x14ac:dyDescent="0.25">
      <c r="A25" s="289" t="str">
        <f>[3]Rates!$A$83</f>
        <v>PPE_GSL</v>
      </c>
      <c r="B25" s="299" t="s">
        <v>71</v>
      </c>
      <c r="C25" s="291"/>
      <c r="D25" s="292" t="s">
        <v>57</v>
      </c>
      <c r="E25" s="301">
        <v>1</v>
      </c>
      <c r="F25" s="300">
        <f>IF($A25&lt;&gt;"",VLOOKUP($A25,[3]Rates!$A$1:$R$65536,12,FALSE),0)</f>
        <v>6.99</v>
      </c>
      <c r="G25" s="295">
        <f t="shared" si="0"/>
        <v>6.99</v>
      </c>
      <c r="H25" s="296"/>
      <c r="I25" s="300">
        <f>IF($A25&lt;&gt;"",VLOOKUP($A25,[3]Rates!$A$1:$R$65536,14,FALSE),0)</f>
        <v>6.99</v>
      </c>
      <c r="J25" s="295">
        <f t="shared" si="1"/>
        <v>6.99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425"/>
    </row>
    <row r="26" spans="1:360" s="265" customFormat="1" x14ac:dyDescent="0.25">
      <c r="A26" s="289" t="str">
        <f>[3]Rates!$A$84</f>
        <v>ICMF_GSL</v>
      </c>
      <c r="B26" s="299" t="s">
        <v>72</v>
      </c>
      <c r="C26" s="291"/>
      <c r="D26" s="292" t="s">
        <v>57</v>
      </c>
      <c r="E26" s="301">
        <v>1</v>
      </c>
      <c r="F26" s="300">
        <f>IF($A26&lt;&gt;"",VLOOKUP($A26,[3]Rates!$A$1:$R$65536,12,FALSE),0)</f>
        <v>0.72</v>
      </c>
      <c r="G26" s="295">
        <f t="shared" si="0"/>
        <v>0.72</v>
      </c>
      <c r="H26" s="296"/>
      <c r="I26" s="114">
        <f>IF($A26&lt;&gt;"",VLOOKUP($A26,[3]Rates!$A$1:$R$65536,14,FALSE),0)</f>
        <v>0.72</v>
      </c>
      <c r="J26" s="295">
        <f t="shared" si="1"/>
        <v>0.72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425"/>
    </row>
    <row r="27" spans="1:360" x14ac:dyDescent="0.25">
      <c r="A27" s="139" t="s">
        <v>134</v>
      </c>
      <c r="B27" s="22" t="s">
        <v>131</v>
      </c>
      <c r="C27" s="15"/>
      <c r="D27" s="305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7.38</v>
      </c>
      <c r="J27" s="18">
        <f t="shared" si="1"/>
        <v>7.38</v>
      </c>
      <c r="K27" s="38"/>
      <c r="L27" s="167">
        <f t="shared" si="2"/>
        <v>7.38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2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2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[3]Rates!$A$86</f>
        <v>Var_GSL</v>
      </c>
      <c r="B29" s="15" t="s">
        <v>14</v>
      </c>
      <c r="C29" s="15"/>
      <c r="D29" s="99" t="s">
        <v>59</v>
      </c>
      <c r="E29" s="135">
        <f>$F$18</f>
        <v>250</v>
      </c>
      <c r="F29" s="16">
        <f>IF($A29&lt;&gt;"",VLOOKUP($A29,[3]Rates!$A$1:$R$65536,12,FALSE),0)</f>
        <v>3.3277999999999999</v>
      </c>
      <c r="G29" s="18">
        <f t="shared" si="0"/>
        <v>831.94999999999993</v>
      </c>
      <c r="H29" s="38"/>
      <c r="I29" s="16">
        <f>IF($A29&lt;&gt;"",VLOOKUP($A29,[3]Rates!$A$1:$R$65536,14,FALSE),0)</f>
        <v>3.3877000000000002</v>
      </c>
      <c r="J29" s="18">
        <f t="shared" si="1"/>
        <v>846.92500000000007</v>
      </c>
      <c r="K29" s="38"/>
      <c r="L29" s="167">
        <f t="shared" si="2"/>
        <v>14.975000000000136</v>
      </c>
      <c r="M29" s="123">
        <f t="shared" si="3"/>
        <v>1.7999879800468944E-2</v>
      </c>
      <c r="N29" s="38"/>
      <c r="O29" s="358"/>
      <c r="P29" s="350"/>
      <c r="Q29" s="238"/>
      <c r="R29" s="351"/>
      <c r="S29" s="352"/>
      <c r="T29" s="2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4">$F$18</f>
        <v>250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2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135</v>
      </c>
      <c r="B31" s="22" t="s">
        <v>136</v>
      </c>
      <c r="C31" s="15"/>
      <c r="D31" s="99" t="s">
        <v>59</v>
      </c>
      <c r="E31" s="135">
        <f t="shared" si="4"/>
        <v>250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0.1857</v>
      </c>
      <c r="J31" s="18">
        <f t="shared" si="1"/>
        <v>46.425000000000004</v>
      </c>
      <c r="K31" s="38"/>
      <c r="L31" s="167">
        <f t="shared" si="2"/>
        <v>46.425000000000004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2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5" customFormat="1" x14ac:dyDescent="0.25">
      <c r="A32" s="289" t="str">
        <f>[3]Rates!$A$92</f>
        <v>ICMV_GSL</v>
      </c>
      <c r="B32" s="290" t="s">
        <v>72</v>
      </c>
      <c r="C32" s="291"/>
      <c r="D32" s="292" t="s">
        <v>59</v>
      </c>
      <c r="E32" s="302">
        <f t="shared" si="4"/>
        <v>250</v>
      </c>
      <c r="F32" s="294">
        <f>IF($A32&lt;&gt;"",VLOOKUP($A32,[3]Rates!$A$1:$R$65536,12,FALSE),0)</f>
        <v>1.7299999999999999E-2</v>
      </c>
      <c r="G32" s="295">
        <f t="shared" si="0"/>
        <v>4.3250000000000002</v>
      </c>
      <c r="H32" s="296"/>
      <c r="I32" s="16">
        <f>IF($A32&lt;&gt;"",VLOOKUP($A32,[3]Rates!$A$1:$R$65536,14,FALSE),0)</f>
        <v>1.7299999999999999E-2</v>
      </c>
      <c r="J32" s="295">
        <f t="shared" si="1"/>
        <v>4.3250000000000002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425"/>
    </row>
    <row r="33" spans="1:360" x14ac:dyDescent="0.25">
      <c r="A33" s="139" t="str">
        <f>[3]Rates!$A102</f>
        <v>2RAL16_GSL</v>
      </c>
      <c r="B33" s="23" t="str">
        <f>[3]Rates!$B$102</f>
        <v xml:space="preserve">Disposition of Deferral/Variance Accounts - Group 2 Accounts (2016) </v>
      </c>
      <c r="C33" s="15"/>
      <c r="D33" s="99" t="s">
        <v>59</v>
      </c>
      <c r="E33" s="135">
        <f t="shared" si="4"/>
        <v>250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6.2E-2</v>
      </c>
      <c r="J33" s="18">
        <f t="shared" si="1"/>
        <v>15.5</v>
      </c>
      <c r="K33" s="38"/>
      <c r="L33" s="167">
        <f t="shared" si="2"/>
        <v>15.5</v>
      </c>
      <c r="M33" s="123" t="str">
        <f t="shared" si="3"/>
        <v/>
      </c>
      <c r="N33" s="38"/>
      <c r="O33" s="358"/>
      <c r="P33" s="350"/>
      <c r="Q33" s="238"/>
      <c r="R33" s="351"/>
      <c r="S33" s="352"/>
      <c r="T33" s="2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[3]Rates!$A103</f>
        <v>LRVA16_GSL</v>
      </c>
      <c r="B34" s="23" t="str">
        <f>[3]Rates!$B103</f>
        <v>Lost Revenue Adjustment Mechanism Variance Account (LRAMVA) (2016)</v>
      </c>
      <c r="C34" s="15"/>
      <c r="D34" s="99" t="s">
        <v>59</v>
      </c>
      <c r="E34" s="135">
        <f t="shared" si="4"/>
        <v>250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-1.9599999999999999E-2</v>
      </c>
      <c r="J34" s="18">
        <f t="shared" si="1"/>
        <v>-4.8999999999999995</v>
      </c>
      <c r="K34" s="38"/>
      <c r="L34" s="167">
        <f t="shared" si="2"/>
        <v>-4.8999999999999995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2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[3]Rates!$A104</f>
        <v>PPE16_GSL</v>
      </c>
      <c r="B35" s="23" t="str">
        <f>[3]Rates!$B104</f>
        <v>Account 1575 (2016)</v>
      </c>
      <c r="C35" s="15"/>
      <c r="D35" s="99" t="s">
        <v>59</v>
      </c>
      <c r="E35" s="135">
        <f t="shared" si="4"/>
        <v>250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2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[3]Rates!$A105</f>
        <v>SG16_GSL</v>
      </c>
      <c r="B36" s="23" t="str">
        <f>[3]Rates!$B105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-4.8099999999999996</v>
      </c>
      <c r="J36" s="18">
        <f t="shared" si="1"/>
        <v>-4.8099999999999996</v>
      </c>
      <c r="K36" s="38"/>
      <c r="L36" s="167">
        <f t="shared" si="2"/>
        <v>-4.8099999999999996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2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s="265" customFormat="1" x14ac:dyDescent="0.25">
      <c r="A37" s="289" t="str">
        <f>[3]Rates!$A$98</f>
        <v>LRVA_GSL</v>
      </c>
      <c r="B37" s="290"/>
      <c r="C37" s="291"/>
      <c r="D37" s="305" t="s">
        <v>59</v>
      </c>
      <c r="E37" s="309">
        <f>E29</f>
        <v>250</v>
      </c>
      <c r="F37" s="294"/>
      <c r="G37" s="295">
        <f t="shared" si="0"/>
        <v>0</v>
      </c>
      <c r="H37" s="296"/>
      <c r="I37" s="294">
        <f>IF($A37&lt;&gt;"",VLOOKUP($A37,[3]Rates!$A$1:$R$65536,14,FALSE),0)</f>
        <v>0</v>
      </c>
      <c r="J37" s="295">
        <f t="shared" si="1"/>
        <v>0</v>
      </c>
      <c r="K37" s="296"/>
      <c r="L37" s="297">
        <f t="shared" si="2"/>
        <v>0</v>
      </c>
      <c r="M37" s="298" t="str">
        <f t="shared" si="3"/>
        <v/>
      </c>
      <c r="N37" s="296"/>
      <c r="O37" s="428"/>
      <c r="P37" s="424"/>
      <c r="Q37" s="425"/>
      <c r="R37" s="426"/>
      <c r="S37" s="427"/>
      <c r="T37" s="425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358"/>
      <c r="P38" s="350"/>
      <c r="Q38" s="238"/>
      <c r="R38" s="351"/>
      <c r="S38" s="352"/>
      <c r="T38" s="23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39"/>
      <c r="B39" s="24" t="s">
        <v>17</v>
      </c>
      <c r="C39" s="25"/>
      <c r="D39" s="100"/>
      <c r="E39" s="27"/>
      <c r="F39" s="26"/>
      <c r="G39" s="28">
        <f>SUM(G23:G38)</f>
        <v>982.46499999999992</v>
      </c>
      <c r="H39" s="38"/>
      <c r="I39" s="26"/>
      <c r="J39" s="28">
        <f>SUM(J23:J38)</f>
        <v>1059.5250000000001</v>
      </c>
      <c r="K39" s="38"/>
      <c r="L39" s="168">
        <f t="shared" si="2"/>
        <v>77.060000000000173</v>
      </c>
      <c r="M39" s="124">
        <f>IF((G39)=0,"",(L39/G39))</f>
        <v>7.8435364109663119E-2</v>
      </c>
      <c r="N39" s="38"/>
      <c r="O39" s="360"/>
      <c r="P39" s="361"/>
      <c r="Q39" s="238"/>
      <c r="R39" s="362"/>
      <c r="S39" s="363"/>
      <c r="T39" s="238"/>
    </row>
    <row r="40" spans="1:360" s="265" customFormat="1" x14ac:dyDescent="0.25">
      <c r="A40" s="289" t="str">
        <f>[3]Rates!$A$90</f>
        <v>RAL14_GSL</v>
      </c>
      <c r="B40" s="288"/>
      <c r="C40" s="291"/>
      <c r="D40" s="305" t="s">
        <v>59</v>
      </c>
      <c r="E40" s="309">
        <f>$F$18</f>
        <v>250</v>
      </c>
      <c r="F40" s="294"/>
      <c r="G40" s="295">
        <f t="shared" ref="G40:G49" si="5">E40*F40</f>
        <v>0</v>
      </c>
      <c r="H40" s="296"/>
      <c r="I40" s="294">
        <f>IF($A40&lt;&gt;"",VLOOKUP($A40,[3]Rates!$A$1:$R$65536,14,FALSE),0)</f>
        <v>0</v>
      </c>
      <c r="J40" s="295">
        <f>$E40*I40</f>
        <v>0</v>
      </c>
      <c r="K40" s="296"/>
      <c r="L40" s="297">
        <f t="shared" si="2"/>
        <v>0</v>
      </c>
      <c r="M40" s="298" t="str">
        <f t="shared" si="3"/>
        <v/>
      </c>
      <c r="N40" s="296"/>
      <c r="O40" s="428"/>
      <c r="P40" s="424"/>
      <c r="Q40" s="425"/>
      <c r="R40" s="426"/>
      <c r="S40" s="427"/>
      <c r="T40" s="425"/>
      <c r="U40" s="330"/>
    </row>
    <row r="41" spans="1:360" x14ac:dyDescent="0.25">
      <c r="A41" s="139" t="str">
        <f>[3]Rates!$A99</f>
        <v>RAL16_GSL</v>
      </c>
      <c r="B41" s="30" t="str">
        <f>[3]Rates!$B99</f>
        <v xml:space="preserve">Disposition of Deferral/Variance Accounts (2016) </v>
      </c>
      <c r="C41" s="15"/>
      <c r="D41" s="99" t="s">
        <v>59</v>
      </c>
      <c r="E41" s="135">
        <f t="shared" ref="E41:E47" si="6">$F$18</f>
        <v>250</v>
      </c>
      <c r="F41" s="16">
        <f>IF($A41&lt;&gt;"",VLOOKUP($A41,[3]Rates!$A$1:$R$65536,12,FALSE),0)</f>
        <v>0</v>
      </c>
      <c r="G41" s="18">
        <f t="shared" si="5"/>
        <v>0</v>
      </c>
      <c r="H41" s="21"/>
      <c r="I41" s="16">
        <f>IF($A41&lt;&gt;"",VLOOKUP($A41,[3]Rates!$A$1:$R$65536,14,FALSE),0)</f>
        <v>0.1169</v>
      </c>
      <c r="J41" s="18">
        <f t="shared" ref="J41:J47" si="7">$E41*I41</f>
        <v>29.225000000000001</v>
      </c>
      <c r="K41" s="21"/>
      <c r="L41" s="167">
        <f t="shared" si="2"/>
        <v>29.225000000000001</v>
      </c>
      <c r="M41" s="123" t="str">
        <f t="shared" si="3"/>
        <v/>
      </c>
      <c r="N41" s="238"/>
      <c r="O41" s="358"/>
      <c r="P41" s="350"/>
      <c r="Q41" s="238"/>
      <c r="R41" s="351"/>
      <c r="S41" s="352"/>
      <c r="T41" s="238"/>
      <c r="U41" s="33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[3]Rates!$A100</f>
        <v>RALP16_GSL</v>
      </c>
      <c r="B42" s="30" t="str">
        <f>[3]Rates!$B100</f>
        <v xml:space="preserve">Disposition of Deferral/Variance Accounts - Power (2016) </v>
      </c>
      <c r="C42" s="15"/>
      <c r="D42" s="99" t="s">
        <v>59</v>
      </c>
      <c r="E42" s="135">
        <f t="shared" si="6"/>
        <v>250</v>
      </c>
      <c r="F42" s="16">
        <f>IF($A42&lt;&gt;"",VLOOKUP($A42,[3]Rates!$A$1:$R$65536,12,FALSE),0)</f>
        <v>0</v>
      </c>
      <c r="G42" s="18">
        <f t="shared" si="5"/>
        <v>0</v>
      </c>
      <c r="H42" s="21"/>
      <c r="I42" s="16">
        <f>IF($A42&lt;&gt;"",VLOOKUP($A42,[3]Rates!$A$1:$R$65536,14,FALSE),0)</f>
        <v>-0.12239999999999999</v>
      </c>
      <c r="J42" s="18">
        <f t="shared" si="7"/>
        <v>-30.599999999999998</v>
      </c>
      <c r="K42" s="21"/>
      <c r="L42" s="167">
        <f t="shared" si="2"/>
        <v>-30.599999999999998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38"/>
      <c r="U42" s="33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 t="str">
        <f>[3]Rates!$A101</f>
        <v>GA16_GSL</v>
      </c>
      <c r="B43" s="30" t="str">
        <f>[3]Rates!$B101</f>
        <v xml:space="preserve">Disposition of Deferral/Variance Accounts - Power - Global Adjustment (2016) </v>
      </c>
      <c r="C43" s="15"/>
      <c r="D43" s="99" t="s">
        <v>59</v>
      </c>
      <c r="E43" s="135">
        <f t="shared" si="6"/>
        <v>250</v>
      </c>
      <c r="F43" s="16">
        <f>IF($A43&lt;&gt;"",VLOOKUP($A43,[3]Rates!$A$1:$R$65536,12,FALSE),0)</f>
        <v>0</v>
      </c>
      <c r="G43" s="18">
        <f t="shared" si="5"/>
        <v>0</v>
      </c>
      <c r="H43" s="21"/>
      <c r="I43" s="16">
        <f>IF($A43&lt;&gt;"",VLOOKUP($A43,[3]Rates!$A$1:$R$65536,14,FALSE),0)</f>
        <v>0.43190000000000001</v>
      </c>
      <c r="J43" s="18">
        <f t="shared" si="7"/>
        <v>107.97500000000001</v>
      </c>
      <c r="K43" s="21"/>
      <c r="L43" s="167">
        <f t="shared" si="2"/>
        <v>107.97500000000001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38"/>
      <c r="U43" s="33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[3]Rates!$A$91</f>
        <v>GA14_GSL</v>
      </c>
      <c r="B44" s="30" t="str">
        <f>[3]Rates!$B$91</f>
        <v xml:space="preserve">Disposition of Global Adjustment Sub-Account (2014) </v>
      </c>
      <c r="C44" s="15"/>
      <c r="D44" s="99" t="s">
        <v>59</v>
      </c>
      <c r="E44" s="135">
        <f>F18</f>
        <v>250</v>
      </c>
      <c r="F44" s="16">
        <f>IF($A44&lt;&gt;"",VLOOKUP($A44,[3]Rates!$A$1:$R$65536,12,FALSE),0)</f>
        <v>-7.1999999999999995E-2</v>
      </c>
      <c r="G44" s="18">
        <f t="shared" si="5"/>
        <v>-18</v>
      </c>
      <c r="H44" s="238"/>
      <c r="I44" s="16">
        <f>IF($A44&lt;&gt;"",VLOOKUP($A44,[3]Rates!$A$1:$R$65536,14,FALSE),0)</f>
        <v>0</v>
      </c>
      <c r="J44" s="18">
        <f t="shared" si="7"/>
        <v>0</v>
      </c>
      <c r="K44" s="238"/>
      <c r="L44" s="167">
        <f t="shared" si="2"/>
        <v>18</v>
      </c>
      <c r="M44" s="123"/>
      <c r="N44" s="238"/>
      <c r="O44" s="358"/>
      <c r="P44" s="350"/>
      <c r="Q44" s="238"/>
      <c r="R44" s="351"/>
      <c r="S44" s="352"/>
      <c r="T44" s="238"/>
      <c r="U44" s="33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358"/>
      <c r="P45" s="350"/>
      <c r="Q45" s="238"/>
      <c r="R45" s="351"/>
      <c r="S45" s="352"/>
      <c r="T45" s="238"/>
      <c r="U45" s="33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/>
      <c r="N46" s="238"/>
      <c r="O46" s="358"/>
      <c r="P46" s="350"/>
      <c r="Q46" s="238"/>
      <c r="R46" s="351"/>
      <c r="S46" s="352"/>
      <c r="T46" s="238"/>
      <c r="U46" s="33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[3]Rates!$A$87</f>
        <v>LV_GSL</v>
      </c>
      <c r="B47" s="31" t="s">
        <v>18</v>
      </c>
      <c r="C47" s="15"/>
      <c r="D47" s="99" t="s">
        <v>59</v>
      </c>
      <c r="E47" s="135">
        <f t="shared" si="6"/>
        <v>250</v>
      </c>
      <c r="F47" s="16">
        <f>IF($A47&lt;&gt;"",VLOOKUP($A47,[3]Rates!$A$1:$R$65536,12,FALSE),0)</f>
        <v>0.11890000000000001</v>
      </c>
      <c r="G47" s="18">
        <f t="shared" si="5"/>
        <v>29.725000000000001</v>
      </c>
      <c r="H47" s="38"/>
      <c r="I47" s="16">
        <f>IF($A47&lt;&gt;"",VLOOKUP($A47,[3]Rates!$A$1:$R$65536,14,FALSE),0)</f>
        <v>0.11890000000000001</v>
      </c>
      <c r="J47" s="18">
        <f t="shared" si="7"/>
        <v>29.725000000000001</v>
      </c>
      <c r="K47" s="38"/>
      <c r="L47" s="167">
        <f t="shared" si="2"/>
        <v>0</v>
      </c>
      <c r="M47" s="123">
        <f t="shared" si="3"/>
        <v>0</v>
      </c>
      <c r="N47" s="38"/>
      <c r="O47" s="358"/>
      <c r="P47" s="350"/>
      <c r="Q47" s="238"/>
      <c r="R47" s="351"/>
      <c r="S47" s="352"/>
      <c r="T47" s="238"/>
      <c r="U47" s="33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2">
        <f>$F$17*(1+$F$77)-$F$17</f>
        <v>2760</v>
      </c>
      <c r="F48" s="32"/>
      <c r="G48" s="18">
        <f>E48*F48</f>
        <v>0</v>
      </c>
      <c r="H48" s="90">
        <f>$F$17*(1+$O$77)-$F$17</f>
        <v>0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64"/>
      <c r="P48" s="350"/>
      <c r="Q48" s="238"/>
      <c r="R48" s="365"/>
      <c r="S48" s="352"/>
      <c r="T48" s="238"/>
      <c r="U48" s="33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5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64"/>
      <c r="P49" s="350"/>
      <c r="Q49" s="238"/>
      <c r="R49" s="365"/>
      <c r="S49" s="352"/>
      <c r="T49" s="23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994.18999999999994</v>
      </c>
      <c r="H50" s="38"/>
      <c r="I50" s="35"/>
      <c r="J50" s="37">
        <f>SUM(J40:J49)+J39</f>
        <v>1195.8500000000001</v>
      </c>
      <c r="K50" s="38"/>
      <c r="L50" s="170">
        <f t="shared" si="2"/>
        <v>201.6600000000002</v>
      </c>
      <c r="M50" s="125">
        <f>IF((G50)=0,"",(L50/G50))</f>
        <v>0.20283849163640774</v>
      </c>
      <c r="N50" s="38"/>
      <c r="O50" s="367"/>
      <c r="P50" s="368"/>
      <c r="Q50" s="238"/>
      <c r="R50" s="369"/>
      <c r="S50" s="370"/>
      <c r="T50" s="23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[3]Rates!$A$108</f>
        <v>TN_GSL</v>
      </c>
      <c r="B51" s="19" t="s">
        <v>22</v>
      </c>
      <c r="C51" s="19"/>
      <c r="D51" s="101" t="s">
        <v>59</v>
      </c>
      <c r="E51" s="45">
        <f>F18</f>
        <v>250</v>
      </c>
      <c r="F51" s="20">
        <f>IF($A51&lt;&gt;"",VLOOKUP($A51,[3]Rates!$A$1:$R$65536,12,FALSE),0)</f>
        <v>2.9192</v>
      </c>
      <c r="G51" s="18">
        <f>E51*F51</f>
        <v>729.8</v>
      </c>
      <c r="H51" s="39">
        <v>250</v>
      </c>
      <c r="I51" s="20">
        <f>IF($A51&lt;&gt;"",VLOOKUP($A51,[3]Rates!$A$1:$R$65536,14,FALSE),0)</f>
        <v>2.9192</v>
      </c>
      <c r="J51" s="18">
        <f>$E51*I51</f>
        <v>729.8</v>
      </c>
      <c r="K51" s="38"/>
      <c r="L51" s="171">
        <f>J51-G51</f>
        <v>0</v>
      </c>
      <c r="M51" s="123">
        <f t="shared" ref="M51:M62" si="8">IF((G51)=0,"",(L51/G51))</f>
        <v>0</v>
      </c>
      <c r="N51" s="38"/>
      <c r="O51" s="371"/>
      <c r="P51" s="350"/>
      <c r="Q51" s="238"/>
      <c r="R51" s="372"/>
      <c r="S51" s="352"/>
      <c r="T51" s="23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[3]Rates!$A$109</f>
        <v>TC_GSL</v>
      </c>
      <c r="B52" s="40" t="s">
        <v>23</v>
      </c>
      <c r="C52" s="19"/>
      <c r="D52" s="101" t="s">
        <v>59</v>
      </c>
      <c r="E52" s="45">
        <f>E51</f>
        <v>250</v>
      </c>
      <c r="F52" s="20">
        <f>IF($A52&lt;&gt;"",VLOOKUP($A52,[3]Rates!$A$1:$R$65536,12,FALSE),0)</f>
        <v>1.1726000000000001</v>
      </c>
      <c r="G52" s="18">
        <f>E52*F52</f>
        <v>293.15000000000003</v>
      </c>
      <c r="H52" s="39">
        <v>250</v>
      </c>
      <c r="I52" s="20">
        <f>IF($A52&lt;&gt;"",VLOOKUP($A52,[3]Rates!$A$1:$R$65536,14,FALSE),0)</f>
        <v>1.1726000000000001</v>
      </c>
      <c r="J52" s="18">
        <f>$E52*I52</f>
        <v>293.15000000000003</v>
      </c>
      <c r="K52" s="38"/>
      <c r="L52" s="171">
        <f t="shared" si="2"/>
        <v>0</v>
      </c>
      <c r="M52" s="123">
        <f t="shared" si="8"/>
        <v>0</v>
      </c>
      <c r="N52" s="38"/>
      <c r="O52" s="371"/>
      <c r="P52" s="350"/>
      <c r="Q52" s="238"/>
      <c r="R52" s="372"/>
      <c r="S52" s="352"/>
      <c r="T52" s="238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2017.1399999999999</v>
      </c>
      <c r="H53" s="17"/>
      <c r="I53" s="41"/>
      <c r="J53" s="37">
        <f>SUM(J50:J52)</f>
        <v>2218.8000000000002</v>
      </c>
      <c r="K53" s="109"/>
      <c r="L53" s="172">
        <f t="shared" si="2"/>
        <v>201.66000000000031</v>
      </c>
      <c r="M53" s="125">
        <f t="shared" si="8"/>
        <v>9.9973229423837864E-2</v>
      </c>
      <c r="N53" s="109"/>
      <c r="O53" s="373"/>
      <c r="P53" s="368"/>
      <c r="Q53" s="374"/>
      <c r="R53" s="375"/>
      <c r="S53" s="370"/>
      <c r="T53" s="374"/>
    </row>
    <row r="54" spans="1:360" x14ac:dyDescent="0.25">
      <c r="B54" s="42" t="s">
        <v>25</v>
      </c>
      <c r="C54" s="15"/>
      <c r="D54" s="99" t="s">
        <v>58</v>
      </c>
      <c r="E54" s="137">
        <f>F17+E48</f>
        <v>82760</v>
      </c>
      <c r="F54" s="43">
        <v>3.5999999999999999E-3</v>
      </c>
      <c r="G54" s="44">
        <f t="shared" ref="G54:G62" si="9">E54*F54</f>
        <v>297.93599999999998</v>
      </c>
      <c r="H54" s="39">
        <f>F$17*(1+O$77)</f>
        <v>80000</v>
      </c>
      <c r="I54" s="43">
        <v>3.5999999999999999E-3</v>
      </c>
      <c r="J54" s="44">
        <f>$E54*I54</f>
        <v>297.93599999999998</v>
      </c>
      <c r="K54" s="17"/>
      <c r="L54" s="173">
        <f>J54-G54</f>
        <v>0</v>
      </c>
      <c r="M54" s="126">
        <f t="shared" si="8"/>
        <v>0</v>
      </c>
      <c r="N54" s="325"/>
      <c r="O54" s="376"/>
      <c r="P54" s="377"/>
      <c r="Q54" s="238"/>
      <c r="R54" s="378"/>
      <c r="S54" s="379"/>
      <c r="T54" s="238"/>
      <c r="U54" s="93"/>
    </row>
    <row r="55" spans="1:360" x14ac:dyDescent="0.25">
      <c r="B55" s="42" t="s">
        <v>26</v>
      </c>
      <c r="C55" s="15"/>
      <c r="D55" s="99" t="s">
        <v>58</v>
      </c>
      <c r="E55" s="137">
        <f>E54</f>
        <v>82760</v>
      </c>
      <c r="F55" s="43">
        <v>1.2999999999999999E-3</v>
      </c>
      <c r="G55" s="44">
        <f t="shared" si="9"/>
        <v>107.58799999999999</v>
      </c>
      <c r="H55" s="39">
        <f>F$17*(1+O$77)</f>
        <v>80000</v>
      </c>
      <c r="I55" s="43">
        <v>1.2999999999999999E-3</v>
      </c>
      <c r="J55" s="44">
        <f>$E55*I55</f>
        <v>107.58799999999999</v>
      </c>
      <c r="K55" s="17"/>
      <c r="L55" s="173">
        <f t="shared" si="2"/>
        <v>0</v>
      </c>
      <c r="M55" s="126">
        <f t="shared" si="8"/>
        <v>0</v>
      </c>
      <c r="N55" s="325"/>
      <c r="O55" s="376"/>
      <c r="P55" s="377"/>
      <c r="Q55" s="238"/>
      <c r="R55" s="378"/>
      <c r="S55" s="379"/>
      <c r="T55" s="238"/>
      <c r="U55" s="93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9"/>
        <v>0.25</v>
      </c>
      <c r="H56" s="17"/>
      <c r="I56" s="134">
        <v>0.25</v>
      </c>
      <c r="J56" s="44">
        <f t="shared" ref="J56:J62" si="10">$E56*I56</f>
        <v>0.25</v>
      </c>
      <c r="K56" s="17"/>
      <c r="L56" s="173">
        <f t="shared" si="2"/>
        <v>0</v>
      </c>
      <c r="M56" s="126">
        <f t="shared" si="8"/>
        <v>0</v>
      </c>
      <c r="N56" s="325"/>
      <c r="O56" s="376"/>
      <c r="P56" s="377"/>
      <c r="Q56" s="238"/>
      <c r="R56" s="378"/>
      <c r="S56" s="379"/>
      <c r="T56" s="238"/>
      <c r="U56" s="93"/>
    </row>
    <row r="57" spans="1:360" x14ac:dyDescent="0.25">
      <c r="B57" s="15" t="s">
        <v>28</v>
      </c>
      <c r="C57" s="15"/>
      <c r="D57" s="99" t="s">
        <v>58</v>
      </c>
      <c r="E57" s="137">
        <f>F17</f>
        <v>80000</v>
      </c>
      <c r="F57" s="43">
        <v>7.0000000000000001E-3</v>
      </c>
      <c r="G57" s="44">
        <f t="shared" si="9"/>
        <v>560</v>
      </c>
      <c r="H57" s="17"/>
      <c r="I57" s="304">
        <v>7.0000000000000001E-3</v>
      </c>
      <c r="J57" s="44">
        <f t="shared" si="10"/>
        <v>560</v>
      </c>
      <c r="K57" s="17"/>
      <c r="L57" s="173">
        <f t="shared" si="2"/>
        <v>0</v>
      </c>
      <c r="M57" s="126">
        <f t="shared" si="8"/>
        <v>0</v>
      </c>
      <c r="N57" s="325"/>
      <c r="O57" s="376"/>
      <c r="P57" s="377"/>
      <c r="Q57" s="238"/>
      <c r="R57" s="378"/>
      <c r="S57" s="379"/>
      <c r="T57" s="238"/>
      <c r="U57" s="93"/>
    </row>
    <row r="58" spans="1:360" x14ac:dyDescent="0.25">
      <c r="B58" s="31" t="s">
        <v>29</v>
      </c>
      <c r="C58" s="15"/>
      <c r="D58" s="99" t="s">
        <v>58</v>
      </c>
      <c r="E58" s="137">
        <f>0.64*$F$17+E48*0.64</f>
        <v>52966.400000000001</v>
      </c>
      <c r="F58" s="46">
        <f>Residential!F55</f>
        <v>8.6999999999999994E-2</v>
      </c>
      <c r="G58" s="44">
        <f t="shared" si="9"/>
        <v>4608.0767999999998</v>
      </c>
      <c r="H58" s="136">
        <f>0.64*$F$17+H48*0.64</f>
        <v>51200</v>
      </c>
      <c r="I58" s="46">
        <f>F58</f>
        <v>8.6999999999999994E-2</v>
      </c>
      <c r="J58" s="44">
        <f>$E58*I58</f>
        <v>4608.0767999999998</v>
      </c>
      <c r="K58" s="17"/>
      <c r="L58" s="174">
        <f t="shared" si="2"/>
        <v>0</v>
      </c>
      <c r="M58" s="126">
        <f t="shared" si="8"/>
        <v>0</v>
      </c>
      <c r="N58" s="325"/>
      <c r="O58" s="381"/>
      <c r="P58" s="377"/>
      <c r="Q58" s="238"/>
      <c r="R58" s="382"/>
      <c r="S58" s="379"/>
      <c r="T58" s="238"/>
      <c r="U58" s="93"/>
    </row>
    <row r="59" spans="1:360" x14ac:dyDescent="0.25">
      <c r="B59" s="31" t="s">
        <v>30</v>
      </c>
      <c r="C59" s="15"/>
      <c r="D59" s="99" t="s">
        <v>58</v>
      </c>
      <c r="E59" s="137">
        <f>0.18*$F$17+E48*0.18</f>
        <v>14896.8</v>
      </c>
      <c r="F59" s="46">
        <f>Residential!F56</f>
        <v>0.13200000000000001</v>
      </c>
      <c r="G59" s="44">
        <f t="shared" si="9"/>
        <v>1966.3776</v>
      </c>
      <c r="H59" s="136">
        <f>0.18*$F$17+H48*0.18</f>
        <v>14400</v>
      </c>
      <c r="I59" s="46">
        <f t="shared" ref="I59:I62" si="11">F59</f>
        <v>0.13200000000000001</v>
      </c>
      <c r="J59" s="44">
        <f>$E59*I59</f>
        <v>1966.3776</v>
      </c>
      <c r="K59" s="17"/>
      <c r="L59" s="174">
        <f t="shared" si="2"/>
        <v>0</v>
      </c>
      <c r="M59" s="126">
        <f t="shared" si="8"/>
        <v>0</v>
      </c>
      <c r="N59" s="325"/>
      <c r="O59" s="381"/>
      <c r="P59" s="377"/>
      <c r="Q59" s="238"/>
      <c r="R59" s="382"/>
      <c r="S59" s="379"/>
      <c r="T59" s="238"/>
      <c r="U59" s="93"/>
    </row>
    <row r="60" spans="1:360" x14ac:dyDescent="0.25">
      <c r="B60" s="7" t="s">
        <v>31</v>
      </c>
      <c r="C60" s="15"/>
      <c r="D60" s="99" t="s">
        <v>58</v>
      </c>
      <c r="E60" s="137">
        <f>0.18*$F$17+E48*0.18</f>
        <v>14896.8</v>
      </c>
      <c r="F60" s="46">
        <f>Residential!F57</f>
        <v>0.18</v>
      </c>
      <c r="G60" s="44">
        <f t="shared" si="9"/>
        <v>2681.424</v>
      </c>
      <c r="H60" s="136">
        <f>0.18*$F$17+H48*0.18</f>
        <v>14400</v>
      </c>
      <c r="I60" s="46">
        <f t="shared" si="11"/>
        <v>0.18</v>
      </c>
      <c r="J60" s="44">
        <f>$E60*I60</f>
        <v>2681.424</v>
      </c>
      <c r="K60" s="17"/>
      <c r="L60" s="174">
        <f t="shared" si="2"/>
        <v>0</v>
      </c>
      <c r="M60" s="126">
        <f t="shared" si="8"/>
        <v>0</v>
      </c>
      <c r="N60" s="325"/>
      <c r="O60" s="381"/>
      <c r="P60" s="377"/>
      <c r="Q60" s="238"/>
      <c r="R60" s="382"/>
      <c r="S60" s="379"/>
      <c r="T60" s="238"/>
      <c r="U60" s="93"/>
    </row>
    <row r="61" spans="1:360" s="51" customFormat="1" x14ac:dyDescent="0.2">
      <c r="B61" s="48" t="s">
        <v>127</v>
      </c>
      <c r="C61" s="49"/>
      <c r="D61" s="102" t="s">
        <v>58</v>
      </c>
      <c r="E61" s="138">
        <f>F17</f>
        <v>80000</v>
      </c>
      <c r="F61" s="43">
        <v>1.1000000000000001E-3</v>
      </c>
      <c r="G61" s="44">
        <f t="shared" si="9"/>
        <v>88</v>
      </c>
      <c r="H61" s="110"/>
      <c r="I61" s="43">
        <v>1.1000000000000001E-3</v>
      </c>
      <c r="J61" s="44">
        <f t="shared" si="10"/>
        <v>88</v>
      </c>
      <c r="K61" s="110"/>
      <c r="L61" s="173">
        <f t="shared" si="2"/>
        <v>0</v>
      </c>
      <c r="M61" s="126">
        <f t="shared" si="8"/>
        <v>0</v>
      </c>
      <c r="N61" s="326"/>
      <c r="O61" s="381"/>
      <c r="P61" s="377"/>
      <c r="Q61" s="383"/>
      <c r="R61" s="382"/>
      <c r="S61" s="379"/>
      <c r="T61" s="383"/>
      <c r="U61" s="329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9"/>
        <v>0</v>
      </c>
      <c r="H62" s="110"/>
      <c r="I62" s="46">
        <f t="shared" si="11"/>
        <v>0</v>
      </c>
      <c r="J62" s="44">
        <f t="shared" si="10"/>
        <v>0</v>
      </c>
      <c r="K62" s="110"/>
      <c r="L62" s="174">
        <f t="shared" si="2"/>
        <v>0</v>
      </c>
      <c r="M62" s="126" t="str">
        <f t="shared" si="8"/>
        <v/>
      </c>
      <c r="N62" s="326"/>
      <c r="O62" s="381"/>
      <c r="P62" s="377"/>
      <c r="Q62" s="383"/>
      <c r="R62" s="382"/>
      <c r="S62" s="379"/>
      <c r="T62" s="383"/>
      <c r="U62" s="329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325"/>
      <c r="O63" s="384"/>
      <c r="P63" s="385"/>
      <c r="Q63" s="238"/>
      <c r="R63" s="386"/>
      <c r="S63" s="387"/>
      <c r="T63" s="238"/>
      <c r="U63" s="93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12326.792399999998</v>
      </c>
      <c r="H64" s="57"/>
      <c r="I64" s="56"/>
      <c r="J64" s="58">
        <f>SUM(J54:J61,J53)</f>
        <v>12528.452399999998</v>
      </c>
      <c r="K64" s="57"/>
      <c r="L64" s="176">
        <f>J64-G64</f>
        <v>201.65999999999985</v>
      </c>
      <c r="M64" s="128">
        <f>IF((G64)=0,"",(L64/G64))</f>
        <v>1.6359486998418167E-2</v>
      </c>
      <c r="N64" s="327"/>
      <c r="O64" s="388"/>
      <c r="P64" s="389"/>
      <c r="Q64" s="374"/>
      <c r="R64" s="390"/>
      <c r="S64" s="391"/>
      <c r="T64" s="374"/>
      <c r="U64" s="93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1602.4830119999999</v>
      </c>
      <c r="H65" s="61"/>
      <c r="I65" s="60">
        <v>0.13</v>
      </c>
      <c r="J65" s="62">
        <f>J64*I65</f>
        <v>1628.6988119999999</v>
      </c>
      <c r="K65" s="61"/>
      <c r="L65" s="176">
        <f>J65-G65</f>
        <v>26.215799999999945</v>
      </c>
      <c r="M65" s="129">
        <f>IF((G65)=0,"",(L65/G65))</f>
        <v>1.6359486998418143E-2</v>
      </c>
      <c r="N65" s="328"/>
      <c r="O65" s="392"/>
      <c r="P65" s="393"/>
      <c r="Q65" s="394"/>
      <c r="R65" s="390"/>
      <c r="S65" s="395"/>
      <c r="T65" s="394"/>
      <c r="U65" s="93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13929.275411999999</v>
      </c>
      <c r="H66" s="61"/>
      <c r="I66" s="64"/>
      <c r="J66" s="62">
        <f>J64+J65</f>
        <v>14157.151211999999</v>
      </c>
      <c r="K66" s="61"/>
      <c r="L66" s="176">
        <f>J66-G66</f>
        <v>227.8757999999998</v>
      </c>
      <c r="M66" s="129">
        <f>IF((G66)=0,"",(L66/G66))</f>
        <v>1.6359486998418164E-2</v>
      </c>
      <c r="N66" s="328"/>
      <c r="O66" s="396"/>
      <c r="P66" s="393"/>
      <c r="Q66" s="394"/>
      <c r="R66" s="390"/>
      <c r="S66" s="395"/>
      <c r="T66" s="394"/>
      <c r="U66" s="93"/>
    </row>
    <row r="67" spans="1:360" ht="15" customHeight="1" x14ac:dyDescent="0.25">
      <c r="B67" s="483" t="s">
        <v>35</v>
      </c>
      <c r="C67" s="483"/>
      <c r="D67" s="483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328"/>
      <c r="O67" s="396"/>
      <c r="P67" s="397"/>
      <c r="Q67" s="394"/>
      <c r="R67" s="398"/>
      <c r="S67" s="399"/>
      <c r="T67" s="394"/>
      <c r="U67" s="93"/>
    </row>
    <row r="68" spans="1:360" ht="15.75" customHeight="1" thickBot="1" x14ac:dyDescent="0.3">
      <c r="B68" s="484" t="s">
        <v>36</v>
      </c>
      <c r="C68" s="484"/>
      <c r="D68" s="484"/>
      <c r="E68" s="105"/>
      <c r="F68" s="66"/>
      <c r="G68" s="67">
        <f>G66+G67</f>
        <v>13929.275411999999</v>
      </c>
      <c r="H68" s="57"/>
      <c r="I68" s="66"/>
      <c r="J68" s="67">
        <f>J66+J67</f>
        <v>14157.151211999999</v>
      </c>
      <c r="K68" s="57"/>
      <c r="L68" s="178">
        <f>J68-G68</f>
        <v>227.8757999999998</v>
      </c>
      <c r="M68" s="131">
        <f>IF((G68)=0,"",(L68/G68))</f>
        <v>1.6359486998418164E-2</v>
      </c>
      <c r="N68" s="327"/>
      <c r="O68" s="400"/>
      <c r="P68" s="401"/>
      <c r="Q68" s="374"/>
      <c r="R68" s="402"/>
      <c r="S68" s="403"/>
      <c r="T68" s="374"/>
      <c r="U68" s="93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179"/>
      <c r="M69" s="127"/>
      <c r="N69" s="326"/>
      <c r="O69" s="384"/>
      <c r="P69" s="385"/>
      <c r="Q69" s="383"/>
      <c r="R69" s="404"/>
      <c r="S69" s="387"/>
      <c r="T69" s="383"/>
      <c r="U69" s="329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3070.9140000000002</v>
      </c>
      <c r="H70" s="74"/>
      <c r="I70" s="73"/>
      <c r="J70" s="75">
        <f>SUM(J61:J62,J53,J54:J57)</f>
        <v>3272.5740000000005</v>
      </c>
      <c r="K70" s="74"/>
      <c r="L70" s="180">
        <f>J70-G70</f>
        <v>201.66000000000031</v>
      </c>
      <c r="M70" s="128">
        <f>IF((G70)=0,"",(L70/G70))</f>
        <v>6.566774582420748E-2</v>
      </c>
      <c r="N70" s="332"/>
      <c r="O70" s="405"/>
      <c r="P70" s="406"/>
      <c r="Q70" s="407"/>
      <c r="R70" s="408"/>
      <c r="S70" s="391"/>
      <c r="T70" s="407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399.21882000000005</v>
      </c>
      <c r="H71" s="78"/>
      <c r="I71" s="77">
        <v>0.13</v>
      </c>
      <c r="J71" s="79">
        <f>J70*I71</f>
        <v>425.43462000000011</v>
      </c>
      <c r="K71" s="78"/>
      <c r="L71" s="180">
        <f>J71-G71</f>
        <v>26.215800000000058</v>
      </c>
      <c r="M71" s="129">
        <f>IF((G71)=0,"",(L71/G71))</f>
        <v>6.5667745824207521E-2</v>
      </c>
      <c r="N71" s="333"/>
      <c r="O71" s="409"/>
      <c r="P71" s="410"/>
      <c r="Q71" s="411"/>
      <c r="R71" s="408"/>
      <c r="S71" s="395"/>
      <c r="T71" s="411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3470.1328200000003</v>
      </c>
      <c r="H72" s="78"/>
      <c r="I72" s="81"/>
      <c r="J72" s="79">
        <f>J70+J71</f>
        <v>3698.0086200000005</v>
      </c>
      <c r="K72" s="78"/>
      <c r="L72" s="180">
        <f>J72-G72</f>
        <v>227.87580000000025</v>
      </c>
      <c r="M72" s="129">
        <f>IF((G72)=0,"",(L72/G72))</f>
        <v>6.5667745824207452E-2</v>
      </c>
      <c r="N72" s="333"/>
      <c r="O72" s="412"/>
      <c r="P72" s="410"/>
      <c r="Q72" s="411"/>
      <c r="R72" s="408"/>
      <c r="S72" s="395"/>
      <c r="T72" s="411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485" t="s">
        <v>35</v>
      </c>
      <c r="C73" s="485"/>
      <c r="D73" s="485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333"/>
      <c r="O73" s="412"/>
      <c r="P73" s="413"/>
      <c r="Q73" s="411"/>
      <c r="R73" s="414"/>
      <c r="S73" s="399"/>
      <c r="T73" s="411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476" t="s">
        <v>38</v>
      </c>
      <c r="C74" s="476"/>
      <c r="D74" s="476"/>
      <c r="E74" s="108"/>
      <c r="F74" s="83"/>
      <c r="G74" s="84">
        <f>SUM(G72:G73)</f>
        <v>3470.1328200000003</v>
      </c>
      <c r="H74" s="74"/>
      <c r="I74" s="83"/>
      <c r="J74" s="84">
        <f>SUM(J72:J73)</f>
        <v>3698.0086200000005</v>
      </c>
      <c r="K74" s="74"/>
      <c r="L74" s="182">
        <f>J74-G74</f>
        <v>227.87580000000025</v>
      </c>
      <c r="M74" s="132">
        <f>IF((G74)=0,"",(L74/G74))</f>
        <v>6.5667745824207452E-2</v>
      </c>
      <c r="N74" s="332"/>
      <c r="O74" s="415"/>
      <c r="P74" s="416"/>
      <c r="Q74" s="407"/>
      <c r="R74" s="417"/>
      <c r="S74" s="403"/>
      <c r="T74" s="407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326"/>
      <c r="O75" s="384"/>
      <c r="P75" s="385"/>
      <c r="Q75" s="383"/>
      <c r="R75" s="386"/>
      <c r="S75" s="387"/>
      <c r="T75" s="383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O76" s="331"/>
      <c r="P76" s="418"/>
      <c r="Q76" s="331"/>
      <c r="R76" s="341"/>
      <c r="S76" s="342"/>
      <c r="T76" s="331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419"/>
      <c r="P77" s="331"/>
      <c r="Q77" s="331"/>
      <c r="R77" s="341"/>
      <c r="S77" s="342"/>
      <c r="T77" s="331"/>
    </row>
    <row r="78" spans="1:360" x14ac:dyDescent="0.25">
      <c r="O78" s="331"/>
      <c r="P78" s="331"/>
      <c r="Q78" s="331"/>
      <c r="R78" s="341"/>
      <c r="S78" s="342"/>
      <c r="T78" s="331"/>
    </row>
    <row r="79" spans="1:360" x14ac:dyDescent="0.25">
      <c r="A79" s="88" t="s">
        <v>40</v>
      </c>
      <c r="O79" s="331"/>
      <c r="P79" s="331"/>
      <c r="Q79" s="331"/>
      <c r="R79" s="341"/>
      <c r="S79" s="342"/>
      <c r="T79" s="331"/>
    </row>
    <row r="80" spans="1:360" x14ac:dyDescent="0.25">
      <c r="O80" s="331"/>
      <c r="P80" s="331"/>
      <c r="Q80" s="331"/>
      <c r="R80" s="341"/>
      <c r="S80" s="342"/>
      <c r="T80" s="331"/>
    </row>
    <row r="81" spans="1:360" x14ac:dyDescent="0.25">
      <c r="A81" s="2" t="s">
        <v>41</v>
      </c>
      <c r="O81" s="331"/>
      <c r="P81" s="331"/>
      <c r="Q81" s="331"/>
      <c r="R81" s="341"/>
      <c r="S81" s="342"/>
      <c r="T81" s="331"/>
    </row>
    <row r="82" spans="1:360" x14ac:dyDescent="0.25">
      <c r="A82" s="2" t="s">
        <v>42</v>
      </c>
      <c r="O82" s="331"/>
      <c r="P82" s="331"/>
      <c r="Q82" s="331"/>
      <c r="R82" s="341"/>
      <c r="S82" s="342"/>
      <c r="T82" s="331"/>
    </row>
    <row r="83" spans="1:360" x14ac:dyDescent="0.25">
      <c r="O83" s="331"/>
      <c r="P83" s="331"/>
      <c r="Q83" s="331"/>
      <c r="R83" s="341"/>
      <c r="S83" s="342"/>
      <c r="T83" s="331"/>
    </row>
    <row r="84" spans="1:360" x14ac:dyDescent="0.25">
      <c r="A84" s="7" t="s">
        <v>43</v>
      </c>
      <c r="M84" s="2"/>
      <c r="O84" s="331"/>
      <c r="P84" s="331"/>
      <c r="Q84" s="331"/>
      <c r="R84" s="341"/>
      <c r="S84" s="331"/>
      <c r="T84" s="331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O85" s="331"/>
      <c r="P85" s="331"/>
      <c r="Q85" s="331"/>
      <c r="R85" s="341"/>
      <c r="S85" s="331"/>
      <c r="T85" s="331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O86" s="331"/>
      <c r="P86" s="331"/>
      <c r="Q86" s="331"/>
      <c r="R86" s="341"/>
      <c r="S86" s="342"/>
      <c r="T86" s="331"/>
    </row>
    <row r="87" spans="1:360" x14ac:dyDescent="0.25">
      <c r="A87" s="2" t="s">
        <v>45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O20:P20"/>
    <mergeCell ref="R20:S20"/>
    <mergeCell ref="B74:D74"/>
    <mergeCell ref="D21:D22"/>
    <mergeCell ref="B67:D67"/>
    <mergeCell ref="B68:D68"/>
    <mergeCell ref="B73:D73"/>
    <mergeCell ref="A3:I3"/>
    <mergeCell ref="B10:M10"/>
    <mergeCell ref="B11:M11"/>
    <mergeCell ref="D14:M14"/>
    <mergeCell ref="F20:G20"/>
    <mergeCell ref="I20:J20"/>
    <mergeCell ref="L20:M20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1:D52 D40:D49 D69 D54:D63 D75 D23:D38">
      <formula1>"Monthly, per kWh, per kW"</formula1>
    </dataValidation>
  </dataValidations>
  <pageMargins left="0.7" right="0.7" top="0.75" bottom="0.75" header="0.3" footer="0.3"/>
  <pageSetup scale="4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" zoomScale="70" zoomScaleNormal="70" zoomScaleSheetLayoutView="70" workbookViewId="0">
      <selection activeCell="I85" sqref="I85"/>
    </sheetView>
  </sheetViews>
  <sheetFormatPr defaultRowHeight="15" outlineLevelRow="1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2.285156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8" style="2" hidden="1" customWidth="1" outlineLevel="1"/>
    <col min="17" max="17" width="1" style="2" hidden="1" customWidth="1" outlineLevel="1"/>
    <col min="18" max="18" width="16.2851562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1" width="0" style="93" hidden="1" customWidth="1" outlineLevel="1"/>
    <col min="22" max="22" width="9.140625" style="29" collapsed="1"/>
    <col min="23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76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77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x14ac:dyDescent="0.25">
      <c r="B17" s="7"/>
      <c r="D17" s="8" t="s">
        <v>4</v>
      </c>
      <c r="E17" s="8"/>
      <c r="F17" s="9">
        <v>2800000</v>
      </c>
      <c r="O17" s="331"/>
      <c r="P17" s="331"/>
      <c r="Q17" s="331"/>
      <c r="R17" s="341"/>
      <c r="S17" s="342"/>
      <c r="U17" s="331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7350</v>
      </c>
      <c r="O18" s="331"/>
      <c r="P18" s="331"/>
      <c r="Q18" s="331"/>
      <c r="R18" s="341"/>
      <c r="S18" s="342"/>
      <c r="U18" s="331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O19" s="331"/>
      <c r="P19" s="331"/>
      <c r="Q19" s="331"/>
      <c r="R19" s="341"/>
      <c r="S19" s="342"/>
      <c r="U19" s="33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29"/>
      <c r="U20" s="331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29"/>
      <c r="U21" s="331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29"/>
      <c r="U22" s="331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[3]Rates!$A$113</f>
        <v>Fix_LU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5966.29</v>
      </c>
      <c r="G23" s="18">
        <f t="shared" ref="G23:G39" si="0">E23*F23</f>
        <v>5966.29</v>
      </c>
      <c r="H23" s="38"/>
      <c r="I23" s="114">
        <f>IF($A23&lt;&gt;"",VLOOKUP($A23,[3]Rates!$A$1:$R$65536,14,FALSE),0)</f>
        <v>6073.68</v>
      </c>
      <c r="J23" s="18">
        <f>$E23*I23</f>
        <v>6073.68</v>
      </c>
      <c r="K23" s="38"/>
      <c r="L23" s="167">
        <f>J23-G23</f>
        <v>107.39000000000033</v>
      </c>
      <c r="M23" s="123">
        <f>IF((G23)=0,"",(L23/G23))</f>
        <v>1.799946030112521E-2</v>
      </c>
      <c r="N23" s="38"/>
      <c r="O23" s="349"/>
      <c r="P23" s="350"/>
      <c r="Q23" s="238"/>
      <c r="R23" s="351"/>
      <c r="S23" s="352"/>
      <c r="T23" s="38"/>
      <c r="U23" s="331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9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349"/>
      <c r="P24" s="350"/>
      <c r="Q24" s="238"/>
      <c r="R24" s="351"/>
      <c r="S24" s="352"/>
      <c r="T24" s="38"/>
      <c r="U24" s="331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5" customFormat="1" x14ac:dyDescent="0.25">
      <c r="A25" s="289" t="str">
        <f>[3]Rates!$A$115</f>
        <v>PPE_LU</v>
      </c>
      <c r="B25" s="299" t="s">
        <v>71</v>
      </c>
      <c r="C25" s="291"/>
      <c r="D25" s="292" t="s">
        <v>57</v>
      </c>
      <c r="E25" s="301">
        <v>1</v>
      </c>
      <c r="F25" s="300">
        <f>IF($A25&lt;&gt;"",VLOOKUP($A25,[3]Rates!$A$1:$R$65536,12,FALSE),0)</f>
        <v>104.59</v>
      </c>
      <c r="G25" s="295">
        <f t="shared" si="0"/>
        <v>104.59</v>
      </c>
      <c r="H25" s="296"/>
      <c r="I25" s="300">
        <f>IF($A25&lt;&gt;"",VLOOKUP($A25,[3]Rates!$A$1:$R$65536,14,FALSE),0)</f>
        <v>104.59</v>
      </c>
      <c r="J25" s="295">
        <f t="shared" si="1"/>
        <v>104.59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296"/>
      <c r="U25" s="330"/>
    </row>
    <row r="26" spans="1:360" s="265" customFormat="1" x14ac:dyDescent="0.25">
      <c r="A26" s="289" t="str">
        <f>[3]Rates!$A$116</f>
        <v>ICMF_LU</v>
      </c>
      <c r="B26" s="299" t="s">
        <v>72</v>
      </c>
      <c r="C26" s="291"/>
      <c r="D26" s="292" t="s">
        <v>57</v>
      </c>
      <c r="E26" s="301">
        <v>1</v>
      </c>
      <c r="F26" s="300">
        <f>IF($A26&lt;&gt;"",VLOOKUP($A26,[3]Rates!$A$1:$R$65536,12,FALSE),0)</f>
        <v>30.93</v>
      </c>
      <c r="G26" s="295">
        <f t="shared" si="0"/>
        <v>30.93</v>
      </c>
      <c r="H26" s="296"/>
      <c r="I26" s="114">
        <f>IF($A26&lt;&gt;"",VLOOKUP($A26,[3]Rates!$A$1:$R$65536,14,FALSE),0)</f>
        <v>30.93</v>
      </c>
      <c r="J26" s="295">
        <f t="shared" si="1"/>
        <v>30.93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296"/>
      <c r="U26" s="330"/>
    </row>
    <row r="27" spans="1:360" x14ac:dyDescent="0.25">
      <c r="A27" s="139" t="s">
        <v>137</v>
      </c>
      <c r="B27" s="22" t="s">
        <v>131</v>
      </c>
      <c r="C27" s="15"/>
      <c r="D27" s="305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322.17</v>
      </c>
      <c r="J27" s="18">
        <f t="shared" si="1"/>
        <v>322.17</v>
      </c>
      <c r="K27" s="38"/>
      <c r="L27" s="167">
        <f t="shared" si="2"/>
        <v>322.17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38"/>
      <c r="U27" s="33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38"/>
      <c r="U28" s="331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[3]Rates!$A$118</f>
        <v>Var_LU</v>
      </c>
      <c r="B29" s="15" t="s">
        <v>14</v>
      </c>
      <c r="C29" s="15"/>
      <c r="D29" s="99" t="s">
        <v>59</v>
      </c>
      <c r="E29" s="135">
        <f>$F$18</f>
        <v>7350</v>
      </c>
      <c r="F29" s="16">
        <f>IF($A29&lt;&gt;"",VLOOKUP($A29,[3]Rates!$A$1:$R$65536,12,FALSE),0)</f>
        <v>1.4158999999999999</v>
      </c>
      <c r="G29" s="18">
        <f t="shared" si="0"/>
        <v>10406.865</v>
      </c>
      <c r="H29" s="38"/>
      <c r="I29" s="16">
        <f>IF($A29&lt;&gt;"",VLOOKUP($A29,[3]Rates!$A$1:$R$65536,14,FALSE),0)</f>
        <v>1.4414</v>
      </c>
      <c r="J29" s="18">
        <f t="shared" si="1"/>
        <v>10594.29</v>
      </c>
      <c r="K29" s="38"/>
      <c r="L29" s="167">
        <f t="shared" si="2"/>
        <v>187.42500000000109</v>
      </c>
      <c r="M29" s="123">
        <f t="shared" si="3"/>
        <v>1.8009746451020658E-2</v>
      </c>
      <c r="N29" s="38"/>
      <c r="O29" s="358"/>
      <c r="P29" s="350"/>
      <c r="Q29" s="238"/>
      <c r="R29" s="351"/>
      <c r="S29" s="352"/>
      <c r="T29" s="38"/>
      <c r="U29" s="33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4">$F$18</f>
        <v>7350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38"/>
      <c r="U30" s="331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138</v>
      </c>
      <c r="B31" s="22" t="s">
        <v>133</v>
      </c>
      <c r="C31" s="15"/>
      <c r="D31" s="99" t="s">
        <v>59</v>
      </c>
      <c r="E31" s="135">
        <f t="shared" si="4"/>
        <v>7350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7.5899999999999995E-2</v>
      </c>
      <c r="J31" s="18">
        <f t="shared" si="1"/>
        <v>557.86500000000001</v>
      </c>
      <c r="K31" s="38"/>
      <c r="L31" s="167">
        <f t="shared" si="2"/>
        <v>557.86500000000001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38"/>
      <c r="U31" s="33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5" customFormat="1" x14ac:dyDescent="0.25">
      <c r="A32" s="289" t="str">
        <f>[3]Rates!$A$123</f>
        <v>ICMV_LU</v>
      </c>
      <c r="B32" s="290" t="s">
        <v>72</v>
      </c>
      <c r="C32" s="291"/>
      <c r="D32" s="292" t="s">
        <v>59</v>
      </c>
      <c r="E32" s="302">
        <f t="shared" si="4"/>
        <v>7350</v>
      </c>
      <c r="F32" s="294">
        <f>IF($A32&lt;&gt;"",VLOOKUP($A32,[3]Rates!$A$1:$R$65536,12,FALSE),0)</f>
        <v>7.3000000000000001E-3</v>
      </c>
      <c r="G32" s="295">
        <f t="shared" si="0"/>
        <v>53.655000000000001</v>
      </c>
      <c r="H32" s="296"/>
      <c r="I32" s="16">
        <f>IF($A32&lt;&gt;"",VLOOKUP($A32,[3]Rates!$A$1:$R$65536,14,FALSE),0)</f>
        <v>7.3000000000000001E-3</v>
      </c>
      <c r="J32" s="295">
        <f t="shared" si="1"/>
        <v>53.655000000000001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296"/>
      <c r="U32" s="330"/>
    </row>
    <row r="33" spans="1:360" x14ac:dyDescent="0.25">
      <c r="A33" s="139" t="str">
        <f>[3]Rates!$A129</f>
        <v>2RAL16_LU</v>
      </c>
      <c r="B33" s="23" t="str">
        <f>[3]Rates!$B129</f>
        <v xml:space="preserve">Disposition of Deferral/Variance Accounts - Group 2 Accounts (2016) </v>
      </c>
      <c r="C33" s="15"/>
      <c r="D33" s="99" t="s">
        <v>59</v>
      </c>
      <c r="E33" s="135">
        <f t="shared" si="4"/>
        <v>7350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8.4000000000000005E-2</v>
      </c>
      <c r="J33" s="18">
        <f t="shared" si="1"/>
        <v>617.40000000000009</v>
      </c>
      <c r="K33" s="38"/>
      <c r="L33" s="167">
        <f t="shared" si="2"/>
        <v>617.40000000000009</v>
      </c>
      <c r="M33" s="123" t="str">
        <f t="shared" si="3"/>
        <v/>
      </c>
      <c r="N33" s="38"/>
      <c r="O33" s="358"/>
      <c r="P33" s="350"/>
      <c r="Q33" s="238"/>
      <c r="R33" s="351"/>
      <c r="S33" s="352"/>
      <c r="T33" s="38"/>
      <c r="U33" s="33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[3]Rates!$A130</f>
        <v>LRVA16_LU</v>
      </c>
      <c r="B34" s="23" t="str">
        <f>[3]Rates!$B130</f>
        <v>Lost Revenue Adjustment Mechanism Variance Account (LRAMVA) (2016)</v>
      </c>
      <c r="C34" s="15"/>
      <c r="D34" s="99" t="s">
        <v>59</v>
      </c>
      <c r="E34" s="135">
        <f t="shared" si="4"/>
        <v>7350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-3.56E-2</v>
      </c>
      <c r="J34" s="18">
        <f t="shared" si="1"/>
        <v>-261.66000000000003</v>
      </c>
      <c r="K34" s="38"/>
      <c r="L34" s="167">
        <f t="shared" si="2"/>
        <v>-261.66000000000003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38"/>
      <c r="U34" s="331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[3]Rates!$A131</f>
        <v>PPE16_LU</v>
      </c>
      <c r="B35" s="23" t="str">
        <f>[3]Rates!$B131</f>
        <v>Account 1575 (2016)</v>
      </c>
      <c r="C35" s="15"/>
      <c r="D35" s="99" t="s">
        <v>59</v>
      </c>
      <c r="E35" s="135">
        <f t="shared" si="4"/>
        <v>7350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38"/>
      <c r="U35" s="331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[3]Rates!$A132</f>
        <v>SG16_LU</v>
      </c>
      <c r="B36" s="23" t="str">
        <f>[3]Rates!$B132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-199.61</v>
      </c>
      <c r="J36" s="18">
        <f t="shared" si="1"/>
        <v>-199.61</v>
      </c>
      <c r="K36" s="38"/>
      <c r="L36" s="167">
        <f t="shared" si="2"/>
        <v>-199.61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38"/>
      <c r="U36" s="331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35"/>
      <c r="F37" s="16">
        <f>IF($A37&lt;&gt;"",VLOOKUP($A37,[3]Rates!$A$1:$R$65536,12,FALSE),0)</f>
        <v>0</v>
      </c>
      <c r="G37" s="18"/>
      <c r="H37" s="38"/>
      <c r="I37" s="16">
        <f>IF($A37&lt;&gt;"",VLOOKUP($A37,[3]Rates!$A$1:$R$65536,14,FALSE),0)</f>
        <v>0</v>
      </c>
      <c r="J37" s="18"/>
      <c r="K37" s="38"/>
      <c r="L37" s="167"/>
      <c r="M37" s="123"/>
      <c r="N37" s="38"/>
      <c r="O37" s="358"/>
      <c r="P37" s="350"/>
      <c r="Q37" s="238"/>
      <c r="R37" s="351"/>
      <c r="S37" s="352"/>
      <c r="T37" s="38"/>
      <c r="U37" s="33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358"/>
      <c r="P38" s="350"/>
      <c r="Q38" s="238"/>
      <c r="R38" s="351"/>
      <c r="S38" s="352"/>
      <c r="T38" s="38"/>
      <c r="U38" s="331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x14ac:dyDescent="0.25">
      <c r="A39" s="139"/>
      <c r="B39" s="23"/>
      <c r="C39" s="15"/>
      <c r="D39" s="99"/>
      <c r="E39" s="135"/>
      <c r="F39" s="16">
        <f>IF($A39&lt;&gt;"",VLOOKUP($A39,[3]Rates!$A$1:$R$65536,12,FALSE),0)</f>
        <v>0</v>
      </c>
      <c r="G39" s="18">
        <f t="shared" si="0"/>
        <v>0</v>
      </c>
      <c r="H39" s="38"/>
      <c r="I39" s="16">
        <f>IF($A39&lt;&gt;"",VLOOKUP($A39,[3]Rates!$A$1:$R$65536,14,FALSE),0)</f>
        <v>0</v>
      </c>
      <c r="J39" s="18">
        <f t="shared" si="1"/>
        <v>0</v>
      </c>
      <c r="K39" s="38"/>
      <c r="L39" s="167">
        <f t="shared" si="2"/>
        <v>0</v>
      </c>
      <c r="M39" s="123" t="str">
        <f t="shared" si="3"/>
        <v/>
      </c>
      <c r="N39" s="38"/>
      <c r="O39" s="358"/>
      <c r="P39" s="350"/>
      <c r="Q39" s="238"/>
      <c r="R39" s="351"/>
      <c r="S39" s="352"/>
      <c r="T39" s="38"/>
      <c r="U39" s="331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</row>
    <row r="40" spans="1:360" s="29" customFormat="1" x14ac:dyDescent="0.25">
      <c r="A40" s="139"/>
      <c r="B40" s="24" t="s">
        <v>17</v>
      </c>
      <c r="C40" s="25"/>
      <c r="D40" s="100"/>
      <c r="E40" s="27"/>
      <c r="F40" s="26"/>
      <c r="G40" s="28">
        <f>SUM(G23:G39)</f>
        <v>16562.329999999998</v>
      </c>
      <c r="H40" s="38"/>
      <c r="I40" s="26"/>
      <c r="J40" s="28">
        <f>SUM(J23:J39)</f>
        <v>17893.310000000005</v>
      </c>
      <c r="K40" s="38"/>
      <c r="L40" s="168">
        <f t="shared" si="2"/>
        <v>1330.9800000000068</v>
      </c>
      <c r="M40" s="124">
        <f>IF((G40)=0,"",(L40/G40))</f>
        <v>8.0361881450255301E-2</v>
      </c>
      <c r="N40" s="38"/>
      <c r="O40" s="360"/>
      <c r="P40" s="361"/>
      <c r="Q40" s="238"/>
      <c r="R40" s="362"/>
      <c r="S40" s="363"/>
      <c r="T40" s="38"/>
      <c r="U40" s="93"/>
    </row>
    <row r="41" spans="1:360" s="265" customFormat="1" x14ac:dyDescent="0.25">
      <c r="A41" s="289" t="str">
        <f>[3]Rates!$A$122</f>
        <v>RAL14_LU</v>
      </c>
      <c r="B41" s="288"/>
      <c r="C41" s="291"/>
      <c r="D41" s="305" t="s">
        <v>59</v>
      </c>
      <c r="E41" s="309">
        <f>$F$18</f>
        <v>7350</v>
      </c>
      <c r="F41" s="294"/>
      <c r="G41" s="295">
        <f t="shared" ref="G41:G49" si="5">E41*F41</f>
        <v>0</v>
      </c>
      <c r="H41" s="296"/>
      <c r="I41" s="294">
        <f>IF($A41&lt;&gt;"",VLOOKUP($A41,[3]Rates!$A$1:$R$65536,14,FALSE),0)</f>
        <v>0</v>
      </c>
      <c r="J41" s="295">
        <f>$E41*I41</f>
        <v>0</v>
      </c>
      <c r="K41" s="296"/>
      <c r="L41" s="297">
        <f t="shared" si="2"/>
        <v>0</v>
      </c>
      <c r="M41" s="298" t="str">
        <f t="shared" si="3"/>
        <v/>
      </c>
      <c r="N41" s="296"/>
      <c r="O41" s="428"/>
      <c r="P41" s="424"/>
      <c r="Q41" s="425"/>
      <c r="R41" s="426"/>
      <c r="S41" s="427"/>
      <c r="T41" s="296"/>
      <c r="U41" s="330"/>
    </row>
    <row r="42" spans="1:360" x14ac:dyDescent="0.25">
      <c r="A42" s="139" t="str">
        <f>[3]Rates!$A126</f>
        <v>RAL16_LU</v>
      </c>
      <c r="B42" s="30" t="str">
        <f>[3]Rates!$B126</f>
        <v xml:space="preserve">Disposition of Deferral/Variance Accounts (2016) </v>
      </c>
      <c r="C42" s="15"/>
      <c r="D42" s="99" t="s">
        <v>59</v>
      </c>
      <c r="E42" s="135">
        <f t="shared" ref="E42:E47" si="6">$F$18</f>
        <v>7350</v>
      </c>
      <c r="F42" s="16">
        <f>IF($A42&lt;&gt;"",VLOOKUP($A42,[3]Rates!$A$1:$R$65536,12,FALSE),0)</f>
        <v>0</v>
      </c>
      <c r="G42" s="18">
        <f t="shared" si="5"/>
        <v>0</v>
      </c>
      <c r="H42" s="21"/>
      <c r="I42" s="16">
        <f>IF($A42&lt;&gt;"",VLOOKUP($A42,[3]Rates!$A$1:$R$65536,14,FALSE),0)</f>
        <v>0.15840000000000001</v>
      </c>
      <c r="J42" s="18">
        <f t="shared" ref="J42:J47" si="7">$E42*I42</f>
        <v>1164.24</v>
      </c>
      <c r="K42" s="21"/>
      <c r="L42" s="167">
        <f t="shared" si="2"/>
        <v>1164.24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38"/>
      <c r="U42" s="33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 t="str">
        <f>[3]Rates!$A127</f>
        <v>RALP16_LU</v>
      </c>
      <c r="B43" s="30" t="str">
        <f>[3]Rates!$B127</f>
        <v xml:space="preserve">Disposition of Deferral/Variance Accounts - Power (2016) </v>
      </c>
      <c r="C43" s="15"/>
      <c r="D43" s="99" t="s">
        <v>59</v>
      </c>
      <c r="E43" s="135">
        <f t="shared" si="6"/>
        <v>7350</v>
      </c>
      <c r="F43" s="16">
        <f>IF($A43&lt;&gt;"",VLOOKUP($A43,[3]Rates!$A$1:$R$65536,12,FALSE),0)</f>
        <v>0</v>
      </c>
      <c r="G43" s="18">
        <f t="shared" si="5"/>
        <v>0</v>
      </c>
      <c r="H43" s="21"/>
      <c r="I43" s="16">
        <f>IF($A43&lt;&gt;"",VLOOKUP($A43,[3]Rates!$A$1:$R$65536,14,FALSE),0)</f>
        <v>-0.16589999999999999</v>
      </c>
      <c r="J43" s="18">
        <f>$E43*I43</f>
        <v>-1219.365</v>
      </c>
      <c r="K43" s="21"/>
      <c r="L43" s="167">
        <f t="shared" si="2"/>
        <v>-1219.365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38"/>
      <c r="U43" s="33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[3]Rates!$A128</f>
        <v>GA16_LU</v>
      </c>
      <c r="B44" s="30" t="str">
        <f>[3]Rates!$B128</f>
        <v xml:space="preserve">Disposition of Deferral/Variance Accounts - Power - Global Adjustment (2016) </v>
      </c>
      <c r="C44" s="15"/>
      <c r="D44" s="99" t="s">
        <v>59</v>
      </c>
      <c r="E44" s="135">
        <f t="shared" si="6"/>
        <v>7350</v>
      </c>
      <c r="F44" s="16">
        <f>IF($A44&lt;&gt;"",VLOOKUP($A44,[3]Rates!$A$1:$R$65536,12,FALSE),0)</f>
        <v>0</v>
      </c>
      <c r="G44" s="18">
        <f t="shared" si="5"/>
        <v>0</v>
      </c>
      <c r="H44" s="21"/>
      <c r="I44" s="16">
        <f>IF($A44&lt;&gt;"",VLOOKUP($A44,[3]Rates!$A$1:$R$65536,14,FALSE),0)</f>
        <v>0</v>
      </c>
      <c r="J44" s="18">
        <f t="shared" si="7"/>
        <v>0</v>
      </c>
      <c r="K44" s="21"/>
      <c r="L44" s="167">
        <f t="shared" si="2"/>
        <v>0</v>
      </c>
      <c r="M44" s="123" t="str">
        <f t="shared" si="3"/>
        <v/>
      </c>
      <c r="N44" s="238"/>
      <c r="O44" s="358"/>
      <c r="P44" s="350"/>
      <c r="Q44" s="238"/>
      <c r="R44" s="351"/>
      <c r="S44" s="352"/>
      <c r="T44" s="238"/>
      <c r="U44" s="33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358"/>
      <c r="P45" s="350"/>
      <c r="Q45" s="238"/>
      <c r="R45" s="351"/>
      <c r="S45" s="352"/>
      <c r="T45" s="238"/>
      <c r="U45" s="33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/>
      <c r="N46" s="238"/>
      <c r="O46" s="358"/>
      <c r="P46" s="350"/>
      <c r="Q46" s="238"/>
      <c r="R46" s="351"/>
      <c r="S46" s="352"/>
      <c r="T46" s="238"/>
      <c r="U46" s="33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[3]Rates!$A$119</f>
        <v>LV_LU</v>
      </c>
      <c r="B47" s="31" t="s">
        <v>18</v>
      </c>
      <c r="C47" s="15"/>
      <c r="D47" s="99" t="s">
        <v>59</v>
      </c>
      <c r="E47" s="135">
        <f t="shared" si="6"/>
        <v>7350</v>
      </c>
      <c r="F47" s="16">
        <f>IF($A47&lt;&gt;"",VLOOKUP($A47,[3]Rates!$A$1:$R$65536,12,FALSE),0)</f>
        <v>0.14369999999999999</v>
      </c>
      <c r="G47" s="18">
        <f t="shared" si="5"/>
        <v>1056.1949999999999</v>
      </c>
      <c r="H47" s="38"/>
      <c r="I47" s="16">
        <f>IF($A47&lt;&gt;"",VLOOKUP($A47,[3]Rates!$A$1:$R$65536,14,FALSE),0)</f>
        <v>0.14369999999999999</v>
      </c>
      <c r="J47" s="18">
        <f t="shared" si="7"/>
        <v>1056.1949999999999</v>
      </c>
      <c r="K47" s="38"/>
      <c r="L47" s="167">
        <f t="shared" si="2"/>
        <v>0</v>
      </c>
      <c r="M47" s="123">
        <f t="shared" si="3"/>
        <v>0</v>
      </c>
      <c r="N47" s="38"/>
      <c r="O47" s="358"/>
      <c r="P47" s="350"/>
      <c r="Q47" s="238"/>
      <c r="R47" s="351"/>
      <c r="S47" s="352"/>
      <c r="T47" s="38"/>
      <c r="U47" s="33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3">
        <f>$F$17*(1+$F$77)-$F$17</f>
        <v>96600</v>
      </c>
      <c r="F48" s="32"/>
      <c r="G48" s="18">
        <f>E48*F48</f>
        <v>0</v>
      </c>
      <c r="H48" s="239">
        <f>$F$17*(1+$O$77)-$F$17</f>
        <v>0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64"/>
      <c r="P48" s="350"/>
      <c r="Q48" s="238"/>
      <c r="R48" s="365"/>
      <c r="S48" s="352"/>
      <c r="T48" s="38"/>
      <c r="U48" s="33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5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64"/>
      <c r="P49" s="350"/>
      <c r="Q49" s="238"/>
      <c r="R49" s="365"/>
      <c r="S49" s="352"/>
      <c r="T49" s="38"/>
      <c r="U49" s="33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SUM(G41:G49)+G40</f>
        <v>17618.524999999998</v>
      </c>
      <c r="H50" s="38"/>
      <c r="I50" s="35"/>
      <c r="J50" s="37">
        <f>SUM(J41:J49)+J40</f>
        <v>18894.380000000005</v>
      </c>
      <c r="K50" s="38"/>
      <c r="L50" s="240">
        <f t="shared" si="2"/>
        <v>1275.8550000000068</v>
      </c>
      <c r="M50" s="125">
        <f>IF((G50)=0,"",(L50/G50))</f>
        <v>7.2415539893379663E-2</v>
      </c>
      <c r="N50" s="38"/>
      <c r="O50" s="367"/>
      <c r="P50" s="368"/>
      <c r="Q50" s="238"/>
      <c r="R50" s="429"/>
      <c r="S50" s="370"/>
      <c r="T50" s="38"/>
      <c r="U50" s="33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[3]Rates!$A$136</f>
        <v>TN_LU</v>
      </c>
      <c r="B51" s="19" t="s">
        <v>22</v>
      </c>
      <c r="C51" s="19"/>
      <c r="D51" s="101" t="s">
        <v>59</v>
      </c>
      <c r="E51" s="45">
        <f>F18</f>
        <v>7350</v>
      </c>
      <c r="F51" s="20">
        <f>IF($A51&lt;&gt;"",VLOOKUP($A51,[3]Rates!$A$1:$R$65536,12,FALSE),0)</f>
        <v>3.4638</v>
      </c>
      <c r="G51" s="18">
        <f>E51*F51</f>
        <v>25458.93</v>
      </c>
      <c r="H51" s="39">
        <f>E51</f>
        <v>7350</v>
      </c>
      <c r="I51" s="20">
        <f>IF($A51&lt;&gt;"",VLOOKUP($A51,[3]Rates!$A$1:$R$65536,14,FALSE),0)</f>
        <v>3.4638</v>
      </c>
      <c r="J51" s="18">
        <f>$H51*I51</f>
        <v>25458.93</v>
      </c>
      <c r="K51" s="38"/>
      <c r="L51" s="241">
        <f>J51-G51</f>
        <v>0</v>
      </c>
      <c r="M51" s="123">
        <f t="shared" ref="M51:M62" si="8">IF((G51)=0,"",(L51/G51))</f>
        <v>0</v>
      </c>
      <c r="N51" s="38"/>
      <c r="O51" s="371"/>
      <c r="P51" s="350"/>
      <c r="Q51" s="238"/>
      <c r="R51" s="430"/>
      <c r="S51" s="352"/>
      <c r="T51" s="38"/>
      <c r="U51" s="331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[3]Rates!$A$137</f>
        <v>TC_LU</v>
      </c>
      <c r="B52" s="40" t="s">
        <v>23</v>
      </c>
      <c r="C52" s="19"/>
      <c r="D52" s="101" t="s">
        <v>59</v>
      </c>
      <c r="E52" s="45">
        <f>E51</f>
        <v>7350</v>
      </c>
      <c r="F52" s="20">
        <f>IF($A52&lt;&gt;"",VLOOKUP($A52,[3]Rates!$A$1:$R$65536,12,FALSE),0)</f>
        <v>1.2027000000000001</v>
      </c>
      <c r="G52" s="18">
        <f>E52*F52</f>
        <v>8839.8450000000012</v>
      </c>
      <c r="H52" s="39">
        <f>E52</f>
        <v>7350</v>
      </c>
      <c r="I52" s="20">
        <f>IF($A52&lt;&gt;"",VLOOKUP($A52,[3]Rates!$A$1:$R$65536,14,FALSE),0)</f>
        <v>1.2027000000000001</v>
      </c>
      <c r="J52" s="18">
        <f>$H52*I52</f>
        <v>8839.8450000000012</v>
      </c>
      <c r="K52" s="38"/>
      <c r="L52" s="241">
        <f t="shared" si="2"/>
        <v>0</v>
      </c>
      <c r="M52" s="123">
        <f t="shared" si="8"/>
        <v>0</v>
      </c>
      <c r="N52" s="38"/>
      <c r="O52" s="371"/>
      <c r="P52" s="350"/>
      <c r="Q52" s="238"/>
      <c r="R52" s="430"/>
      <c r="S52" s="352"/>
      <c r="T52" s="38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51917.3</v>
      </c>
      <c r="H53" s="17"/>
      <c r="I53" s="41"/>
      <c r="J53" s="37">
        <f>SUM(J50:J52)</f>
        <v>53193.155000000006</v>
      </c>
      <c r="K53" s="109"/>
      <c r="L53" s="242">
        <f t="shared" si="2"/>
        <v>1275.8550000000032</v>
      </c>
      <c r="M53" s="125">
        <f t="shared" si="8"/>
        <v>2.4574756391414869E-2</v>
      </c>
      <c r="N53" s="109"/>
      <c r="O53" s="373"/>
      <c r="P53" s="368"/>
      <c r="Q53" s="374"/>
      <c r="R53" s="431"/>
      <c r="S53" s="370"/>
      <c r="T53" s="109"/>
    </row>
    <row r="54" spans="1:360" x14ac:dyDescent="0.25">
      <c r="B54" s="42" t="s">
        <v>25</v>
      </c>
      <c r="C54" s="15"/>
      <c r="D54" s="99" t="s">
        <v>58</v>
      </c>
      <c r="E54" s="137">
        <f>F17+E48</f>
        <v>2896600</v>
      </c>
      <c r="F54" s="43">
        <v>3.5999999999999999E-3</v>
      </c>
      <c r="G54" s="44">
        <f t="shared" ref="G54:G62" si="9">E54*F54</f>
        <v>10427.76</v>
      </c>
      <c r="H54" s="39">
        <f>F$17*(1+O$77)</f>
        <v>2800000</v>
      </c>
      <c r="I54" s="43">
        <v>3.5999999999999999E-3</v>
      </c>
      <c r="J54" s="44">
        <f>$E54*I54</f>
        <v>10427.76</v>
      </c>
      <c r="K54" s="17"/>
      <c r="L54" s="173">
        <f>J54-G54</f>
        <v>0</v>
      </c>
      <c r="M54" s="126">
        <f t="shared" si="8"/>
        <v>0</v>
      </c>
      <c r="N54" s="325"/>
      <c r="O54" s="376"/>
      <c r="P54" s="377"/>
      <c r="Q54" s="238"/>
      <c r="R54" s="378"/>
      <c r="S54" s="379"/>
      <c r="T54" s="238"/>
    </row>
    <row r="55" spans="1:360" x14ac:dyDescent="0.25">
      <c r="B55" s="42" t="s">
        <v>26</v>
      </c>
      <c r="C55" s="15"/>
      <c r="D55" s="99" t="s">
        <v>58</v>
      </c>
      <c r="E55" s="137">
        <f>E54</f>
        <v>2896600</v>
      </c>
      <c r="F55" s="43">
        <v>1.2999999999999999E-3</v>
      </c>
      <c r="G55" s="44">
        <f t="shared" si="9"/>
        <v>3765.58</v>
      </c>
      <c r="H55" s="39">
        <f>F$17*(1+O$77)</f>
        <v>2800000</v>
      </c>
      <c r="I55" s="43">
        <v>1.2999999999999999E-3</v>
      </c>
      <c r="J55" s="44">
        <f>$E55*I55</f>
        <v>3765.58</v>
      </c>
      <c r="K55" s="17"/>
      <c r="L55" s="173">
        <f t="shared" si="2"/>
        <v>0</v>
      </c>
      <c r="M55" s="126">
        <f t="shared" si="8"/>
        <v>0</v>
      </c>
      <c r="N55" s="325"/>
      <c r="O55" s="376"/>
      <c r="P55" s="377"/>
      <c r="Q55" s="238"/>
      <c r="R55" s="378"/>
      <c r="S55" s="379"/>
      <c r="T55" s="238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9"/>
        <v>0.25</v>
      </c>
      <c r="H56" s="17"/>
      <c r="I56" s="43">
        <v>0.25</v>
      </c>
      <c r="J56" s="44">
        <f t="shared" ref="J56:J62" si="10">$E56*I56</f>
        <v>0.25</v>
      </c>
      <c r="K56" s="17"/>
      <c r="L56" s="173">
        <f t="shared" si="2"/>
        <v>0</v>
      </c>
      <c r="M56" s="126">
        <f t="shared" si="8"/>
        <v>0</v>
      </c>
      <c r="N56" s="325"/>
      <c r="O56" s="376"/>
      <c r="P56" s="377"/>
      <c r="Q56" s="238"/>
      <c r="R56" s="378"/>
      <c r="S56" s="379"/>
      <c r="T56" s="238"/>
    </row>
    <row r="57" spans="1:360" x14ac:dyDescent="0.25">
      <c r="B57" s="15" t="s">
        <v>28</v>
      </c>
      <c r="C57" s="15"/>
      <c r="D57" s="99" t="s">
        <v>58</v>
      </c>
      <c r="E57" s="137">
        <f>F17</f>
        <v>2800000</v>
      </c>
      <c r="F57" s="43">
        <v>7.0000000000000001E-3</v>
      </c>
      <c r="G57" s="44">
        <f t="shared" si="9"/>
        <v>19600</v>
      </c>
      <c r="H57" s="17"/>
      <c r="I57" s="43">
        <v>7.0000000000000001E-3</v>
      </c>
      <c r="J57" s="44">
        <f t="shared" si="10"/>
        <v>19600</v>
      </c>
      <c r="K57" s="17"/>
      <c r="L57" s="173">
        <f t="shared" si="2"/>
        <v>0</v>
      </c>
      <c r="M57" s="126">
        <f t="shared" si="8"/>
        <v>0</v>
      </c>
      <c r="N57" s="325"/>
      <c r="O57" s="376"/>
      <c r="P57" s="377"/>
      <c r="Q57" s="238"/>
      <c r="R57" s="378"/>
      <c r="S57" s="379"/>
      <c r="T57" s="238"/>
    </row>
    <row r="58" spans="1:360" x14ac:dyDescent="0.25">
      <c r="B58" s="31" t="s">
        <v>29</v>
      </c>
      <c r="C58" s="15"/>
      <c r="D58" s="99" t="s">
        <v>58</v>
      </c>
      <c r="E58" s="137">
        <f>0.64*$F$17+E48*0.64</f>
        <v>1853824</v>
      </c>
      <c r="F58" s="46">
        <f>Residential!F55</f>
        <v>8.6999999999999994E-2</v>
      </c>
      <c r="G58" s="44">
        <f t="shared" si="9"/>
        <v>161282.68799999999</v>
      </c>
      <c r="H58" s="136">
        <f>0.64*$F$17+H48*0.64</f>
        <v>1792000</v>
      </c>
      <c r="I58" s="46">
        <f>F58</f>
        <v>8.6999999999999994E-2</v>
      </c>
      <c r="J58" s="44">
        <f>$E58*I58</f>
        <v>161282.68799999999</v>
      </c>
      <c r="K58" s="17"/>
      <c r="L58" s="174">
        <f t="shared" si="2"/>
        <v>0</v>
      </c>
      <c r="M58" s="126">
        <f t="shared" si="8"/>
        <v>0</v>
      </c>
      <c r="N58" s="325"/>
      <c r="O58" s="381"/>
      <c r="P58" s="377"/>
      <c r="Q58" s="238"/>
      <c r="R58" s="382"/>
      <c r="S58" s="379"/>
      <c r="T58" s="238"/>
    </row>
    <row r="59" spans="1:360" x14ac:dyDescent="0.25">
      <c r="B59" s="31" t="s">
        <v>30</v>
      </c>
      <c r="C59" s="15"/>
      <c r="D59" s="99" t="s">
        <v>58</v>
      </c>
      <c r="E59" s="137">
        <f>0.18*$F$17+E48*0.18</f>
        <v>521388</v>
      </c>
      <c r="F59" s="46">
        <f>Residential!F56</f>
        <v>0.13200000000000001</v>
      </c>
      <c r="G59" s="44">
        <f t="shared" si="9"/>
        <v>68823.216</v>
      </c>
      <c r="H59" s="136">
        <f>0.18*$F$17+H48*0.18</f>
        <v>504000</v>
      </c>
      <c r="I59" s="46">
        <f t="shared" ref="I59:I62" si="11">F59</f>
        <v>0.13200000000000001</v>
      </c>
      <c r="J59" s="44">
        <f>$E59*I59</f>
        <v>68823.216</v>
      </c>
      <c r="K59" s="17"/>
      <c r="L59" s="174">
        <f t="shared" si="2"/>
        <v>0</v>
      </c>
      <c r="M59" s="126">
        <f t="shared" si="8"/>
        <v>0</v>
      </c>
      <c r="N59" s="325"/>
      <c r="O59" s="381"/>
      <c r="P59" s="377"/>
      <c r="Q59" s="238"/>
      <c r="R59" s="382"/>
      <c r="S59" s="379"/>
      <c r="T59" s="238"/>
    </row>
    <row r="60" spans="1:360" x14ac:dyDescent="0.25">
      <c r="B60" s="7" t="s">
        <v>31</v>
      </c>
      <c r="C60" s="15"/>
      <c r="D60" s="99" t="s">
        <v>58</v>
      </c>
      <c r="E60" s="137">
        <f>0.18*$F$17+E48*0.18</f>
        <v>521388</v>
      </c>
      <c r="F60" s="46">
        <f>Residential!F57</f>
        <v>0.18</v>
      </c>
      <c r="G60" s="44">
        <f t="shared" si="9"/>
        <v>93849.84</v>
      </c>
      <c r="H60" s="136">
        <f>0.18*$F$17+H48*0.18</f>
        <v>504000</v>
      </c>
      <c r="I60" s="46">
        <f t="shared" si="11"/>
        <v>0.18</v>
      </c>
      <c r="J60" s="44">
        <f>$E60*I60</f>
        <v>93849.84</v>
      </c>
      <c r="K60" s="17"/>
      <c r="L60" s="174">
        <f t="shared" si="2"/>
        <v>0</v>
      </c>
      <c r="M60" s="126">
        <f t="shared" si="8"/>
        <v>0</v>
      </c>
      <c r="N60" s="325"/>
      <c r="O60" s="381"/>
      <c r="P60" s="377"/>
      <c r="Q60" s="238"/>
      <c r="R60" s="382"/>
      <c r="S60" s="379"/>
      <c r="T60" s="238"/>
    </row>
    <row r="61" spans="1:360" s="51" customFormat="1" x14ac:dyDescent="0.2">
      <c r="B61" s="48" t="s">
        <v>127</v>
      </c>
      <c r="C61" s="49"/>
      <c r="D61" s="102" t="s">
        <v>58</v>
      </c>
      <c r="E61" s="138">
        <f>F17</f>
        <v>2800000</v>
      </c>
      <c r="F61" s="43">
        <v>1.1000000000000001E-3</v>
      </c>
      <c r="G61" s="44">
        <f t="shared" si="9"/>
        <v>3080</v>
      </c>
      <c r="H61" s="110"/>
      <c r="I61" s="43">
        <v>1.1000000000000001E-3</v>
      </c>
      <c r="J61" s="44">
        <f t="shared" si="10"/>
        <v>3080</v>
      </c>
      <c r="K61" s="17"/>
      <c r="L61" s="173">
        <f t="shared" si="2"/>
        <v>0</v>
      </c>
      <c r="M61" s="126">
        <f t="shared" si="8"/>
        <v>0</v>
      </c>
      <c r="N61" s="326"/>
      <c r="O61" s="381"/>
      <c r="P61" s="377"/>
      <c r="Q61" s="383"/>
      <c r="R61" s="382"/>
      <c r="S61" s="379"/>
      <c r="T61" s="383"/>
      <c r="U61" s="329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9"/>
        <v>0</v>
      </c>
      <c r="H62" s="110"/>
      <c r="I62" s="46">
        <f t="shared" si="11"/>
        <v>0</v>
      </c>
      <c r="J62" s="44">
        <f t="shared" si="10"/>
        <v>0</v>
      </c>
      <c r="K62" s="110"/>
      <c r="L62" s="174">
        <f t="shared" si="2"/>
        <v>0</v>
      </c>
      <c r="M62" s="126" t="str">
        <f t="shared" si="8"/>
        <v/>
      </c>
      <c r="N62" s="326"/>
      <c r="O62" s="381"/>
      <c r="P62" s="377"/>
      <c r="Q62" s="383"/>
      <c r="R62" s="382"/>
      <c r="S62" s="379"/>
      <c r="T62" s="383"/>
      <c r="U62" s="329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325"/>
      <c r="O63" s="384"/>
      <c r="P63" s="385"/>
      <c r="Q63" s="238"/>
      <c r="R63" s="386"/>
      <c r="S63" s="387"/>
      <c r="T63" s="238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412746.63400000002</v>
      </c>
      <c r="H64" s="57"/>
      <c r="I64" s="56"/>
      <c r="J64" s="58">
        <f>SUM(J54:J61,J53)</f>
        <v>414022.48900000006</v>
      </c>
      <c r="K64" s="57"/>
      <c r="L64" s="243">
        <f>J64-G64</f>
        <v>1275.8550000000396</v>
      </c>
      <c r="M64" s="128">
        <f>IF((G64)=0,"",(L64/G64))</f>
        <v>3.0911336275126098E-3</v>
      </c>
      <c r="N64" s="327"/>
      <c r="O64" s="388"/>
      <c r="P64" s="389"/>
      <c r="Q64" s="374"/>
      <c r="R64" s="432"/>
      <c r="S64" s="391"/>
      <c r="T64" s="374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53657.062420000002</v>
      </c>
      <c r="H65" s="61"/>
      <c r="I65" s="60">
        <v>0.13</v>
      </c>
      <c r="J65" s="62">
        <f>J64*I65</f>
        <v>53822.923570000006</v>
      </c>
      <c r="K65" s="61"/>
      <c r="L65" s="176">
        <f>J65-G65</f>
        <v>165.86115000000427</v>
      </c>
      <c r="M65" s="129">
        <f>IF((G65)=0,"",(L65/G65))</f>
        <v>3.0911336275125938E-3</v>
      </c>
      <c r="N65" s="328"/>
      <c r="O65" s="392"/>
      <c r="P65" s="393"/>
      <c r="Q65" s="394"/>
      <c r="R65" s="390"/>
      <c r="S65" s="395"/>
      <c r="T65" s="394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466403.69642000005</v>
      </c>
      <c r="H66" s="61"/>
      <c r="I66" s="64"/>
      <c r="J66" s="62">
        <f>J64+J65</f>
        <v>467845.41257000004</v>
      </c>
      <c r="K66" s="61"/>
      <c r="L66" s="176">
        <f>J66-G66</f>
        <v>1441.7161499999929</v>
      </c>
      <c r="M66" s="129">
        <f>IF((G66)=0,"",(L66/G66))</f>
        <v>3.0911336275124988E-3</v>
      </c>
      <c r="N66" s="328"/>
      <c r="O66" s="396"/>
      <c r="P66" s="393"/>
      <c r="Q66" s="394"/>
      <c r="R66" s="390"/>
      <c r="S66" s="395"/>
      <c r="T66" s="394"/>
    </row>
    <row r="67" spans="1:360" ht="15" customHeight="1" x14ac:dyDescent="0.25">
      <c r="B67" s="483" t="s">
        <v>35</v>
      </c>
      <c r="C67" s="483"/>
      <c r="D67" s="483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328"/>
      <c r="O67" s="396"/>
      <c r="P67" s="397"/>
      <c r="Q67" s="394"/>
      <c r="R67" s="398"/>
      <c r="S67" s="399"/>
      <c r="T67" s="394"/>
    </row>
    <row r="68" spans="1:360" ht="15.75" customHeight="1" thickBot="1" x14ac:dyDescent="0.3">
      <c r="B68" s="484" t="s">
        <v>36</v>
      </c>
      <c r="C68" s="484"/>
      <c r="D68" s="484"/>
      <c r="E68" s="105"/>
      <c r="F68" s="66"/>
      <c r="G68" s="67">
        <f>G66+G67</f>
        <v>466403.69642000005</v>
      </c>
      <c r="H68" s="57"/>
      <c r="I68" s="66"/>
      <c r="J68" s="67">
        <f>J66+J67</f>
        <v>467845.41257000004</v>
      </c>
      <c r="K68" s="57"/>
      <c r="L68" s="244">
        <f>J68-G68</f>
        <v>1441.7161499999929</v>
      </c>
      <c r="M68" s="131">
        <f>IF((G68)=0,"",(L68/G68))</f>
        <v>3.0911336275124988E-3</v>
      </c>
      <c r="N68" s="327"/>
      <c r="O68" s="400"/>
      <c r="P68" s="401"/>
      <c r="Q68" s="374"/>
      <c r="R68" s="433"/>
      <c r="S68" s="403"/>
      <c r="T68" s="374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326"/>
      <c r="O69" s="384"/>
      <c r="P69" s="385"/>
      <c r="Q69" s="383"/>
      <c r="R69" s="434"/>
      <c r="S69" s="387"/>
      <c r="T69" s="383"/>
      <c r="U69" s="329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88790.89</v>
      </c>
      <c r="H70" s="74"/>
      <c r="I70" s="73"/>
      <c r="J70" s="75">
        <f>SUM(J61:J62,J53,J54:J57)</f>
        <v>90066.74500000001</v>
      </c>
      <c r="K70" s="74"/>
      <c r="L70" s="246">
        <f>J70-G70</f>
        <v>1275.8550000000105</v>
      </c>
      <c r="M70" s="128">
        <f>IF((G70)=0,"",(L70/G70))</f>
        <v>1.4369210625099157E-2</v>
      </c>
      <c r="N70" s="332"/>
      <c r="O70" s="405"/>
      <c r="P70" s="406"/>
      <c r="Q70" s="407"/>
      <c r="R70" s="435"/>
      <c r="S70" s="391"/>
      <c r="T70" s="407"/>
      <c r="U70" s="329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11542.815700000001</v>
      </c>
      <c r="H71" s="78"/>
      <c r="I71" s="77">
        <v>0.13</v>
      </c>
      <c r="J71" s="79">
        <f>J70*I71</f>
        <v>11708.676850000002</v>
      </c>
      <c r="K71" s="78"/>
      <c r="L71" s="180">
        <f>J71-G71</f>
        <v>165.86115000000063</v>
      </c>
      <c r="M71" s="129">
        <f>IF((G71)=0,"",(L71/G71))</f>
        <v>1.4369210625099093E-2</v>
      </c>
      <c r="N71" s="333"/>
      <c r="O71" s="409"/>
      <c r="P71" s="410"/>
      <c r="Q71" s="411"/>
      <c r="R71" s="408"/>
      <c r="S71" s="395"/>
      <c r="T71" s="411"/>
      <c r="U71" s="329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100333.70570000001</v>
      </c>
      <c r="H72" s="78"/>
      <c r="I72" s="81"/>
      <c r="J72" s="79">
        <f>J70+J71</f>
        <v>101775.42185000001</v>
      </c>
      <c r="K72" s="78"/>
      <c r="L72" s="180">
        <f>J72-G72</f>
        <v>1441.7161500000075</v>
      </c>
      <c r="M72" s="129">
        <f>IF((G72)=0,"",(L72/G72))</f>
        <v>1.4369210625099112E-2</v>
      </c>
      <c r="N72" s="333"/>
      <c r="O72" s="412"/>
      <c r="P72" s="410"/>
      <c r="Q72" s="411"/>
      <c r="R72" s="408"/>
      <c r="S72" s="395"/>
      <c r="T72" s="411"/>
      <c r="U72" s="329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485" t="s">
        <v>35</v>
      </c>
      <c r="C73" s="485"/>
      <c r="D73" s="485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333"/>
      <c r="O73" s="412"/>
      <c r="P73" s="413"/>
      <c r="Q73" s="411"/>
      <c r="R73" s="414"/>
      <c r="S73" s="399"/>
      <c r="T73" s="411"/>
      <c r="U73" s="329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476" t="s">
        <v>38</v>
      </c>
      <c r="C74" s="476"/>
      <c r="D74" s="476"/>
      <c r="E74" s="108"/>
      <c r="F74" s="83"/>
      <c r="G74" s="84">
        <f>SUM(G72:G73)</f>
        <v>100333.70570000001</v>
      </c>
      <c r="H74" s="74"/>
      <c r="I74" s="83"/>
      <c r="J74" s="84">
        <f>SUM(J72:J73)</f>
        <v>101775.42185000001</v>
      </c>
      <c r="K74" s="74"/>
      <c r="L74" s="247">
        <f>J74-G74</f>
        <v>1441.7161500000075</v>
      </c>
      <c r="M74" s="132">
        <f>IF((G74)=0,"",(L74/G74))</f>
        <v>1.4369210625099112E-2</v>
      </c>
      <c r="N74" s="332"/>
      <c r="O74" s="415"/>
      <c r="P74" s="416"/>
      <c r="Q74" s="407"/>
      <c r="R74" s="436"/>
      <c r="S74" s="403"/>
      <c r="T74" s="407"/>
      <c r="U74" s="329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326"/>
      <c r="O75" s="384"/>
      <c r="P75" s="385"/>
      <c r="Q75" s="383"/>
      <c r="R75" s="386"/>
      <c r="S75" s="387"/>
      <c r="T75" s="383"/>
      <c r="U75" s="329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O76" s="331"/>
      <c r="P76" s="418"/>
      <c r="Q76" s="331"/>
      <c r="R76" s="341"/>
      <c r="S76" s="342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419"/>
      <c r="P77" s="331"/>
      <c r="Q77" s="331"/>
      <c r="R77" s="341"/>
      <c r="S77" s="342"/>
    </row>
    <row r="78" spans="1:360" x14ac:dyDescent="0.25">
      <c r="O78" s="331"/>
      <c r="P78" s="331"/>
      <c r="Q78" s="331"/>
      <c r="R78" s="341"/>
      <c r="S78" s="342"/>
    </row>
    <row r="79" spans="1:360" x14ac:dyDescent="0.25">
      <c r="A79" s="88" t="s">
        <v>40</v>
      </c>
      <c r="O79" s="331"/>
      <c r="P79" s="331"/>
      <c r="Q79" s="331"/>
      <c r="R79" s="341"/>
      <c r="S79" s="342"/>
    </row>
    <row r="80" spans="1:360" x14ac:dyDescent="0.25">
      <c r="O80" s="331"/>
      <c r="P80" s="331"/>
      <c r="Q80" s="331"/>
      <c r="R80" s="341"/>
      <c r="S80" s="342"/>
    </row>
    <row r="81" spans="1:360" x14ac:dyDescent="0.25">
      <c r="A81" s="2" t="s">
        <v>41</v>
      </c>
      <c r="O81" s="331"/>
      <c r="P81" s="331"/>
      <c r="Q81" s="331"/>
      <c r="R81" s="341"/>
      <c r="S81" s="342"/>
    </row>
    <row r="82" spans="1:360" x14ac:dyDescent="0.25">
      <c r="A82" s="2" t="s">
        <v>42</v>
      </c>
      <c r="O82" s="331"/>
      <c r="P82" s="331"/>
      <c r="Q82" s="331"/>
      <c r="R82" s="341"/>
      <c r="S82" s="342"/>
    </row>
    <row r="83" spans="1:360" x14ac:dyDescent="0.25">
      <c r="O83" s="331"/>
      <c r="P83" s="331"/>
      <c r="Q83" s="331"/>
      <c r="R83" s="341"/>
      <c r="S83" s="342"/>
    </row>
    <row r="84" spans="1:360" x14ac:dyDescent="0.25">
      <c r="A84" s="7" t="s">
        <v>43</v>
      </c>
      <c r="M84" s="2"/>
      <c r="O84" s="331"/>
      <c r="P84" s="331"/>
      <c r="Q84" s="331"/>
      <c r="R84" s="341"/>
      <c r="S84" s="331"/>
      <c r="U84" s="33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O85" s="331"/>
      <c r="P85" s="331"/>
      <c r="Q85" s="331"/>
      <c r="R85" s="341"/>
      <c r="S85" s="331"/>
      <c r="U85" s="33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7" spans="1:360" x14ac:dyDescent="0.25">
      <c r="A87" s="2" t="s">
        <v>45</v>
      </c>
      <c r="M87" s="2"/>
      <c r="S87" s="2"/>
      <c r="U87" s="33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33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33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33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331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331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O20:P20"/>
    <mergeCell ref="R20:S20"/>
    <mergeCell ref="B74:D74"/>
    <mergeCell ref="D21:D22"/>
    <mergeCell ref="B67:D67"/>
    <mergeCell ref="B68:D68"/>
    <mergeCell ref="B73:D73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1:D49 D69 D54:D63 D75 D23:D39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6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2"/>
  <sheetViews>
    <sheetView view="pageBreakPreview" topLeftCell="B1" zoomScale="70" zoomScaleNormal="70" zoomScaleSheetLayoutView="70" workbookViewId="0">
      <selection activeCell="O3" sqref="O1:U1048576"/>
    </sheetView>
  </sheetViews>
  <sheetFormatPr defaultRowHeight="15" outlineLevelRow="1" outlineLevelCol="1" x14ac:dyDescent="0.25"/>
  <cols>
    <col min="1" max="1" width="11.7109375" style="2" hidden="1" customWidth="1" outlineLevel="1"/>
    <col min="2" max="2" width="65.4257812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2.5703125" style="2" customWidth="1"/>
    <col min="9" max="10" width="13.5703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2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1" width="0" style="93" hidden="1" customWidth="1" outlineLevel="1"/>
    <col min="22" max="22" width="9.140625" style="29" collapsed="1"/>
    <col min="23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8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78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60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5"/>
      <c r="F17" s="5"/>
      <c r="G17" s="5"/>
      <c r="H17" s="5"/>
      <c r="K17" s="5"/>
      <c r="L17" s="163"/>
      <c r="M17" s="119"/>
      <c r="N17" s="5"/>
      <c r="O17" s="5"/>
      <c r="P17" s="5"/>
      <c r="Q17" s="5"/>
      <c r="R17" s="163"/>
      <c r="S17" s="119"/>
      <c r="T17" s="5"/>
      <c r="U17" s="331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8"/>
      <c r="F18" s="9">
        <v>150</v>
      </c>
      <c r="O18" s="331"/>
      <c r="P18" s="331"/>
      <c r="Q18" s="331"/>
      <c r="R18" s="341"/>
      <c r="S18" s="342"/>
      <c r="U18" s="331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O19" s="331"/>
      <c r="P19" s="331"/>
      <c r="Q19" s="331"/>
      <c r="R19" s="341"/>
      <c r="S19" s="342"/>
      <c r="U19" s="33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39.75" customHeight="1" x14ac:dyDescent="0.25">
      <c r="B20" s="7"/>
      <c r="D20" s="10"/>
      <c r="E20" s="10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29"/>
      <c r="U20" s="331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29"/>
      <c r="U21" s="331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29"/>
      <c r="U22" s="331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[3]Rates!$A$141</f>
        <v>Fix_USL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7.01</v>
      </c>
      <c r="G23" s="18">
        <f t="shared" ref="G23:G38" si="0">E23*F23</f>
        <v>7.01</v>
      </c>
      <c r="H23" s="38"/>
      <c r="I23" s="114">
        <f>IF($A23&lt;&gt;"",VLOOKUP($A23,[3]Rates!$A$1:$R$65536,14,FALSE),0)</f>
        <v>7.14</v>
      </c>
      <c r="J23" s="18">
        <f>$E23*I23</f>
        <v>7.14</v>
      </c>
      <c r="K23" s="38"/>
      <c r="L23" s="167">
        <f>J23-G23</f>
        <v>0.12999999999999989</v>
      </c>
      <c r="M23" s="123">
        <f>IF((G23)=0,"",(L23/G23))</f>
        <v>1.8544935805991425E-2</v>
      </c>
      <c r="N23" s="38"/>
      <c r="O23" s="349"/>
      <c r="P23" s="350"/>
      <c r="Q23" s="238"/>
      <c r="R23" s="351"/>
      <c r="S23" s="352"/>
      <c r="T23" s="38"/>
      <c r="U23" s="331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1" si="2">J24-G24</f>
        <v>0</v>
      </c>
      <c r="M24" s="123" t="str">
        <f t="shared" ref="M24:M47" si="3">IF((G24)=0,"",(L24/G24))</f>
        <v/>
      </c>
      <c r="N24" s="38"/>
      <c r="O24" s="349"/>
      <c r="P24" s="350"/>
      <c r="Q24" s="238"/>
      <c r="R24" s="351"/>
      <c r="S24" s="352"/>
      <c r="T24" s="38"/>
      <c r="U24" s="331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5" customFormat="1" x14ac:dyDescent="0.25">
      <c r="A25" s="289" t="str">
        <f>[3]Rates!$A$143</f>
        <v>PPE_USL</v>
      </c>
      <c r="B25" s="299" t="s">
        <v>71</v>
      </c>
      <c r="C25" s="291"/>
      <c r="D25" s="292" t="s">
        <v>57</v>
      </c>
      <c r="E25" s="301">
        <v>1</v>
      </c>
      <c r="F25" s="300">
        <f>IF($A25&lt;&gt;"",VLOOKUP($A25,[3]Rates!$A$1:$R$65536,12,FALSE),0)</f>
        <v>0.11</v>
      </c>
      <c r="G25" s="295">
        <f t="shared" si="0"/>
        <v>0.11</v>
      </c>
      <c r="H25" s="296"/>
      <c r="I25" s="300">
        <f>IF($A25&lt;&gt;"",VLOOKUP($A25,[3]Rates!$A$1:$R$65536,14,FALSE),0)</f>
        <v>0.11</v>
      </c>
      <c r="J25" s="295">
        <f t="shared" si="1"/>
        <v>0.11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296"/>
      <c r="U25" s="330"/>
    </row>
    <row r="26" spans="1:360" s="265" customFormat="1" x14ac:dyDescent="0.25">
      <c r="A26" s="289" t="str">
        <f>[3]Rates!$A$144</f>
        <v>ICMF_USL</v>
      </c>
      <c r="B26" s="299" t="s">
        <v>72</v>
      </c>
      <c r="C26" s="291"/>
      <c r="D26" s="292" t="s">
        <v>57</v>
      </c>
      <c r="E26" s="301">
        <v>1</v>
      </c>
      <c r="F26" s="300">
        <f>IF($A26&lt;&gt;"",VLOOKUP($A26,[3]Rates!$A$1:$R$65536,12,FALSE),0)</f>
        <v>0.04</v>
      </c>
      <c r="G26" s="295">
        <f t="shared" si="0"/>
        <v>0.04</v>
      </c>
      <c r="H26" s="296"/>
      <c r="I26" s="114">
        <f>IF($A26&lt;&gt;"",VLOOKUP($A26,[3]Rates!$A$1:$R$65536,14,FALSE),0)</f>
        <v>0.04</v>
      </c>
      <c r="J26" s="295">
        <f t="shared" si="1"/>
        <v>0.04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296"/>
      <c r="U26" s="330"/>
    </row>
    <row r="27" spans="1:360" x14ac:dyDescent="0.25">
      <c r="A27" s="139" t="s">
        <v>139</v>
      </c>
      <c r="B27" s="22" t="s">
        <v>131</v>
      </c>
      <c r="C27" s="15"/>
      <c r="D27" s="305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0.39</v>
      </c>
      <c r="J27" s="18">
        <f t="shared" si="1"/>
        <v>0.39</v>
      </c>
      <c r="K27" s="38"/>
      <c r="L27" s="167">
        <f t="shared" si="2"/>
        <v>0.39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38"/>
      <c r="U27" s="33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38"/>
      <c r="U28" s="331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[3]Rates!$A$146</f>
        <v>Var_USL</v>
      </c>
      <c r="B29" s="15" t="s">
        <v>14</v>
      </c>
      <c r="C29" s="15"/>
      <c r="D29" s="99" t="s">
        <v>58</v>
      </c>
      <c r="E29" s="17">
        <f>$F$18</f>
        <v>150</v>
      </c>
      <c r="F29" s="16">
        <f>IF($A29&lt;&gt;"",VLOOKUP($A29,[3]Rates!$A$1:$R$65536,12,FALSE),0)</f>
        <v>1.5900000000000001E-2</v>
      </c>
      <c r="G29" s="18">
        <f t="shared" si="0"/>
        <v>2.3850000000000002</v>
      </c>
      <c r="H29" s="38"/>
      <c r="I29" s="16">
        <f>IF($A29&lt;&gt;"",VLOOKUP($A29,[3]Rates!$A$1:$R$65536,14,FALSE),0)</f>
        <v>1.6199999999999999E-2</v>
      </c>
      <c r="J29" s="18">
        <f t="shared" si="1"/>
        <v>2.4299999999999997</v>
      </c>
      <c r="K29" s="38"/>
      <c r="L29" s="167">
        <f t="shared" si="2"/>
        <v>4.4999999999999485E-2</v>
      </c>
      <c r="M29" s="123">
        <f t="shared" si="3"/>
        <v>1.8867924528301667E-2</v>
      </c>
      <c r="N29" s="38"/>
      <c r="O29" s="358"/>
      <c r="P29" s="350"/>
      <c r="Q29" s="238"/>
      <c r="R29" s="351"/>
      <c r="S29" s="352"/>
      <c r="T29" s="38"/>
      <c r="U29" s="33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7">
        <f t="shared" ref="E30" si="4">$F$18</f>
        <v>150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38"/>
      <c r="U30" s="331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140</v>
      </c>
      <c r="B31" s="22" t="s">
        <v>133</v>
      </c>
      <c r="C31" s="15"/>
      <c r="D31" s="99" t="s">
        <v>58</v>
      </c>
      <c r="E31" s="17">
        <f>$F$18</f>
        <v>150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8.9999999999999998E-4</v>
      </c>
      <c r="J31" s="18">
        <f t="shared" si="1"/>
        <v>0.13500000000000001</v>
      </c>
      <c r="K31" s="38"/>
      <c r="L31" s="167">
        <f t="shared" si="2"/>
        <v>0.13500000000000001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38"/>
      <c r="U31" s="331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5" customFormat="1" x14ac:dyDescent="0.25">
      <c r="A32" s="289" t="str">
        <f>[3]Rates!$A$152</f>
        <v>ICMV_USL</v>
      </c>
      <c r="B32" s="290" t="s">
        <v>72</v>
      </c>
      <c r="C32" s="291"/>
      <c r="D32" s="292" t="s">
        <v>58</v>
      </c>
      <c r="E32" s="301">
        <f t="shared" ref="E32:E35" si="5">$F$18</f>
        <v>150</v>
      </c>
      <c r="F32" s="294">
        <f>IF($A32&lt;&gt;"",VLOOKUP($A32,[3]Rates!$A$1:$R$65536,12,FALSE),0)</f>
        <v>1E-4</v>
      </c>
      <c r="G32" s="295">
        <f t="shared" si="0"/>
        <v>1.5000000000000001E-2</v>
      </c>
      <c r="H32" s="296"/>
      <c r="I32" s="16">
        <f>IF($A32&lt;&gt;"",VLOOKUP($A32,[3]Rates!$A$1:$R$65536,14,FALSE),0)</f>
        <v>1E-4</v>
      </c>
      <c r="J32" s="295">
        <f t="shared" si="1"/>
        <v>1.5000000000000001E-2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296"/>
      <c r="U32" s="330"/>
    </row>
    <row r="33" spans="1:360" x14ac:dyDescent="0.25">
      <c r="A33" s="139" t="str">
        <f>[3]Rates!$A157</f>
        <v>2RAL16_USL</v>
      </c>
      <c r="B33" s="23" t="str">
        <f>[3]Rates!$B157</f>
        <v xml:space="preserve">Disposition of Deferral/Variance Accounts - Group 2 Accounts (2016) </v>
      </c>
      <c r="C33" s="15"/>
      <c r="D33" s="99" t="s">
        <v>58</v>
      </c>
      <c r="E33" s="17">
        <f t="shared" si="5"/>
        <v>150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2.0000000000000001E-4</v>
      </c>
      <c r="J33" s="18">
        <f t="shared" si="1"/>
        <v>3.0000000000000002E-2</v>
      </c>
      <c r="K33" s="38"/>
      <c r="L33" s="167">
        <f t="shared" si="2"/>
        <v>3.0000000000000002E-2</v>
      </c>
      <c r="M33" s="123" t="str">
        <f t="shared" si="3"/>
        <v/>
      </c>
      <c r="N33" s="38"/>
      <c r="O33" s="358"/>
      <c r="P33" s="350"/>
      <c r="Q33" s="238"/>
      <c r="R33" s="351"/>
      <c r="S33" s="352"/>
      <c r="T33" s="38"/>
      <c r="U33" s="33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[3]Rates!$A158</f>
        <v>LRVA16_USL</v>
      </c>
      <c r="B34" s="23" t="str">
        <f>[3]Rates!$B158</f>
        <v>Lost Revenue Adjustment Mechanism Variance Account (LRAMVA) (2016)</v>
      </c>
      <c r="C34" s="15"/>
      <c r="D34" s="99" t="s">
        <v>58</v>
      </c>
      <c r="E34" s="17">
        <f t="shared" si="5"/>
        <v>150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-2.0000000000000001E-4</v>
      </c>
      <c r="J34" s="18">
        <f t="shared" si="1"/>
        <v>-3.0000000000000002E-2</v>
      </c>
      <c r="K34" s="38"/>
      <c r="L34" s="167">
        <f t="shared" si="2"/>
        <v>-3.0000000000000002E-2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38"/>
      <c r="U34" s="331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[3]Rates!$A159</f>
        <v>PPE16_USL</v>
      </c>
      <c r="B35" s="23" t="str">
        <f>[3]Rates!$B159</f>
        <v>Account 1575 (2016)</v>
      </c>
      <c r="C35" s="15"/>
      <c r="D35" s="99" t="s">
        <v>58</v>
      </c>
      <c r="E35" s="17">
        <f t="shared" si="5"/>
        <v>150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38"/>
      <c r="U35" s="331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[3]Rates!$A160</f>
        <v>SG16_USL</v>
      </c>
      <c r="B36" s="23" t="str">
        <f>[3]Rates!$B160</f>
        <v>Smart Grid True-up (2016)</v>
      </c>
      <c r="C36" s="15"/>
      <c r="D36" s="99" t="s">
        <v>57</v>
      </c>
      <c r="E36" s="17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-0.02</v>
      </c>
      <c r="J36" s="18">
        <f t="shared" si="1"/>
        <v>-0.02</v>
      </c>
      <c r="K36" s="38"/>
      <c r="L36" s="167">
        <f t="shared" si="2"/>
        <v>-0.02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38"/>
      <c r="U36" s="331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7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358"/>
      <c r="P37" s="350"/>
      <c r="Q37" s="238"/>
      <c r="R37" s="351"/>
      <c r="S37" s="352"/>
      <c r="T37" s="38"/>
      <c r="U37" s="33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7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358"/>
      <c r="P38" s="350"/>
      <c r="Q38" s="238"/>
      <c r="R38" s="351"/>
      <c r="S38" s="352"/>
      <c r="T38" s="38"/>
      <c r="U38" s="331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39"/>
      <c r="B39" s="24" t="s">
        <v>17</v>
      </c>
      <c r="C39" s="25"/>
      <c r="D39" s="100"/>
      <c r="E39" s="27"/>
      <c r="F39" s="26"/>
      <c r="G39" s="28">
        <f>SUM(G23:G38)</f>
        <v>9.56</v>
      </c>
      <c r="H39" s="38"/>
      <c r="I39" s="26"/>
      <c r="J39" s="28">
        <f>SUM(J23:J38)</f>
        <v>10.24</v>
      </c>
      <c r="K39" s="38"/>
      <c r="L39" s="168">
        <f t="shared" si="2"/>
        <v>0.67999999999999972</v>
      </c>
      <c r="M39" s="124">
        <f>IF((G39)=0,"",(L39/G39))</f>
        <v>7.1129707112970675E-2</v>
      </c>
      <c r="N39" s="38"/>
      <c r="O39" s="360"/>
      <c r="P39" s="361"/>
      <c r="Q39" s="238"/>
      <c r="R39" s="362"/>
      <c r="S39" s="363"/>
      <c r="T39" s="38"/>
      <c r="U39" s="93"/>
    </row>
    <row r="40" spans="1:360" s="265" customFormat="1" x14ac:dyDescent="0.25">
      <c r="A40" s="289" t="str">
        <f>[3]Rates!$A$150</f>
        <v>RAL14_USL</v>
      </c>
      <c r="B40" s="288"/>
      <c r="C40" s="291"/>
      <c r="D40" s="305" t="s">
        <v>58</v>
      </c>
      <c r="E40" s="310">
        <f>$F$18</f>
        <v>150</v>
      </c>
      <c r="F40" s="294"/>
      <c r="G40" s="295">
        <f t="shared" ref="G40:G46" si="6">E40*F40</f>
        <v>0</v>
      </c>
      <c r="H40" s="296"/>
      <c r="I40" s="294">
        <f>IF($A40&lt;&gt;"",VLOOKUP($A40,[3]Rates!$A$1:$R$65536,14,FALSE),0)</f>
        <v>0</v>
      </c>
      <c r="J40" s="295">
        <f>$E40*I40</f>
        <v>0</v>
      </c>
      <c r="K40" s="296"/>
      <c r="L40" s="297">
        <f t="shared" si="2"/>
        <v>0</v>
      </c>
      <c r="M40" s="298" t="str">
        <f t="shared" si="3"/>
        <v/>
      </c>
      <c r="N40" s="296"/>
      <c r="O40" s="428"/>
      <c r="P40" s="424"/>
      <c r="Q40" s="425"/>
      <c r="R40" s="426"/>
      <c r="S40" s="427"/>
      <c r="T40" s="296"/>
      <c r="U40" s="330"/>
    </row>
    <row r="41" spans="1:360" x14ac:dyDescent="0.25">
      <c r="A41" s="139" t="str">
        <f>[3]Rates!$A154</f>
        <v>RAL16_USL</v>
      </c>
      <c r="B41" s="30" t="str">
        <f>[3]Rates!$B154</f>
        <v xml:space="preserve">Disposition of Deferral/Variance Accounts (2016) </v>
      </c>
      <c r="C41" s="15"/>
      <c r="D41" s="99" t="s">
        <v>58</v>
      </c>
      <c r="E41" s="17">
        <f t="shared" ref="E41:E46" si="7">$F$18</f>
        <v>150</v>
      </c>
      <c r="F41" s="16">
        <f>IF($A41&lt;&gt;"",VLOOKUP($A41,[3]Rates!$A$1:$R$65536,12,FALSE),0)</f>
        <v>0</v>
      </c>
      <c r="G41" s="18">
        <f t="shared" si="6"/>
        <v>0</v>
      </c>
      <c r="H41" s="21"/>
      <c r="I41" s="16">
        <f>IF($A41&lt;&gt;"",VLOOKUP($A41,[3]Rates!$A$1:$R$65536,14,FALSE),0)</f>
        <v>2.9999999999999997E-4</v>
      </c>
      <c r="J41" s="18">
        <f t="shared" ref="J41:J48" si="8">$E41*I41</f>
        <v>4.4999999999999998E-2</v>
      </c>
      <c r="K41" s="21"/>
      <c r="L41" s="167">
        <f t="shared" si="2"/>
        <v>4.4999999999999998E-2</v>
      </c>
      <c r="M41" s="123" t="str">
        <f t="shared" si="3"/>
        <v/>
      </c>
      <c r="N41" s="238"/>
      <c r="O41" s="358"/>
      <c r="P41" s="350"/>
      <c r="Q41" s="238"/>
      <c r="R41" s="351"/>
      <c r="S41" s="352"/>
      <c r="T41" s="238"/>
      <c r="U41" s="331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[3]Rates!$A155</f>
        <v>RALP16_USL</v>
      </c>
      <c r="B42" s="30" t="str">
        <f>[3]Rates!$B155</f>
        <v xml:space="preserve">Disposition of Deferral/Variance Accounts - Power (2016) </v>
      </c>
      <c r="C42" s="15"/>
      <c r="D42" s="99" t="s">
        <v>58</v>
      </c>
      <c r="E42" s="17">
        <f t="shared" si="7"/>
        <v>150</v>
      </c>
      <c r="F42" s="16">
        <f>IF($A42&lt;&gt;"",VLOOKUP($A42,[3]Rates!$A$1:$R$65536,12,FALSE),0)</f>
        <v>0</v>
      </c>
      <c r="G42" s="18">
        <f t="shared" si="6"/>
        <v>0</v>
      </c>
      <c r="H42" s="21"/>
      <c r="I42" s="16">
        <f>IF($A42&lt;&gt;"",VLOOKUP($A42,[3]Rates!$A$1:$R$65536,14,FALSE),0)</f>
        <v>-2.9999999999999997E-4</v>
      </c>
      <c r="J42" s="18">
        <f t="shared" si="8"/>
        <v>-4.4999999999999998E-2</v>
      </c>
      <c r="K42" s="21"/>
      <c r="L42" s="167">
        <f t="shared" si="2"/>
        <v>-4.4999999999999998E-2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38"/>
      <c r="U42" s="331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7"/>
      <c r="F43" s="16">
        <f>IF($A43&lt;&gt;"",VLOOKUP($A43,[3]Rates!$A$1:$R$65536,12,FALSE),0)</f>
        <v>0</v>
      </c>
      <c r="G43" s="18">
        <f t="shared" si="6"/>
        <v>0</v>
      </c>
      <c r="H43" s="21"/>
      <c r="I43" s="16">
        <f>IF($A43&lt;&gt;"",VLOOKUP($A43,[3]Rates!$A$1:$R$65536,14,FALSE),0)</f>
        <v>0</v>
      </c>
      <c r="J43" s="18">
        <f t="shared" si="8"/>
        <v>0</v>
      </c>
      <c r="K43" s="21"/>
      <c r="L43" s="167">
        <f t="shared" si="2"/>
        <v>0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38"/>
      <c r="U43" s="331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/>
      <c r="B44" s="30"/>
      <c r="C44" s="15"/>
      <c r="D44" s="99"/>
      <c r="E44" s="17"/>
      <c r="F44" s="16">
        <f>IF($A44&lt;&gt;"",VLOOKUP($A44,[3]Rates!$A$1:$R$65536,12,FALSE),0)</f>
        <v>0</v>
      </c>
      <c r="G44" s="18"/>
      <c r="H44" s="238"/>
      <c r="I44" s="16">
        <f>IF($A44&lt;&gt;"",VLOOKUP($A44,[3]Rates!$A$1:$R$65536,14,FALSE),0)</f>
        <v>0</v>
      </c>
      <c r="J44" s="18"/>
      <c r="K44" s="238"/>
      <c r="L44" s="167"/>
      <c r="M44" s="123"/>
      <c r="N44" s="238"/>
      <c r="O44" s="358"/>
      <c r="P44" s="350"/>
      <c r="Q44" s="238"/>
      <c r="R44" s="351"/>
      <c r="S44" s="352"/>
      <c r="T44" s="238"/>
      <c r="U44" s="331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7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358"/>
      <c r="P45" s="350"/>
      <c r="Q45" s="238"/>
      <c r="R45" s="351"/>
      <c r="S45" s="352"/>
      <c r="T45" s="238"/>
      <c r="U45" s="331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 t="str">
        <f>[3]Rates!$A$147</f>
        <v>LV_USL</v>
      </c>
      <c r="B46" s="31" t="s">
        <v>18</v>
      </c>
      <c r="C46" s="15"/>
      <c r="D46" s="99" t="s">
        <v>58</v>
      </c>
      <c r="E46" s="17">
        <f t="shared" si="7"/>
        <v>150</v>
      </c>
      <c r="F46" s="16">
        <f>IF($A46&lt;&gt;"",VLOOKUP($A46,[3]Rates!$A$1:$R$65536,12,FALSE),0)</f>
        <v>2.9999999999999997E-4</v>
      </c>
      <c r="G46" s="18">
        <f t="shared" si="6"/>
        <v>4.4999999999999998E-2</v>
      </c>
      <c r="H46" s="38"/>
      <c r="I46" s="16">
        <f>IF($A46&lt;&gt;"",VLOOKUP($A46,[3]Rates!$A$1:$R$65536,14,FALSE),0)</f>
        <v>2.9999999999999997E-4</v>
      </c>
      <c r="J46" s="18">
        <f t="shared" si="8"/>
        <v>4.4999999999999998E-2</v>
      </c>
      <c r="K46" s="38"/>
      <c r="L46" s="167">
        <f t="shared" si="2"/>
        <v>0</v>
      </c>
      <c r="M46" s="123">
        <f t="shared" si="3"/>
        <v>0</v>
      </c>
      <c r="N46" s="38"/>
      <c r="O46" s="358"/>
      <c r="P46" s="350"/>
      <c r="Q46" s="238"/>
      <c r="R46" s="351"/>
      <c r="S46" s="352"/>
      <c r="T46" s="38"/>
      <c r="U46" s="331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/>
      <c r="B47" s="31" t="s">
        <v>19</v>
      </c>
      <c r="C47" s="15"/>
      <c r="D47" s="99"/>
      <c r="E47" s="312">
        <f>$F$18*(1+$F$76)-$F$18</f>
        <v>5.1749999999999829</v>
      </c>
      <c r="F47" s="32"/>
      <c r="G47" s="18">
        <f>E47*F47</f>
        <v>0</v>
      </c>
      <c r="H47" s="90">
        <f>$F$18*(1+$O$76)-$F$18</f>
        <v>0</v>
      </c>
      <c r="I47" s="32"/>
      <c r="J47" s="18">
        <f>$H47*I47</f>
        <v>0</v>
      </c>
      <c r="K47" s="38"/>
      <c r="L47" s="169">
        <f t="shared" si="2"/>
        <v>0</v>
      </c>
      <c r="M47" s="123" t="str">
        <f t="shared" si="3"/>
        <v/>
      </c>
      <c r="N47" s="38"/>
      <c r="O47" s="364"/>
      <c r="P47" s="350"/>
      <c r="Q47" s="238"/>
      <c r="R47" s="365"/>
      <c r="S47" s="352"/>
      <c r="T47" s="38"/>
      <c r="U47" s="331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/>
      <c r="C48" s="15"/>
      <c r="D48" s="99"/>
      <c r="E48" s="17"/>
      <c r="F48" s="32"/>
      <c r="G48" s="18"/>
      <c r="H48" s="38"/>
      <c r="I48" s="32"/>
      <c r="J48" s="18">
        <f t="shared" si="8"/>
        <v>0</v>
      </c>
      <c r="K48" s="38"/>
      <c r="L48" s="169">
        <f t="shared" si="2"/>
        <v>0</v>
      </c>
      <c r="M48" s="123"/>
      <c r="N48" s="38"/>
      <c r="O48" s="364"/>
      <c r="P48" s="350"/>
      <c r="Q48" s="238"/>
      <c r="R48" s="365"/>
      <c r="S48" s="352"/>
      <c r="T48" s="38"/>
      <c r="U48" s="331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3" t="s">
        <v>21</v>
      </c>
      <c r="C49" s="34"/>
      <c r="D49" s="35"/>
      <c r="E49" s="36"/>
      <c r="F49" s="35"/>
      <c r="G49" s="37">
        <f>SUM(G40:G48)+G39</f>
        <v>9.6050000000000004</v>
      </c>
      <c r="H49" s="38"/>
      <c r="I49" s="35"/>
      <c r="J49" s="37">
        <f>SUM(J40:J48)+J39</f>
        <v>10.285</v>
      </c>
      <c r="K49" s="38"/>
      <c r="L49" s="170">
        <f t="shared" si="2"/>
        <v>0.67999999999999972</v>
      </c>
      <c r="M49" s="125">
        <f>IF((G49)=0,"",(L49/G49))</f>
        <v>7.0796460176991122E-2</v>
      </c>
      <c r="N49" s="38"/>
      <c r="O49" s="367"/>
      <c r="P49" s="368"/>
      <c r="Q49" s="238"/>
      <c r="R49" s="369"/>
      <c r="S49" s="370"/>
      <c r="T49" s="38"/>
      <c r="U49" s="33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 t="str">
        <f>[3]Rates!$A$164</f>
        <v>TN_USL</v>
      </c>
      <c r="B50" s="19" t="s">
        <v>22</v>
      </c>
      <c r="C50" s="19"/>
      <c r="D50" s="101" t="s">
        <v>58</v>
      </c>
      <c r="E50" s="45">
        <f>F18*(1+F76)</f>
        <v>155.17499999999998</v>
      </c>
      <c r="F50" s="20">
        <f>IF($A50&lt;&gt;"",VLOOKUP($A50,[3]Rates!$A$1:$R$65536,12,FALSE),0)</f>
        <v>7.1999999999999998E-3</v>
      </c>
      <c r="G50" s="18">
        <f>E50*F50</f>
        <v>1.1172599999999999</v>
      </c>
      <c r="H50" s="39">
        <f>F18*(1+O76)</f>
        <v>150</v>
      </c>
      <c r="I50" s="20">
        <f>IF($A50&lt;&gt;"",VLOOKUP($A50,[3]Rates!$A$1:$R$65536,14,FALSE),0)</f>
        <v>7.1999999999999998E-3</v>
      </c>
      <c r="J50" s="18">
        <f>$E50*I50</f>
        <v>1.1172599999999999</v>
      </c>
      <c r="K50" s="38"/>
      <c r="L50" s="171">
        <f>J50-G50</f>
        <v>0</v>
      </c>
      <c r="M50" s="123">
        <f t="shared" ref="M50:M61" si="9">IF((G50)=0,"",(L50/G50))</f>
        <v>0</v>
      </c>
      <c r="N50" s="38"/>
      <c r="O50" s="371"/>
      <c r="P50" s="350"/>
      <c r="Q50" s="238"/>
      <c r="R50" s="372"/>
      <c r="S50" s="352"/>
      <c r="T50" s="38"/>
      <c r="U50" s="331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[3]Rates!$A$165</f>
        <v>TC_USL</v>
      </c>
      <c r="B51" s="40" t="s">
        <v>23</v>
      </c>
      <c r="C51" s="19"/>
      <c r="D51" s="101" t="s">
        <v>58</v>
      </c>
      <c r="E51" s="45">
        <f>E50</f>
        <v>155.17499999999998</v>
      </c>
      <c r="F51" s="20">
        <f>IF($A51&lt;&gt;"",VLOOKUP($A51,[3]Rates!$A$1:$R$65536,12,FALSE),0)</f>
        <v>3.3999999999999998E-3</v>
      </c>
      <c r="G51" s="18">
        <f>E51*F51</f>
        <v>0.52759499999999993</v>
      </c>
      <c r="H51" s="39">
        <f>H50</f>
        <v>150</v>
      </c>
      <c r="I51" s="20">
        <f>IF($A51&lt;&gt;"",VLOOKUP($A51,[3]Rates!$A$1:$R$65536,14,FALSE),0)</f>
        <v>3.3999999999999998E-3</v>
      </c>
      <c r="J51" s="18">
        <f>$E51*I51</f>
        <v>0.52759499999999993</v>
      </c>
      <c r="K51" s="38"/>
      <c r="L51" s="171">
        <f t="shared" si="2"/>
        <v>0</v>
      </c>
      <c r="M51" s="123">
        <f t="shared" si="9"/>
        <v>0</v>
      </c>
      <c r="N51" s="38"/>
      <c r="O51" s="371"/>
      <c r="P51" s="350"/>
      <c r="Q51" s="238"/>
      <c r="R51" s="372"/>
      <c r="S51" s="352"/>
      <c r="T51" s="38"/>
    </row>
    <row r="52" spans="1:360" x14ac:dyDescent="0.25">
      <c r="B52" s="33" t="s">
        <v>24</v>
      </c>
      <c r="C52" s="25"/>
      <c r="D52" s="41"/>
      <c r="E52" s="36"/>
      <c r="F52" s="41"/>
      <c r="G52" s="37">
        <f>SUM(G49:G51)</f>
        <v>11.249855</v>
      </c>
      <c r="H52" s="109"/>
      <c r="I52" s="41"/>
      <c r="J52" s="37">
        <f>SUM(J49:J51)</f>
        <v>11.929855</v>
      </c>
      <c r="K52" s="109"/>
      <c r="L52" s="172">
        <f t="shared" si="2"/>
        <v>0.67999999999999972</v>
      </c>
      <c r="M52" s="125">
        <f t="shared" si="9"/>
        <v>6.0445223516214182E-2</v>
      </c>
      <c r="N52" s="109"/>
      <c r="O52" s="373"/>
      <c r="P52" s="368"/>
      <c r="Q52" s="374"/>
      <c r="R52" s="375"/>
      <c r="S52" s="370"/>
      <c r="T52" s="109"/>
    </row>
    <row r="53" spans="1:360" x14ac:dyDescent="0.25">
      <c r="B53" s="42" t="s">
        <v>25</v>
      </c>
      <c r="C53" s="15"/>
      <c r="D53" s="99" t="s">
        <v>58</v>
      </c>
      <c r="E53" s="45">
        <f>E51</f>
        <v>155.17499999999998</v>
      </c>
      <c r="F53" s="43">
        <v>3.5999999999999999E-3</v>
      </c>
      <c r="G53" s="44">
        <f t="shared" ref="G53:G61" si="10">E53*F53</f>
        <v>0.55862999999999996</v>
      </c>
      <c r="H53" s="39">
        <f>H51</f>
        <v>150</v>
      </c>
      <c r="I53" s="43">
        <v>3.5999999999999999E-3</v>
      </c>
      <c r="J53" s="44">
        <f>$E53*I53</f>
        <v>0.55862999999999996</v>
      </c>
      <c r="K53" s="17"/>
      <c r="L53" s="173">
        <f t="shared" si="2"/>
        <v>0</v>
      </c>
      <c r="M53" s="126">
        <f t="shared" si="9"/>
        <v>0</v>
      </c>
      <c r="N53" s="325"/>
      <c r="O53" s="376"/>
      <c r="P53" s="377"/>
      <c r="Q53" s="238"/>
      <c r="R53" s="378"/>
      <c r="S53" s="379"/>
      <c r="T53" s="238"/>
    </row>
    <row r="54" spans="1:360" x14ac:dyDescent="0.25">
      <c r="B54" s="42" t="s">
        <v>26</v>
      </c>
      <c r="C54" s="15"/>
      <c r="D54" s="99" t="s">
        <v>58</v>
      </c>
      <c r="E54" s="45">
        <f>E51</f>
        <v>155.17499999999998</v>
      </c>
      <c r="F54" s="43">
        <v>1.2999999999999999E-3</v>
      </c>
      <c r="G54" s="44">
        <f t="shared" si="10"/>
        <v>0.20172749999999998</v>
      </c>
      <c r="H54" s="39">
        <f>H51</f>
        <v>150</v>
      </c>
      <c r="I54" s="43">
        <v>1.2999999999999999E-3</v>
      </c>
      <c r="J54" s="44">
        <f>$E54*I54</f>
        <v>0.20172749999999998</v>
      </c>
      <c r="K54" s="17"/>
      <c r="L54" s="173">
        <f t="shared" si="2"/>
        <v>0</v>
      </c>
      <c r="M54" s="126">
        <f t="shared" si="9"/>
        <v>0</v>
      </c>
      <c r="N54" s="325"/>
      <c r="O54" s="376"/>
      <c r="P54" s="377"/>
      <c r="Q54" s="238"/>
      <c r="R54" s="378"/>
      <c r="S54" s="379"/>
      <c r="T54" s="238"/>
    </row>
    <row r="55" spans="1:360" x14ac:dyDescent="0.25">
      <c r="B55" s="15" t="s">
        <v>27</v>
      </c>
      <c r="C55" s="15"/>
      <c r="D55" s="99" t="s">
        <v>57</v>
      </c>
      <c r="E55" s="17">
        <v>1</v>
      </c>
      <c r="F55" s="134">
        <v>0.25</v>
      </c>
      <c r="G55" s="44">
        <f t="shared" si="10"/>
        <v>0.25</v>
      </c>
      <c r="H55" s="17"/>
      <c r="I55" s="43">
        <v>0.25</v>
      </c>
      <c r="J55" s="44">
        <f t="shared" ref="J55:J61" si="11">$E55*I55</f>
        <v>0.25</v>
      </c>
      <c r="K55" s="17"/>
      <c r="L55" s="173">
        <f t="shared" si="2"/>
        <v>0</v>
      </c>
      <c r="M55" s="126">
        <f t="shared" si="9"/>
        <v>0</v>
      </c>
      <c r="N55" s="325"/>
      <c r="O55" s="376"/>
      <c r="P55" s="377"/>
      <c r="Q55" s="238"/>
      <c r="R55" s="378"/>
      <c r="S55" s="379"/>
      <c r="T55" s="238"/>
    </row>
    <row r="56" spans="1:360" x14ac:dyDescent="0.25">
      <c r="B56" s="15" t="s">
        <v>28</v>
      </c>
      <c r="C56" s="15"/>
      <c r="D56" s="99" t="s">
        <v>58</v>
      </c>
      <c r="E56" s="45">
        <f>F18</f>
        <v>150</v>
      </c>
      <c r="F56" s="43">
        <v>7.0000000000000001E-3</v>
      </c>
      <c r="G56" s="44">
        <f t="shared" si="10"/>
        <v>1.05</v>
      </c>
      <c r="H56" s="17"/>
      <c r="I56" s="43">
        <v>7.0000000000000001E-3</v>
      </c>
      <c r="J56" s="44">
        <f t="shared" si="11"/>
        <v>1.05</v>
      </c>
      <c r="K56" s="17"/>
      <c r="L56" s="173">
        <f t="shared" si="2"/>
        <v>0</v>
      </c>
      <c r="M56" s="126">
        <f t="shared" si="9"/>
        <v>0</v>
      </c>
      <c r="N56" s="325"/>
      <c r="O56" s="376"/>
      <c r="P56" s="377"/>
      <c r="Q56" s="238"/>
      <c r="R56" s="378"/>
      <c r="S56" s="379"/>
      <c r="T56" s="238"/>
    </row>
    <row r="57" spans="1:360" x14ac:dyDescent="0.25">
      <c r="B57" s="31" t="s">
        <v>29</v>
      </c>
      <c r="C57" s="15"/>
      <c r="D57" s="99" t="s">
        <v>58</v>
      </c>
      <c r="E57" s="45">
        <f>0.64*$F$18+E47*0.64</f>
        <v>99.311999999999983</v>
      </c>
      <c r="F57" s="46">
        <f>Residential!F55</f>
        <v>8.6999999999999994E-2</v>
      </c>
      <c r="G57" s="44">
        <f t="shared" si="10"/>
        <v>8.6401439999999976</v>
      </c>
      <c r="H57" s="39">
        <f>0.64*$F$18+H47*0.64</f>
        <v>96</v>
      </c>
      <c r="I57" s="46">
        <f>F57</f>
        <v>8.6999999999999994E-2</v>
      </c>
      <c r="J57" s="44">
        <f>$E57*I57</f>
        <v>8.6401439999999976</v>
      </c>
      <c r="K57" s="17"/>
      <c r="L57" s="174">
        <f t="shared" si="2"/>
        <v>0</v>
      </c>
      <c r="M57" s="126">
        <f t="shared" si="9"/>
        <v>0</v>
      </c>
      <c r="N57" s="325"/>
      <c r="O57" s="381"/>
      <c r="P57" s="377"/>
      <c r="Q57" s="238"/>
      <c r="R57" s="382"/>
      <c r="S57" s="379"/>
      <c r="T57" s="238"/>
    </row>
    <row r="58" spans="1:360" x14ac:dyDescent="0.25">
      <c r="B58" s="31" t="s">
        <v>30</v>
      </c>
      <c r="C58" s="15"/>
      <c r="D58" s="99" t="s">
        <v>58</v>
      </c>
      <c r="E58" s="45">
        <f>0.18*$F$18+E47*0.18</f>
        <v>27.931499999999996</v>
      </c>
      <c r="F58" s="46">
        <f>Residential!F56</f>
        <v>0.13200000000000001</v>
      </c>
      <c r="G58" s="44">
        <f t="shared" si="10"/>
        <v>3.6869579999999997</v>
      </c>
      <c r="H58" s="39">
        <f>0.18*$F$18+H47*0.18</f>
        <v>27</v>
      </c>
      <c r="I58" s="46">
        <f t="shared" ref="I58:I61" si="12">F58</f>
        <v>0.13200000000000001</v>
      </c>
      <c r="J58" s="44">
        <f>$E58*I58</f>
        <v>3.6869579999999997</v>
      </c>
      <c r="K58" s="17"/>
      <c r="L58" s="174">
        <f t="shared" si="2"/>
        <v>0</v>
      </c>
      <c r="M58" s="126">
        <f t="shared" si="9"/>
        <v>0</v>
      </c>
      <c r="N58" s="325"/>
      <c r="O58" s="381"/>
      <c r="P58" s="377"/>
      <c r="Q58" s="238"/>
      <c r="R58" s="382"/>
      <c r="S58" s="379"/>
      <c r="T58" s="238"/>
    </row>
    <row r="59" spans="1:360" x14ac:dyDescent="0.25">
      <c r="B59" s="7" t="s">
        <v>31</v>
      </c>
      <c r="C59" s="15"/>
      <c r="D59" s="99" t="s">
        <v>58</v>
      </c>
      <c r="E59" s="45">
        <f>0.18*$F$18+E47*0.18</f>
        <v>27.931499999999996</v>
      </c>
      <c r="F59" s="46">
        <f>Residential!F57</f>
        <v>0.18</v>
      </c>
      <c r="G59" s="44">
        <f t="shared" si="10"/>
        <v>5.0276699999999988</v>
      </c>
      <c r="H59" s="39">
        <f>0.18*$F$18+H47*0.18</f>
        <v>27</v>
      </c>
      <c r="I59" s="46">
        <f t="shared" si="12"/>
        <v>0.18</v>
      </c>
      <c r="J59" s="44">
        <f>$E59*I59</f>
        <v>5.0276699999999988</v>
      </c>
      <c r="K59" s="17"/>
      <c r="L59" s="174">
        <f t="shared" si="2"/>
        <v>0</v>
      </c>
      <c r="M59" s="126">
        <f t="shared" si="9"/>
        <v>0</v>
      </c>
      <c r="N59" s="325"/>
      <c r="O59" s="381"/>
      <c r="P59" s="377"/>
      <c r="Q59" s="238"/>
      <c r="R59" s="382"/>
      <c r="S59" s="379"/>
      <c r="T59" s="238"/>
    </row>
    <row r="60" spans="1:360" s="51" customFormat="1" x14ac:dyDescent="0.2">
      <c r="B60" s="48" t="s">
        <v>127</v>
      </c>
      <c r="C60" s="49"/>
      <c r="D60" s="102" t="s">
        <v>58</v>
      </c>
      <c r="E60" s="314">
        <f>F18</f>
        <v>150</v>
      </c>
      <c r="F60" s="43">
        <v>1.1000000000000001E-3</v>
      </c>
      <c r="G60" s="44">
        <f t="shared" si="10"/>
        <v>0.16500000000000001</v>
      </c>
      <c r="H60" s="110"/>
      <c r="I60" s="43">
        <v>1.1000000000000001E-3</v>
      </c>
      <c r="J60" s="44">
        <f t="shared" si="11"/>
        <v>0.16500000000000001</v>
      </c>
      <c r="K60" s="17"/>
      <c r="L60" s="173">
        <f t="shared" si="2"/>
        <v>0</v>
      </c>
      <c r="M60" s="126">
        <f t="shared" si="9"/>
        <v>0</v>
      </c>
      <c r="N60" s="326"/>
      <c r="O60" s="381"/>
      <c r="P60" s="377"/>
      <c r="Q60" s="383"/>
      <c r="R60" s="382"/>
      <c r="S60" s="379"/>
      <c r="T60" s="383"/>
      <c r="U60" s="329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  <c r="IQ60" s="98"/>
      <c r="IR60" s="98"/>
      <c r="IS60" s="98"/>
      <c r="IT60" s="98"/>
      <c r="IU60" s="98"/>
      <c r="IV60" s="98"/>
      <c r="IW60" s="98"/>
      <c r="IX60" s="98"/>
      <c r="IY60" s="98"/>
      <c r="IZ60" s="98"/>
      <c r="JA60" s="98"/>
      <c r="JB60" s="98"/>
      <c r="JC60" s="98"/>
      <c r="JD60" s="98"/>
      <c r="JE60" s="98"/>
      <c r="JF60" s="98"/>
      <c r="JG60" s="98"/>
      <c r="JH60" s="98"/>
      <c r="JI60" s="98"/>
      <c r="JJ60" s="98"/>
      <c r="JK60" s="98"/>
      <c r="JL60" s="98"/>
      <c r="JM60" s="98"/>
      <c r="JN60" s="98"/>
      <c r="JO60" s="98"/>
      <c r="JP60" s="98"/>
      <c r="JQ60" s="98"/>
      <c r="JR60" s="98"/>
      <c r="JS60" s="98"/>
      <c r="JT60" s="98"/>
      <c r="JU60" s="98"/>
      <c r="JV60" s="98"/>
      <c r="JW60" s="98"/>
      <c r="JX60" s="98"/>
      <c r="JY60" s="98"/>
      <c r="JZ60" s="98"/>
      <c r="KA60" s="98"/>
      <c r="KB60" s="98"/>
      <c r="KC60" s="98"/>
      <c r="KD60" s="98"/>
      <c r="KE60" s="98"/>
      <c r="KF60" s="98"/>
      <c r="KG60" s="98"/>
      <c r="KH60" s="98"/>
      <c r="KI60" s="98"/>
      <c r="KJ60" s="98"/>
      <c r="KK60" s="98"/>
      <c r="KL60" s="98"/>
      <c r="KM60" s="98"/>
      <c r="KN60" s="98"/>
      <c r="KO60" s="98"/>
      <c r="KP60" s="98"/>
      <c r="KQ60" s="98"/>
      <c r="KR60" s="98"/>
      <c r="KS60" s="98"/>
      <c r="KT60" s="98"/>
      <c r="KU60" s="98"/>
      <c r="KV60" s="98"/>
      <c r="KW60" s="98"/>
      <c r="KX60" s="98"/>
      <c r="KY60" s="98"/>
      <c r="KZ60" s="98"/>
      <c r="LA60" s="98"/>
      <c r="LB60" s="98"/>
      <c r="LC60" s="98"/>
      <c r="LD60" s="98"/>
      <c r="LE60" s="98"/>
      <c r="LF60" s="98"/>
      <c r="LG60" s="98"/>
      <c r="LH60" s="98"/>
      <c r="LI60" s="98"/>
      <c r="LJ60" s="98"/>
      <c r="LK60" s="98"/>
      <c r="LL60" s="98"/>
      <c r="LM60" s="98"/>
      <c r="LN60" s="98"/>
      <c r="LO60" s="98"/>
      <c r="LP60" s="98"/>
      <c r="LQ60" s="98"/>
      <c r="LR60" s="98"/>
      <c r="LS60" s="98"/>
      <c r="LT60" s="98"/>
      <c r="LU60" s="98"/>
      <c r="LV60" s="98"/>
      <c r="LW60" s="98"/>
      <c r="LX60" s="98"/>
      <c r="LY60" s="98"/>
      <c r="LZ60" s="98"/>
      <c r="MA60" s="98"/>
      <c r="MB60" s="98"/>
      <c r="MC60" s="98"/>
      <c r="MD60" s="98"/>
      <c r="ME60" s="98"/>
      <c r="MF60" s="98"/>
      <c r="MG60" s="98"/>
      <c r="MH60" s="98"/>
      <c r="MI60" s="98"/>
      <c r="MJ60" s="98"/>
      <c r="MK60" s="98"/>
      <c r="ML60" s="98"/>
      <c r="MM60" s="98"/>
      <c r="MN60" s="98"/>
      <c r="MO60" s="98"/>
      <c r="MP60" s="98"/>
      <c r="MQ60" s="98"/>
      <c r="MR60" s="98"/>
      <c r="MS60" s="98"/>
      <c r="MT60" s="98"/>
      <c r="MU60" s="98"/>
      <c r="MV60" s="98"/>
    </row>
    <row r="61" spans="1:360" s="51" customFormat="1" ht="15.75" thickBot="1" x14ac:dyDescent="0.25">
      <c r="B61" s="48"/>
      <c r="C61" s="49"/>
      <c r="D61" s="102"/>
      <c r="E61" s="50"/>
      <c r="F61" s="46"/>
      <c r="G61" s="44">
        <f t="shared" si="10"/>
        <v>0</v>
      </c>
      <c r="H61" s="110"/>
      <c r="I61" s="46">
        <f t="shared" si="12"/>
        <v>0</v>
      </c>
      <c r="J61" s="44">
        <f t="shared" si="11"/>
        <v>0</v>
      </c>
      <c r="K61" s="110"/>
      <c r="L61" s="174">
        <f t="shared" si="2"/>
        <v>0</v>
      </c>
      <c r="M61" s="126" t="str">
        <f t="shared" si="9"/>
        <v/>
      </c>
      <c r="N61" s="326"/>
      <c r="O61" s="381"/>
      <c r="P61" s="377"/>
      <c r="Q61" s="383"/>
      <c r="R61" s="382"/>
      <c r="S61" s="379"/>
      <c r="T61" s="383"/>
      <c r="U61" s="329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ht="15.75" thickBot="1" x14ac:dyDescent="0.3">
      <c r="B62" s="52"/>
      <c r="C62" s="53"/>
      <c r="D62" s="103"/>
      <c r="E62" s="54"/>
      <c r="F62" s="85"/>
      <c r="G62" s="86"/>
      <c r="H62" s="17"/>
      <c r="I62" s="85"/>
      <c r="J62" s="86"/>
      <c r="K62" s="17"/>
      <c r="L62" s="175"/>
      <c r="M62" s="127"/>
      <c r="N62" s="325"/>
      <c r="O62" s="384"/>
      <c r="P62" s="385"/>
      <c r="Q62" s="238"/>
      <c r="R62" s="386"/>
      <c r="S62" s="387"/>
      <c r="T62" s="238"/>
    </row>
    <row r="63" spans="1:360" x14ac:dyDescent="0.25">
      <c r="B63" s="55" t="s">
        <v>32</v>
      </c>
      <c r="C63" s="15"/>
      <c r="D63" s="15"/>
      <c r="E63" s="104"/>
      <c r="F63" s="56"/>
      <c r="G63" s="58">
        <f>SUM(G53:G60,G52)</f>
        <v>30.829984499999998</v>
      </c>
      <c r="H63" s="57"/>
      <c r="I63" s="56"/>
      <c r="J63" s="58">
        <f>SUM(J53:J60,J52)</f>
        <v>31.509984499999998</v>
      </c>
      <c r="K63" s="57"/>
      <c r="L63" s="176">
        <f>J63-G63</f>
        <v>0.67999999999999972</v>
      </c>
      <c r="M63" s="128">
        <f>IF((G63)=0,"",(L63/G63))</f>
        <v>2.2056449622931202E-2</v>
      </c>
      <c r="N63" s="327"/>
      <c r="O63" s="388"/>
      <c r="P63" s="389"/>
      <c r="Q63" s="374"/>
      <c r="R63" s="390"/>
      <c r="S63" s="391"/>
      <c r="T63" s="374"/>
    </row>
    <row r="64" spans="1:360" x14ac:dyDescent="0.25">
      <c r="B64" s="59" t="s">
        <v>33</v>
      </c>
      <c r="C64" s="15"/>
      <c r="D64" s="15"/>
      <c r="E64" s="21"/>
      <c r="F64" s="60">
        <v>0.13</v>
      </c>
      <c r="G64" s="62">
        <f>G63*F64</f>
        <v>4.0078979849999996</v>
      </c>
      <c r="H64" s="61"/>
      <c r="I64" s="60">
        <v>0.13</v>
      </c>
      <c r="J64" s="62">
        <f>J63*I64</f>
        <v>4.0962979849999996</v>
      </c>
      <c r="K64" s="61"/>
      <c r="L64" s="176">
        <f>J64-G64</f>
        <v>8.8400000000000034E-2</v>
      </c>
      <c r="M64" s="129">
        <f>IF((G64)=0,"",(L64/G64))</f>
        <v>2.2056449622931219E-2</v>
      </c>
      <c r="N64" s="328"/>
      <c r="O64" s="392"/>
      <c r="P64" s="393"/>
      <c r="Q64" s="394"/>
      <c r="R64" s="390"/>
      <c r="S64" s="395"/>
      <c r="T64" s="394"/>
    </row>
    <row r="65" spans="1:360" x14ac:dyDescent="0.25">
      <c r="B65" s="63" t="s">
        <v>34</v>
      </c>
      <c r="C65" s="15"/>
      <c r="D65" s="15"/>
      <c r="E65" s="21"/>
      <c r="F65" s="64"/>
      <c r="G65" s="62">
        <f>G63+G64</f>
        <v>34.837882484999994</v>
      </c>
      <c r="H65" s="61"/>
      <c r="I65" s="64"/>
      <c r="J65" s="62">
        <f>J63+J64</f>
        <v>35.606282484999994</v>
      </c>
      <c r="K65" s="61"/>
      <c r="L65" s="176">
        <f>J65-G65</f>
        <v>0.76839999999999975</v>
      </c>
      <c r="M65" s="129">
        <f>IF((G65)=0,"",(L65/G65))</f>
        <v>2.2056449622931205E-2</v>
      </c>
      <c r="N65" s="328"/>
      <c r="O65" s="396"/>
      <c r="P65" s="393"/>
      <c r="Q65" s="394"/>
      <c r="R65" s="390"/>
      <c r="S65" s="395"/>
      <c r="T65" s="394"/>
    </row>
    <row r="66" spans="1:360" x14ac:dyDescent="0.25">
      <c r="B66" s="483" t="s">
        <v>35</v>
      </c>
      <c r="C66" s="483"/>
      <c r="D66" s="483"/>
      <c r="E66" s="21"/>
      <c r="F66" s="64"/>
      <c r="G66" s="65"/>
      <c r="H66" s="61"/>
      <c r="I66" s="64"/>
      <c r="J66" s="65"/>
      <c r="K66" s="61"/>
      <c r="L66" s="177">
        <f>J66-G66</f>
        <v>0</v>
      </c>
      <c r="M66" s="130" t="str">
        <f>IF((G66)=0,"",(L66/G66))</f>
        <v/>
      </c>
      <c r="N66" s="328"/>
      <c r="O66" s="396"/>
      <c r="P66" s="397"/>
      <c r="Q66" s="394"/>
      <c r="R66" s="398"/>
      <c r="S66" s="399"/>
      <c r="T66" s="394"/>
    </row>
    <row r="67" spans="1:360" ht="15.75" thickBot="1" x14ac:dyDescent="0.3">
      <c r="B67" s="484" t="s">
        <v>36</v>
      </c>
      <c r="C67" s="484"/>
      <c r="D67" s="484"/>
      <c r="E67" s="105"/>
      <c r="F67" s="66"/>
      <c r="G67" s="67">
        <f>G65+G66</f>
        <v>34.837882484999994</v>
      </c>
      <c r="H67" s="57"/>
      <c r="I67" s="66"/>
      <c r="J67" s="67">
        <f>J65+J66</f>
        <v>35.606282484999994</v>
      </c>
      <c r="K67" s="57"/>
      <c r="L67" s="178">
        <f>J67-G67</f>
        <v>0.76839999999999975</v>
      </c>
      <c r="M67" s="131">
        <f>IF((G67)=0,"",(L67/G67))</f>
        <v>2.2056449622931205E-2</v>
      </c>
      <c r="N67" s="327"/>
      <c r="O67" s="400"/>
      <c r="P67" s="401"/>
      <c r="Q67" s="374"/>
      <c r="R67" s="402"/>
      <c r="S67" s="403"/>
      <c r="T67" s="374"/>
    </row>
    <row r="68" spans="1:360" s="51" customFormat="1" ht="15.75" thickBot="1" x14ac:dyDescent="0.25">
      <c r="B68" s="68"/>
      <c r="C68" s="69"/>
      <c r="D68" s="70"/>
      <c r="E68" s="71"/>
      <c r="F68" s="85"/>
      <c r="G68" s="86"/>
      <c r="H68" s="110"/>
      <c r="I68" s="85"/>
      <c r="J68" s="86"/>
      <c r="K68" s="110"/>
      <c r="L68" s="179"/>
      <c r="M68" s="127"/>
      <c r="N68" s="326"/>
      <c r="O68" s="384"/>
      <c r="P68" s="385"/>
      <c r="Q68" s="383"/>
      <c r="R68" s="404"/>
      <c r="S68" s="387"/>
      <c r="T68" s="383"/>
      <c r="U68" s="329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72" t="s">
        <v>37</v>
      </c>
      <c r="C69" s="49"/>
      <c r="D69" s="49"/>
      <c r="E69" s="106"/>
      <c r="F69" s="73"/>
      <c r="G69" s="75">
        <f>SUM(G60:G61,G52,G53:G56)</f>
        <v>13.475212500000001</v>
      </c>
      <c r="H69" s="74"/>
      <c r="I69" s="73"/>
      <c r="J69" s="75">
        <f>SUM(J60:J61,J52,J53:J56)</f>
        <v>14.155212500000001</v>
      </c>
      <c r="K69" s="74"/>
      <c r="L69" s="180">
        <f>J69-G69</f>
        <v>0.67999999999999972</v>
      </c>
      <c r="M69" s="128">
        <f>IF((G69)=0,"",(L69/G69))</f>
        <v>5.0463026093280509E-2</v>
      </c>
      <c r="N69" s="332"/>
      <c r="O69" s="405"/>
      <c r="P69" s="406"/>
      <c r="Q69" s="407"/>
      <c r="R69" s="408"/>
      <c r="S69" s="391"/>
      <c r="T69" s="407"/>
      <c r="U69" s="329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6" t="s">
        <v>33</v>
      </c>
      <c r="C70" s="49"/>
      <c r="D70" s="49"/>
      <c r="E70" s="106"/>
      <c r="F70" s="77">
        <v>0.13</v>
      </c>
      <c r="G70" s="79">
        <f>G69*F70</f>
        <v>1.7517776250000003</v>
      </c>
      <c r="H70" s="78"/>
      <c r="I70" s="77">
        <v>0.13</v>
      </c>
      <c r="J70" s="79">
        <f>J69*I70</f>
        <v>1.8401776250000002</v>
      </c>
      <c r="K70" s="78"/>
      <c r="L70" s="180">
        <f>J70-G70</f>
        <v>8.8399999999999812E-2</v>
      </c>
      <c r="M70" s="129">
        <f>IF((G70)=0,"",(L70/G70))</f>
        <v>5.0463026093280412E-2</v>
      </c>
      <c r="N70" s="333"/>
      <c r="O70" s="409"/>
      <c r="P70" s="410"/>
      <c r="Q70" s="411"/>
      <c r="R70" s="408"/>
      <c r="S70" s="395"/>
      <c r="T70" s="411"/>
      <c r="U70" s="329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80" t="s">
        <v>34</v>
      </c>
      <c r="C71" s="49"/>
      <c r="D71" s="49"/>
      <c r="E71" s="107"/>
      <c r="F71" s="81"/>
      <c r="G71" s="79">
        <f>G69+G70</f>
        <v>15.226990125000002</v>
      </c>
      <c r="H71" s="78"/>
      <c r="I71" s="81"/>
      <c r="J71" s="79">
        <f>J69+J70</f>
        <v>15.995390125000002</v>
      </c>
      <c r="K71" s="78"/>
      <c r="L71" s="180">
        <f>J71-G71</f>
        <v>0.76839999999999975</v>
      </c>
      <c r="M71" s="129">
        <f>IF((G71)=0,"",(L71/G71))</f>
        <v>5.0463026093280509E-2</v>
      </c>
      <c r="N71" s="333"/>
      <c r="O71" s="412"/>
      <c r="P71" s="410"/>
      <c r="Q71" s="411"/>
      <c r="R71" s="408"/>
      <c r="S71" s="395"/>
      <c r="T71" s="411"/>
      <c r="U71" s="329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485" t="s">
        <v>35</v>
      </c>
      <c r="C72" s="485"/>
      <c r="D72" s="485"/>
      <c r="E72" s="107"/>
      <c r="F72" s="81"/>
      <c r="G72" s="82"/>
      <c r="H72" s="78"/>
      <c r="I72" s="81"/>
      <c r="J72" s="82"/>
      <c r="K72" s="78"/>
      <c r="L72" s="181">
        <f>J72-G72</f>
        <v>0</v>
      </c>
      <c r="M72" s="130" t="str">
        <f>IF((G72)=0,"",(L72/G72))</f>
        <v/>
      </c>
      <c r="N72" s="333"/>
      <c r="O72" s="412"/>
      <c r="P72" s="413"/>
      <c r="Q72" s="411"/>
      <c r="R72" s="414"/>
      <c r="S72" s="399"/>
      <c r="T72" s="411"/>
      <c r="U72" s="329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3.5" hidden="1" customHeight="1" outlineLevel="1" thickBot="1" x14ac:dyDescent="0.2">
      <c r="B73" s="476" t="s">
        <v>38</v>
      </c>
      <c r="C73" s="476"/>
      <c r="D73" s="476"/>
      <c r="E73" s="108"/>
      <c r="F73" s="83"/>
      <c r="G73" s="84">
        <f>SUM(G71:G72)</f>
        <v>15.226990125000002</v>
      </c>
      <c r="H73" s="74"/>
      <c r="I73" s="83"/>
      <c r="J73" s="84">
        <f>SUM(J71:J72)</f>
        <v>15.995390125000002</v>
      </c>
      <c r="K73" s="74"/>
      <c r="L73" s="182">
        <f>J73-G73</f>
        <v>0.76839999999999975</v>
      </c>
      <c r="M73" s="132">
        <f>IF((G73)=0,"",(L73/G73))</f>
        <v>5.0463026093280509E-2</v>
      </c>
      <c r="N73" s="332"/>
      <c r="O73" s="415"/>
      <c r="P73" s="416"/>
      <c r="Q73" s="407"/>
      <c r="R73" s="417"/>
      <c r="S73" s="403"/>
      <c r="T73" s="407"/>
      <c r="U73" s="329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5.75" hidden="1" outlineLevel="1" thickBot="1" x14ac:dyDescent="0.25">
      <c r="B74" s="68"/>
      <c r="C74" s="69"/>
      <c r="D74" s="70"/>
      <c r="E74" s="71"/>
      <c r="F74" s="85"/>
      <c r="G74" s="91"/>
      <c r="H74" s="110"/>
      <c r="I74" s="85"/>
      <c r="J74" s="91"/>
      <c r="K74" s="110"/>
      <c r="L74" s="175"/>
      <c r="M74" s="133"/>
      <c r="N74" s="326"/>
      <c r="O74" s="384"/>
      <c r="P74" s="385"/>
      <c r="Q74" s="383"/>
      <c r="R74" s="386"/>
      <c r="S74" s="387"/>
      <c r="T74" s="383"/>
      <c r="U74" s="329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collapsed="1" x14ac:dyDescent="0.25">
      <c r="J75" s="47"/>
      <c r="O75" s="331"/>
      <c r="P75" s="418"/>
      <c r="Q75" s="331"/>
      <c r="R75" s="341"/>
      <c r="S75" s="342"/>
    </row>
    <row r="76" spans="1:360" x14ac:dyDescent="0.25">
      <c r="B76" s="8" t="s">
        <v>39</v>
      </c>
      <c r="F76" s="87">
        <v>3.4500000000000003E-2</v>
      </c>
      <c r="I76" s="87">
        <v>3.4500000000000003E-2</v>
      </c>
      <c r="O76" s="419"/>
      <c r="P76" s="331"/>
      <c r="Q76" s="331"/>
      <c r="R76" s="341"/>
      <c r="S76" s="342"/>
    </row>
    <row r="77" spans="1:360" x14ac:dyDescent="0.25">
      <c r="O77" s="331"/>
      <c r="P77" s="331"/>
      <c r="Q77" s="331"/>
      <c r="R77" s="341"/>
      <c r="S77" s="342"/>
    </row>
    <row r="78" spans="1:360" x14ac:dyDescent="0.25">
      <c r="A78" s="88"/>
      <c r="B78" s="88" t="s">
        <v>111</v>
      </c>
      <c r="O78" s="331"/>
      <c r="P78" s="331"/>
      <c r="Q78" s="331"/>
      <c r="R78" s="341"/>
      <c r="S78" s="342"/>
    </row>
    <row r="79" spans="1:360" x14ac:dyDescent="0.25">
      <c r="O79" s="331"/>
      <c r="P79" s="331"/>
      <c r="Q79" s="331"/>
      <c r="R79" s="341"/>
      <c r="S79" s="342"/>
    </row>
    <row r="80" spans="1:360" x14ac:dyDescent="0.25">
      <c r="B80" s="2" t="s">
        <v>41</v>
      </c>
      <c r="O80" s="331"/>
      <c r="P80" s="331"/>
      <c r="Q80" s="331"/>
      <c r="R80" s="341"/>
      <c r="S80" s="342"/>
    </row>
    <row r="81" spans="1:360" x14ac:dyDescent="0.25">
      <c r="B81" s="2" t="s">
        <v>42</v>
      </c>
      <c r="O81" s="331"/>
      <c r="P81" s="331"/>
      <c r="Q81" s="331"/>
      <c r="R81" s="341"/>
      <c r="S81" s="342"/>
    </row>
    <row r="83" spans="1:360" x14ac:dyDescent="0.25">
      <c r="A83" s="7"/>
      <c r="B83" s="7" t="s">
        <v>43</v>
      </c>
      <c r="M83" s="2"/>
      <c r="S83" s="2"/>
      <c r="U83" s="33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</row>
    <row r="84" spans="1:360" x14ac:dyDescent="0.25">
      <c r="A84" s="7"/>
      <c r="B84" s="7" t="s">
        <v>44</v>
      </c>
      <c r="M84" s="2"/>
      <c r="S84" s="2"/>
      <c r="U84" s="33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6" spans="1:360" x14ac:dyDescent="0.25">
      <c r="B86" s="2" t="s">
        <v>112</v>
      </c>
      <c r="M86" s="2"/>
      <c r="S86" s="2"/>
      <c r="U86" s="33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B87" s="2" t="s">
        <v>113</v>
      </c>
      <c r="M87" s="2"/>
      <c r="S87" s="2"/>
      <c r="U87" s="33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B88" s="2" t="s">
        <v>114</v>
      </c>
      <c r="M88" s="2"/>
      <c r="S88" s="2"/>
      <c r="U88" s="33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B89" s="2" t="s">
        <v>48</v>
      </c>
      <c r="M89" s="2"/>
      <c r="S89" s="2"/>
      <c r="U89" s="33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B90" s="2" t="s">
        <v>49</v>
      </c>
      <c r="M90" s="2"/>
      <c r="S90" s="2"/>
      <c r="U90" s="331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2" spans="1:360" x14ac:dyDescent="0.25">
      <c r="A92" s="89"/>
      <c r="B92" s="2" t="s">
        <v>50</v>
      </c>
      <c r="M92" s="2"/>
      <c r="S92" s="2"/>
      <c r="U92" s="33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</row>
  </sheetData>
  <mergeCells count="14">
    <mergeCell ref="O20:P20"/>
    <mergeCell ref="R20:S20"/>
    <mergeCell ref="B73:D73"/>
    <mergeCell ref="D21:D22"/>
    <mergeCell ref="B66:D66"/>
    <mergeCell ref="B67:D67"/>
    <mergeCell ref="B72:D72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0:D51 D40:D48 D68 D53:D62 D74 D23:D38">
      <formula1>"Monthly, per kWh, per kW"</formula1>
    </dataValidation>
  </dataValidations>
  <pageMargins left="0.7" right="0.7" top="0.75" bottom="0.75" header="0.3" footer="0.3"/>
  <pageSetup scale="47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" zoomScale="70" zoomScaleNormal="70" zoomScaleSheetLayoutView="70" workbookViewId="0">
      <selection activeCell="O2" sqref="O1:U1048576"/>
    </sheetView>
  </sheetViews>
  <sheetFormatPr defaultRowHeight="15" outlineLevelRow="1" outlineLevelCol="1" x14ac:dyDescent="0.25"/>
  <cols>
    <col min="1" max="1" width="13.5703125" style="2" hidden="1" customWidth="1" outlineLevel="1"/>
    <col min="2" max="2" width="66.2851562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.42578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5.140625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1" width="0" style="29" hidden="1" customWidth="1" outlineLevel="1"/>
    <col min="22" max="22" width="9.140625" style="29" collapsed="1"/>
    <col min="23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60" ht="20.25" x14ac:dyDescent="0.3">
      <c r="B11" s="470" t="s">
        <v>79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471" t="s">
        <v>61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x14ac:dyDescent="0.25">
      <c r="B17" s="7"/>
      <c r="D17" s="8" t="s">
        <v>4</v>
      </c>
      <c r="E17" s="8"/>
      <c r="F17" s="9">
        <v>180</v>
      </c>
      <c r="O17" s="331"/>
      <c r="P17" s="331"/>
      <c r="Q17" s="331"/>
      <c r="R17" s="341"/>
      <c r="S17" s="342"/>
      <c r="T17" s="331"/>
      <c r="U17" s="331"/>
      <c r="V17" s="33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1</v>
      </c>
      <c r="O18" s="331"/>
      <c r="P18" s="331"/>
      <c r="Q18" s="331"/>
      <c r="R18" s="341"/>
      <c r="S18" s="342"/>
      <c r="T18" s="331"/>
      <c r="U18" s="331"/>
      <c r="V18" s="33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O19" s="331"/>
      <c r="P19" s="331"/>
      <c r="Q19" s="331"/>
      <c r="R19" s="341"/>
      <c r="S19" s="342"/>
      <c r="T19" s="331"/>
      <c r="U19" s="331"/>
      <c r="V19" s="33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93"/>
      <c r="U20" s="331"/>
      <c r="V20" s="331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93"/>
      <c r="U21" s="331"/>
      <c r="V21" s="331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93"/>
      <c r="U22" s="331"/>
      <c r="V22" s="331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[3]Rates!$A$169</f>
        <v>Fix_SE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3.41</v>
      </c>
      <c r="G23" s="18">
        <f t="shared" ref="G23:G38" si="0">E23*F23</f>
        <v>3.41</v>
      </c>
      <c r="H23" s="38"/>
      <c r="I23" s="114">
        <f>IF($A23&lt;&gt;"",VLOOKUP($A23,[3]Rates!$A$1:$R$65536,14,FALSE),0)</f>
        <v>3.47</v>
      </c>
      <c r="J23" s="18">
        <f>$E23*I23</f>
        <v>3.47</v>
      </c>
      <c r="K23" s="38"/>
      <c r="L23" s="167">
        <f>J23-G23</f>
        <v>6.0000000000000053E-2</v>
      </c>
      <c r="M23" s="123">
        <f>IF((G23)=0,"",(L23/G23))</f>
        <v>1.7595307917888579E-2</v>
      </c>
      <c r="N23" s="38"/>
      <c r="O23" s="349"/>
      <c r="P23" s="350"/>
      <c r="Q23" s="238"/>
      <c r="R23" s="351"/>
      <c r="S23" s="352"/>
      <c r="T23" s="238"/>
      <c r="U23" s="331"/>
      <c r="V23" s="331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349"/>
      <c r="P24" s="350"/>
      <c r="Q24" s="238"/>
      <c r="R24" s="351"/>
      <c r="S24" s="352"/>
      <c r="T24" s="238"/>
      <c r="U24" s="331"/>
      <c r="V24" s="33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5" customFormat="1" x14ac:dyDescent="0.25">
      <c r="A25" s="289" t="str">
        <f>[3]Rates!$A$171</f>
        <v>PPE_SE</v>
      </c>
      <c r="B25" s="299" t="s">
        <v>71</v>
      </c>
      <c r="C25" s="291"/>
      <c r="D25" s="292" t="s">
        <v>57</v>
      </c>
      <c r="E25" s="301">
        <v>1</v>
      </c>
      <c r="F25" s="300">
        <f>IF($A25&lt;&gt;"",VLOOKUP($A25,[3]Rates!$A$1:$R$65536,12,FALSE),0)</f>
        <v>0.09</v>
      </c>
      <c r="G25" s="295">
        <f t="shared" si="0"/>
        <v>0.09</v>
      </c>
      <c r="H25" s="296"/>
      <c r="I25" s="300">
        <f>IF($A25&lt;&gt;"",VLOOKUP($A25,[3]Rates!$A$1:$R$65536,14,FALSE),0)</f>
        <v>0.09</v>
      </c>
      <c r="J25" s="295">
        <f t="shared" si="1"/>
        <v>0.09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425"/>
      <c r="U25" s="330"/>
      <c r="V25" s="330"/>
    </row>
    <row r="26" spans="1:360" s="265" customFormat="1" x14ac:dyDescent="0.25">
      <c r="A26" s="289" t="str">
        <f>[3]Rates!$A$172</f>
        <v>ICMF_SE</v>
      </c>
      <c r="B26" s="299" t="s">
        <v>72</v>
      </c>
      <c r="C26" s="291"/>
      <c r="D26" s="292" t="s">
        <v>57</v>
      </c>
      <c r="E26" s="301">
        <v>1</v>
      </c>
      <c r="F26" s="300">
        <f>IF($A26&lt;&gt;"",VLOOKUP($A26,[3]Rates!$A$1:$R$65536,12,FALSE),0)</f>
        <v>0.02</v>
      </c>
      <c r="G26" s="295">
        <f t="shared" si="0"/>
        <v>0.02</v>
      </c>
      <c r="H26" s="296"/>
      <c r="I26" s="114">
        <f>IF($A26&lt;&gt;"",VLOOKUP($A26,[3]Rates!$A$1:$R$65536,14,FALSE),0)</f>
        <v>0.02</v>
      </c>
      <c r="J26" s="295">
        <f t="shared" si="1"/>
        <v>0.02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425"/>
      <c r="U26" s="330"/>
      <c r="V26" s="330"/>
    </row>
    <row r="27" spans="1:360" x14ac:dyDescent="0.25">
      <c r="A27" s="139" t="s">
        <v>141</v>
      </c>
      <c r="B27" s="22" t="s">
        <v>131</v>
      </c>
      <c r="C27" s="15"/>
      <c r="D27" s="305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0.18</v>
      </c>
      <c r="J27" s="18">
        <f t="shared" si="1"/>
        <v>0.18</v>
      </c>
      <c r="K27" s="38"/>
      <c r="L27" s="167">
        <f t="shared" si="2"/>
        <v>0.18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238"/>
      <c r="U27" s="331"/>
      <c r="V27" s="33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238"/>
      <c r="U28" s="331"/>
      <c r="V28" s="33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[3]Rates!$A$174</f>
        <v>Var_SE</v>
      </c>
      <c r="B29" s="15" t="s">
        <v>14</v>
      </c>
      <c r="C29" s="15"/>
      <c r="D29" s="99" t="s">
        <v>59</v>
      </c>
      <c r="E29" s="135">
        <f>$F$18</f>
        <v>1</v>
      </c>
      <c r="F29" s="16">
        <f>IF($A29&lt;&gt;"",VLOOKUP($A29,[3]Rates!$A$1:$R$65536,12,FALSE),0)</f>
        <v>8.0172000000000008</v>
      </c>
      <c r="G29" s="18">
        <f t="shared" si="0"/>
        <v>8.0172000000000008</v>
      </c>
      <c r="H29" s="38"/>
      <c r="I29" s="16">
        <f>IF($A29&lt;&gt;"",VLOOKUP($A29,[3]Rates!$A$1:$R$65536,14,FALSE),0)</f>
        <v>8.1615000000000002</v>
      </c>
      <c r="J29" s="18">
        <f t="shared" si="1"/>
        <v>8.1615000000000002</v>
      </c>
      <c r="K29" s="38"/>
      <c r="L29" s="167">
        <f t="shared" si="2"/>
        <v>0.14429999999999943</v>
      </c>
      <c r="M29" s="123">
        <f t="shared" si="3"/>
        <v>1.7998802574464828E-2</v>
      </c>
      <c r="N29" s="38"/>
      <c r="O29" s="358"/>
      <c r="P29" s="350"/>
      <c r="Q29" s="238"/>
      <c r="R29" s="351"/>
      <c r="S29" s="352"/>
      <c r="T29" s="238"/>
      <c r="U29" s="331"/>
      <c r="V29" s="331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4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238"/>
      <c r="U30" s="331"/>
      <c r="V30" s="33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142</v>
      </c>
      <c r="B31" s="22" t="s">
        <v>133</v>
      </c>
      <c r="C31" s="15"/>
      <c r="D31" s="99" t="s">
        <v>59</v>
      </c>
      <c r="E31" s="135">
        <f t="shared" si="4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0.42320000000000002</v>
      </c>
      <c r="J31" s="18">
        <f t="shared" si="1"/>
        <v>0.42320000000000002</v>
      </c>
      <c r="K31" s="38"/>
      <c r="L31" s="167">
        <f t="shared" si="2"/>
        <v>0.42320000000000002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238"/>
      <c r="U31" s="331"/>
      <c r="V31" s="331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5" customFormat="1" x14ac:dyDescent="0.25">
      <c r="A32" s="289" t="str">
        <f>[3]Rates!$A$180</f>
        <v>ICMV_SE</v>
      </c>
      <c r="B32" s="299" t="s">
        <v>72</v>
      </c>
      <c r="C32" s="291"/>
      <c r="D32" s="292" t="s">
        <v>59</v>
      </c>
      <c r="E32" s="302">
        <f t="shared" si="4"/>
        <v>1</v>
      </c>
      <c r="F32" s="294">
        <f>IF($A32&lt;&gt;"",VLOOKUP($A32,[3]Rates!$A$1:$R$65536,12,FALSE),0)</f>
        <v>4.1599999999999998E-2</v>
      </c>
      <c r="G32" s="295">
        <f t="shared" si="0"/>
        <v>4.1599999999999998E-2</v>
      </c>
      <c r="H32" s="296"/>
      <c r="I32" s="16">
        <f>IF($A32&lt;&gt;"",VLOOKUP($A32,[3]Rates!$A$1:$R$65536,14,FALSE),0)</f>
        <v>4.1599999999999998E-2</v>
      </c>
      <c r="J32" s="295">
        <f t="shared" si="1"/>
        <v>4.1599999999999998E-2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425"/>
      <c r="U32" s="330"/>
      <c r="V32" s="330"/>
    </row>
    <row r="33" spans="1:360" x14ac:dyDescent="0.25">
      <c r="A33" s="139" t="str">
        <f>[3]Rates!$A185</f>
        <v>2RAL16_SE</v>
      </c>
      <c r="B33" s="23" t="str">
        <f>[3]Rates!$B185</f>
        <v xml:space="preserve">Disposition of Deferral/Variance Accounts - Group 2 Accounts (2016) </v>
      </c>
      <c r="C33" s="15"/>
      <c r="D33" s="99" t="s">
        <v>59</v>
      </c>
      <c r="E33" s="135">
        <f t="shared" si="4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6.4100000000000004E-2</v>
      </c>
      <c r="J33" s="18">
        <f t="shared" si="1"/>
        <v>6.4100000000000004E-2</v>
      </c>
      <c r="K33" s="38"/>
      <c r="L33" s="167">
        <f t="shared" si="2"/>
        <v>6.4100000000000004E-2</v>
      </c>
      <c r="M33" s="123" t="str">
        <f>IF((G33)=0,"",(L33/G33))</f>
        <v/>
      </c>
      <c r="N33" s="38"/>
      <c r="O33" s="358"/>
      <c r="P33" s="350"/>
      <c r="Q33" s="238"/>
      <c r="R33" s="351"/>
      <c r="S33" s="352"/>
      <c r="T33" s="238"/>
      <c r="U33" s="331"/>
      <c r="V33" s="331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[3]Rates!$A186</f>
        <v>LRVA16_SE</v>
      </c>
      <c r="B34" s="23" t="str">
        <f>[3]Rates!$B186</f>
        <v>Lost Revenue Adjustment Mechanism Variance Account (LRAMVA) (2016)</v>
      </c>
      <c r="C34" s="15"/>
      <c r="D34" s="99" t="s">
        <v>59</v>
      </c>
      <c r="E34" s="135">
        <f t="shared" si="4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-0.1678</v>
      </c>
      <c r="J34" s="18">
        <f t="shared" si="1"/>
        <v>-0.1678</v>
      </c>
      <c r="K34" s="38"/>
      <c r="L34" s="167">
        <f t="shared" si="2"/>
        <v>-0.1678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238"/>
      <c r="U34" s="331"/>
      <c r="V34" s="331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[3]Rates!$A187</f>
        <v>PPE16_SE</v>
      </c>
      <c r="B35" s="23" t="str">
        <f>[3]Rates!$B187</f>
        <v>Account 1575 (2016)</v>
      </c>
      <c r="C35" s="15"/>
      <c r="D35" s="99" t="s">
        <v>59</v>
      </c>
      <c r="E35" s="135">
        <f t="shared" si="4"/>
        <v>1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238"/>
      <c r="U35" s="331"/>
      <c r="V35" s="331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[3]Rates!$A188</f>
        <v>SG16_SE</v>
      </c>
      <c r="B36" s="23" t="str">
        <f>[3]Rates!$B188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-0.01</v>
      </c>
      <c r="J36" s="18">
        <f t="shared" si="1"/>
        <v>-0.01</v>
      </c>
      <c r="K36" s="38"/>
      <c r="L36" s="167">
        <f t="shared" si="2"/>
        <v>-0.01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238"/>
      <c r="U36" s="331"/>
      <c r="V36" s="33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35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358"/>
      <c r="P37" s="350"/>
      <c r="Q37" s="238"/>
      <c r="R37" s="351"/>
      <c r="S37" s="352"/>
      <c r="T37" s="238"/>
      <c r="U37" s="331"/>
      <c r="V37" s="331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358"/>
      <c r="P38" s="350"/>
      <c r="Q38" s="238"/>
      <c r="R38" s="351"/>
      <c r="S38" s="352"/>
      <c r="T38" s="238"/>
      <c r="U38" s="331"/>
      <c r="V38" s="331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40"/>
      <c r="B39" s="24" t="s">
        <v>17</v>
      </c>
      <c r="C39" s="25"/>
      <c r="D39" s="100"/>
      <c r="E39" s="27"/>
      <c r="F39" s="26"/>
      <c r="G39" s="28">
        <f>SUM(G23:G38)</f>
        <v>11.578800000000001</v>
      </c>
      <c r="H39" s="38"/>
      <c r="I39" s="26"/>
      <c r="J39" s="28">
        <f>SUM(J23:J38)</f>
        <v>12.272600000000001</v>
      </c>
      <c r="K39" s="38"/>
      <c r="L39" s="168">
        <f t="shared" si="2"/>
        <v>0.69379999999999953</v>
      </c>
      <c r="M39" s="124">
        <f>IF((G39)=0,"",(L39/G39))</f>
        <v>5.9919853525408462E-2</v>
      </c>
      <c r="N39" s="38"/>
      <c r="O39" s="360"/>
      <c r="P39" s="361"/>
      <c r="Q39" s="238"/>
      <c r="R39" s="362"/>
      <c r="S39" s="363"/>
      <c r="T39" s="238"/>
      <c r="U39" s="93"/>
      <c r="V39" s="93"/>
    </row>
    <row r="40" spans="1:360" s="265" customFormat="1" x14ac:dyDescent="0.25">
      <c r="A40" s="289" t="str">
        <f>[3]Rates!$A$178</f>
        <v>RAL14_SE</v>
      </c>
      <c r="B40" s="288"/>
      <c r="C40" s="291"/>
      <c r="D40" s="305" t="s">
        <v>59</v>
      </c>
      <c r="E40" s="309">
        <f>$F$18</f>
        <v>1</v>
      </c>
      <c r="F40" s="294"/>
      <c r="G40" s="295">
        <f t="shared" ref="G40:G49" si="5">E40*F40</f>
        <v>0</v>
      </c>
      <c r="H40" s="296"/>
      <c r="I40" s="294">
        <f>IF($A40&lt;&gt;"",VLOOKUP($A40,[3]Rates!$A$1:$R$65536,14,FALSE),0)</f>
        <v>0</v>
      </c>
      <c r="J40" s="295">
        <f>$E40*I40</f>
        <v>0</v>
      </c>
      <c r="K40" s="296"/>
      <c r="L40" s="297">
        <f t="shared" si="2"/>
        <v>0</v>
      </c>
      <c r="M40" s="298" t="str">
        <f t="shared" si="3"/>
        <v/>
      </c>
      <c r="N40" s="296"/>
      <c r="O40" s="428"/>
      <c r="P40" s="424"/>
      <c r="Q40" s="425"/>
      <c r="R40" s="426"/>
      <c r="S40" s="427"/>
      <c r="T40" s="425"/>
      <c r="U40" s="330"/>
      <c r="V40" s="330"/>
    </row>
    <row r="41" spans="1:360" x14ac:dyDescent="0.25">
      <c r="A41" s="139" t="str">
        <f>[3]Rates!$A182</f>
        <v>RAL16_SE</v>
      </c>
      <c r="B41" s="30" t="str">
        <f>[3]Rates!$B182</f>
        <v xml:space="preserve">Disposition of Deferral/Variance Accounts (2016) </v>
      </c>
      <c r="C41" s="15"/>
      <c r="D41" s="99" t="s">
        <v>59</v>
      </c>
      <c r="E41" s="135">
        <f t="shared" ref="E41:E47" si="6">$F$18</f>
        <v>1</v>
      </c>
      <c r="F41" s="16">
        <f>IF($A41&lt;&gt;"",VLOOKUP($A41,[3]Rates!$A$1:$R$65536,12,FALSE),0)</f>
        <v>0</v>
      </c>
      <c r="G41" s="18">
        <f t="shared" si="5"/>
        <v>0</v>
      </c>
      <c r="H41" s="21"/>
      <c r="I41" s="16">
        <f>IF($A41&lt;&gt;"",VLOOKUP($A41,[3]Rates!$A$1:$R$65536,14,FALSE),0)</f>
        <v>0.121</v>
      </c>
      <c r="J41" s="18">
        <f t="shared" ref="J41:J47" si="7">$E41*I41</f>
        <v>0.121</v>
      </c>
      <c r="K41" s="21"/>
      <c r="L41" s="167">
        <f t="shared" si="2"/>
        <v>0.121</v>
      </c>
      <c r="M41" s="123" t="str">
        <f>IF((G41)=0,"",(L41/G41))</f>
        <v/>
      </c>
      <c r="N41" s="238"/>
      <c r="O41" s="358"/>
      <c r="P41" s="350"/>
      <c r="Q41" s="238"/>
      <c r="R41" s="351"/>
      <c r="S41" s="352"/>
      <c r="T41" s="238"/>
      <c r="U41" s="331"/>
      <c r="V41" s="331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[3]Rates!$A183</f>
        <v>RALP16_SE</v>
      </c>
      <c r="B42" s="30" t="str">
        <f>[3]Rates!$B183</f>
        <v xml:space="preserve">Disposition of Deferral/Variance Accounts - Power (2016) </v>
      </c>
      <c r="C42" s="15"/>
      <c r="D42" s="99" t="s">
        <v>59</v>
      </c>
      <c r="E42" s="135">
        <f t="shared" si="6"/>
        <v>1</v>
      </c>
      <c r="F42" s="16">
        <f>IF($A42&lt;&gt;"",VLOOKUP($A42,[3]Rates!$A$1:$R$65536,12,FALSE),0)</f>
        <v>0</v>
      </c>
      <c r="G42" s="18">
        <f t="shared" si="5"/>
        <v>0</v>
      </c>
      <c r="H42" s="21"/>
      <c r="I42" s="16">
        <f>IF($A42&lt;&gt;"",VLOOKUP($A42,[3]Rates!$A$1:$R$65536,14,FALSE),0)</f>
        <v>-0.12670000000000001</v>
      </c>
      <c r="J42" s="18">
        <f t="shared" si="7"/>
        <v>-0.12670000000000001</v>
      </c>
      <c r="K42" s="21"/>
      <c r="L42" s="167">
        <f t="shared" si="2"/>
        <v>-0.12670000000000001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38"/>
      <c r="U42" s="331"/>
      <c r="V42" s="33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s="265" customFormat="1" x14ac:dyDescent="0.25">
      <c r="A43" s="289"/>
      <c r="B43" s="288"/>
      <c r="C43" s="291"/>
      <c r="D43" s="292"/>
      <c r="E43" s="302"/>
      <c r="F43" s="294">
        <f>IF($A43&lt;&gt;"",VLOOKUP($A43,[3]Rates!$A$1:$R$65536,12,FALSE),0)</f>
        <v>0</v>
      </c>
      <c r="G43" s="295">
        <f t="shared" si="5"/>
        <v>0</v>
      </c>
      <c r="H43" s="303"/>
      <c r="I43" s="294">
        <f>IF($A43&lt;&gt;"",VLOOKUP($A43,[3]Rates!$A$1:$R$65536,14,FALSE),0)</f>
        <v>0</v>
      </c>
      <c r="J43" s="295">
        <f t="shared" si="7"/>
        <v>0</v>
      </c>
      <c r="K43" s="303"/>
      <c r="L43" s="297">
        <f t="shared" si="2"/>
        <v>0</v>
      </c>
      <c r="M43" s="298" t="str">
        <f t="shared" si="3"/>
        <v/>
      </c>
      <c r="N43" s="425"/>
      <c r="O43" s="428"/>
      <c r="P43" s="424"/>
      <c r="Q43" s="425"/>
      <c r="R43" s="426"/>
      <c r="S43" s="427"/>
      <c r="T43" s="425"/>
      <c r="U43" s="330"/>
      <c r="V43" s="330"/>
    </row>
    <row r="44" spans="1:360" x14ac:dyDescent="0.25">
      <c r="A44" s="139"/>
      <c r="B44" s="30"/>
      <c r="C44" s="15"/>
      <c r="D44" s="99"/>
      <c r="E44" s="135"/>
      <c r="F44" s="16">
        <f>IF($A44&lt;&gt;"",VLOOKUP($A44,[3]Rates!$A$1:$R$65536,12,FALSE),0)</f>
        <v>0</v>
      </c>
      <c r="G44" s="18"/>
      <c r="H44" s="238"/>
      <c r="I44" s="16">
        <f>IF($A44&lt;&gt;"",VLOOKUP($A44,[3]Rates!$A$1:$R$65536,14,FALSE),0)</f>
        <v>0</v>
      </c>
      <c r="J44" s="18">
        <f t="shared" ref="J44" si="8">$E44*I44</f>
        <v>0</v>
      </c>
      <c r="K44" s="21"/>
      <c r="L44" s="167">
        <f t="shared" ref="L44" si="9">J44-G44</f>
        <v>0</v>
      </c>
      <c r="M44" s="123" t="str">
        <f t="shared" si="3"/>
        <v/>
      </c>
      <c r="N44" s="238"/>
      <c r="O44" s="358"/>
      <c r="P44" s="350"/>
      <c r="Q44" s="238"/>
      <c r="R44" s="351"/>
      <c r="S44" s="352"/>
      <c r="T44" s="238"/>
      <c r="U44" s="331"/>
      <c r="V44" s="331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 t="str">
        <f t="shared" si="3"/>
        <v/>
      </c>
      <c r="N45" s="238"/>
      <c r="O45" s="358"/>
      <c r="P45" s="350"/>
      <c r="Q45" s="238"/>
      <c r="R45" s="351"/>
      <c r="S45" s="352"/>
      <c r="T45" s="238"/>
      <c r="U45" s="331"/>
      <c r="V45" s="331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 t="str">
        <f t="shared" si="3"/>
        <v/>
      </c>
      <c r="N46" s="238"/>
      <c r="O46" s="358"/>
      <c r="P46" s="350"/>
      <c r="Q46" s="238"/>
      <c r="R46" s="351"/>
      <c r="S46" s="352"/>
      <c r="T46" s="238"/>
      <c r="U46" s="331"/>
      <c r="V46" s="331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[3]Rates!$A$175</f>
        <v>LV_SE</v>
      </c>
      <c r="B47" s="31" t="s">
        <v>18</v>
      </c>
      <c r="C47" s="15"/>
      <c r="D47" s="99" t="s">
        <v>59</v>
      </c>
      <c r="E47" s="135">
        <f t="shared" si="6"/>
        <v>1</v>
      </c>
      <c r="F47" s="16">
        <f>IF($A47&lt;&gt;"",VLOOKUP($A47,[3]Rates!$A$1:$R$65536,12,FALSE),0)</f>
        <v>0.1031</v>
      </c>
      <c r="G47" s="18">
        <f t="shared" si="5"/>
        <v>0.1031</v>
      </c>
      <c r="H47" s="38"/>
      <c r="I47" s="16">
        <f>IF($A47&lt;&gt;"",VLOOKUP($A47,[3]Rates!$A$1:$R$65536,14,FALSE),0)</f>
        <v>0.1031</v>
      </c>
      <c r="J47" s="18">
        <f t="shared" si="7"/>
        <v>0.1031</v>
      </c>
      <c r="K47" s="38"/>
      <c r="L47" s="167">
        <f t="shared" si="2"/>
        <v>0</v>
      </c>
      <c r="M47" s="123">
        <f t="shared" si="3"/>
        <v>0</v>
      </c>
      <c r="N47" s="38"/>
      <c r="O47" s="358"/>
      <c r="P47" s="350"/>
      <c r="Q47" s="238"/>
      <c r="R47" s="351"/>
      <c r="S47" s="352"/>
      <c r="T47" s="238"/>
      <c r="U47" s="331"/>
      <c r="V47" s="331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2">
        <f>$F$17*(1+$F$77)-$F$17</f>
        <v>6.210000000000008</v>
      </c>
      <c r="F48" s="32"/>
      <c r="G48" s="18">
        <f>E48*F48</f>
        <v>0</v>
      </c>
      <c r="H48" s="90">
        <f>$F$17*(1+$O$77)-$F$17</f>
        <v>0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64"/>
      <c r="P48" s="350"/>
      <c r="Q48" s="238"/>
      <c r="R48" s="365"/>
      <c r="S48" s="352"/>
      <c r="T48" s="238"/>
      <c r="U48" s="331"/>
      <c r="V48" s="331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5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64"/>
      <c r="P49" s="350"/>
      <c r="Q49" s="238"/>
      <c r="R49" s="365"/>
      <c r="S49" s="352"/>
      <c r="T49" s="238"/>
      <c r="U49" s="331"/>
      <c r="V49" s="331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11.681900000000001</v>
      </c>
      <c r="H50" s="38"/>
      <c r="I50" s="35"/>
      <c r="J50" s="37">
        <f>SUM(J40:J49)+J39</f>
        <v>12.370000000000001</v>
      </c>
      <c r="K50" s="38"/>
      <c r="L50" s="170">
        <f t="shared" si="2"/>
        <v>0.68810000000000038</v>
      </c>
      <c r="M50" s="125">
        <f>IF((G50)=0,"",(L50/G50))</f>
        <v>5.8903089394704657E-2</v>
      </c>
      <c r="N50" s="38"/>
      <c r="O50" s="367"/>
      <c r="P50" s="368"/>
      <c r="Q50" s="238"/>
      <c r="R50" s="369"/>
      <c r="S50" s="370"/>
      <c r="T50" s="238"/>
      <c r="U50" s="331"/>
      <c r="V50" s="33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[3]Rates!$A$192</f>
        <v>TN_SE</v>
      </c>
      <c r="B51" s="19" t="s">
        <v>22</v>
      </c>
      <c r="C51" s="19"/>
      <c r="D51" s="101" t="s">
        <v>59</v>
      </c>
      <c r="E51" s="45">
        <f>F18</f>
        <v>1</v>
      </c>
      <c r="F51" s="20">
        <f>IF($A51&lt;&gt;"",VLOOKUP($A51,[3]Rates!$A$1:$R$65536,12,FALSE),0)</f>
        <v>2.2561</v>
      </c>
      <c r="G51" s="18">
        <f>E51*F51</f>
        <v>2.2561</v>
      </c>
      <c r="H51" s="39">
        <v>1</v>
      </c>
      <c r="I51" s="20">
        <f>IF($A51&lt;&gt;"",VLOOKUP($A51,[3]Rates!$A$1:$R$65536,14,FALSE),0)</f>
        <v>2.2561</v>
      </c>
      <c r="J51" s="18">
        <f>$E51*I51</f>
        <v>2.2561</v>
      </c>
      <c r="K51" s="38"/>
      <c r="L51" s="171">
        <f>J51-G51</f>
        <v>0</v>
      </c>
      <c r="M51" s="123">
        <f t="shared" ref="M51:M62" si="10">IF((G51)=0,"",(L51/G51))</f>
        <v>0</v>
      </c>
      <c r="N51" s="38"/>
      <c r="O51" s="371"/>
      <c r="P51" s="350"/>
      <c r="Q51" s="238"/>
      <c r="R51" s="372"/>
      <c r="S51" s="352"/>
      <c r="T51" s="238"/>
      <c r="U51" s="331"/>
      <c r="V51" s="331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[3]Rates!$A$193</f>
        <v>TC_SE</v>
      </c>
      <c r="B52" s="40" t="s">
        <v>23</v>
      </c>
      <c r="C52" s="19"/>
      <c r="D52" s="101" t="s">
        <v>59</v>
      </c>
      <c r="E52" s="45">
        <f>E51</f>
        <v>1</v>
      </c>
      <c r="F52" s="20">
        <f>IF($A52&lt;&gt;"",VLOOKUP($A52,[3]Rates!$A$1:$R$65536,12,FALSE),0)</f>
        <v>0.8629</v>
      </c>
      <c r="G52" s="18">
        <f>E52*F52</f>
        <v>0.8629</v>
      </c>
      <c r="H52" s="39">
        <v>1</v>
      </c>
      <c r="I52" s="20">
        <f>IF($A52&lt;&gt;"",VLOOKUP($A52,[3]Rates!$A$1:$R$65536,14,FALSE),0)</f>
        <v>0.8629</v>
      </c>
      <c r="J52" s="18">
        <f>$E52*I52</f>
        <v>0.8629</v>
      </c>
      <c r="K52" s="38"/>
      <c r="L52" s="171">
        <f t="shared" si="2"/>
        <v>0</v>
      </c>
      <c r="M52" s="123">
        <f t="shared" si="10"/>
        <v>0</v>
      </c>
      <c r="N52" s="38"/>
      <c r="O52" s="371"/>
      <c r="P52" s="350"/>
      <c r="Q52" s="238"/>
      <c r="R52" s="372"/>
      <c r="S52" s="352"/>
      <c r="T52" s="238"/>
      <c r="U52" s="93"/>
      <c r="V52" s="93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14.8009</v>
      </c>
      <c r="H53" s="17"/>
      <c r="I53" s="41"/>
      <c r="J53" s="37">
        <f>SUM(J50:J52)</f>
        <v>15.489000000000001</v>
      </c>
      <c r="K53" s="109"/>
      <c r="L53" s="172">
        <f t="shared" si="2"/>
        <v>0.68810000000000038</v>
      </c>
      <c r="M53" s="125">
        <f t="shared" si="10"/>
        <v>4.6490416123343876E-2</v>
      </c>
      <c r="N53" s="109"/>
      <c r="O53" s="373"/>
      <c r="P53" s="368"/>
      <c r="Q53" s="374"/>
      <c r="R53" s="375"/>
      <c r="S53" s="370"/>
      <c r="T53" s="374"/>
      <c r="U53" s="93"/>
      <c r="V53" s="93"/>
    </row>
    <row r="54" spans="1:360" x14ac:dyDescent="0.25">
      <c r="B54" s="42" t="s">
        <v>25</v>
      </c>
      <c r="C54" s="15"/>
      <c r="D54" s="99" t="s">
        <v>58</v>
      </c>
      <c r="E54" s="137">
        <f>F17+E48</f>
        <v>186.21</v>
      </c>
      <c r="F54" s="43">
        <v>3.5999999999999999E-3</v>
      </c>
      <c r="G54" s="44">
        <f t="shared" ref="G54:G62" si="11">E54*F54</f>
        <v>0.67035600000000006</v>
      </c>
      <c r="H54" s="39">
        <f>F$17*(1+O$77)</f>
        <v>180</v>
      </c>
      <c r="I54" s="43">
        <v>3.5999999999999999E-3</v>
      </c>
      <c r="J54" s="44">
        <f>$E54*I54</f>
        <v>0.67035600000000006</v>
      </c>
      <c r="K54" s="17"/>
      <c r="L54" s="173">
        <f>J54-G54</f>
        <v>0</v>
      </c>
      <c r="M54" s="126">
        <f t="shared" si="10"/>
        <v>0</v>
      </c>
      <c r="N54" s="325"/>
      <c r="O54" s="376"/>
      <c r="P54" s="377"/>
      <c r="Q54" s="238"/>
      <c r="R54" s="378"/>
      <c r="S54" s="379"/>
      <c r="T54" s="238"/>
      <c r="U54" s="93"/>
      <c r="V54" s="93"/>
    </row>
    <row r="55" spans="1:360" x14ac:dyDescent="0.25">
      <c r="B55" s="42" t="s">
        <v>26</v>
      </c>
      <c r="C55" s="15"/>
      <c r="D55" s="99" t="s">
        <v>58</v>
      </c>
      <c r="E55" s="137">
        <f>E54</f>
        <v>186.21</v>
      </c>
      <c r="F55" s="43">
        <v>1.2999999999999999E-3</v>
      </c>
      <c r="G55" s="44">
        <f t="shared" si="11"/>
        <v>0.24207300000000001</v>
      </c>
      <c r="H55" s="39">
        <f>F$17*(1+O$77)</f>
        <v>180</v>
      </c>
      <c r="I55" s="43">
        <v>1.2999999999999999E-3</v>
      </c>
      <c r="J55" s="44">
        <f>$E55*I55</f>
        <v>0.24207300000000001</v>
      </c>
      <c r="K55" s="17"/>
      <c r="L55" s="173">
        <f t="shared" si="2"/>
        <v>0</v>
      </c>
      <c r="M55" s="126">
        <f t="shared" si="10"/>
        <v>0</v>
      </c>
      <c r="N55" s="325"/>
      <c r="O55" s="376"/>
      <c r="P55" s="377"/>
      <c r="Q55" s="238"/>
      <c r="R55" s="378"/>
      <c r="S55" s="379"/>
      <c r="T55" s="238"/>
      <c r="U55" s="93"/>
      <c r="V55" s="93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1"/>
        <v>0.25</v>
      </c>
      <c r="H56" s="17"/>
      <c r="I56" s="43">
        <v>0.25</v>
      </c>
      <c r="J56" s="44">
        <f t="shared" ref="J56:J62" si="12">$E56*I56</f>
        <v>0.25</v>
      </c>
      <c r="K56" s="17"/>
      <c r="L56" s="173">
        <f t="shared" si="2"/>
        <v>0</v>
      </c>
      <c r="M56" s="126">
        <f t="shared" si="10"/>
        <v>0</v>
      </c>
      <c r="N56" s="325"/>
      <c r="O56" s="376"/>
      <c r="P56" s="377"/>
      <c r="Q56" s="238"/>
      <c r="R56" s="378"/>
      <c r="S56" s="379"/>
      <c r="T56" s="238"/>
      <c r="U56" s="93"/>
      <c r="V56" s="93"/>
    </row>
    <row r="57" spans="1:360" x14ac:dyDescent="0.25">
      <c r="B57" s="15" t="s">
        <v>28</v>
      </c>
      <c r="C57" s="15"/>
      <c r="D57" s="99" t="s">
        <v>58</v>
      </c>
      <c r="E57" s="137">
        <f>F17</f>
        <v>180</v>
      </c>
      <c r="F57" s="43">
        <v>7.0000000000000001E-3</v>
      </c>
      <c r="G57" s="44">
        <f t="shared" si="11"/>
        <v>1.26</v>
      </c>
      <c r="H57" s="17"/>
      <c r="I57" s="43">
        <v>7.0000000000000001E-3</v>
      </c>
      <c r="J57" s="44">
        <f t="shared" si="12"/>
        <v>1.26</v>
      </c>
      <c r="K57" s="17"/>
      <c r="L57" s="173">
        <f t="shared" si="2"/>
        <v>0</v>
      </c>
      <c r="M57" s="126">
        <f t="shared" si="10"/>
        <v>0</v>
      </c>
      <c r="N57" s="325"/>
      <c r="O57" s="376"/>
      <c r="P57" s="377"/>
      <c r="Q57" s="238"/>
      <c r="R57" s="378"/>
      <c r="S57" s="379"/>
      <c r="T57" s="238"/>
      <c r="U57" s="93"/>
      <c r="V57" s="93"/>
    </row>
    <row r="58" spans="1:360" x14ac:dyDescent="0.25">
      <c r="B58" s="31" t="s">
        <v>29</v>
      </c>
      <c r="C58" s="15"/>
      <c r="D58" s="99" t="s">
        <v>58</v>
      </c>
      <c r="E58" s="315">
        <f>0.64*$F$17+E48*0.64</f>
        <v>119.17440000000001</v>
      </c>
      <c r="F58" s="46">
        <f>Residential!F55</f>
        <v>8.6999999999999994E-2</v>
      </c>
      <c r="G58" s="44">
        <f t="shared" si="11"/>
        <v>10.3681728</v>
      </c>
      <c r="H58" s="270">
        <f>0.64*$F$17+H48*0.64</f>
        <v>115.2</v>
      </c>
      <c r="I58" s="46">
        <f>F58</f>
        <v>8.6999999999999994E-2</v>
      </c>
      <c r="J58" s="44">
        <f>$E58*I58</f>
        <v>10.3681728</v>
      </c>
      <c r="K58" s="17"/>
      <c r="L58" s="174">
        <f t="shared" si="2"/>
        <v>0</v>
      </c>
      <c r="M58" s="126">
        <f t="shared" si="10"/>
        <v>0</v>
      </c>
      <c r="N58" s="325"/>
      <c r="O58" s="381"/>
      <c r="P58" s="377"/>
      <c r="Q58" s="238"/>
      <c r="R58" s="382"/>
      <c r="S58" s="379"/>
      <c r="T58" s="238"/>
      <c r="U58" s="93"/>
      <c r="V58" s="93"/>
    </row>
    <row r="59" spans="1:360" x14ac:dyDescent="0.25">
      <c r="B59" s="31" t="s">
        <v>30</v>
      </c>
      <c r="C59" s="15"/>
      <c r="D59" s="99" t="s">
        <v>58</v>
      </c>
      <c r="E59" s="315">
        <f>0.18*$F$17+E48*0.18</f>
        <v>33.517800000000001</v>
      </c>
      <c r="F59" s="46">
        <f>Residential!F56</f>
        <v>0.13200000000000001</v>
      </c>
      <c r="G59" s="44">
        <f t="shared" si="11"/>
        <v>4.4243496000000002</v>
      </c>
      <c r="H59" s="270">
        <f>0.18*$F$17+H48*0.18</f>
        <v>32.4</v>
      </c>
      <c r="I59" s="46">
        <f t="shared" ref="I59:I62" si="13">F59</f>
        <v>0.13200000000000001</v>
      </c>
      <c r="J59" s="44">
        <f>$E59*I59</f>
        <v>4.4243496000000002</v>
      </c>
      <c r="K59" s="17"/>
      <c r="L59" s="174">
        <f t="shared" si="2"/>
        <v>0</v>
      </c>
      <c r="M59" s="126">
        <f t="shared" si="10"/>
        <v>0</v>
      </c>
      <c r="N59" s="325"/>
      <c r="O59" s="381"/>
      <c r="P59" s="377"/>
      <c r="Q59" s="238"/>
      <c r="R59" s="382"/>
      <c r="S59" s="379"/>
      <c r="T59" s="238"/>
      <c r="U59" s="93"/>
      <c r="V59" s="93"/>
    </row>
    <row r="60" spans="1:360" x14ac:dyDescent="0.25">
      <c r="B60" s="7" t="s">
        <v>31</v>
      </c>
      <c r="C60" s="15"/>
      <c r="D60" s="99" t="s">
        <v>58</v>
      </c>
      <c r="E60" s="315">
        <f>0.18*$F$17+E48*0.18</f>
        <v>33.517800000000001</v>
      </c>
      <c r="F60" s="46">
        <f>Residential!F57</f>
        <v>0.18</v>
      </c>
      <c r="G60" s="44">
        <f t="shared" si="11"/>
        <v>6.0332039999999996</v>
      </c>
      <c r="H60" s="270">
        <f>0.18*$F$17+H48*0.18</f>
        <v>32.4</v>
      </c>
      <c r="I60" s="46">
        <f t="shared" si="13"/>
        <v>0.18</v>
      </c>
      <c r="J60" s="44">
        <f>$E60*I60</f>
        <v>6.0332039999999996</v>
      </c>
      <c r="K60" s="17"/>
      <c r="L60" s="174">
        <f t="shared" si="2"/>
        <v>0</v>
      </c>
      <c r="M60" s="126">
        <f t="shared" si="10"/>
        <v>0</v>
      </c>
      <c r="N60" s="325"/>
      <c r="O60" s="381"/>
      <c r="P60" s="377"/>
      <c r="Q60" s="238"/>
      <c r="R60" s="382"/>
      <c r="S60" s="379"/>
      <c r="T60" s="238"/>
      <c r="U60" s="93"/>
      <c r="V60" s="93"/>
    </row>
    <row r="61" spans="1:360" s="51" customFormat="1" x14ac:dyDescent="0.2">
      <c r="B61" s="48" t="s">
        <v>127</v>
      </c>
      <c r="C61" s="49"/>
      <c r="D61" s="102" t="s">
        <v>58</v>
      </c>
      <c r="E61" s="316">
        <f>F17</f>
        <v>180</v>
      </c>
      <c r="F61" s="43">
        <v>1.1000000000000001E-3</v>
      </c>
      <c r="G61" s="44">
        <f t="shared" si="11"/>
        <v>0.19800000000000001</v>
      </c>
      <c r="H61" s="110"/>
      <c r="I61" s="43">
        <v>1.1000000000000001E-3</v>
      </c>
      <c r="J61" s="44">
        <f t="shared" si="12"/>
        <v>0.19800000000000001</v>
      </c>
      <c r="K61" s="17"/>
      <c r="L61" s="173">
        <f t="shared" si="2"/>
        <v>0</v>
      </c>
      <c r="M61" s="126">
        <f t="shared" si="10"/>
        <v>0</v>
      </c>
      <c r="N61" s="326"/>
      <c r="O61" s="381"/>
      <c r="P61" s="377"/>
      <c r="Q61" s="383"/>
      <c r="R61" s="382"/>
      <c r="S61" s="379"/>
      <c r="T61" s="383"/>
      <c r="U61" s="329"/>
      <c r="V61" s="329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11"/>
        <v>0</v>
      </c>
      <c r="H62" s="110"/>
      <c r="I62" s="46">
        <f t="shared" si="13"/>
        <v>0</v>
      </c>
      <c r="J62" s="44">
        <f t="shared" si="12"/>
        <v>0</v>
      </c>
      <c r="K62" s="110"/>
      <c r="L62" s="174">
        <f t="shared" si="2"/>
        <v>0</v>
      </c>
      <c r="M62" s="126" t="str">
        <f t="shared" si="10"/>
        <v/>
      </c>
      <c r="N62" s="326"/>
      <c r="O62" s="381"/>
      <c r="P62" s="377"/>
      <c r="Q62" s="383"/>
      <c r="R62" s="382"/>
      <c r="S62" s="379"/>
      <c r="T62" s="383"/>
      <c r="U62" s="329"/>
      <c r="V62" s="329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325"/>
      <c r="O63" s="384"/>
      <c r="P63" s="385"/>
      <c r="Q63" s="238"/>
      <c r="R63" s="386"/>
      <c r="S63" s="387"/>
      <c r="T63" s="238"/>
      <c r="U63" s="93"/>
      <c r="V63" s="93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38.247055400000001</v>
      </c>
      <c r="H64" s="57"/>
      <c r="I64" s="56"/>
      <c r="J64" s="58">
        <f>SUM(J54:J61,J53)</f>
        <v>38.935155399999999</v>
      </c>
      <c r="K64" s="57"/>
      <c r="L64" s="243">
        <f>J64-G64</f>
        <v>0.6880999999999986</v>
      </c>
      <c r="M64" s="128">
        <f>IF((G64)=0,"",(L64/G64))</f>
        <v>1.7990927479347826E-2</v>
      </c>
      <c r="N64" s="327"/>
      <c r="O64" s="388"/>
      <c r="P64" s="389"/>
      <c r="Q64" s="374"/>
      <c r="R64" s="432"/>
      <c r="S64" s="391"/>
      <c r="T64" s="374"/>
      <c r="U64" s="93"/>
      <c r="V64" s="93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4.9721172020000006</v>
      </c>
      <c r="H65" s="61"/>
      <c r="I65" s="60">
        <v>0.13</v>
      </c>
      <c r="J65" s="62">
        <f>J64*I65</f>
        <v>5.0615702020000004</v>
      </c>
      <c r="K65" s="61"/>
      <c r="L65" s="176">
        <f>J65-G65</f>
        <v>8.9452999999999783E-2</v>
      </c>
      <c r="M65" s="129">
        <f>IF((G65)=0,"",(L65/G65))</f>
        <v>1.7990927479347815E-2</v>
      </c>
      <c r="N65" s="328"/>
      <c r="O65" s="392"/>
      <c r="P65" s="393"/>
      <c r="Q65" s="394"/>
      <c r="R65" s="390"/>
      <c r="S65" s="395"/>
      <c r="T65" s="394"/>
      <c r="U65" s="93"/>
      <c r="V65" s="93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43.219172602</v>
      </c>
      <c r="H66" s="61"/>
      <c r="I66" s="64"/>
      <c r="J66" s="62">
        <f>J64+J65</f>
        <v>43.996725601999998</v>
      </c>
      <c r="K66" s="61"/>
      <c r="L66" s="176">
        <f>J66-G66</f>
        <v>0.7775529999999975</v>
      </c>
      <c r="M66" s="129">
        <f>IF((G66)=0,"",(L66/G66))</f>
        <v>1.7990927479347801E-2</v>
      </c>
      <c r="N66" s="328"/>
      <c r="O66" s="396"/>
      <c r="P66" s="393"/>
      <c r="Q66" s="394"/>
      <c r="R66" s="390"/>
      <c r="S66" s="395"/>
      <c r="T66" s="394"/>
      <c r="U66" s="93"/>
      <c r="V66" s="93"/>
    </row>
    <row r="67" spans="1:360" x14ac:dyDescent="0.25">
      <c r="B67" s="483" t="s">
        <v>35</v>
      </c>
      <c r="C67" s="483"/>
      <c r="D67" s="483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328"/>
      <c r="O67" s="396"/>
      <c r="P67" s="397"/>
      <c r="Q67" s="394"/>
      <c r="R67" s="398"/>
      <c r="S67" s="399"/>
      <c r="T67" s="394"/>
      <c r="U67" s="93"/>
      <c r="V67" s="93"/>
    </row>
    <row r="68" spans="1:360" ht="15.75" thickBot="1" x14ac:dyDescent="0.3">
      <c r="B68" s="484" t="s">
        <v>36</v>
      </c>
      <c r="C68" s="484"/>
      <c r="D68" s="484"/>
      <c r="E68" s="105"/>
      <c r="F68" s="66"/>
      <c r="G68" s="67">
        <f>G66+G67</f>
        <v>43.219172602</v>
      </c>
      <c r="H68" s="57"/>
      <c r="I68" s="66"/>
      <c r="J68" s="67">
        <f>J66+J67</f>
        <v>43.996725601999998</v>
      </c>
      <c r="K68" s="57"/>
      <c r="L68" s="244">
        <f>J68-G68</f>
        <v>0.7775529999999975</v>
      </c>
      <c r="M68" s="131">
        <f>IF((G68)=0,"",(L68/G68))</f>
        <v>1.7990927479347801E-2</v>
      </c>
      <c r="N68" s="327"/>
      <c r="O68" s="400"/>
      <c r="P68" s="401"/>
      <c r="Q68" s="374"/>
      <c r="R68" s="433"/>
      <c r="S68" s="403"/>
      <c r="T68" s="374"/>
      <c r="U68" s="93"/>
      <c r="V68" s="93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326"/>
      <c r="O69" s="384"/>
      <c r="P69" s="385"/>
      <c r="Q69" s="383"/>
      <c r="R69" s="434"/>
      <c r="S69" s="387"/>
      <c r="T69" s="383"/>
      <c r="U69" s="329"/>
      <c r="V69" s="329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17.421329000000004</v>
      </c>
      <c r="H70" s="74"/>
      <c r="I70" s="73"/>
      <c r="J70" s="75">
        <f>SUM(J61:J62,J53,J54:J57)</f>
        <v>18.109429000000006</v>
      </c>
      <c r="K70" s="74"/>
      <c r="L70" s="246">
        <f>J70-G70</f>
        <v>0.68810000000000215</v>
      </c>
      <c r="M70" s="128">
        <f>IF((G70)=0,"",(L70/G70))</f>
        <v>3.9497560719965852E-2</v>
      </c>
      <c r="N70" s="332"/>
      <c r="O70" s="405"/>
      <c r="P70" s="406"/>
      <c r="Q70" s="407"/>
      <c r="R70" s="435"/>
      <c r="S70" s="391"/>
      <c r="T70" s="407"/>
      <c r="U70" s="329"/>
      <c r="V70" s="329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2.2647727700000004</v>
      </c>
      <c r="H71" s="78"/>
      <c r="I71" s="77">
        <v>0.13</v>
      </c>
      <c r="J71" s="79">
        <f>J70*I71</f>
        <v>2.3542257700000007</v>
      </c>
      <c r="K71" s="78"/>
      <c r="L71" s="180">
        <f>J71-G71</f>
        <v>8.9453000000000227E-2</v>
      </c>
      <c r="M71" s="129">
        <f>IF((G71)=0,"",(L71/G71))</f>
        <v>3.9497560719965831E-2</v>
      </c>
      <c r="N71" s="333"/>
      <c r="O71" s="409"/>
      <c r="P71" s="410"/>
      <c r="Q71" s="411"/>
      <c r="R71" s="408"/>
      <c r="S71" s="395"/>
      <c r="T71" s="411"/>
      <c r="U71" s="329"/>
      <c r="V71" s="329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19.686101770000004</v>
      </c>
      <c r="H72" s="78"/>
      <c r="I72" s="81"/>
      <c r="J72" s="79">
        <f>J70+J71</f>
        <v>20.463654770000005</v>
      </c>
      <c r="K72" s="78"/>
      <c r="L72" s="180">
        <f>J72-G72</f>
        <v>0.77755300000000105</v>
      </c>
      <c r="M72" s="129">
        <f>IF((G72)=0,"",(L72/G72))</f>
        <v>3.9497560719965782E-2</v>
      </c>
      <c r="N72" s="333"/>
      <c r="O72" s="412"/>
      <c r="P72" s="410"/>
      <c r="Q72" s="411"/>
      <c r="R72" s="408"/>
      <c r="S72" s="395"/>
      <c r="T72" s="411"/>
      <c r="U72" s="329"/>
      <c r="V72" s="329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485" t="s">
        <v>35</v>
      </c>
      <c r="C73" s="485"/>
      <c r="D73" s="485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333"/>
      <c r="O73" s="412"/>
      <c r="P73" s="413"/>
      <c r="Q73" s="411"/>
      <c r="R73" s="414"/>
      <c r="S73" s="399"/>
      <c r="T73" s="411"/>
      <c r="U73" s="329"/>
      <c r="V73" s="329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476" t="s">
        <v>38</v>
      </c>
      <c r="C74" s="476"/>
      <c r="D74" s="476"/>
      <c r="E74" s="108"/>
      <c r="F74" s="83"/>
      <c r="G74" s="84">
        <f>SUM(G72:G73)</f>
        <v>19.686101770000004</v>
      </c>
      <c r="H74" s="74"/>
      <c r="I74" s="83"/>
      <c r="J74" s="84">
        <f>SUM(J72:J73)</f>
        <v>20.463654770000005</v>
      </c>
      <c r="K74" s="74"/>
      <c r="L74" s="247">
        <f>J74-G74</f>
        <v>0.77755300000000105</v>
      </c>
      <c r="M74" s="132">
        <f>IF((G74)=0,"",(L74/G74))</f>
        <v>3.9497560719965782E-2</v>
      </c>
      <c r="N74" s="332"/>
      <c r="O74" s="415"/>
      <c r="P74" s="416"/>
      <c r="Q74" s="407"/>
      <c r="R74" s="436"/>
      <c r="S74" s="403"/>
      <c r="T74" s="407"/>
      <c r="U74" s="329"/>
      <c r="V74" s="329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326"/>
      <c r="O75" s="384"/>
      <c r="P75" s="385"/>
      <c r="Q75" s="383"/>
      <c r="R75" s="386"/>
      <c r="S75" s="387"/>
      <c r="T75" s="383"/>
      <c r="U75" s="329"/>
      <c r="V75" s="329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O76" s="331"/>
      <c r="P76" s="418"/>
      <c r="Q76" s="331"/>
      <c r="R76" s="341"/>
      <c r="S76" s="342"/>
      <c r="T76" s="331"/>
      <c r="U76" s="93"/>
      <c r="V76" s="93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419"/>
      <c r="P77" s="331"/>
      <c r="Q77" s="331"/>
      <c r="R77" s="341"/>
      <c r="S77" s="342"/>
      <c r="T77" s="331"/>
      <c r="U77" s="93"/>
      <c r="V77" s="93"/>
    </row>
    <row r="78" spans="1:360" x14ac:dyDescent="0.25">
      <c r="O78" s="331"/>
      <c r="P78" s="331"/>
      <c r="Q78" s="331"/>
      <c r="R78" s="341"/>
      <c r="S78" s="342"/>
      <c r="T78" s="331"/>
      <c r="U78" s="93"/>
      <c r="V78" s="93"/>
    </row>
    <row r="79" spans="1:360" x14ac:dyDescent="0.25">
      <c r="A79" s="88" t="s">
        <v>40</v>
      </c>
      <c r="O79" s="331"/>
      <c r="P79" s="331"/>
      <c r="Q79" s="331"/>
      <c r="R79" s="341"/>
      <c r="S79" s="342"/>
      <c r="T79" s="331"/>
      <c r="U79" s="93"/>
      <c r="V79" s="93"/>
    </row>
    <row r="80" spans="1:360" x14ac:dyDescent="0.25">
      <c r="O80" s="331"/>
      <c r="P80" s="331"/>
      <c r="Q80" s="331"/>
      <c r="R80" s="341"/>
      <c r="S80" s="342"/>
      <c r="T80" s="331"/>
      <c r="U80" s="93"/>
      <c r="V80" s="93"/>
    </row>
    <row r="81" spans="1:360" x14ac:dyDescent="0.25">
      <c r="A81" s="2" t="s">
        <v>41</v>
      </c>
      <c r="O81" s="331"/>
      <c r="P81" s="331"/>
      <c r="Q81" s="331"/>
      <c r="R81" s="341"/>
      <c r="S81" s="342"/>
      <c r="T81" s="331"/>
      <c r="U81" s="93"/>
      <c r="V81" s="93"/>
    </row>
    <row r="82" spans="1:360" x14ac:dyDescent="0.25">
      <c r="A82" s="2" t="s">
        <v>42</v>
      </c>
      <c r="O82" s="331"/>
      <c r="P82" s="331"/>
      <c r="Q82" s="331"/>
      <c r="R82" s="341"/>
      <c r="S82" s="342"/>
      <c r="T82" s="331"/>
      <c r="U82" s="93"/>
      <c r="V82" s="93"/>
    </row>
    <row r="83" spans="1:360" x14ac:dyDescent="0.25">
      <c r="O83" s="331"/>
      <c r="P83" s="331"/>
      <c r="Q83" s="331"/>
      <c r="R83" s="341"/>
      <c r="S83" s="342"/>
      <c r="T83" s="331"/>
      <c r="U83" s="93"/>
      <c r="V83" s="93"/>
    </row>
    <row r="84" spans="1:360" x14ac:dyDescent="0.25">
      <c r="A84" s="7" t="s">
        <v>43</v>
      </c>
      <c r="M84" s="2"/>
      <c r="O84" s="331"/>
      <c r="P84" s="331"/>
      <c r="Q84" s="331"/>
      <c r="R84" s="341"/>
      <c r="S84" s="331"/>
      <c r="T84" s="331"/>
      <c r="U84" s="331"/>
      <c r="V84" s="331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O85" s="331"/>
      <c r="P85" s="331"/>
      <c r="Q85" s="331"/>
      <c r="R85" s="341"/>
      <c r="S85" s="331"/>
      <c r="T85" s="331"/>
      <c r="U85" s="331"/>
      <c r="V85" s="331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O86" s="331"/>
      <c r="P86" s="331"/>
      <c r="Q86" s="331"/>
      <c r="R86" s="341"/>
      <c r="S86" s="342"/>
      <c r="T86" s="331"/>
      <c r="U86" s="93"/>
      <c r="V86" s="93"/>
    </row>
    <row r="87" spans="1:360" x14ac:dyDescent="0.25">
      <c r="A87" s="2" t="s">
        <v>45</v>
      </c>
      <c r="M87" s="2"/>
      <c r="O87" s="331"/>
      <c r="P87" s="331"/>
      <c r="Q87" s="331"/>
      <c r="R87" s="341"/>
      <c r="S87" s="331"/>
      <c r="T87" s="331"/>
      <c r="U87" s="331"/>
      <c r="V87" s="331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O20:P20"/>
    <mergeCell ref="R20:S20"/>
    <mergeCell ref="B74:D74"/>
    <mergeCell ref="D21:D22"/>
    <mergeCell ref="B67:D67"/>
    <mergeCell ref="B68:D68"/>
    <mergeCell ref="B73:D73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6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U93"/>
  <sheetViews>
    <sheetView view="pageBreakPreview" topLeftCell="B1" zoomScale="70" zoomScaleNormal="55" zoomScaleSheetLayoutView="70" workbookViewId="0">
      <selection activeCell="AC16" sqref="AC16"/>
    </sheetView>
  </sheetViews>
  <sheetFormatPr defaultRowHeight="15" outlineLevelRow="1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.42578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hidden="1" customWidth="1" outlineLevel="1"/>
    <col min="16" max="16" width="15.140625" style="2" hidden="1" customWidth="1" outlineLevel="1"/>
    <col min="17" max="17" width="1" style="2" hidden="1" customWidth="1" outlineLevel="1"/>
    <col min="18" max="18" width="12.7109375" style="164" hidden="1" customWidth="1" outlineLevel="1"/>
    <col min="19" max="19" width="10.85546875" style="120" hidden="1" customWidth="1" outlineLevel="1"/>
    <col min="20" max="20" width="1.28515625" style="2" hidden="1" customWidth="1" outlineLevel="1"/>
    <col min="21" max="21" width="0" style="29" hidden="1" customWidth="1" outlineLevel="1"/>
    <col min="22" max="22" width="9.140625" style="29" collapsed="1"/>
    <col min="23" max="359" width="9.140625" style="29"/>
    <col min="360" max="16384" width="9.140625" style="2"/>
  </cols>
  <sheetData>
    <row r="1" spans="1:359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161">
        <v>1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</row>
    <row r="2" spans="1:359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</row>
    <row r="3" spans="1:359" s="1" customFormat="1" ht="16.5" customHeight="1" x14ac:dyDescent="0.25">
      <c r="A3" s="469"/>
      <c r="B3" s="469"/>
      <c r="C3" s="469"/>
      <c r="D3" s="469"/>
      <c r="E3" s="469"/>
      <c r="F3" s="469"/>
      <c r="G3" s="469"/>
      <c r="H3" s="469"/>
      <c r="I3" s="469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</row>
    <row r="4" spans="1:359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</row>
    <row r="5" spans="1:359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</row>
    <row r="6" spans="1:359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</row>
    <row r="7" spans="1:359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</row>
    <row r="8" spans="1:359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</row>
    <row r="9" spans="1:359" ht="16.5" customHeight="1" x14ac:dyDescent="0.25">
      <c r="J9"/>
      <c r="K9"/>
      <c r="L9" s="162"/>
      <c r="M9" s="118"/>
      <c r="P9"/>
      <c r="Q9"/>
      <c r="R9" s="162"/>
      <c r="S9" s="118"/>
    </row>
    <row r="10" spans="1:359" ht="20.25" x14ac:dyDescent="0.3">
      <c r="B10" s="470" t="s">
        <v>0</v>
      </c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/>
      <c r="R10" s="2"/>
    </row>
    <row r="11" spans="1:359" ht="20.25" x14ac:dyDescent="0.3">
      <c r="B11" s="470" t="s">
        <v>80</v>
      </c>
      <c r="C11" s="470"/>
      <c r="D11" s="470"/>
      <c r="E11" s="470"/>
      <c r="F11" s="470"/>
      <c r="G11" s="470"/>
      <c r="H11" s="470"/>
      <c r="I11" s="470"/>
      <c r="J11" s="470"/>
      <c r="K11" s="470"/>
      <c r="L11" s="470"/>
      <c r="M11" s="470"/>
      <c r="N11"/>
      <c r="R11" s="2"/>
    </row>
    <row r="12" spans="1:359" ht="16.5" customHeight="1" x14ac:dyDescent="0.25">
      <c r="J12"/>
      <c r="K12"/>
      <c r="L12" s="162"/>
      <c r="M12" s="118"/>
      <c r="P12"/>
      <c r="Q12"/>
      <c r="R12" s="162"/>
      <c r="S12" s="118"/>
    </row>
    <row r="13" spans="1:359" ht="16.5" customHeight="1" x14ac:dyDescent="0.25">
      <c r="J13"/>
      <c r="K13"/>
      <c r="L13" s="162"/>
      <c r="M13" s="118"/>
      <c r="P13"/>
      <c r="Q13"/>
      <c r="R13" s="162"/>
      <c r="S13" s="118"/>
    </row>
    <row r="14" spans="1:359" ht="16.5" customHeight="1" x14ac:dyDescent="0.25">
      <c r="B14" s="3" t="s">
        <v>1</v>
      </c>
      <c r="D14" s="471" t="s">
        <v>62</v>
      </c>
      <c r="E14" s="471"/>
      <c r="F14" s="471"/>
      <c r="G14" s="471"/>
      <c r="H14" s="471"/>
      <c r="I14" s="471"/>
      <c r="J14" s="471"/>
      <c r="K14" s="471"/>
      <c r="L14" s="471"/>
      <c r="M14" s="471"/>
      <c r="R14" s="2"/>
    </row>
    <row r="15" spans="1:359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59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59" x14ac:dyDescent="0.25">
      <c r="B17" s="7"/>
      <c r="D17" s="8" t="s">
        <v>4</v>
      </c>
      <c r="E17" s="8"/>
      <c r="F17" s="9">
        <v>280</v>
      </c>
      <c r="O17" s="331"/>
      <c r="P17" s="331"/>
      <c r="Q17" s="331"/>
      <c r="R17" s="341"/>
      <c r="S17" s="342"/>
      <c r="T17" s="331"/>
      <c r="U17" s="331"/>
      <c r="V17" s="331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</row>
    <row r="18" spans="1:359" x14ac:dyDescent="0.25">
      <c r="B18" s="7"/>
      <c r="D18" s="8" t="s">
        <v>56</v>
      </c>
      <c r="E18" s="8"/>
      <c r="F18" s="9">
        <v>1</v>
      </c>
      <c r="O18" s="331"/>
      <c r="P18" s="331"/>
      <c r="Q18" s="331"/>
      <c r="R18" s="341"/>
      <c r="S18" s="342"/>
      <c r="T18" s="331"/>
      <c r="U18" s="331"/>
      <c r="V18" s="331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</row>
    <row r="19" spans="1:359" x14ac:dyDescent="0.25">
      <c r="B19" s="7"/>
      <c r="D19" s="8"/>
      <c r="E19" s="8"/>
      <c r="O19" s="331"/>
      <c r="P19" s="331"/>
      <c r="Q19" s="331"/>
      <c r="R19" s="341"/>
      <c r="S19" s="342"/>
      <c r="T19" s="331"/>
      <c r="U19" s="331"/>
      <c r="V19" s="331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</row>
    <row r="20" spans="1:359" ht="44.25" customHeight="1" x14ac:dyDescent="0.25">
      <c r="B20" s="7"/>
      <c r="D20" s="10"/>
      <c r="E20" s="10"/>
      <c r="F20" s="472" t="s">
        <v>51</v>
      </c>
      <c r="G20" s="473"/>
      <c r="H20" s="29"/>
      <c r="I20" s="474">
        <f>Residential!I20</f>
        <v>2016</v>
      </c>
      <c r="J20" s="475"/>
      <c r="K20" s="29"/>
      <c r="L20" s="472" t="str">
        <f>Residential!L20</f>
        <v xml:space="preserve">Impact
2016  vs. 
2015 </v>
      </c>
      <c r="M20" s="473"/>
      <c r="N20" s="29"/>
      <c r="O20" s="477"/>
      <c r="P20" s="478"/>
      <c r="Q20" s="93"/>
      <c r="R20" s="479"/>
      <c r="S20" s="480"/>
      <c r="T20" s="93"/>
      <c r="U20" s="331"/>
      <c r="V20" s="331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</row>
    <row r="21" spans="1:359" x14ac:dyDescent="0.25">
      <c r="B21" s="7"/>
      <c r="D21" s="481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343"/>
      <c r="P21" s="343"/>
      <c r="Q21" s="93"/>
      <c r="R21" s="344"/>
      <c r="S21" s="345"/>
      <c r="T21" s="93"/>
      <c r="U21" s="331"/>
      <c r="V21" s="331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</row>
    <row r="22" spans="1:359" x14ac:dyDescent="0.25">
      <c r="B22" s="7"/>
      <c r="D22" s="482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346"/>
      <c r="P22" s="346"/>
      <c r="Q22" s="93"/>
      <c r="R22" s="347"/>
      <c r="S22" s="348"/>
      <c r="T22" s="93"/>
      <c r="U22" s="331"/>
      <c r="V22" s="331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</row>
    <row r="23" spans="1:359" x14ac:dyDescent="0.25">
      <c r="A23" s="139" t="str">
        <f>[3]Rates!$A$197</f>
        <v>Fix_SL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1.26</v>
      </c>
      <c r="G23" s="18">
        <f t="shared" ref="G23:G38" si="0">E23*F23</f>
        <v>1.26</v>
      </c>
      <c r="H23" s="38"/>
      <c r="I23" s="114">
        <f>IF($A23&lt;&gt;"",VLOOKUP($A23,[3]Rates!$A$1:$R$65536,14,FALSE),0)</f>
        <v>1.28</v>
      </c>
      <c r="J23" s="18">
        <f>$E23*I23</f>
        <v>1.28</v>
      </c>
      <c r="K23" s="38"/>
      <c r="L23" s="167">
        <f>J23-G23</f>
        <v>2.0000000000000018E-2</v>
      </c>
      <c r="M23" s="123">
        <f>IF((G23)=0,"",(L23/G23))</f>
        <v>1.5873015873015886E-2</v>
      </c>
      <c r="N23" s="38"/>
      <c r="O23" s="349"/>
      <c r="P23" s="350"/>
      <c r="Q23" s="238"/>
      <c r="R23" s="351"/>
      <c r="S23" s="352"/>
      <c r="T23" s="238"/>
      <c r="U23" s="331"/>
      <c r="V23" s="331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</row>
    <row r="24" spans="1:359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349"/>
      <c r="P24" s="350"/>
      <c r="Q24" s="238"/>
      <c r="R24" s="351"/>
      <c r="S24" s="352"/>
      <c r="T24" s="238"/>
      <c r="U24" s="331"/>
      <c r="V24" s="33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</row>
    <row r="25" spans="1:359" s="265" customFormat="1" x14ac:dyDescent="0.25">
      <c r="A25" s="289" t="str">
        <f>[3]Rates!$A$199</f>
        <v>PPE_SL</v>
      </c>
      <c r="B25" s="299" t="s">
        <v>71</v>
      </c>
      <c r="C25" s="291"/>
      <c r="D25" s="292" t="s">
        <v>57</v>
      </c>
      <c r="E25" s="301">
        <v>1</v>
      </c>
      <c r="F25" s="300">
        <f>IF($A25&lt;&gt;"",VLOOKUP($A25,[3]Rates!$A$1:$R$65536,12,FALSE),0)</f>
        <v>0.02</v>
      </c>
      <c r="G25" s="295">
        <f t="shared" si="0"/>
        <v>0.02</v>
      </c>
      <c r="H25" s="296"/>
      <c r="I25" s="300">
        <f>IF($A25&lt;&gt;"",VLOOKUP($A25,[3]Rates!$A$1:$R$65536,14,FALSE),0)</f>
        <v>0.02</v>
      </c>
      <c r="J25" s="295">
        <f t="shared" si="1"/>
        <v>0.02</v>
      </c>
      <c r="K25" s="296"/>
      <c r="L25" s="297">
        <f>J25-G25</f>
        <v>0</v>
      </c>
      <c r="M25" s="298">
        <f t="shared" si="3"/>
        <v>0</v>
      </c>
      <c r="N25" s="296"/>
      <c r="O25" s="423"/>
      <c r="P25" s="424"/>
      <c r="Q25" s="425"/>
      <c r="R25" s="426"/>
      <c r="S25" s="427"/>
      <c r="T25" s="425"/>
      <c r="U25" s="330"/>
      <c r="V25" s="330"/>
    </row>
    <row r="26" spans="1:359" s="265" customFormat="1" x14ac:dyDescent="0.25">
      <c r="A26" s="289" t="str">
        <f>[3]Rates!$A$200</f>
        <v>ICMF_SL</v>
      </c>
      <c r="B26" s="299" t="s">
        <v>72</v>
      </c>
      <c r="C26" s="291"/>
      <c r="D26" s="292" t="s">
        <v>57</v>
      </c>
      <c r="E26" s="301">
        <v>1</v>
      </c>
      <c r="F26" s="300">
        <f>IF($A26&lt;&gt;"",VLOOKUP($A26,[3]Rates!$A$1:$R$65536,12,FALSE),0)</f>
        <v>0.01</v>
      </c>
      <c r="G26" s="295">
        <f t="shared" si="0"/>
        <v>0.01</v>
      </c>
      <c r="H26" s="296"/>
      <c r="I26" s="114">
        <f>IF($A26&lt;&gt;"",VLOOKUP($A26,[3]Rates!$A$1:$R$65536,14,FALSE),0)</f>
        <v>0.01</v>
      </c>
      <c r="J26" s="295">
        <f t="shared" si="1"/>
        <v>0.01</v>
      </c>
      <c r="K26" s="296"/>
      <c r="L26" s="297">
        <f t="shared" si="2"/>
        <v>0</v>
      </c>
      <c r="M26" s="298">
        <f t="shared" si="3"/>
        <v>0</v>
      </c>
      <c r="N26" s="296"/>
      <c r="O26" s="423"/>
      <c r="P26" s="424"/>
      <c r="Q26" s="425"/>
      <c r="R26" s="426"/>
      <c r="S26" s="427"/>
      <c r="T26" s="425"/>
      <c r="U26" s="330"/>
      <c r="V26" s="330"/>
    </row>
    <row r="27" spans="1:359" x14ac:dyDescent="0.25">
      <c r="A27" s="139" t="s">
        <v>143</v>
      </c>
      <c r="B27" s="22" t="s">
        <v>131</v>
      </c>
      <c r="C27" s="15"/>
      <c r="D27" s="305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0.06</v>
      </c>
      <c r="J27" s="18">
        <f t="shared" si="1"/>
        <v>0.06</v>
      </c>
      <c r="K27" s="38"/>
      <c r="L27" s="167">
        <f t="shared" si="2"/>
        <v>0.06</v>
      </c>
      <c r="M27" s="123" t="str">
        <f t="shared" si="3"/>
        <v/>
      </c>
      <c r="N27" s="38"/>
      <c r="O27" s="349"/>
      <c r="P27" s="350"/>
      <c r="Q27" s="238"/>
      <c r="R27" s="351"/>
      <c r="S27" s="352"/>
      <c r="T27" s="238"/>
      <c r="U27" s="331"/>
      <c r="V27" s="33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</row>
    <row r="28" spans="1:359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349"/>
      <c r="P28" s="350"/>
      <c r="Q28" s="238"/>
      <c r="R28" s="351"/>
      <c r="S28" s="352"/>
      <c r="T28" s="238"/>
      <c r="U28" s="331"/>
      <c r="V28" s="33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</row>
    <row r="29" spans="1:359" x14ac:dyDescent="0.25">
      <c r="A29" s="139" t="str">
        <f>[3]Rates!$A$202</f>
        <v>Var_SL</v>
      </c>
      <c r="B29" s="15" t="s">
        <v>14</v>
      </c>
      <c r="C29" s="15"/>
      <c r="D29" s="99" t="s">
        <v>59</v>
      </c>
      <c r="E29" s="135">
        <f>$F$18</f>
        <v>1</v>
      </c>
      <c r="F29" s="16">
        <f>IF($A29&lt;&gt;"",VLOOKUP($A29,[3]Rates!$A$1:$R$65536,12,FALSE),0)</f>
        <v>6.6546000000000003</v>
      </c>
      <c r="G29" s="18">
        <f t="shared" si="0"/>
        <v>6.6546000000000003</v>
      </c>
      <c r="H29" s="38"/>
      <c r="I29" s="16">
        <f>IF($A29&lt;&gt;"",VLOOKUP($A29,[3]Rates!$A$1:$R$65536,14,FALSE),0)</f>
        <v>6.7744</v>
      </c>
      <c r="J29" s="18">
        <f t="shared" si="1"/>
        <v>6.7744</v>
      </c>
      <c r="K29" s="38"/>
      <c r="L29" s="167">
        <f t="shared" si="2"/>
        <v>0.11979999999999968</v>
      </c>
      <c r="M29" s="123">
        <f t="shared" si="3"/>
        <v>1.8002584678267618E-2</v>
      </c>
      <c r="N29" s="38"/>
      <c r="O29" s="358"/>
      <c r="P29" s="350"/>
      <c r="Q29" s="238"/>
      <c r="R29" s="351"/>
      <c r="S29" s="352"/>
      <c r="T29" s="238"/>
      <c r="U29" s="331"/>
      <c r="V29" s="331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</row>
    <row r="30" spans="1:359" x14ac:dyDescent="0.25">
      <c r="A30" s="139"/>
      <c r="B30" s="15" t="s">
        <v>15</v>
      </c>
      <c r="C30" s="15"/>
      <c r="D30" s="99" t="s">
        <v>59</v>
      </c>
      <c r="E30" s="135">
        <f t="shared" ref="E30:E36" si="4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358"/>
      <c r="P30" s="350"/>
      <c r="Q30" s="238"/>
      <c r="R30" s="351"/>
      <c r="S30" s="352"/>
      <c r="T30" s="238"/>
      <c r="U30" s="331"/>
      <c r="V30" s="33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</row>
    <row r="31" spans="1:359" x14ac:dyDescent="0.25">
      <c r="A31" s="139" t="s">
        <v>144</v>
      </c>
      <c r="B31" s="22" t="s">
        <v>133</v>
      </c>
      <c r="C31" s="15"/>
      <c r="D31" s="99" t="s">
        <v>59</v>
      </c>
      <c r="E31" s="135">
        <f t="shared" si="4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0.27210000000000001</v>
      </c>
      <c r="J31" s="18">
        <f t="shared" si="1"/>
        <v>0.27210000000000001</v>
      </c>
      <c r="K31" s="38"/>
      <c r="L31" s="167">
        <f t="shared" si="2"/>
        <v>0.27210000000000001</v>
      </c>
      <c r="M31" s="123" t="str">
        <f t="shared" si="3"/>
        <v/>
      </c>
      <c r="N31" s="38"/>
      <c r="O31" s="358"/>
      <c r="P31" s="350"/>
      <c r="Q31" s="238"/>
      <c r="R31" s="351"/>
      <c r="S31" s="352"/>
      <c r="T31" s="238"/>
      <c r="U31" s="331"/>
      <c r="V31" s="331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</row>
    <row r="32" spans="1:359" s="265" customFormat="1" x14ac:dyDescent="0.25">
      <c r="A32" s="289" t="str">
        <f>[3]Rates!$A$208</f>
        <v>ICMV_SL</v>
      </c>
      <c r="B32" s="290" t="s">
        <v>72</v>
      </c>
      <c r="C32" s="291"/>
      <c r="D32" s="292" t="s">
        <v>59</v>
      </c>
      <c r="E32" s="302">
        <f t="shared" si="4"/>
        <v>1</v>
      </c>
      <c r="F32" s="294">
        <f>IF($A32&lt;&gt;"",VLOOKUP($A32,[3]Rates!$A$1:$R$65536,12,FALSE),0)</f>
        <v>3.4500000000000003E-2</v>
      </c>
      <c r="G32" s="295">
        <f t="shared" si="0"/>
        <v>3.4500000000000003E-2</v>
      </c>
      <c r="H32" s="296"/>
      <c r="I32" s="16">
        <f>IF($A32&lt;&gt;"",VLOOKUP($A32,[3]Rates!$A$1:$R$65536,14,FALSE),0)</f>
        <v>3.4500000000000003E-2</v>
      </c>
      <c r="J32" s="295">
        <f t="shared" si="1"/>
        <v>3.4500000000000003E-2</v>
      </c>
      <c r="K32" s="296"/>
      <c r="L32" s="297">
        <f t="shared" si="2"/>
        <v>0</v>
      </c>
      <c r="M32" s="298">
        <f t="shared" si="3"/>
        <v>0</v>
      </c>
      <c r="N32" s="296"/>
      <c r="O32" s="428"/>
      <c r="P32" s="424"/>
      <c r="Q32" s="425"/>
      <c r="R32" s="426"/>
      <c r="S32" s="427"/>
      <c r="T32" s="425"/>
      <c r="U32" s="330"/>
      <c r="V32" s="330"/>
    </row>
    <row r="33" spans="1:359" x14ac:dyDescent="0.25">
      <c r="A33" s="139" t="str">
        <f>[3]Rates!$A213</f>
        <v>2RAL16_SL</v>
      </c>
      <c r="B33" s="23" t="str">
        <f>[3]Rates!$B213</f>
        <v xml:space="preserve">Disposition of Deferral/Variance Accounts - Group 2 Accounts (2016) </v>
      </c>
      <c r="C33" s="15"/>
      <c r="D33" s="99" t="s">
        <v>59</v>
      </c>
      <c r="E33" s="135">
        <f t="shared" si="4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5.9200000000000003E-2</v>
      </c>
      <c r="J33" s="18">
        <f t="shared" si="1"/>
        <v>5.9200000000000003E-2</v>
      </c>
      <c r="K33" s="38"/>
      <c r="L33" s="167">
        <f t="shared" si="2"/>
        <v>5.9200000000000003E-2</v>
      </c>
      <c r="M33" s="123" t="str">
        <f t="shared" si="3"/>
        <v/>
      </c>
      <c r="N33" s="38"/>
      <c r="O33" s="358"/>
      <c r="P33" s="350"/>
      <c r="Q33" s="238"/>
      <c r="R33" s="351"/>
      <c r="S33" s="352"/>
      <c r="T33" s="238"/>
      <c r="U33" s="331"/>
      <c r="V33" s="331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</row>
    <row r="34" spans="1:359" x14ac:dyDescent="0.25">
      <c r="A34" s="139" t="str">
        <f>[3]Rates!$A214</f>
        <v>LRVA16_SL</v>
      </c>
      <c r="B34" s="23" t="str">
        <f>[3]Rates!$B214</f>
        <v>Lost Revenue Adjustment Mechanism Variance Account (LRAMVA) (2016)</v>
      </c>
      <c r="C34" s="15"/>
      <c r="D34" s="99" t="s">
        <v>59</v>
      </c>
      <c r="E34" s="135">
        <f t="shared" si="4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-0.14549999999999999</v>
      </c>
      <c r="J34" s="18">
        <f t="shared" si="1"/>
        <v>-0.14549999999999999</v>
      </c>
      <c r="K34" s="38"/>
      <c r="L34" s="167">
        <f t="shared" si="2"/>
        <v>-0.14549999999999999</v>
      </c>
      <c r="M34" s="123" t="str">
        <f t="shared" si="3"/>
        <v/>
      </c>
      <c r="N34" s="38"/>
      <c r="O34" s="358"/>
      <c r="P34" s="350"/>
      <c r="Q34" s="238"/>
      <c r="R34" s="351"/>
      <c r="S34" s="352"/>
      <c r="T34" s="238"/>
      <c r="U34" s="331"/>
      <c r="V34" s="331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</row>
    <row r="35" spans="1:359" x14ac:dyDescent="0.25">
      <c r="A35" s="139" t="str">
        <f>[3]Rates!$A215</f>
        <v>PPE16_SL</v>
      </c>
      <c r="B35" s="23" t="str">
        <f>[3]Rates!$B215</f>
        <v>Account 1575 (2016)</v>
      </c>
      <c r="C35" s="15"/>
      <c r="D35" s="99" t="s">
        <v>59</v>
      </c>
      <c r="E35" s="135">
        <f t="shared" si="4"/>
        <v>1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0</v>
      </c>
      <c r="J35" s="18">
        <f t="shared" si="1"/>
        <v>0</v>
      </c>
      <c r="K35" s="38"/>
      <c r="L35" s="167">
        <f t="shared" si="2"/>
        <v>0</v>
      </c>
      <c r="M35" s="123" t="str">
        <f t="shared" si="3"/>
        <v/>
      </c>
      <c r="N35" s="38"/>
      <c r="O35" s="358"/>
      <c r="P35" s="350"/>
      <c r="Q35" s="238"/>
      <c r="R35" s="351"/>
      <c r="S35" s="352"/>
      <c r="T35" s="238"/>
      <c r="U35" s="331"/>
      <c r="V35" s="331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</row>
    <row r="36" spans="1:359" x14ac:dyDescent="0.25">
      <c r="A36" s="139"/>
      <c r="B36" s="23"/>
      <c r="C36" s="15"/>
      <c r="D36" s="99" t="s">
        <v>57</v>
      </c>
      <c r="E36" s="135">
        <f t="shared" si="4"/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0</v>
      </c>
      <c r="J36" s="18">
        <f t="shared" si="1"/>
        <v>0</v>
      </c>
      <c r="K36" s="38"/>
      <c r="L36" s="167">
        <f t="shared" si="2"/>
        <v>0</v>
      </c>
      <c r="M36" s="123" t="str">
        <f t="shared" si="3"/>
        <v/>
      </c>
      <c r="N36" s="38"/>
      <c r="O36" s="358"/>
      <c r="P36" s="350"/>
      <c r="Q36" s="238"/>
      <c r="R36" s="351"/>
      <c r="S36" s="352"/>
      <c r="T36" s="238"/>
      <c r="U36" s="331"/>
      <c r="V36" s="33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</row>
    <row r="37" spans="1:359" x14ac:dyDescent="0.25">
      <c r="A37" s="139" t="s">
        <v>147</v>
      </c>
      <c r="B37" s="23" t="s">
        <v>146</v>
      </c>
      <c r="C37" s="15"/>
      <c r="D37" s="99" t="s">
        <v>57</v>
      </c>
      <c r="E37" s="135">
        <v>1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14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358"/>
      <c r="P37" s="350"/>
      <c r="Q37" s="238"/>
      <c r="R37" s="351"/>
      <c r="S37" s="352"/>
      <c r="T37" s="238"/>
      <c r="U37" s="331"/>
      <c r="V37" s="331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</row>
    <row r="38" spans="1:359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358"/>
      <c r="P38" s="350"/>
      <c r="Q38" s="238"/>
      <c r="R38" s="351"/>
      <c r="S38" s="352"/>
      <c r="T38" s="238"/>
      <c r="U38" s="331"/>
      <c r="V38" s="331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</row>
    <row r="39" spans="1:359" s="29" customFormat="1" x14ac:dyDescent="0.25">
      <c r="A39" s="140"/>
      <c r="B39" s="24" t="s">
        <v>17</v>
      </c>
      <c r="C39" s="25"/>
      <c r="D39" s="100"/>
      <c r="E39" s="27"/>
      <c r="F39" s="26"/>
      <c r="G39" s="28">
        <f>SUM(G23:G38)</f>
        <v>7.9791000000000007</v>
      </c>
      <c r="H39" s="38"/>
      <c r="I39" s="26"/>
      <c r="J39" s="28">
        <f>SUM(J23:J38)</f>
        <v>8.3647000000000009</v>
      </c>
      <c r="K39" s="38"/>
      <c r="L39" s="168">
        <f t="shared" si="2"/>
        <v>0.38560000000000016</v>
      </c>
      <c r="M39" s="124">
        <f>IF((G39)=0,"",(L39/G39))</f>
        <v>4.8326252334223177E-2</v>
      </c>
      <c r="N39" s="38"/>
      <c r="O39" s="360"/>
      <c r="P39" s="361"/>
      <c r="Q39" s="238"/>
      <c r="R39" s="362"/>
      <c r="S39" s="363"/>
      <c r="T39" s="238"/>
      <c r="U39" s="93"/>
      <c r="V39" s="93"/>
    </row>
    <row r="40" spans="1:359" s="265" customFormat="1" x14ac:dyDescent="0.25">
      <c r="A40" s="289" t="str">
        <f>[3]Rates!$A$206</f>
        <v>RAL14_SL</v>
      </c>
      <c r="B40" s="288"/>
      <c r="C40" s="291"/>
      <c r="D40" s="305" t="s">
        <v>59</v>
      </c>
      <c r="E40" s="309">
        <f>$F$18</f>
        <v>1</v>
      </c>
      <c r="F40" s="294"/>
      <c r="G40" s="295">
        <f t="shared" ref="G40:G49" si="5">E40*F40</f>
        <v>0</v>
      </c>
      <c r="H40" s="296"/>
      <c r="I40" s="294">
        <f>IF($A40&lt;&gt;"",VLOOKUP($A40,[3]Rates!$A$1:$R$65536,14,FALSE),0)</f>
        <v>0</v>
      </c>
      <c r="J40" s="295">
        <f>$E40*I40</f>
        <v>0</v>
      </c>
      <c r="K40" s="296"/>
      <c r="L40" s="297">
        <f t="shared" si="2"/>
        <v>0</v>
      </c>
      <c r="M40" s="298" t="str">
        <f t="shared" si="3"/>
        <v/>
      </c>
      <c r="N40" s="296"/>
      <c r="O40" s="428"/>
      <c r="P40" s="424"/>
      <c r="Q40" s="425"/>
      <c r="R40" s="426"/>
      <c r="S40" s="427"/>
      <c r="T40" s="425"/>
      <c r="U40" s="330"/>
      <c r="V40" s="330"/>
    </row>
    <row r="41" spans="1:359" x14ac:dyDescent="0.25">
      <c r="A41" s="139" t="str">
        <f>[3]Rates!$A210</f>
        <v>RAL16_SL</v>
      </c>
      <c r="B41" s="30" t="str">
        <f>[3]Rates!$B210</f>
        <v xml:space="preserve">Disposition of Deferral/Variance Accounts (2016) </v>
      </c>
      <c r="C41" s="15"/>
      <c r="D41" s="99" t="s">
        <v>59</v>
      </c>
      <c r="E41" s="135">
        <f t="shared" ref="E41:E47" si="6">$F$18</f>
        <v>1</v>
      </c>
      <c r="F41" s="16">
        <f>IF($A41&lt;&gt;"",VLOOKUP($A41,[3]Rates!$A$1:$R$65536,12,FALSE),0)</f>
        <v>0</v>
      </c>
      <c r="G41" s="18">
        <f t="shared" si="5"/>
        <v>0</v>
      </c>
      <c r="H41" s="21"/>
      <c r="I41" s="16">
        <f>IF($A41&lt;&gt;"",VLOOKUP($A41,[3]Rates!$A$1:$R$65536,14,FALSE),0)</f>
        <v>0.1116</v>
      </c>
      <c r="J41" s="18">
        <f t="shared" ref="J41:J47" si="7">$E41*I41</f>
        <v>0.1116</v>
      </c>
      <c r="K41" s="21"/>
      <c r="L41" s="167">
        <f t="shared" si="2"/>
        <v>0.1116</v>
      </c>
      <c r="M41" s="123" t="str">
        <f t="shared" si="3"/>
        <v/>
      </c>
      <c r="N41" s="238"/>
      <c r="O41" s="358"/>
      <c r="P41" s="350"/>
      <c r="Q41" s="238"/>
      <c r="R41" s="351"/>
      <c r="S41" s="352"/>
      <c r="T41" s="238"/>
      <c r="U41" s="331"/>
      <c r="V41" s="331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</row>
    <row r="42" spans="1:359" x14ac:dyDescent="0.25">
      <c r="A42" s="139" t="str">
        <f>[3]Rates!$A211</f>
        <v>RALP16_SL</v>
      </c>
      <c r="B42" s="30" t="str">
        <f>[3]Rates!$B211</f>
        <v xml:space="preserve">Disposition of Deferral/Variance Accounts - Power (2016) </v>
      </c>
      <c r="C42" s="15"/>
      <c r="D42" s="99" t="s">
        <v>59</v>
      </c>
      <c r="E42" s="135">
        <f t="shared" si="6"/>
        <v>1</v>
      </c>
      <c r="F42" s="16">
        <f>IF($A42&lt;&gt;"",VLOOKUP($A42,[3]Rates!$A$1:$R$65536,12,FALSE),0)</f>
        <v>0</v>
      </c>
      <c r="G42" s="18">
        <f t="shared" si="5"/>
        <v>0</v>
      </c>
      <c r="H42" s="21"/>
      <c r="I42" s="16">
        <f>IF($A42&lt;&gt;"",VLOOKUP($A42,[3]Rates!$A$1:$R$65536,14,FALSE),0)</f>
        <v>-0.1169</v>
      </c>
      <c r="J42" s="18">
        <f t="shared" si="7"/>
        <v>-0.1169</v>
      </c>
      <c r="K42" s="21"/>
      <c r="L42" s="167">
        <f t="shared" si="2"/>
        <v>-0.1169</v>
      </c>
      <c r="M42" s="123" t="str">
        <f t="shared" si="3"/>
        <v/>
      </c>
      <c r="N42" s="238"/>
      <c r="O42" s="358"/>
      <c r="P42" s="350"/>
      <c r="Q42" s="238"/>
      <c r="R42" s="351"/>
      <c r="S42" s="352"/>
      <c r="T42" s="238"/>
      <c r="U42" s="331"/>
      <c r="V42" s="33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</row>
    <row r="43" spans="1:359" x14ac:dyDescent="0.25">
      <c r="A43" s="139" t="str">
        <f>[3]Rates!$A212</f>
        <v>GA16_SL</v>
      </c>
      <c r="B43" s="30" t="str">
        <f>[3]Rates!$B212</f>
        <v xml:space="preserve">Disposition of Deferral/Variance Accounts - Power - Global Adjustment (2016) </v>
      </c>
      <c r="C43" s="15"/>
      <c r="D43" s="99" t="s">
        <v>59</v>
      </c>
      <c r="E43" s="135">
        <f t="shared" si="6"/>
        <v>1</v>
      </c>
      <c r="F43" s="16">
        <f>IF($A43&lt;&gt;"",VLOOKUP($A43,[3]Rates!$A$1:$R$65536,12,FALSE),0)</f>
        <v>0</v>
      </c>
      <c r="G43" s="18">
        <f t="shared" si="5"/>
        <v>0</v>
      </c>
      <c r="H43" s="21"/>
      <c r="I43" s="16">
        <f>IF($A43&lt;&gt;"",VLOOKUP($A43,[3]Rates!$A$1:$R$65536,14,FALSE),0)</f>
        <v>0.41239999999999999</v>
      </c>
      <c r="J43" s="18">
        <f t="shared" si="7"/>
        <v>0.41239999999999999</v>
      </c>
      <c r="K43" s="21"/>
      <c r="L43" s="167">
        <f t="shared" si="2"/>
        <v>0.41239999999999999</v>
      </c>
      <c r="M43" s="123" t="str">
        <f t="shared" si="3"/>
        <v/>
      </c>
      <c r="N43" s="238"/>
      <c r="O43" s="358"/>
      <c r="P43" s="350"/>
      <c r="Q43" s="238"/>
      <c r="R43" s="351"/>
      <c r="S43" s="352"/>
      <c r="T43" s="238"/>
      <c r="U43" s="331"/>
      <c r="V43" s="331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</row>
    <row r="44" spans="1:359" x14ac:dyDescent="0.25">
      <c r="A44" s="139" t="str">
        <f>[3]Rates!$A$207</f>
        <v>GA14_SL</v>
      </c>
      <c r="B44" s="30" t="str">
        <f>[3]Rates!$B$207</f>
        <v xml:space="preserve">Disposition of Global Adjustment Sub-Account (2014) </v>
      </c>
      <c r="C44" s="15"/>
      <c r="D44" s="99" t="s">
        <v>59</v>
      </c>
      <c r="E44" s="135">
        <v>1</v>
      </c>
      <c r="F44" s="16">
        <f>IF($A44&lt;&gt;"",VLOOKUP($A44,[3]Rates!$A$1:$R$65536,12,FALSE),0)</f>
        <v>-6.5299999999999997E-2</v>
      </c>
      <c r="G44" s="18">
        <f t="shared" si="5"/>
        <v>-6.5299999999999997E-2</v>
      </c>
      <c r="H44" s="238"/>
      <c r="I44" s="16">
        <f>IF($A44&lt;&gt;"",VLOOKUP($A44,[3]Rates!$A$1:$R$65536,14,FALSE),0)</f>
        <v>0</v>
      </c>
      <c r="J44" s="18">
        <f t="shared" ref="J44:J46" si="8">$E44*I44</f>
        <v>0</v>
      </c>
      <c r="K44" s="21"/>
      <c r="L44" s="167">
        <f t="shared" ref="L44:L46" si="9">J44-G44</f>
        <v>6.5299999999999997E-2</v>
      </c>
      <c r="M44" s="123">
        <f t="shared" ref="M44:M46" si="10">IF((G44)=0,"",(L44/G44))</f>
        <v>-1</v>
      </c>
      <c r="N44" s="238"/>
      <c r="O44" s="358"/>
      <c r="P44" s="350"/>
      <c r="Q44" s="238"/>
      <c r="R44" s="351"/>
      <c r="S44" s="352"/>
      <c r="T44" s="238"/>
      <c r="U44" s="331"/>
      <c r="V44" s="331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</row>
    <row r="45" spans="1:359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>
        <f t="shared" si="8"/>
        <v>0</v>
      </c>
      <c r="K45" s="21"/>
      <c r="L45" s="167">
        <f t="shared" si="9"/>
        <v>0</v>
      </c>
      <c r="M45" s="123" t="str">
        <f t="shared" si="10"/>
        <v/>
      </c>
      <c r="N45" s="238"/>
      <c r="O45" s="358"/>
      <c r="P45" s="350"/>
      <c r="Q45" s="238"/>
      <c r="R45" s="351"/>
      <c r="S45" s="352"/>
      <c r="T45" s="238"/>
      <c r="U45" s="331"/>
      <c r="V45" s="331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</row>
    <row r="46" spans="1:359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>
        <f t="shared" si="8"/>
        <v>0</v>
      </c>
      <c r="K46" s="21"/>
      <c r="L46" s="167">
        <f t="shared" si="9"/>
        <v>0</v>
      </c>
      <c r="M46" s="123" t="str">
        <f t="shared" si="10"/>
        <v/>
      </c>
      <c r="N46" s="238"/>
      <c r="O46" s="358"/>
      <c r="P46" s="350"/>
      <c r="Q46" s="238"/>
      <c r="R46" s="351"/>
      <c r="S46" s="352"/>
      <c r="T46" s="238"/>
      <c r="U46" s="331"/>
      <c r="V46" s="331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</row>
    <row r="47" spans="1:359" x14ac:dyDescent="0.25">
      <c r="A47" s="139" t="str">
        <f>[3]Rates!$A$203</f>
        <v>LV_SL</v>
      </c>
      <c r="B47" s="31" t="s">
        <v>18</v>
      </c>
      <c r="C47" s="15"/>
      <c r="D47" s="99" t="s">
        <v>59</v>
      </c>
      <c r="E47" s="135">
        <f t="shared" si="6"/>
        <v>1</v>
      </c>
      <c r="F47" s="16">
        <f>IF($A47&lt;&gt;"",VLOOKUP($A47,[3]Rates!$A$1:$R$65536,12,FALSE),0)</f>
        <v>9.1700000000000004E-2</v>
      </c>
      <c r="G47" s="18">
        <f t="shared" si="5"/>
        <v>9.1700000000000004E-2</v>
      </c>
      <c r="H47" s="38"/>
      <c r="I47" s="16">
        <f>IF($A47&lt;&gt;"",VLOOKUP($A47,[3]Rates!$A$1:$R$65536,14,FALSE),0)</f>
        <v>9.1700000000000004E-2</v>
      </c>
      <c r="J47" s="18">
        <f t="shared" si="7"/>
        <v>9.1700000000000004E-2</v>
      </c>
      <c r="K47" s="38"/>
      <c r="L47" s="167">
        <f t="shared" si="2"/>
        <v>0</v>
      </c>
      <c r="M47" s="123">
        <f t="shared" si="3"/>
        <v>0</v>
      </c>
      <c r="N47" s="38"/>
      <c r="O47" s="358"/>
      <c r="P47" s="350"/>
      <c r="Q47" s="238"/>
      <c r="R47" s="351"/>
      <c r="S47" s="352"/>
      <c r="T47" s="238"/>
      <c r="U47" s="331"/>
      <c r="V47" s="331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</row>
    <row r="48" spans="1:359" x14ac:dyDescent="0.25">
      <c r="A48" s="139"/>
      <c r="B48" s="31" t="s">
        <v>19</v>
      </c>
      <c r="C48" s="15"/>
      <c r="D48" s="99"/>
      <c r="E48" s="312">
        <f>$F$17*(1+$F$77)-$F$17</f>
        <v>9.6599999999999682</v>
      </c>
      <c r="F48" s="32"/>
      <c r="G48" s="18">
        <f>E48*F48</f>
        <v>0</v>
      </c>
      <c r="H48" s="90">
        <f>$F$17*(1+$O$77)-$F$17</f>
        <v>0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64"/>
      <c r="P48" s="350"/>
      <c r="Q48" s="238"/>
      <c r="R48" s="365"/>
      <c r="S48" s="352"/>
      <c r="T48" s="238"/>
      <c r="U48" s="331"/>
      <c r="V48" s="331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</row>
    <row r="49" spans="1:359" x14ac:dyDescent="0.25">
      <c r="A49" s="139"/>
      <c r="B49" s="31"/>
      <c r="C49" s="15"/>
      <c r="D49" s="99"/>
      <c r="E49" s="17"/>
      <c r="F49" s="32"/>
      <c r="G49" s="18">
        <f t="shared" si="5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64"/>
      <c r="P49" s="350"/>
      <c r="Q49" s="238"/>
      <c r="R49" s="365"/>
      <c r="S49" s="352"/>
      <c r="T49" s="238"/>
      <c r="U49" s="331"/>
      <c r="V49" s="331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</row>
    <row r="50" spans="1:359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8.0055000000000014</v>
      </c>
      <c r="H50" s="38"/>
      <c r="I50" s="35"/>
      <c r="J50" s="37">
        <f>SUM(J40:J49)+J39</f>
        <v>8.8635000000000002</v>
      </c>
      <c r="K50" s="38"/>
      <c r="L50" s="170">
        <f t="shared" si="2"/>
        <v>0.85799999999999876</v>
      </c>
      <c r="M50" s="125">
        <f>IF((G50)=0,"",(L50/G50))</f>
        <v>0.10717631628255557</v>
      </c>
      <c r="N50" s="38"/>
      <c r="O50" s="367"/>
      <c r="P50" s="368"/>
      <c r="Q50" s="238"/>
      <c r="R50" s="369"/>
      <c r="S50" s="370"/>
      <c r="T50" s="238"/>
      <c r="U50" s="331"/>
      <c r="V50" s="331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</row>
    <row r="51" spans="1:359" x14ac:dyDescent="0.25">
      <c r="A51" s="139" t="str">
        <f>[3]Rates!$A$220</f>
        <v>TN_SL</v>
      </c>
      <c r="B51" s="19" t="s">
        <v>22</v>
      </c>
      <c r="C51" s="19"/>
      <c r="D51" s="101" t="s">
        <v>59</v>
      </c>
      <c r="E51" s="45">
        <f>F18</f>
        <v>1</v>
      </c>
      <c r="F51" s="20">
        <f>IF($A51&lt;&gt;"",VLOOKUP($A51,[3]Rates!$A$1:$R$65536,12,FALSE),0)</f>
        <v>2.2202999999999999</v>
      </c>
      <c r="G51" s="18">
        <f>E51*F51</f>
        <v>2.2202999999999999</v>
      </c>
      <c r="H51" s="39">
        <f>E51</f>
        <v>1</v>
      </c>
      <c r="I51" s="20">
        <f>IF($A51&lt;&gt;"",VLOOKUP($A51,[3]Rates!$A$1:$R$65536,14,FALSE),0)</f>
        <v>2.2202999999999999</v>
      </c>
      <c r="J51" s="18">
        <f>$E51*I51</f>
        <v>2.2202999999999999</v>
      </c>
      <c r="K51" s="38"/>
      <c r="L51" s="171">
        <f>J51-G51</f>
        <v>0</v>
      </c>
      <c r="M51" s="123">
        <f t="shared" ref="M51:M62" si="11">IF((G51)=0,"",(L51/G51))</f>
        <v>0</v>
      </c>
      <c r="N51" s="38"/>
      <c r="O51" s="371"/>
      <c r="P51" s="350"/>
      <c r="Q51" s="238"/>
      <c r="R51" s="372"/>
      <c r="S51" s="352"/>
      <c r="T51" s="238"/>
      <c r="U51" s="331"/>
      <c r="V51" s="331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</row>
    <row r="52" spans="1:359" x14ac:dyDescent="0.25">
      <c r="A52" s="139" t="str">
        <f>[3]Rates!$A$221</f>
        <v>TC_SL</v>
      </c>
      <c r="B52" s="40" t="s">
        <v>23</v>
      </c>
      <c r="C52" s="19"/>
      <c r="D52" s="101" t="s">
        <v>59</v>
      </c>
      <c r="E52" s="45">
        <f>E51</f>
        <v>1</v>
      </c>
      <c r="F52" s="20">
        <f>IF($A52&lt;&gt;"",VLOOKUP($A52,[3]Rates!$A$1:$R$65536,12,FALSE),0)</f>
        <v>0.95030000000000003</v>
      </c>
      <c r="G52" s="18">
        <f>E52*F52</f>
        <v>0.95030000000000003</v>
      </c>
      <c r="H52" s="39">
        <f>E52</f>
        <v>1</v>
      </c>
      <c r="I52" s="20">
        <f>IF($A52&lt;&gt;"",VLOOKUP($A52,[3]Rates!$A$1:$R$65536,14,FALSE),0)</f>
        <v>0.95030000000000003</v>
      </c>
      <c r="J52" s="18">
        <f>$E52*I52</f>
        <v>0.95030000000000003</v>
      </c>
      <c r="K52" s="38"/>
      <c r="L52" s="171">
        <f t="shared" si="2"/>
        <v>0</v>
      </c>
      <c r="M52" s="123">
        <f t="shared" si="11"/>
        <v>0</v>
      </c>
      <c r="N52" s="38"/>
      <c r="O52" s="371"/>
      <c r="P52" s="350"/>
      <c r="Q52" s="238"/>
      <c r="R52" s="372"/>
      <c r="S52" s="352"/>
      <c r="T52" s="238"/>
      <c r="U52" s="93"/>
      <c r="V52" s="93"/>
    </row>
    <row r="53" spans="1:359" x14ac:dyDescent="0.25">
      <c r="B53" s="33" t="s">
        <v>24</v>
      </c>
      <c r="C53" s="25"/>
      <c r="D53" s="41"/>
      <c r="E53" s="36"/>
      <c r="F53" s="41"/>
      <c r="G53" s="37">
        <f>SUM(G50:G52)</f>
        <v>11.176100000000002</v>
      </c>
      <c r="H53" s="17"/>
      <c r="I53" s="41"/>
      <c r="J53" s="37">
        <f>SUM(J50:J52)</f>
        <v>12.0341</v>
      </c>
      <c r="K53" s="109"/>
      <c r="L53" s="172">
        <f>J53-G53</f>
        <v>0.85799999999999876</v>
      </c>
      <c r="M53" s="125">
        <f>IF((G53)=0,"",(L53/G53))</f>
        <v>7.6770966616261357E-2</v>
      </c>
      <c r="N53" s="109"/>
      <c r="O53" s="373"/>
      <c r="P53" s="368"/>
      <c r="Q53" s="374"/>
      <c r="R53" s="375"/>
      <c r="S53" s="370"/>
      <c r="T53" s="374"/>
      <c r="U53" s="93"/>
      <c r="V53" s="93"/>
    </row>
    <row r="54" spans="1:359" x14ac:dyDescent="0.25">
      <c r="B54" s="42" t="s">
        <v>25</v>
      </c>
      <c r="C54" s="15"/>
      <c r="D54" s="99" t="s">
        <v>58</v>
      </c>
      <c r="E54" s="315">
        <f>F17+E48</f>
        <v>289.65999999999997</v>
      </c>
      <c r="F54" s="43">
        <v>3.5999999999999999E-3</v>
      </c>
      <c r="G54" s="44">
        <f t="shared" ref="G54:G62" si="12">E54*F54</f>
        <v>1.0427759999999999</v>
      </c>
      <c r="H54" s="271">
        <f>F$17*(1+O$77)</f>
        <v>280</v>
      </c>
      <c r="I54" s="43">
        <v>3.5999999999999999E-3</v>
      </c>
      <c r="J54" s="44">
        <f>$E54*I54</f>
        <v>1.0427759999999999</v>
      </c>
      <c r="K54" s="17"/>
      <c r="L54" s="173">
        <f>J54-G54</f>
        <v>0</v>
      </c>
      <c r="M54" s="126">
        <f t="shared" si="11"/>
        <v>0</v>
      </c>
      <c r="N54" s="325"/>
      <c r="O54" s="376"/>
      <c r="P54" s="377"/>
      <c r="Q54" s="238"/>
      <c r="R54" s="378"/>
      <c r="S54" s="379"/>
      <c r="T54" s="238"/>
      <c r="U54" s="93"/>
      <c r="V54" s="93"/>
    </row>
    <row r="55" spans="1:359" x14ac:dyDescent="0.25">
      <c r="B55" s="42" t="s">
        <v>26</v>
      </c>
      <c r="C55" s="15"/>
      <c r="D55" s="99" t="s">
        <v>58</v>
      </c>
      <c r="E55" s="315">
        <f>E54</f>
        <v>289.65999999999997</v>
      </c>
      <c r="F55" s="43">
        <v>1.2999999999999999E-3</v>
      </c>
      <c r="G55" s="44">
        <f t="shared" si="12"/>
        <v>0.37655799999999995</v>
      </c>
      <c r="H55" s="271">
        <f>F$17*(1+O$77)</f>
        <v>280</v>
      </c>
      <c r="I55" s="43">
        <v>1.2999999999999999E-3</v>
      </c>
      <c r="J55" s="44">
        <f>$E55*I55</f>
        <v>0.37655799999999995</v>
      </c>
      <c r="K55" s="17"/>
      <c r="L55" s="173">
        <f t="shared" si="2"/>
        <v>0</v>
      </c>
      <c r="M55" s="126">
        <f t="shared" si="11"/>
        <v>0</v>
      </c>
      <c r="N55" s="325"/>
      <c r="O55" s="376"/>
      <c r="P55" s="377"/>
      <c r="Q55" s="238"/>
      <c r="R55" s="378"/>
      <c r="S55" s="379"/>
      <c r="T55" s="238"/>
      <c r="U55" s="93"/>
      <c r="V55" s="93"/>
    </row>
    <row r="56" spans="1:359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2"/>
        <v>0.25</v>
      </c>
      <c r="H56" s="17"/>
      <c r="I56" s="43">
        <v>0.25</v>
      </c>
      <c r="J56" s="44">
        <f t="shared" ref="J56:J62" si="13">$E56*I56</f>
        <v>0.25</v>
      </c>
      <c r="K56" s="17"/>
      <c r="L56" s="173">
        <f t="shared" si="2"/>
        <v>0</v>
      </c>
      <c r="M56" s="126">
        <f t="shared" si="11"/>
        <v>0</v>
      </c>
      <c r="N56" s="325"/>
      <c r="O56" s="376"/>
      <c r="P56" s="377"/>
      <c r="Q56" s="238"/>
      <c r="R56" s="378"/>
      <c r="S56" s="379"/>
      <c r="T56" s="238"/>
      <c r="U56" s="93"/>
      <c r="V56" s="93"/>
    </row>
    <row r="57" spans="1:359" x14ac:dyDescent="0.25">
      <c r="B57" s="15" t="s">
        <v>28</v>
      </c>
      <c r="C57" s="15"/>
      <c r="D57" s="99" t="s">
        <v>58</v>
      </c>
      <c r="E57" s="137">
        <f>F17</f>
        <v>280</v>
      </c>
      <c r="F57" s="43">
        <v>7.0000000000000001E-3</v>
      </c>
      <c r="G57" s="44">
        <f t="shared" si="12"/>
        <v>1.96</v>
      </c>
      <c r="H57" s="17"/>
      <c r="I57" s="43">
        <v>7.0000000000000001E-3</v>
      </c>
      <c r="J57" s="44">
        <f t="shared" si="13"/>
        <v>1.96</v>
      </c>
      <c r="K57" s="17"/>
      <c r="L57" s="173">
        <f t="shared" si="2"/>
        <v>0</v>
      </c>
      <c r="M57" s="126">
        <f t="shared" si="11"/>
        <v>0</v>
      </c>
      <c r="N57" s="325"/>
      <c r="O57" s="376"/>
      <c r="P57" s="377"/>
      <c r="Q57" s="238"/>
      <c r="R57" s="378"/>
      <c r="S57" s="379"/>
      <c r="T57" s="238"/>
      <c r="U57" s="93"/>
      <c r="V57" s="93"/>
    </row>
    <row r="58" spans="1:359" x14ac:dyDescent="0.25">
      <c r="B58" s="31" t="s">
        <v>29</v>
      </c>
      <c r="C58" s="15"/>
      <c r="D58" s="99" t="s">
        <v>58</v>
      </c>
      <c r="E58" s="315">
        <f>0.64*$F$17+0.64*E48</f>
        <v>185.38239999999999</v>
      </c>
      <c r="F58" s="46">
        <f>Residential!F55</f>
        <v>8.6999999999999994E-2</v>
      </c>
      <c r="G58" s="44">
        <f t="shared" si="12"/>
        <v>16.128268799999997</v>
      </c>
      <c r="H58" s="271">
        <f>0.64*$F$17+0.64*H48</f>
        <v>179.20000000000002</v>
      </c>
      <c r="I58" s="46">
        <f>F58</f>
        <v>8.6999999999999994E-2</v>
      </c>
      <c r="J58" s="44">
        <f>$E58*I58</f>
        <v>16.128268799999997</v>
      </c>
      <c r="K58" s="17"/>
      <c r="L58" s="174">
        <f t="shared" si="2"/>
        <v>0</v>
      </c>
      <c r="M58" s="126">
        <f t="shared" si="11"/>
        <v>0</v>
      </c>
      <c r="N58" s="325"/>
      <c r="O58" s="381"/>
      <c r="P58" s="377"/>
      <c r="Q58" s="238"/>
      <c r="R58" s="382"/>
      <c r="S58" s="379"/>
      <c r="T58" s="238"/>
      <c r="U58" s="93"/>
      <c r="V58" s="93"/>
    </row>
    <row r="59" spans="1:359" x14ac:dyDescent="0.25">
      <c r="B59" s="31" t="s">
        <v>30</v>
      </c>
      <c r="C59" s="15"/>
      <c r="D59" s="99" t="s">
        <v>58</v>
      </c>
      <c r="E59" s="315">
        <f>0.18*$F$17+0.18*E48</f>
        <v>52.138799999999989</v>
      </c>
      <c r="F59" s="46">
        <f>Residential!F56</f>
        <v>0.13200000000000001</v>
      </c>
      <c r="G59" s="44">
        <f t="shared" si="12"/>
        <v>6.8823215999999992</v>
      </c>
      <c r="H59" s="271">
        <f>0.18*$F$17+0.18*H48</f>
        <v>50.4</v>
      </c>
      <c r="I59" s="46">
        <f t="shared" ref="I59:I62" si="14">F59</f>
        <v>0.13200000000000001</v>
      </c>
      <c r="J59" s="44">
        <f>$E59*I59</f>
        <v>6.8823215999999992</v>
      </c>
      <c r="K59" s="17"/>
      <c r="L59" s="174">
        <f t="shared" si="2"/>
        <v>0</v>
      </c>
      <c r="M59" s="126">
        <f t="shared" si="11"/>
        <v>0</v>
      </c>
      <c r="N59" s="325"/>
      <c r="O59" s="381"/>
      <c r="P59" s="377"/>
      <c r="Q59" s="238"/>
      <c r="R59" s="382"/>
      <c r="S59" s="379"/>
      <c r="T59" s="238"/>
      <c r="U59" s="93"/>
      <c r="V59" s="93"/>
    </row>
    <row r="60" spans="1:359" x14ac:dyDescent="0.25">
      <c r="B60" s="7" t="s">
        <v>31</v>
      </c>
      <c r="C60" s="15"/>
      <c r="D60" s="99" t="s">
        <v>58</v>
      </c>
      <c r="E60" s="315">
        <f>0.18*$F$17+0.18*E48</f>
        <v>52.138799999999989</v>
      </c>
      <c r="F60" s="46">
        <f>Residential!F57</f>
        <v>0.18</v>
      </c>
      <c r="G60" s="44">
        <f t="shared" si="12"/>
        <v>9.3849839999999976</v>
      </c>
      <c r="H60" s="271">
        <f>0.18*$F$17+0.18*H48</f>
        <v>50.4</v>
      </c>
      <c r="I60" s="46">
        <f t="shared" si="14"/>
        <v>0.18</v>
      </c>
      <c r="J60" s="44">
        <f>$E60*I60</f>
        <v>9.3849839999999976</v>
      </c>
      <c r="K60" s="17"/>
      <c r="L60" s="174">
        <f t="shared" si="2"/>
        <v>0</v>
      </c>
      <c r="M60" s="126">
        <f t="shared" si="11"/>
        <v>0</v>
      </c>
      <c r="N60" s="325"/>
      <c r="O60" s="381"/>
      <c r="P60" s="377"/>
      <c r="Q60" s="238"/>
      <c r="R60" s="382"/>
      <c r="S60" s="379"/>
      <c r="T60" s="238"/>
      <c r="U60" s="93"/>
      <c r="V60" s="93"/>
    </row>
    <row r="61" spans="1:359" s="51" customFormat="1" x14ac:dyDescent="0.2">
      <c r="B61" s="48" t="s">
        <v>127</v>
      </c>
      <c r="C61" s="49"/>
      <c r="D61" s="102" t="s">
        <v>58</v>
      </c>
      <c r="E61" s="138">
        <f>F17</f>
        <v>280</v>
      </c>
      <c r="F61" s="43">
        <v>1.1000000000000001E-3</v>
      </c>
      <c r="G61" s="44">
        <f t="shared" si="12"/>
        <v>0.308</v>
      </c>
      <c r="H61" s="110"/>
      <c r="I61" s="43">
        <v>1.1000000000000001E-3</v>
      </c>
      <c r="J61" s="44">
        <f t="shared" si="13"/>
        <v>0.308</v>
      </c>
      <c r="K61" s="17"/>
      <c r="L61" s="173">
        <f t="shared" si="2"/>
        <v>0</v>
      </c>
      <c r="M61" s="126">
        <f t="shared" si="11"/>
        <v>0</v>
      </c>
      <c r="N61" s="326"/>
      <c r="O61" s="381"/>
      <c r="P61" s="377"/>
      <c r="Q61" s="383"/>
      <c r="R61" s="382"/>
      <c r="S61" s="379"/>
      <c r="T61" s="383"/>
      <c r="U61" s="329"/>
      <c r="V61" s="329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</row>
    <row r="62" spans="1:359" s="51" customFormat="1" ht="15.75" thickBot="1" x14ac:dyDescent="0.25">
      <c r="B62" s="48"/>
      <c r="C62" s="49"/>
      <c r="D62" s="102"/>
      <c r="E62" s="138"/>
      <c r="F62" s="46"/>
      <c r="G62" s="44">
        <f t="shared" si="12"/>
        <v>0</v>
      </c>
      <c r="H62" s="110"/>
      <c r="I62" s="46">
        <f t="shared" si="14"/>
        <v>0</v>
      </c>
      <c r="J62" s="44">
        <f t="shared" si="13"/>
        <v>0</v>
      </c>
      <c r="K62" s="110"/>
      <c r="L62" s="174">
        <f t="shared" si="2"/>
        <v>0</v>
      </c>
      <c r="M62" s="126" t="str">
        <f t="shared" si="11"/>
        <v/>
      </c>
      <c r="N62" s="326"/>
      <c r="O62" s="381"/>
      <c r="P62" s="377"/>
      <c r="Q62" s="383"/>
      <c r="R62" s="382"/>
      <c r="S62" s="379"/>
      <c r="T62" s="383"/>
      <c r="U62" s="329"/>
      <c r="V62" s="329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</row>
    <row r="63" spans="1:359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325"/>
      <c r="O63" s="384"/>
      <c r="P63" s="385"/>
      <c r="Q63" s="238"/>
      <c r="R63" s="386"/>
      <c r="S63" s="387"/>
      <c r="T63" s="238"/>
      <c r="U63" s="93"/>
      <c r="V63" s="93"/>
    </row>
    <row r="64" spans="1:359" x14ac:dyDescent="0.25">
      <c r="B64" s="55" t="s">
        <v>32</v>
      </c>
      <c r="C64" s="15"/>
      <c r="D64" s="15"/>
      <c r="E64" s="104"/>
      <c r="F64" s="56"/>
      <c r="G64" s="58">
        <f>SUM(G54:G61,G53)</f>
        <v>47.509008399999999</v>
      </c>
      <c r="H64" s="57"/>
      <c r="I64" s="56"/>
      <c r="J64" s="58">
        <f>SUM(J54:J61,J53)</f>
        <v>48.367008399999996</v>
      </c>
      <c r="K64" s="57"/>
      <c r="L64" s="243">
        <f>J64-G64</f>
        <v>0.85799999999999699</v>
      </c>
      <c r="M64" s="128">
        <f>IF((G64)=0,"",(L64/G64))</f>
        <v>1.8059732856895345E-2</v>
      </c>
      <c r="N64" s="327"/>
      <c r="O64" s="388"/>
      <c r="P64" s="389"/>
      <c r="Q64" s="374"/>
      <c r="R64" s="432"/>
      <c r="S64" s="391"/>
      <c r="T64" s="374"/>
      <c r="U64" s="93"/>
      <c r="V64" s="93"/>
    </row>
    <row r="65" spans="1:359" x14ac:dyDescent="0.25">
      <c r="B65" s="59" t="s">
        <v>33</v>
      </c>
      <c r="C65" s="15"/>
      <c r="D65" s="15"/>
      <c r="E65" s="21"/>
      <c r="F65" s="60">
        <v>0.13</v>
      </c>
      <c r="G65" s="62">
        <f>G64*F65</f>
        <v>6.1761710919999997</v>
      </c>
      <c r="H65" s="61"/>
      <c r="I65" s="60">
        <v>0.13</v>
      </c>
      <c r="J65" s="62">
        <f>J64*I65</f>
        <v>6.2877110919999994</v>
      </c>
      <c r="K65" s="61"/>
      <c r="L65" s="176">
        <f>J65-G65</f>
        <v>0.11153999999999975</v>
      </c>
      <c r="M65" s="129">
        <f>IF((G65)=0,"",(L65/G65))</f>
        <v>1.8059732856895369E-2</v>
      </c>
      <c r="N65" s="328"/>
      <c r="O65" s="392"/>
      <c r="P65" s="393"/>
      <c r="Q65" s="394"/>
      <c r="R65" s="390"/>
      <c r="S65" s="395"/>
      <c r="T65" s="394"/>
      <c r="U65" s="93"/>
      <c r="V65" s="93"/>
    </row>
    <row r="66" spans="1:359" x14ac:dyDescent="0.25">
      <c r="B66" s="63" t="s">
        <v>34</v>
      </c>
      <c r="C66" s="15"/>
      <c r="D66" s="15"/>
      <c r="E66" s="21"/>
      <c r="F66" s="64"/>
      <c r="G66" s="62">
        <f>G64+G65</f>
        <v>53.685179491999996</v>
      </c>
      <c r="H66" s="61"/>
      <c r="I66" s="64"/>
      <c r="J66" s="62">
        <f>J64+J65</f>
        <v>54.654719491999998</v>
      </c>
      <c r="K66" s="61"/>
      <c r="L66" s="176">
        <f>J66-G66</f>
        <v>0.96954000000000207</v>
      </c>
      <c r="M66" s="129">
        <f>IF((G66)=0,"",(L66/G66))</f>
        <v>1.8059732856895449E-2</v>
      </c>
      <c r="N66" s="328"/>
      <c r="O66" s="396"/>
      <c r="P66" s="393"/>
      <c r="Q66" s="394"/>
      <c r="R66" s="390"/>
      <c r="S66" s="395"/>
      <c r="T66" s="394"/>
      <c r="U66" s="93"/>
      <c r="V66" s="93"/>
    </row>
    <row r="67" spans="1:359" x14ac:dyDescent="0.25">
      <c r="B67" s="483" t="s">
        <v>35</v>
      </c>
      <c r="C67" s="483"/>
      <c r="D67" s="483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328"/>
      <c r="O67" s="396"/>
      <c r="P67" s="397"/>
      <c r="Q67" s="394"/>
      <c r="R67" s="398"/>
      <c r="S67" s="399"/>
      <c r="T67" s="394"/>
      <c r="U67" s="93"/>
      <c r="V67" s="93"/>
    </row>
    <row r="68" spans="1:359" ht="15.75" thickBot="1" x14ac:dyDescent="0.3">
      <c r="B68" s="484" t="s">
        <v>36</v>
      </c>
      <c r="C68" s="484"/>
      <c r="D68" s="484"/>
      <c r="E68" s="105"/>
      <c r="F68" s="66"/>
      <c r="G68" s="67">
        <f>G66+G67</f>
        <v>53.685179491999996</v>
      </c>
      <c r="H68" s="57"/>
      <c r="I68" s="66"/>
      <c r="J68" s="67">
        <f>J66+J67</f>
        <v>54.654719491999998</v>
      </c>
      <c r="K68" s="57"/>
      <c r="L68" s="244">
        <f>J68-G68</f>
        <v>0.96954000000000207</v>
      </c>
      <c r="M68" s="131">
        <f>IF((G68)=0,"",(L68/G68))</f>
        <v>1.8059732856895449E-2</v>
      </c>
      <c r="N68" s="327"/>
      <c r="O68" s="400"/>
      <c r="P68" s="401"/>
      <c r="Q68" s="374"/>
      <c r="R68" s="433"/>
      <c r="S68" s="403"/>
      <c r="T68" s="374"/>
      <c r="U68" s="93"/>
      <c r="V68" s="93"/>
    </row>
    <row r="69" spans="1:359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326"/>
      <c r="O69" s="384"/>
      <c r="P69" s="385"/>
      <c r="Q69" s="383"/>
      <c r="R69" s="434"/>
      <c r="S69" s="387"/>
      <c r="T69" s="383"/>
      <c r="U69" s="329"/>
      <c r="V69" s="329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</row>
    <row r="70" spans="1:359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15.113434000000002</v>
      </c>
      <c r="H70" s="74"/>
      <c r="I70" s="73"/>
      <c r="J70" s="75">
        <f>SUM(J61:J62,J53,J54:J57)</f>
        <v>15.971433999999999</v>
      </c>
      <c r="K70" s="74"/>
      <c r="L70" s="246">
        <f>J70-G70</f>
        <v>0.85799999999999699</v>
      </c>
      <c r="M70" s="128">
        <f>IF((G70)=0,"",(L70/G70))</f>
        <v>5.6770684941621928E-2</v>
      </c>
      <c r="N70" s="332"/>
      <c r="O70" s="405"/>
      <c r="P70" s="406"/>
      <c r="Q70" s="407"/>
      <c r="R70" s="435"/>
      <c r="S70" s="391"/>
      <c r="T70" s="407"/>
      <c r="U70" s="329"/>
      <c r="V70" s="329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</row>
    <row r="71" spans="1:359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1.9647464200000002</v>
      </c>
      <c r="H71" s="78"/>
      <c r="I71" s="77">
        <v>0.13</v>
      </c>
      <c r="J71" s="79">
        <f>J70*I71</f>
        <v>2.0762864199999997</v>
      </c>
      <c r="K71" s="78"/>
      <c r="L71" s="180">
        <f>J71-G71</f>
        <v>0.11153999999999953</v>
      </c>
      <c r="M71" s="129">
        <f>IF((G71)=0,"",(L71/G71))</f>
        <v>5.6770684941621886E-2</v>
      </c>
      <c r="N71" s="333"/>
      <c r="O71" s="409"/>
      <c r="P71" s="410"/>
      <c r="Q71" s="411"/>
      <c r="R71" s="408"/>
      <c r="S71" s="395"/>
      <c r="T71" s="411"/>
      <c r="U71" s="329"/>
      <c r="V71" s="329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</row>
    <row r="72" spans="1:359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17.078180420000002</v>
      </c>
      <c r="H72" s="78"/>
      <c r="I72" s="81"/>
      <c r="J72" s="79">
        <f>J70+J71</f>
        <v>18.047720419999997</v>
      </c>
      <c r="K72" s="78"/>
      <c r="L72" s="180">
        <f>J72-G72</f>
        <v>0.96953999999999496</v>
      </c>
      <c r="M72" s="129">
        <f>IF((G72)=0,"",(L72/G72))</f>
        <v>5.6770684941621831E-2</v>
      </c>
      <c r="N72" s="333"/>
      <c r="O72" s="412"/>
      <c r="P72" s="410"/>
      <c r="Q72" s="411"/>
      <c r="R72" s="408"/>
      <c r="S72" s="395"/>
      <c r="T72" s="411"/>
      <c r="U72" s="329"/>
      <c r="V72" s="329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</row>
    <row r="73" spans="1:359" s="51" customFormat="1" ht="12.75" hidden="1" outlineLevel="1" x14ac:dyDescent="0.2">
      <c r="B73" s="485" t="s">
        <v>35</v>
      </c>
      <c r="C73" s="485"/>
      <c r="D73" s="485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333"/>
      <c r="O73" s="412"/>
      <c r="P73" s="413"/>
      <c r="Q73" s="411"/>
      <c r="R73" s="414"/>
      <c r="S73" s="399"/>
      <c r="T73" s="411"/>
      <c r="U73" s="329"/>
      <c r="V73" s="329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</row>
    <row r="74" spans="1:359" s="51" customFormat="1" ht="12.75" hidden="1" outlineLevel="1" x14ac:dyDescent="0.2">
      <c r="B74" s="476" t="s">
        <v>38</v>
      </c>
      <c r="C74" s="476"/>
      <c r="D74" s="476"/>
      <c r="E74" s="108"/>
      <c r="F74" s="83"/>
      <c r="G74" s="84">
        <f>SUM(G72:G73)</f>
        <v>17.078180420000002</v>
      </c>
      <c r="H74" s="74"/>
      <c r="I74" s="83"/>
      <c r="J74" s="84">
        <f>SUM(J72:J73)</f>
        <v>18.047720419999997</v>
      </c>
      <c r="K74" s="74"/>
      <c r="L74" s="247">
        <f>J74-G74</f>
        <v>0.96953999999999496</v>
      </c>
      <c r="M74" s="132">
        <f>IF((G74)=0,"",(L74/G74))</f>
        <v>5.6770684941621831E-2</v>
      </c>
      <c r="N74" s="332"/>
      <c r="O74" s="415"/>
      <c r="P74" s="416"/>
      <c r="Q74" s="407"/>
      <c r="R74" s="436"/>
      <c r="S74" s="403"/>
      <c r="T74" s="407"/>
      <c r="U74" s="329"/>
      <c r="V74" s="329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</row>
    <row r="75" spans="1:359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326"/>
      <c r="O75" s="384"/>
      <c r="P75" s="385"/>
      <c r="Q75" s="383"/>
      <c r="R75" s="386"/>
      <c r="S75" s="387"/>
      <c r="T75" s="383"/>
      <c r="U75" s="329"/>
      <c r="V75" s="329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</row>
    <row r="76" spans="1:359" collapsed="1" x14ac:dyDescent="0.25">
      <c r="J76" s="47"/>
      <c r="O76" s="331"/>
      <c r="P76" s="418"/>
      <c r="Q76" s="331"/>
      <c r="R76" s="341"/>
      <c r="S76" s="342"/>
      <c r="T76" s="331"/>
      <c r="U76" s="93"/>
      <c r="V76" s="93"/>
    </row>
    <row r="77" spans="1:359" x14ac:dyDescent="0.25">
      <c r="B77" s="8" t="s">
        <v>39</v>
      </c>
      <c r="F77" s="87">
        <v>3.4500000000000003E-2</v>
      </c>
      <c r="I77" s="87">
        <v>3.4500000000000003E-2</v>
      </c>
      <c r="O77" s="419"/>
      <c r="P77" s="331"/>
      <c r="Q77" s="331"/>
      <c r="R77" s="341"/>
      <c r="S77" s="342"/>
      <c r="T77" s="331"/>
      <c r="U77" s="93"/>
      <c r="V77" s="93"/>
    </row>
    <row r="78" spans="1:359" x14ac:dyDescent="0.25">
      <c r="O78" s="331"/>
      <c r="P78" s="331"/>
      <c r="Q78" s="331"/>
      <c r="R78" s="341"/>
      <c r="S78" s="342"/>
      <c r="T78" s="331"/>
      <c r="U78" s="93"/>
      <c r="V78" s="93"/>
    </row>
    <row r="79" spans="1:359" x14ac:dyDescent="0.25">
      <c r="A79" s="88" t="s">
        <v>40</v>
      </c>
      <c r="O79" s="331"/>
      <c r="P79" s="331"/>
      <c r="Q79" s="331"/>
      <c r="R79" s="341"/>
      <c r="S79" s="342"/>
      <c r="T79" s="331"/>
      <c r="U79" s="93"/>
      <c r="V79" s="93"/>
    </row>
    <row r="80" spans="1:359" x14ac:dyDescent="0.25">
      <c r="O80" s="331"/>
      <c r="P80" s="331"/>
      <c r="Q80" s="331"/>
      <c r="R80" s="341"/>
      <c r="S80" s="342"/>
      <c r="T80" s="331"/>
      <c r="U80" s="93"/>
      <c r="V80" s="93"/>
    </row>
    <row r="81" spans="1:359" x14ac:dyDescent="0.25">
      <c r="A81" s="2" t="s">
        <v>41</v>
      </c>
      <c r="O81" s="331"/>
      <c r="P81" s="331"/>
      <c r="Q81" s="331"/>
      <c r="R81" s="341"/>
      <c r="S81" s="342"/>
      <c r="T81" s="331"/>
      <c r="U81" s="93"/>
      <c r="V81" s="93"/>
    </row>
    <row r="82" spans="1:359" x14ac:dyDescent="0.25">
      <c r="A82" s="2" t="s">
        <v>42</v>
      </c>
      <c r="O82" s="331"/>
      <c r="P82" s="331"/>
      <c r="Q82" s="331"/>
      <c r="R82" s="341"/>
      <c r="S82" s="342"/>
      <c r="T82" s="331"/>
      <c r="U82" s="93"/>
      <c r="V82" s="93"/>
    </row>
    <row r="83" spans="1:359" x14ac:dyDescent="0.25">
      <c r="O83" s="331"/>
      <c r="P83" s="331"/>
      <c r="Q83" s="331"/>
      <c r="R83" s="341"/>
      <c r="S83" s="342"/>
      <c r="T83" s="331"/>
      <c r="U83" s="93"/>
      <c r="V83" s="93"/>
    </row>
    <row r="84" spans="1:359" x14ac:dyDescent="0.25">
      <c r="A84" s="7" t="s">
        <v>43</v>
      </c>
      <c r="M84" s="2"/>
      <c r="O84" s="331"/>
      <c r="P84" s="331"/>
      <c r="Q84" s="331"/>
      <c r="R84" s="341"/>
      <c r="S84" s="331"/>
      <c r="T84" s="331"/>
      <c r="U84" s="331"/>
      <c r="V84" s="331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</row>
    <row r="85" spans="1:359" x14ac:dyDescent="0.25">
      <c r="A85" s="7" t="s">
        <v>44</v>
      </c>
      <c r="M85" s="2"/>
      <c r="O85" s="331"/>
      <c r="P85" s="331"/>
      <c r="Q85" s="331"/>
      <c r="R85" s="341"/>
      <c r="S85" s="331"/>
      <c r="T85" s="331"/>
      <c r="U85" s="331"/>
      <c r="V85" s="331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</row>
    <row r="86" spans="1:359" x14ac:dyDescent="0.25">
      <c r="O86" s="331"/>
      <c r="P86" s="331"/>
      <c r="Q86" s="331"/>
      <c r="R86" s="341"/>
      <c r="S86" s="342"/>
      <c r="T86" s="331"/>
      <c r="U86" s="93"/>
      <c r="V86" s="93"/>
    </row>
    <row r="87" spans="1:359" x14ac:dyDescent="0.25">
      <c r="A87" s="2" t="s">
        <v>45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</row>
    <row r="88" spans="1:359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</row>
    <row r="89" spans="1:359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</row>
    <row r="90" spans="1:359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</row>
    <row r="91" spans="1:359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</row>
    <row r="93" spans="1:359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</row>
  </sheetData>
  <mergeCells count="14">
    <mergeCell ref="O20:P20"/>
    <mergeCell ref="R20:S20"/>
    <mergeCell ref="B74:D74"/>
    <mergeCell ref="D21:D22"/>
    <mergeCell ref="B67:D67"/>
    <mergeCell ref="B68:D68"/>
    <mergeCell ref="B73:D73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6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Summary Tables</vt:lpstr>
      <vt:lpstr>Residential</vt:lpstr>
      <vt:lpstr>GS&lt;50</vt:lpstr>
      <vt:lpstr>GS&gt;50</vt:lpstr>
      <vt:lpstr>LU</vt:lpstr>
      <vt:lpstr>USL</vt:lpstr>
      <vt:lpstr>Sentinel</vt:lpstr>
      <vt:lpstr>SL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'Summary Tables'!Print_Area</vt:lpstr>
      <vt:lpstr>USL!Print_Area</vt:lpstr>
      <vt:lpstr>'Summary Tables'!Print_Titles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Tom Barrett</cp:lastModifiedBy>
  <cp:lastPrinted>2016-09-12T14:50:40Z</cp:lastPrinted>
  <dcterms:created xsi:type="dcterms:W3CDTF">2014-04-29T13:30:37Z</dcterms:created>
  <dcterms:modified xsi:type="dcterms:W3CDTF">2016-09-23T14:06:14Z</dcterms:modified>
</cp:coreProperties>
</file>