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25440" windowHeight="11970" tabRatio="840"/>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J37" i="43" l="1"/>
  <c r="I37" i="43"/>
  <c r="H37" i="43"/>
  <c r="G37" i="43"/>
  <c r="F37" i="43"/>
  <c r="E37" i="43"/>
  <c r="D37" i="43"/>
  <c r="C37" i="43"/>
  <c r="Q118" i="47"/>
  <c r="P118" i="47"/>
  <c r="O118" i="47"/>
  <c r="N118" i="47"/>
  <c r="M118" i="47"/>
  <c r="L118" i="47"/>
  <c r="K118" i="47"/>
  <c r="J118" i="47"/>
  <c r="I118" i="47"/>
  <c r="P109" i="47"/>
  <c r="O109" i="47"/>
  <c r="N109" i="47"/>
  <c r="M109" i="47"/>
  <c r="L109" i="47"/>
  <c r="K109" i="47"/>
  <c r="J109" i="47"/>
  <c r="I109" i="47"/>
  <c r="P108" i="47"/>
  <c r="O108" i="47"/>
  <c r="N108" i="47"/>
  <c r="M108" i="47"/>
  <c r="L108" i="47"/>
  <c r="K108" i="47"/>
  <c r="J108" i="47"/>
  <c r="I108" i="47"/>
  <c r="P107" i="47"/>
  <c r="O107" i="47"/>
  <c r="N107" i="47"/>
  <c r="M107" i="47"/>
  <c r="L107" i="47"/>
  <c r="K107" i="47"/>
  <c r="J107" i="47"/>
  <c r="I107" i="47"/>
  <c r="P106" i="47"/>
  <c r="O106" i="47"/>
  <c r="N106" i="47"/>
  <c r="M106" i="47"/>
  <c r="L106" i="47"/>
  <c r="K106" i="47"/>
  <c r="J106" i="47"/>
  <c r="I106" i="47"/>
  <c r="P102" i="47"/>
  <c r="O102" i="47"/>
  <c r="N102" i="47"/>
  <c r="M102" i="47"/>
  <c r="L102" i="47"/>
  <c r="K102" i="47"/>
  <c r="J102" i="47"/>
  <c r="I102" i="47"/>
  <c r="P101" i="47"/>
  <c r="O101" i="47"/>
  <c r="N101" i="47"/>
  <c r="M101" i="47"/>
  <c r="L101" i="47"/>
  <c r="K101" i="47"/>
  <c r="J101" i="47"/>
  <c r="I101" i="47"/>
  <c r="P100" i="47"/>
  <c r="O100" i="47"/>
  <c r="N100" i="47"/>
  <c r="M100" i="47"/>
  <c r="L100" i="47"/>
  <c r="K100" i="47"/>
  <c r="J100" i="47"/>
  <c r="I100" i="47"/>
  <c r="P99" i="47"/>
  <c r="O99" i="47"/>
  <c r="N99" i="47"/>
  <c r="M99" i="47"/>
  <c r="L99" i="47"/>
  <c r="K99" i="47"/>
  <c r="J99" i="47"/>
  <c r="I99" i="47"/>
  <c r="P98" i="47"/>
  <c r="O98" i="47"/>
  <c r="N98" i="47"/>
  <c r="M98" i="47"/>
  <c r="L98" i="47"/>
  <c r="K98" i="47"/>
  <c r="J98" i="47"/>
  <c r="I98" i="47"/>
  <c r="P97" i="47"/>
  <c r="O97" i="47"/>
  <c r="N97" i="47"/>
  <c r="M97" i="47"/>
  <c r="L97" i="47"/>
  <c r="K97" i="47"/>
  <c r="J97" i="47"/>
  <c r="I97" i="47"/>
  <c r="P96" i="47"/>
  <c r="O96" i="47"/>
  <c r="N96" i="47"/>
  <c r="M96" i="47"/>
  <c r="L96" i="47"/>
  <c r="K96" i="47"/>
  <c r="J96" i="47"/>
  <c r="I96" i="47"/>
  <c r="P95" i="47"/>
  <c r="O95" i="47"/>
  <c r="N95" i="47"/>
  <c r="M95" i="47"/>
  <c r="L95" i="47"/>
  <c r="K95" i="47"/>
  <c r="J95" i="47"/>
  <c r="I95" i="47"/>
  <c r="P94" i="47"/>
  <c r="O94" i="47"/>
  <c r="N94" i="47"/>
  <c r="M94" i="47"/>
  <c r="L94" i="47"/>
  <c r="K94" i="47"/>
  <c r="J94" i="47"/>
  <c r="I94" i="47"/>
  <c r="P93" i="47"/>
  <c r="O93" i="47"/>
  <c r="N93" i="47"/>
  <c r="M93" i="47"/>
  <c r="L93" i="47"/>
  <c r="K93" i="47"/>
  <c r="J93" i="47"/>
  <c r="I93" i="47"/>
  <c r="P92" i="47"/>
  <c r="O92" i="47"/>
  <c r="N92" i="47"/>
  <c r="M92" i="47"/>
  <c r="L92" i="47"/>
  <c r="K92" i="47"/>
  <c r="J92" i="47"/>
  <c r="I92" i="47"/>
  <c r="P91" i="47"/>
  <c r="O91" i="47"/>
  <c r="N91" i="47"/>
  <c r="M91" i="47"/>
  <c r="L91" i="47"/>
  <c r="K91" i="47"/>
  <c r="J91" i="47"/>
  <c r="I91" i="47"/>
  <c r="O123" i="54" l="1"/>
  <c r="O122" i="54"/>
  <c r="O121" i="54"/>
  <c r="O118" i="54"/>
  <c r="O119" i="54" s="1"/>
  <c r="J135" i="44"/>
  <c r="J136" i="44"/>
  <c r="J137" i="44"/>
  <c r="O120" i="54" l="1"/>
  <c r="K29" i="43"/>
  <c r="K32" i="43"/>
  <c r="P27" i="47" l="1"/>
  <c r="P26" i="47"/>
  <c r="P25" i="47"/>
  <c r="P24" i="47"/>
  <c r="P23" i="47"/>
  <c r="P22" i="47"/>
  <c r="P21" i="47"/>
  <c r="P20" i="47"/>
  <c r="P19" i="47"/>
  <c r="P18" i="47"/>
  <c r="P17" i="47"/>
  <c r="P16" i="47"/>
  <c r="J34" i="43"/>
  <c r="K34" i="43" s="1"/>
  <c r="J32" i="43"/>
  <c r="J31" i="43"/>
  <c r="K31" i="43" s="1"/>
  <c r="J29" i="43"/>
  <c r="J28" i="43"/>
  <c r="K28" i="43" s="1"/>
  <c r="J139" i="44"/>
  <c r="J138" i="44"/>
  <c r="J134" i="44"/>
  <c r="J133" i="44"/>
  <c r="O228" i="46"/>
  <c r="G103" i="46" l="1"/>
  <c r="G34" i="46"/>
  <c r="O114" i="54" l="1"/>
  <c r="O115" i="54" s="1"/>
  <c r="O308" i="46"/>
  <c r="O309" i="46" s="1"/>
  <c r="E40" i="45"/>
  <c r="F40" i="45"/>
  <c r="G183" i="46" l="1"/>
  <c r="G113" i="54" l="1"/>
  <c r="F113" i="54"/>
  <c r="K122" i="44" l="1"/>
  <c r="K116" i="44"/>
  <c r="K109" i="44"/>
  <c r="K103" i="44"/>
  <c r="K96" i="44"/>
  <c r="K90" i="44"/>
  <c r="K83" i="44"/>
  <c r="K77" i="44"/>
  <c r="K70" i="44"/>
  <c r="E121" i="44"/>
  <c r="K121" i="44" s="1"/>
  <c r="F121" i="44"/>
  <c r="G121" i="44"/>
  <c r="H121" i="44"/>
  <c r="J121" i="44"/>
  <c r="E108" i="44"/>
  <c r="K108" i="44" s="1"/>
  <c r="F108" i="44"/>
  <c r="G108" i="44"/>
  <c r="H108" i="44"/>
  <c r="J108" i="44"/>
  <c r="E95" i="44"/>
  <c r="K95" i="44" s="1"/>
  <c r="F95" i="44"/>
  <c r="G95" i="44"/>
  <c r="H95" i="44"/>
  <c r="J95" i="44"/>
  <c r="E82" i="44"/>
  <c r="K82" i="44" s="1"/>
  <c r="F82" i="44"/>
  <c r="G82" i="44"/>
  <c r="H82" i="44"/>
  <c r="J82" i="44"/>
  <c r="E69" i="44"/>
  <c r="K69" i="44" s="1"/>
  <c r="F69" i="44"/>
  <c r="G69" i="44"/>
  <c r="H69" i="44"/>
  <c r="J69" i="44"/>
  <c r="J114" i="54" l="1"/>
  <c r="T21" i="3" l="1"/>
  <c r="H21" i="3"/>
  <c r="J27" i="43" l="1"/>
  <c r="J24" i="43"/>
  <c r="S20" i="3"/>
  <c r="T20" i="3" s="1"/>
  <c r="R19" i="3"/>
  <c r="S19" i="3" s="1"/>
  <c r="T19" i="3" s="1"/>
  <c r="Q18" i="3"/>
  <c r="R18" i="3" s="1"/>
  <c r="S18" i="3" s="1"/>
  <c r="G20" i="3"/>
  <c r="H20" i="3" s="1"/>
  <c r="F19" i="3"/>
  <c r="G19" i="3" s="1"/>
  <c r="H19" i="3" s="1"/>
  <c r="E18" i="3"/>
  <c r="F18" i="3" s="1"/>
  <c r="G18" i="3" s="1"/>
  <c r="H18" i="3" s="1"/>
  <c r="F183" i="46"/>
  <c r="O227" i="46" s="1"/>
  <c r="F103" i="46"/>
  <c r="J147" i="46" s="1"/>
  <c r="P39" i="47" l="1"/>
  <c r="P35" i="47"/>
  <c r="P31" i="47"/>
  <c r="P41" i="47"/>
  <c r="P33" i="47"/>
  <c r="P40" i="47"/>
  <c r="P32" i="47"/>
  <c r="P42" i="47"/>
  <c r="P38" i="47"/>
  <c r="P34" i="47"/>
  <c r="P37" i="47"/>
  <c r="P36" i="47"/>
  <c r="P48" i="47"/>
  <c r="P62" i="47"/>
  <c r="P57" i="47"/>
  <c r="P46" i="47"/>
  <c r="P68" i="47"/>
  <c r="P55" i="47"/>
  <c r="P49" i="47"/>
  <c r="P54" i="47"/>
  <c r="P65" i="47"/>
  <c r="P53" i="47"/>
  <c r="P64" i="47"/>
  <c r="P69" i="47"/>
  <c r="P52" i="47"/>
  <c r="P66" i="47"/>
  <c r="P63" i="47"/>
  <c r="P50" i="47"/>
  <c r="P72" i="47"/>
  <c r="P61" i="47"/>
  <c r="P56" i="47"/>
  <c r="P67" i="47"/>
  <c r="P47" i="47"/>
  <c r="P70" i="47"/>
  <c r="P71" i="47"/>
  <c r="P51" i="47"/>
  <c r="S15" i="3"/>
  <c r="T18" i="3"/>
  <c r="G15" i="3"/>
  <c r="G104" i="46" l="1"/>
  <c r="F34" i="46"/>
  <c r="J69" i="46" s="1"/>
  <c r="G35" i="46"/>
  <c r="G206" i="46"/>
  <c r="G173" i="46"/>
  <c r="G172" i="46"/>
  <c r="G171" i="46"/>
  <c r="G125" i="46"/>
  <c r="G98" i="46"/>
  <c r="G92" i="46"/>
  <c r="G26" i="46"/>
  <c r="G25" i="46"/>
  <c r="G24" i="46"/>
  <c r="C91" i="44"/>
  <c r="D91" i="44"/>
  <c r="E91" i="44"/>
  <c r="F91" i="44"/>
  <c r="G91" i="44"/>
  <c r="H91" i="44"/>
  <c r="I91" i="44"/>
  <c r="J71" i="44"/>
  <c r="K64" i="44"/>
  <c r="J65" i="44" s="1"/>
  <c r="J66" i="44" s="1"/>
  <c r="J67" i="44" s="1"/>
  <c r="K38" i="44"/>
  <c r="J91" i="44" l="1"/>
  <c r="J92" i="44" s="1"/>
  <c r="J104" i="44"/>
  <c r="J105" i="44" s="1"/>
  <c r="J117" i="44"/>
  <c r="J118" i="44" s="1"/>
  <c r="K91" i="44"/>
  <c r="J78" i="44"/>
  <c r="J123" i="44"/>
  <c r="J119" i="44"/>
  <c r="J106" i="44"/>
  <c r="J110" i="44"/>
  <c r="J97" i="44"/>
  <c r="J93" i="44"/>
  <c r="J79" i="44"/>
  <c r="J115" i="54"/>
  <c r="I113" i="54"/>
  <c r="H113" i="54"/>
  <c r="I225" i="46"/>
  <c r="I226" i="46" s="1"/>
  <c r="H225" i="46"/>
  <c r="H226" i="46" s="1"/>
  <c r="I145" i="46"/>
  <c r="I146" i="46" s="1"/>
  <c r="I67" i="46"/>
  <c r="I68" i="46" s="1"/>
  <c r="J80" i="44" l="1"/>
  <c r="J84" i="44"/>
  <c r="M28" i="3"/>
  <c r="N322" i="46" s="1"/>
  <c r="L28" i="3"/>
  <c r="N321" i="46" s="1"/>
  <c r="K28" i="3"/>
  <c r="N320" i="46" s="1"/>
  <c r="J28" i="3"/>
  <c r="N319" i="46" s="1"/>
  <c r="I28" i="3"/>
  <c r="N318" i="46" s="1"/>
  <c r="H28" i="3"/>
  <c r="N317" i="46" s="1"/>
  <c r="H27" i="3"/>
  <c r="N236" i="46" s="1"/>
  <c r="H26" i="3"/>
  <c r="I156" i="46" s="1"/>
  <c r="H25" i="3"/>
  <c r="N77" i="46" s="1"/>
  <c r="G27" i="3"/>
  <c r="N235" i="46" s="1"/>
  <c r="G26" i="3"/>
  <c r="I155" i="46" s="1"/>
  <c r="G25" i="3"/>
  <c r="N76" i="46" s="1"/>
  <c r="T27" i="3"/>
  <c r="U27" i="3"/>
  <c r="L237" i="46" s="1"/>
  <c r="V27" i="3"/>
  <c r="M238" i="46" s="1"/>
  <c r="W27" i="3"/>
  <c r="M239" i="46" s="1"/>
  <c r="X27" i="3"/>
  <c r="L240" i="46" s="1"/>
  <c r="Y27" i="3"/>
  <c r="L241" i="46" s="1"/>
  <c r="S27" i="3"/>
  <c r="I27" i="3"/>
  <c r="H237" i="46" s="1"/>
  <c r="J27" i="3"/>
  <c r="N238" i="46" s="1"/>
  <c r="K27" i="3"/>
  <c r="H239" i="46" s="1"/>
  <c r="L27" i="3"/>
  <c r="H240" i="46" s="1"/>
  <c r="M27" i="3"/>
  <c r="I241" i="46" s="1"/>
  <c r="K26" i="3"/>
  <c r="N159" i="46" s="1"/>
  <c r="M26" i="3"/>
  <c r="I161" i="46" s="1"/>
  <c r="Y28" i="3"/>
  <c r="M322" i="46" s="1"/>
  <c r="Y26" i="3"/>
  <c r="L161" i="46" s="1"/>
  <c r="W26" i="3"/>
  <c r="L159" i="46" s="1"/>
  <c r="U26" i="3"/>
  <c r="M157" i="46" s="1"/>
  <c r="U25" i="3"/>
  <c r="L78" i="46" s="1"/>
  <c r="W25" i="3"/>
  <c r="M80" i="46" s="1"/>
  <c r="Y25" i="3"/>
  <c r="M82" i="46" s="1"/>
  <c r="U28" i="3"/>
  <c r="L318" i="46" s="1"/>
  <c r="V28" i="3"/>
  <c r="L319" i="46" s="1"/>
  <c r="W28" i="3"/>
  <c r="L320" i="46" s="1"/>
  <c r="X28" i="3"/>
  <c r="M321" i="46" s="1"/>
  <c r="T25" i="3"/>
  <c r="L77" i="46" s="1"/>
  <c r="V25" i="3"/>
  <c r="M79" i="46" s="1"/>
  <c r="X25" i="3"/>
  <c r="M81" i="46" s="1"/>
  <c r="T26" i="3"/>
  <c r="M156" i="46" s="1"/>
  <c r="V26" i="3"/>
  <c r="L158" i="46" s="1"/>
  <c r="X26" i="3"/>
  <c r="L160" i="46" s="1"/>
  <c r="T28" i="3"/>
  <c r="L26" i="3"/>
  <c r="I160" i="46" s="1"/>
  <c r="I26" i="3"/>
  <c r="N157" i="46" s="1"/>
  <c r="J26" i="3"/>
  <c r="N158" i="46" s="1"/>
  <c r="J25" i="3"/>
  <c r="N79" i="46" s="1"/>
  <c r="I25" i="3"/>
  <c r="N78" i="46" s="1"/>
  <c r="K25" i="3"/>
  <c r="N80" i="46" s="1"/>
  <c r="L25" i="3"/>
  <c r="I81" i="46" s="1"/>
  <c r="M25" i="3"/>
  <c r="N82" i="46" s="1"/>
  <c r="L322" i="46" l="1"/>
  <c r="L235" i="46"/>
  <c r="O235" i="46"/>
  <c r="L236" i="46"/>
  <c r="O236" i="46"/>
  <c r="L238" i="46"/>
  <c r="M317" i="46"/>
  <c r="O317" i="46"/>
  <c r="M77" i="46"/>
  <c r="L156" i="46"/>
  <c r="L79" i="46"/>
  <c r="I76" i="46"/>
  <c r="N240" i="46"/>
  <c r="H238" i="46"/>
  <c r="N155" i="46"/>
  <c r="I78" i="46"/>
  <c r="L80" i="46"/>
  <c r="L157" i="46"/>
  <c r="N160" i="46"/>
  <c r="H241" i="46"/>
  <c r="L239" i="46"/>
  <c r="M240" i="46"/>
  <c r="N241" i="46"/>
  <c r="I79" i="46"/>
  <c r="L81" i="46"/>
  <c r="I159" i="46"/>
  <c r="H235" i="46"/>
  <c r="I236" i="46"/>
  <c r="M241" i="46"/>
  <c r="L82" i="46"/>
  <c r="M158" i="46"/>
  <c r="H236" i="46"/>
  <c r="I238" i="46"/>
  <c r="M237" i="46"/>
  <c r="N239"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8" i="46"/>
  <c r="J309" i="46" s="1"/>
  <c r="F25" i="3"/>
  <c r="E25" i="3"/>
  <c r="K69" i="46"/>
  <c r="K70" i="46" s="1"/>
  <c r="K51" i="44"/>
  <c r="J321" i="46" l="1"/>
  <c r="J320" i="46"/>
  <c r="J317" i="46"/>
  <c r="J322" i="46"/>
  <c r="J319" i="46"/>
  <c r="J318" i="46"/>
  <c r="K82" i="46"/>
  <c r="K81" i="46"/>
  <c r="K80" i="46"/>
  <c r="K79" i="46"/>
  <c r="K78" i="46"/>
  <c r="K77" i="46"/>
  <c r="K114" i="54"/>
  <c r="H67" i="46"/>
  <c r="H68" i="46" s="1"/>
  <c r="V47" i="3"/>
  <c r="V46" i="3"/>
  <c r="V45" i="3"/>
  <c r="I44" i="3"/>
  <c r="F44" i="3"/>
  <c r="S26" i="3"/>
  <c r="R26" i="3"/>
  <c r="S25" i="3"/>
  <c r="R25" i="3"/>
  <c r="L75" i="46" s="1"/>
  <c r="F26" i="3"/>
  <c r="N75" i="46"/>
  <c r="N74" i="46"/>
  <c r="K308" i="46"/>
  <c r="K309" i="46" s="1"/>
  <c r="I306" i="46"/>
  <c r="I307" i="46" s="1"/>
  <c r="H306" i="46"/>
  <c r="H307" i="46" s="1"/>
  <c r="K227" i="46"/>
  <c r="K228" i="46" s="1"/>
  <c r="J227" i="46"/>
  <c r="J228" i="46" s="1"/>
  <c r="K147" i="46"/>
  <c r="K148" i="46" s="1"/>
  <c r="J148" i="46"/>
  <c r="J70" i="46"/>
  <c r="H145" i="46"/>
  <c r="H146" i="46" s="1"/>
  <c r="I127" i="54" l="1"/>
  <c r="N127" i="54"/>
  <c r="I130" i="54"/>
  <c r="N130" i="54"/>
  <c r="L155" i="46"/>
  <c r="M155" i="46"/>
  <c r="L76" i="46"/>
  <c r="M76" i="46"/>
  <c r="K76" i="46"/>
  <c r="I319" i="46"/>
  <c r="I318" i="46"/>
  <c r="I317" i="46"/>
  <c r="I322" i="46"/>
  <c r="I321" i="46"/>
  <c r="I320" i="46"/>
  <c r="K322" i="46"/>
  <c r="K321" i="46"/>
  <c r="K318" i="46"/>
  <c r="K317" i="46"/>
  <c r="K320" i="46"/>
  <c r="K319" i="46"/>
  <c r="H317"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27" i="54" l="1"/>
  <c r="K130" i="54"/>
  <c r="K129" i="54"/>
  <c r="K128" i="54"/>
  <c r="J130" i="54"/>
  <c r="J128" i="54"/>
  <c r="J127" i="54"/>
  <c r="J129" i="54"/>
  <c r="F104" i="44"/>
  <c r="F105" i="44" s="1"/>
  <c r="C104" i="44"/>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C39" i="44"/>
  <c r="C105" i="44" l="1"/>
  <c r="K105" i="44" s="1"/>
  <c r="K104" i="44"/>
  <c r="E92" i="44"/>
  <c r="D92" i="44"/>
  <c r="F92" i="44"/>
  <c r="G92" i="44"/>
  <c r="H92" i="44"/>
  <c r="I92" i="44"/>
  <c r="C40" i="44"/>
  <c r="C26" i="44" s="1"/>
  <c r="H39" i="44"/>
  <c r="H40" i="44" s="1"/>
  <c r="G39" i="44"/>
  <c r="G40" i="44" s="1"/>
  <c r="D39" i="44"/>
  <c r="D40" i="44" s="1"/>
  <c r="D26" i="44" s="1"/>
  <c r="F39" i="44"/>
  <c r="F40" i="44" s="1"/>
  <c r="E39" i="44"/>
  <c r="E40" i="44" s="1"/>
  <c r="I39" i="44"/>
  <c r="I40" i="44" s="1"/>
  <c r="I26" i="44" s="1"/>
  <c r="C92" i="44" l="1"/>
  <c r="K92" i="44" s="1"/>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F43" i="44" l="1"/>
  <c r="G43" i="44"/>
  <c r="H43" i="44"/>
  <c r="E43" i="44"/>
  <c r="E56" i="44"/>
  <c r="D117" i="44" l="1"/>
  <c r="D118" i="44" s="1"/>
  <c r="E117" i="44"/>
  <c r="E118" i="44" s="1"/>
  <c r="F117" i="44"/>
  <c r="F118" i="44" s="1"/>
  <c r="G117" i="44"/>
  <c r="G118" i="44" s="1"/>
  <c r="H117" i="44"/>
  <c r="H118" i="44" s="1"/>
  <c r="I117" i="44"/>
  <c r="I118" i="44" s="1"/>
  <c r="C117" i="44"/>
  <c r="F56" i="44"/>
  <c r="K117" i="44" l="1"/>
  <c r="C118" i="44"/>
  <c r="K118" i="44" s="1"/>
  <c r="H116" i="47"/>
  <c r="H117" i="47"/>
  <c r="H115" i="47"/>
  <c r="H113" i="47"/>
  <c r="H114" i="47"/>
  <c r="H112" i="47"/>
  <c r="H110" i="47"/>
  <c r="H111" i="47"/>
  <c r="H109" i="47"/>
  <c r="H107" i="47"/>
  <c r="H108" i="47"/>
  <c r="H106" i="47"/>
  <c r="H98" i="47"/>
  <c r="H99" i="47"/>
  <c r="H97" i="47"/>
  <c r="H95" i="47"/>
  <c r="H96" i="47"/>
  <c r="H94" i="47"/>
  <c r="H92" i="47"/>
  <c r="H93" i="47"/>
  <c r="H91" i="47"/>
  <c r="C119" i="44" l="1"/>
  <c r="H32" i="47"/>
  <c r="H33" i="47"/>
  <c r="H31" i="47"/>
  <c r="P28" i="47"/>
  <c r="P30" i="47" s="1"/>
  <c r="P43" i="47" s="1"/>
  <c r="H17" i="47"/>
  <c r="H18" i="47"/>
  <c r="H16" i="47"/>
  <c r="P45" i="47" l="1"/>
  <c r="P58" i="47" s="1"/>
  <c r="P60" i="47" s="1"/>
  <c r="P73" i="47" s="1"/>
  <c r="K19" i="45"/>
  <c r="J19" i="45"/>
  <c r="J40" i="45" s="1"/>
  <c r="I19" i="45"/>
  <c r="I40" i="45" s="1"/>
  <c r="H19" i="45"/>
  <c r="H40" i="45" s="1"/>
  <c r="O311" i="46" s="1"/>
  <c r="G19" i="45"/>
  <c r="G40" i="45" s="1"/>
  <c r="O230" i="46" s="1"/>
  <c r="P75" i="47" l="1"/>
  <c r="O124" i="54"/>
  <c r="J35" i="43" s="1"/>
  <c r="O313" i="46"/>
  <c r="O312" i="46"/>
  <c r="O315" i="46"/>
  <c r="O314" i="46"/>
  <c r="O231" i="46"/>
  <c r="O234" i="46" s="1"/>
  <c r="O232" i="46"/>
  <c r="O233" i="46"/>
  <c r="K33" i="45"/>
  <c r="K40" i="45"/>
  <c r="G34" i="45"/>
  <c r="I230" i="46" s="1"/>
  <c r="I233" i="46" s="1"/>
  <c r="G33" i="45"/>
  <c r="J116" i="59"/>
  <c r="T45" i="3"/>
  <c r="T46" i="3"/>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N231"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K35" i="43" l="1"/>
  <c r="P84" i="47"/>
  <c r="P81" i="47"/>
  <c r="P78" i="47"/>
  <c r="P76" i="47"/>
  <c r="P85" i="47"/>
  <c r="P82" i="47"/>
  <c r="P79" i="47"/>
  <c r="P87" i="47"/>
  <c r="P80" i="47"/>
  <c r="P86" i="47"/>
  <c r="P83" i="47"/>
  <c r="P77" i="47"/>
  <c r="O316" i="46"/>
  <c r="H124" i="59"/>
  <c r="P113" i="58"/>
  <c r="J127" i="58"/>
  <c r="L125" i="57"/>
  <c r="L123" i="58" s="1"/>
  <c r="M126" i="54"/>
  <c r="M121" i="57" s="1"/>
  <c r="L126" i="54"/>
  <c r="J126" i="54"/>
  <c r="J122" i="58" s="1"/>
  <c r="K126" i="54"/>
  <c r="K122" i="58" s="1"/>
  <c r="N129" i="54"/>
  <c r="I129" i="54"/>
  <c r="I121" i="60" s="1"/>
  <c r="H129" i="54"/>
  <c r="H121" i="60" s="1"/>
  <c r="I128" i="54"/>
  <c r="I121" i="59" s="1"/>
  <c r="N128" i="54"/>
  <c r="N121" i="59" s="1"/>
  <c r="H128" i="54"/>
  <c r="H121" i="59" s="1"/>
  <c r="N127" i="59"/>
  <c r="N124" i="60" s="1"/>
  <c r="N126" i="54"/>
  <c r="N122" i="58" s="1"/>
  <c r="I126" i="54"/>
  <c r="H126" i="54"/>
  <c r="H121" i="57" s="1"/>
  <c r="I129" i="58"/>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I78" i="44"/>
  <c r="I79" i="44" s="1"/>
  <c r="I80" i="44" s="1"/>
  <c r="F78" i="44"/>
  <c r="F79" i="44" s="1"/>
  <c r="D78" i="44"/>
  <c r="D79" i="44" s="1"/>
  <c r="E78" i="44"/>
  <c r="E79" i="44" s="1"/>
  <c r="G78" i="44"/>
  <c r="G79" i="44" s="1"/>
  <c r="H78" i="44"/>
  <c r="H79" i="44" s="1"/>
  <c r="C65" i="44"/>
  <c r="G65" i="44"/>
  <c r="G66" i="44" s="1"/>
  <c r="H65" i="44"/>
  <c r="H66" i="44" s="1"/>
  <c r="I65" i="44"/>
  <c r="I66" i="44" s="1"/>
  <c r="E65" i="44"/>
  <c r="E66" i="44" s="1"/>
  <c r="D65" i="44"/>
  <c r="D66" i="44" s="1"/>
  <c r="F65" i="44"/>
  <c r="F66" i="44" s="1"/>
  <c r="L231" i="46"/>
  <c r="J231" i="46"/>
  <c r="N154" i="46"/>
  <c r="N232" i="46" s="1"/>
  <c r="I232" i="46"/>
  <c r="H154" i="46"/>
  <c r="I313" i="46"/>
  <c r="I312" i="46"/>
  <c r="H151" i="46"/>
  <c r="H153" i="46" s="1"/>
  <c r="I231" i="46"/>
  <c r="J233" i="46"/>
  <c r="I128" i="60"/>
  <c r="I125" i="61" s="1"/>
  <c r="M314" i="46"/>
  <c r="H129" i="58"/>
  <c r="H123" i="61" s="1"/>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E19" i="44"/>
  <c r="E20" i="44"/>
  <c r="F52" i="44"/>
  <c r="I52" i="44"/>
  <c r="D52" i="44"/>
  <c r="I41"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L121" i="57"/>
  <c r="L123" i="57" s="1"/>
  <c r="I121" i="61"/>
  <c r="I314" i="46"/>
  <c r="L127" i="59"/>
  <c r="L124" i="60" s="1"/>
  <c r="J128" i="58"/>
  <c r="J123" i="60" s="1"/>
  <c r="I128" i="58"/>
  <c r="I123" i="60" s="1"/>
  <c r="J125" i="57"/>
  <c r="J123" i="58" s="1"/>
  <c r="I125" i="57"/>
  <c r="I123" i="58" s="1"/>
  <c r="L122" i="60"/>
  <c r="L121" i="60"/>
  <c r="L123" i="60"/>
  <c r="I126" i="61"/>
  <c r="I123" i="61"/>
  <c r="L124" i="58"/>
  <c r="N72" i="46"/>
  <c r="P306" i="46"/>
  <c r="P147" i="46"/>
  <c r="H126" i="61"/>
  <c r="J128" i="60"/>
  <c r="J125" i="61" s="1"/>
  <c r="K113" i="59"/>
  <c r="K128" i="59" s="1"/>
  <c r="K124" i="61" s="1"/>
  <c r="H127" i="58"/>
  <c r="H123" i="59" s="1"/>
  <c r="K128" i="58"/>
  <c r="K123" i="60" s="1"/>
  <c r="K121" i="60"/>
  <c r="K121" i="61"/>
  <c r="H122" i="58"/>
  <c r="J121" i="60"/>
  <c r="J121" i="61"/>
  <c r="J121" i="59"/>
  <c r="I122" i="58"/>
  <c r="I121" i="57"/>
  <c r="H121" i="61"/>
  <c r="K127" i="57"/>
  <c r="K122" i="60" s="1"/>
  <c r="K128" i="57"/>
  <c r="K122" i="61" s="1"/>
  <c r="K126" i="57"/>
  <c r="K122" i="59" s="1"/>
  <c r="K125" i="57"/>
  <c r="K123" i="58" s="1"/>
  <c r="P112" i="57"/>
  <c r="J113" i="57"/>
  <c r="H126" i="57"/>
  <c r="H122" i="59" s="1"/>
  <c r="K122" i="57"/>
  <c r="I315" i="46"/>
  <c r="P145" i="46"/>
  <c r="P227" i="46"/>
  <c r="P67" i="46"/>
  <c r="P225" i="46"/>
  <c r="P69"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N312" i="46" s="1"/>
  <c r="J124" i="59"/>
  <c r="J72" i="46"/>
  <c r="J73" i="46" s="1"/>
  <c r="K72" i="46"/>
  <c r="P88" i="47" l="1"/>
  <c r="C79" i="44"/>
  <c r="K78" i="44"/>
  <c r="N124" i="54"/>
  <c r="I35" i="43" s="1"/>
  <c r="C66" i="44"/>
  <c r="K66" i="44" s="1"/>
  <c r="K65" i="44"/>
  <c r="J124" i="54"/>
  <c r="E35" i="43" s="1"/>
  <c r="H232" i="46"/>
  <c r="P121" i="54"/>
  <c r="K124" i="54"/>
  <c r="F35" i="43" s="1"/>
  <c r="M124" i="54"/>
  <c r="H35" i="43" s="1"/>
  <c r="H84" i="44"/>
  <c r="I124" i="54"/>
  <c r="D35" i="43" s="1"/>
  <c r="P122" i="54"/>
  <c r="L124" i="54"/>
  <c r="G35" i="43" s="1"/>
  <c r="H124" i="54"/>
  <c r="C35" i="43" s="1"/>
  <c r="P119" i="54"/>
  <c r="P120" i="54"/>
  <c r="K234" i="46"/>
  <c r="F29" i="43" s="1"/>
  <c r="I234" i="46"/>
  <c r="D29" i="43" s="1"/>
  <c r="H231" i="46"/>
  <c r="H316" i="46"/>
  <c r="L234" i="46"/>
  <c r="G29" i="43" s="1"/>
  <c r="I152" i="46"/>
  <c r="I151" i="46"/>
  <c r="N73" i="46"/>
  <c r="I23" i="43" s="1"/>
  <c r="I24" i="43" s="1"/>
  <c r="L73" i="46"/>
  <c r="G23" i="43" s="1"/>
  <c r="K73" i="46"/>
  <c r="F23" i="43" s="1"/>
  <c r="E53" i="44"/>
  <c r="E57" i="44" s="1"/>
  <c r="I53" i="44"/>
  <c r="I54" i="44" s="1"/>
  <c r="F53" i="44"/>
  <c r="F54" i="44" s="1"/>
  <c r="D53" i="44"/>
  <c r="K52" i="44"/>
  <c r="G53" i="44"/>
  <c r="G57" i="44" s="1"/>
  <c r="G27" i="44" s="1"/>
  <c r="I316" i="46"/>
  <c r="D32" i="43" s="1"/>
  <c r="J313" i="46"/>
  <c r="J232" i="46"/>
  <c r="J234" i="46" s="1"/>
  <c r="J153" i="46"/>
  <c r="E26" i="43" s="1"/>
  <c r="J314" i="46"/>
  <c r="D23" i="43"/>
  <c r="D24" i="43" s="1"/>
  <c r="C54" i="44"/>
  <c r="C27" i="44"/>
  <c r="C134" i="44" s="1"/>
  <c r="C25" i="43" s="1"/>
  <c r="E123" i="44"/>
  <c r="C30" i="44"/>
  <c r="C137" i="44" s="1"/>
  <c r="E18" i="44"/>
  <c r="N121" i="57"/>
  <c r="N123" i="57" s="1"/>
  <c r="I123" i="57"/>
  <c r="J312" i="46"/>
  <c r="D136" i="44"/>
  <c r="D31" i="43" s="1"/>
  <c r="N125" i="58"/>
  <c r="D106" i="44"/>
  <c r="D138" i="44"/>
  <c r="E106" i="44"/>
  <c r="F106" i="44"/>
  <c r="E119" i="44"/>
  <c r="E139" i="44"/>
  <c r="C32" i="44"/>
  <c r="C139" i="44" s="1"/>
  <c r="I119" i="44"/>
  <c r="I32" i="44"/>
  <c r="I139" i="44" s="1"/>
  <c r="F119" i="44"/>
  <c r="I93" i="44"/>
  <c r="I30" i="44"/>
  <c r="I137" i="44" s="1"/>
  <c r="I34" i="43" s="1"/>
  <c r="H106" i="44"/>
  <c r="G106" i="44"/>
  <c r="C31" i="44"/>
  <c r="C138" i="44" s="1"/>
  <c r="C106" i="44"/>
  <c r="H119" i="44"/>
  <c r="D80" i="44"/>
  <c r="I106" i="44"/>
  <c r="I31" i="44"/>
  <c r="I138" i="44" s="1"/>
  <c r="G119" i="44"/>
  <c r="I29" i="44"/>
  <c r="I136" i="44" s="1"/>
  <c r="I31" i="43" s="1"/>
  <c r="G67" i="44"/>
  <c r="F93" i="44"/>
  <c r="E93" i="44"/>
  <c r="C29" i="44"/>
  <c r="C136" i="44" s="1"/>
  <c r="C93" i="44"/>
  <c r="G93" i="44"/>
  <c r="H93" i="44"/>
  <c r="G41" i="44"/>
  <c r="G44" i="44"/>
  <c r="H41" i="44"/>
  <c r="H44" i="44"/>
  <c r="F41" i="44"/>
  <c r="F44" i="44"/>
  <c r="E41" i="44"/>
  <c r="E44" i="44"/>
  <c r="E26" i="44" s="1"/>
  <c r="E133" i="44" s="1"/>
  <c r="E22" i="43" s="1"/>
  <c r="K39" i="44"/>
  <c r="E80" i="44"/>
  <c r="G54" i="44"/>
  <c r="G80" i="44"/>
  <c r="G136" i="44"/>
  <c r="G31" i="43" s="1"/>
  <c r="H80" i="44"/>
  <c r="E67" i="44"/>
  <c r="K40" i="44"/>
  <c r="E14" i="44" s="1"/>
  <c r="I67" i="44"/>
  <c r="I28" i="44"/>
  <c r="I135" i="44" s="1"/>
  <c r="I28" i="43" s="1"/>
  <c r="C67" i="44"/>
  <c r="C28" i="44"/>
  <c r="C135" i="44" s="1"/>
  <c r="H57" i="44"/>
  <c r="H27" i="44" s="1"/>
  <c r="H54" i="44"/>
  <c r="H67" i="44"/>
  <c r="F67"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E24" i="43" s="1"/>
  <c r="C22" i="43"/>
  <c r="C24" i="43" s="1"/>
  <c r="P90" i="47" l="1"/>
  <c r="P103" i="47" s="1"/>
  <c r="P105" i="47" s="1"/>
  <c r="P120" i="47" s="1"/>
  <c r="P133" i="47" s="1"/>
  <c r="P135" i="47" s="1"/>
  <c r="P148" i="47" s="1"/>
  <c r="P150" i="47" s="1"/>
  <c r="P163" i="47" s="1"/>
  <c r="J38" i="43"/>
  <c r="K119" i="44"/>
  <c r="K106" i="44"/>
  <c r="C80" i="44"/>
  <c r="K80" i="44" s="1"/>
  <c r="K79" i="44"/>
  <c r="D17" i="44"/>
  <c r="D18" i="44"/>
  <c r="C27" i="43"/>
  <c r="H234" i="46"/>
  <c r="C29" i="43" s="1"/>
  <c r="P124" i="54"/>
  <c r="H135" i="44"/>
  <c r="H28" i="43" s="1"/>
  <c r="G135" i="44"/>
  <c r="G28" i="43" s="1"/>
  <c r="H45" i="44"/>
  <c r="H26" i="44"/>
  <c r="H133" i="44" s="1"/>
  <c r="H22" i="43" s="1"/>
  <c r="H24" i="43" s="1"/>
  <c r="F45" i="44"/>
  <c r="F26" i="44"/>
  <c r="F133" i="44" s="1"/>
  <c r="F22" i="43" s="1"/>
  <c r="G45" i="44"/>
  <c r="G26" i="44"/>
  <c r="G133" i="44" s="1"/>
  <c r="G22" i="43" s="1"/>
  <c r="I27" i="44"/>
  <c r="I134" i="44" s="1"/>
  <c r="I25" i="43" s="1"/>
  <c r="I27" i="43" s="1"/>
  <c r="E54" i="44"/>
  <c r="I31" i="47"/>
  <c r="I16" i="47"/>
  <c r="I153" i="46"/>
  <c r="D26" i="43" s="1"/>
  <c r="O17" i="47"/>
  <c r="O22" i="47"/>
  <c r="O20" i="47"/>
  <c r="O18" i="47"/>
  <c r="O21" i="47"/>
  <c r="O24" i="47"/>
  <c r="O26" i="47"/>
  <c r="O25" i="47"/>
  <c r="O16" i="47"/>
  <c r="O19" i="47"/>
  <c r="O23" i="47"/>
  <c r="O27" i="47"/>
  <c r="D20" i="44"/>
  <c r="K53" i="44"/>
  <c r="E15" i="44" s="1"/>
  <c r="D16" i="44"/>
  <c r="G58" i="44"/>
  <c r="H134" i="44"/>
  <c r="H25" i="43" s="1"/>
  <c r="D54" i="44"/>
  <c r="F57" i="44"/>
  <c r="D27" i="44"/>
  <c r="D134" i="44" s="1"/>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138" i="44"/>
  <c r="D19" i="44"/>
  <c r="C34" i="43"/>
  <c r="E137" i="44"/>
  <c r="E34" i="43" s="1"/>
  <c r="C28" i="43"/>
  <c r="C31" i="43"/>
  <c r="F97" i="44"/>
  <c r="F137" i="44"/>
  <c r="F34" i="43" s="1"/>
  <c r="G123" i="44"/>
  <c r="G139" i="44"/>
  <c r="G97" i="44"/>
  <c r="G137" i="44"/>
  <c r="G34" i="43" s="1"/>
  <c r="H110" i="44"/>
  <c r="H138" i="44"/>
  <c r="F110" i="44"/>
  <c r="F138" i="44"/>
  <c r="G110" i="44"/>
  <c r="G138" i="44"/>
  <c r="H97" i="44"/>
  <c r="H137" i="44"/>
  <c r="H34" i="43" s="1"/>
  <c r="F123" i="44"/>
  <c r="K123" i="44" s="1"/>
  <c r="F139" i="44"/>
  <c r="H123" i="44"/>
  <c r="H139" i="44"/>
  <c r="E17" i="44"/>
  <c r="D93" i="44"/>
  <c r="K93" i="44" s="1"/>
  <c r="D137" i="44"/>
  <c r="D139" i="44"/>
  <c r="E110" i="44"/>
  <c r="K110" i="44" s="1"/>
  <c r="G71" i="44"/>
  <c r="E97" i="44"/>
  <c r="K97" i="44" s="1"/>
  <c r="E45" i="44"/>
  <c r="H136" i="44"/>
  <c r="H31" i="43" s="1"/>
  <c r="G84" i="44"/>
  <c r="E84" i="44"/>
  <c r="E136" i="44"/>
  <c r="E31" i="43" s="1"/>
  <c r="G134" i="44"/>
  <c r="G25" i="43" s="1"/>
  <c r="G27" i="43" s="1"/>
  <c r="H58" i="44"/>
  <c r="D135" i="44"/>
  <c r="D67" i="44"/>
  <c r="K67" i="44" s="1"/>
  <c r="H71" i="44"/>
  <c r="F136" i="44"/>
  <c r="F84" i="44"/>
  <c r="E16" i="44"/>
  <c r="E135" i="44"/>
  <c r="E28" i="43" s="1"/>
  <c r="E71" i="44"/>
  <c r="F135" i="44"/>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K84" i="44" l="1"/>
  <c r="K71" i="44"/>
  <c r="D27" i="43"/>
  <c r="L16" i="47"/>
  <c r="F24" i="43"/>
  <c r="M17" i="47"/>
  <c r="G24" i="43"/>
  <c r="M64" i="47" s="1"/>
  <c r="I47" i="47"/>
  <c r="H27" i="43"/>
  <c r="K54" i="44"/>
  <c r="I61" i="47"/>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K133" i="44"/>
  <c r="K22" i="43"/>
  <c r="K24" i="43" s="1"/>
  <c r="L24" i="47"/>
  <c r="M20" i="47"/>
  <c r="M27" i="47"/>
  <c r="N22" i="47"/>
  <c r="N34" i="47"/>
  <c r="N24" i="47"/>
  <c r="N25" i="47"/>
  <c r="Q25" i="47" s="1"/>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O85" i="47"/>
  <c r="O86" i="47"/>
  <c r="O83" i="47"/>
  <c r="O68" i="47"/>
  <c r="O67" i="47"/>
  <c r="O76" i="47"/>
  <c r="O66" i="47"/>
  <c r="O87" i="47"/>
  <c r="O78" i="47"/>
  <c r="I84" i="47"/>
  <c r="O79" i="47"/>
  <c r="O65" i="47"/>
  <c r="O84" i="47"/>
  <c r="J41" i="47"/>
  <c r="J37" i="47"/>
  <c r="J36" i="47"/>
  <c r="J39" i="47"/>
  <c r="J33" i="47"/>
  <c r="J42" i="47"/>
  <c r="N67" i="47"/>
  <c r="N38" i="47"/>
  <c r="N40" i="47"/>
  <c r="J31" i="47"/>
  <c r="J40" i="47"/>
  <c r="J35" i="47"/>
  <c r="M35" i="47"/>
  <c r="J38" i="47"/>
  <c r="J32" i="47"/>
  <c r="O81" i="47"/>
  <c r="O63" i="47"/>
  <c r="O64" i="47"/>
  <c r="O70" i="47"/>
  <c r="O80" i="47"/>
  <c r="O71" i="47"/>
  <c r="O72" i="47"/>
  <c r="O61" i="47"/>
  <c r="O77" i="47"/>
  <c r="O82" i="47"/>
  <c r="O69" i="47"/>
  <c r="I76" i="47"/>
  <c r="I56" i="47"/>
  <c r="I48" i="47"/>
  <c r="I87" i="47"/>
  <c r="I53" i="47"/>
  <c r="I71" i="47"/>
  <c r="I79" i="47"/>
  <c r="I57" i="47"/>
  <c r="M47" i="47"/>
  <c r="I151" i="47"/>
  <c r="I66" i="47"/>
  <c r="I51" i="47"/>
  <c r="M80" i="47"/>
  <c r="I82" i="47"/>
  <c r="I63" i="47"/>
  <c r="I69" i="47"/>
  <c r="M46" i="47"/>
  <c r="I72" i="47"/>
  <c r="I77" i="47"/>
  <c r="I46" i="47"/>
  <c r="M50" i="47"/>
  <c r="I83" i="47"/>
  <c r="I86" i="47"/>
  <c r="I80" i="47"/>
  <c r="I55" i="47"/>
  <c r="M78" i="47"/>
  <c r="I67" i="47"/>
  <c r="I65" i="47"/>
  <c r="I78" i="47"/>
  <c r="O28" i="47"/>
  <c r="M57" i="47"/>
  <c r="M65" i="47"/>
  <c r="I39" i="47"/>
  <c r="I52" i="47"/>
  <c r="I42" i="47"/>
  <c r="J34" i="47"/>
  <c r="M38" i="47"/>
  <c r="I64" i="47"/>
  <c r="I62" i="47"/>
  <c r="I68" i="47"/>
  <c r="I50" i="47"/>
  <c r="I35" i="47"/>
  <c r="I34"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38" i="44"/>
  <c r="K137" i="44"/>
  <c r="I132" i="47"/>
  <c r="Q132" i="47" s="1"/>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I156" i="47"/>
  <c r="I162" i="47"/>
  <c r="I145" i="47"/>
  <c r="Q145" i="47" s="1"/>
  <c r="I159" i="47"/>
  <c r="I125" i="47"/>
  <c r="Q125" i="47" s="1"/>
  <c r="I161" i="47"/>
  <c r="I160" i="47"/>
  <c r="I141" i="47"/>
  <c r="Q141" i="47" s="1"/>
  <c r="I142" i="47"/>
  <c r="Q142" i="47" s="1"/>
  <c r="I146" i="47"/>
  <c r="Q146" i="47" s="1"/>
  <c r="F58" i="44"/>
  <c r="F27" i="44"/>
  <c r="F134" i="44" s="1"/>
  <c r="F25" i="43" s="1"/>
  <c r="F27" i="43" s="1"/>
  <c r="K57" i="44"/>
  <c r="J28" i="47"/>
  <c r="M130" i="47"/>
  <c r="M159" i="47"/>
  <c r="M146" i="47"/>
  <c r="M152" i="47"/>
  <c r="M139" i="47"/>
  <c r="M145" i="47"/>
  <c r="M124" i="47"/>
  <c r="M147" i="47"/>
  <c r="M156" i="47"/>
  <c r="D34" i="43"/>
  <c r="M111" i="47"/>
  <c r="D28" i="43"/>
  <c r="F31" i="43"/>
  <c r="P153" i="46"/>
  <c r="I115" i="47"/>
  <c r="I112" i="47"/>
  <c r="I116" i="47"/>
  <c r="I113" i="47"/>
  <c r="I114" i="47"/>
  <c r="I110" i="47"/>
  <c r="I111" i="47"/>
  <c r="I117" i="47"/>
  <c r="O113" i="47"/>
  <c r="O111" i="47"/>
  <c r="O117" i="47"/>
  <c r="O115" i="47"/>
  <c r="O114" i="47"/>
  <c r="O116" i="47"/>
  <c r="O110" i="47"/>
  <c r="O112" i="47"/>
  <c r="K28" i="47"/>
  <c r="I28" i="47"/>
  <c r="I30" i="47" s="1"/>
  <c r="K26" i="43"/>
  <c r="P316" i="46"/>
  <c r="M116" i="47" l="1"/>
  <c r="M123" i="47"/>
  <c r="M153" i="47"/>
  <c r="M131" i="47"/>
  <c r="M126" i="47"/>
  <c r="M85" i="47"/>
  <c r="M52" i="47"/>
  <c r="M79" i="47"/>
  <c r="M84" i="47"/>
  <c r="M160" i="47"/>
  <c r="M127" i="47"/>
  <c r="M143" i="47"/>
  <c r="M121" i="47"/>
  <c r="M68" i="47"/>
  <c r="M54" i="47"/>
  <c r="M41" i="47"/>
  <c r="M66" i="47"/>
  <c r="Q22" i="47"/>
  <c r="Q19" i="47"/>
  <c r="Q17" i="47"/>
  <c r="Q16" i="47"/>
  <c r="Q21" i="47"/>
  <c r="Q20" i="47"/>
  <c r="Q18" i="47"/>
  <c r="Q26" i="47"/>
  <c r="Q23" i="47"/>
  <c r="M114" i="47"/>
  <c r="M140" i="47"/>
  <c r="M136" i="47"/>
  <c r="M158" i="47"/>
  <c r="M142" i="47"/>
  <c r="M34" i="47"/>
  <c r="M83" i="47"/>
  <c r="M49" i="47"/>
  <c r="M117" i="47"/>
  <c r="M112" i="47"/>
  <c r="M128" i="47"/>
  <c r="M137" i="47"/>
  <c r="M154" i="47"/>
  <c r="M138" i="47"/>
  <c r="M155" i="47"/>
  <c r="M53" i="47"/>
  <c r="M42" i="47"/>
  <c r="M81" i="47"/>
  <c r="M51" i="47"/>
  <c r="M82" i="47"/>
  <c r="M32" i="47"/>
  <c r="M56" i="47"/>
  <c r="M55" i="47"/>
  <c r="M39" i="47"/>
  <c r="M33" i="47"/>
  <c r="Q24" i="47"/>
  <c r="M115" i="47"/>
  <c r="M162" i="47"/>
  <c r="M157" i="47"/>
  <c r="M144" i="47"/>
  <c r="M122" i="47"/>
  <c r="M129" i="47"/>
  <c r="M70" i="47"/>
  <c r="M61" i="47"/>
  <c r="M36" i="47"/>
  <c r="M87" i="47"/>
  <c r="M63" i="47"/>
  <c r="M69" i="47"/>
  <c r="M72" i="47"/>
  <c r="M31" i="47"/>
  <c r="Q27"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22" i="47"/>
  <c r="N76" i="47"/>
  <c r="N66" i="47"/>
  <c r="N48" i="47"/>
  <c r="N52" i="47"/>
  <c r="N112" i="47"/>
  <c r="N142" i="47"/>
  <c r="N68" i="47"/>
  <c r="N151" i="47"/>
  <c r="N78" i="47"/>
  <c r="J82" i="47"/>
  <c r="N129" i="47"/>
  <c r="N152" i="47"/>
  <c r="N51" i="47"/>
  <c r="N139" i="47"/>
  <c r="N127" i="47"/>
  <c r="N69" i="47"/>
  <c r="N47" i="47"/>
  <c r="N128" i="47"/>
  <c r="N85" i="47"/>
  <c r="N110"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114" i="47"/>
  <c r="N126" i="47"/>
  <c r="N137" i="47"/>
  <c r="L35" i="47"/>
  <c r="L40" i="47"/>
  <c r="N65" i="47"/>
  <c r="N83" i="47"/>
  <c r="N138" i="47"/>
  <c r="N80" i="47"/>
  <c r="N117" i="47"/>
  <c r="N146" i="47"/>
  <c r="N49" i="47"/>
  <c r="N113" i="47"/>
  <c r="N161" i="47"/>
  <c r="N111" i="47"/>
  <c r="N115" i="47"/>
  <c r="N116" i="47"/>
  <c r="N153" i="47"/>
  <c r="N156" i="47"/>
  <c r="N136" i="47"/>
  <c r="N160" i="47"/>
  <c r="L32" i="47"/>
  <c r="N71" i="47"/>
  <c r="N61" i="47"/>
  <c r="N62" i="47"/>
  <c r="N55" i="47"/>
  <c r="N123" i="47"/>
  <c r="N158" i="47"/>
  <c r="N72" i="47"/>
  <c r="N130" i="47"/>
  <c r="N155" i="47"/>
  <c r="N157" i="47"/>
  <c r="N159" i="47"/>
  <c r="L37" i="47"/>
  <c r="N77" i="47"/>
  <c r="N154" i="47"/>
  <c r="N141" i="47"/>
  <c r="N124" i="47"/>
  <c r="N132" i="47"/>
  <c r="N140" i="47"/>
  <c r="N64" i="47"/>
  <c r="N50" i="47"/>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J114" i="47"/>
  <c r="J117" i="47"/>
  <c r="J116" i="47"/>
  <c r="J115" i="47"/>
  <c r="J111" i="47"/>
  <c r="J112" i="47"/>
  <c r="J113" i="47"/>
  <c r="J110" i="47"/>
  <c r="Q28" i="47" l="1"/>
  <c r="Q30" i="47" s="1"/>
  <c r="N43" i="47"/>
  <c r="M43" i="47"/>
  <c r="M45" i="47" s="1"/>
  <c r="M58" i="47" s="1"/>
  <c r="M60" i="47" s="1"/>
  <c r="M73" i="47" s="1"/>
  <c r="M75" i="47" s="1"/>
  <c r="M88" i="47" s="1"/>
  <c r="L158" i="47"/>
  <c r="L64" i="47"/>
  <c r="L128" i="47"/>
  <c r="L116" i="47"/>
  <c r="L122" i="47"/>
  <c r="L142" i="47"/>
  <c r="L112" i="47"/>
  <c r="L139" i="47"/>
  <c r="L121" i="47"/>
  <c r="L76" i="47"/>
  <c r="L81" i="47"/>
  <c r="L162" i="47"/>
  <c r="L83" i="47"/>
  <c r="L77" i="47"/>
  <c r="L153" i="47"/>
  <c r="L129" i="47"/>
  <c r="L145" i="47"/>
  <c r="L87" i="47"/>
  <c r="L114" i="47"/>
  <c r="L140" i="47"/>
  <c r="L147" i="47"/>
  <c r="L155" i="47"/>
  <c r="L132" i="47"/>
  <c r="L78" i="47"/>
  <c r="L82" i="47"/>
  <c r="L85" i="47"/>
  <c r="L113" i="47"/>
  <c r="L144" i="47"/>
  <c r="L138" i="47"/>
  <c r="L126" i="47"/>
  <c r="L152" i="47"/>
  <c r="L141" i="47"/>
  <c r="L79" i="47"/>
  <c r="L67" i="47"/>
  <c r="L71" i="47"/>
  <c r="L46" i="47"/>
  <c r="L56" i="47"/>
  <c r="L66" i="47"/>
  <c r="L53" i="47"/>
  <c r="L54" i="47"/>
  <c r="L110" i="47"/>
  <c r="L154" i="47"/>
  <c r="L125" i="47"/>
  <c r="L130" i="47"/>
  <c r="L127" i="47"/>
  <c r="L80" i="47"/>
  <c r="L72" i="47"/>
  <c r="L84" i="47"/>
  <c r="L69" i="47"/>
  <c r="L52" i="47"/>
  <c r="L143" i="47"/>
  <c r="L137" i="47"/>
  <c r="L123" i="47"/>
  <c r="L124" i="47"/>
  <c r="L65" i="47"/>
  <c r="L86" i="47"/>
  <c r="L55" i="47"/>
  <c r="L48" i="47"/>
  <c r="L117" i="47"/>
  <c r="L160" i="47"/>
  <c r="L131" i="47"/>
  <c r="L159" i="47"/>
  <c r="L157" i="47"/>
  <c r="L70" i="47"/>
  <c r="L62" i="47"/>
  <c r="L47" i="47"/>
  <c r="L115" i="47"/>
  <c r="L111" i="47"/>
  <c r="L136" i="47"/>
  <c r="L146" i="47"/>
  <c r="L161" i="47"/>
  <c r="L156" i="47"/>
  <c r="L151" i="47"/>
  <c r="L61" i="47"/>
  <c r="L63" i="47"/>
  <c r="L57" i="47"/>
  <c r="L51" i="47"/>
  <c r="L50" i="47"/>
  <c r="L49" i="47"/>
  <c r="N45" i="47"/>
  <c r="N58" i="47" s="1"/>
  <c r="N60" i="47" s="1"/>
  <c r="N73" i="47" s="1"/>
  <c r="N75" i="47" s="1"/>
  <c r="N88" i="47" s="1"/>
  <c r="J45" i="47"/>
  <c r="J58" i="47" s="1"/>
  <c r="J60" i="47" s="1"/>
  <c r="J73" i="47" s="1"/>
  <c r="J75" i="47" s="1"/>
  <c r="J88" i="47" s="1"/>
  <c r="I45" i="47"/>
  <c r="I58" i="47" s="1"/>
  <c r="I60" i="47" s="1"/>
  <c r="I73" i="47" s="1"/>
  <c r="I75" i="47" s="1"/>
  <c r="I88" i="47" s="1"/>
  <c r="L43" i="47"/>
  <c r="O90" i="47"/>
  <c r="O103" i="47" s="1"/>
  <c r="O105" i="47" s="1"/>
  <c r="O120" i="47" s="1"/>
  <c r="O133" i="47" s="1"/>
  <c r="O135" i="47" s="1"/>
  <c r="O148" i="47" s="1"/>
  <c r="O150" i="47" s="1"/>
  <c r="O163" i="47" s="1"/>
  <c r="I38" i="43"/>
  <c r="G38" i="43" l="1"/>
  <c r="M90" i="47"/>
  <c r="M103" i="47" s="1"/>
  <c r="M105" i="47" s="1"/>
  <c r="M120" i="47" s="1"/>
  <c r="M133" i="47" s="1"/>
  <c r="M135" i="47" s="1"/>
  <c r="M148" i="47" s="1"/>
  <c r="M150" i="47" s="1"/>
  <c r="M163" i="47" s="1"/>
  <c r="N90" i="47"/>
  <c r="N103" i="47" s="1"/>
  <c r="N105" i="47" s="1"/>
  <c r="N120" i="47" s="1"/>
  <c r="N133" i="47" s="1"/>
  <c r="N135" i="47" s="1"/>
  <c r="N148" i="47" s="1"/>
  <c r="N150" i="47" s="1"/>
  <c r="N163" i="47" s="1"/>
  <c r="H38" i="43"/>
  <c r="L45" i="47"/>
  <c r="L58" i="47" s="1"/>
  <c r="L60" i="47" s="1"/>
  <c r="L73" i="47" s="1"/>
  <c r="L75" i="47" s="1"/>
  <c r="L88" i="47" s="1"/>
  <c r="I90" i="47"/>
  <c r="I103" i="47" s="1"/>
  <c r="I105" i="47" s="1"/>
  <c r="I120" i="47" s="1"/>
  <c r="I133" i="47" s="1"/>
  <c r="I135" i="47" s="1"/>
  <c r="I148" i="47" s="1"/>
  <c r="I150" i="47" s="1"/>
  <c r="I163" i="47" s="1"/>
  <c r="J90" i="47"/>
  <c r="J103" i="47" s="1"/>
  <c r="J105" i="47" s="1"/>
  <c r="J120" i="47" s="1"/>
  <c r="J133" i="47" s="1"/>
  <c r="J135" i="47" s="1"/>
  <c r="J148" i="47" s="1"/>
  <c r="J150" i="47" s="1"/>
  <c r="J163" i="47" s="1"/>
  <c r="C38" i="43" l="1"/>
  <c r="L90" i="47"/>
  <c r="L103" i="47" s="1"/>
  <c r="L105" i="47" s="1"/>
  <c r="L120" i="47" s="1"/>
  <c r="L133" i="47" s="1"/>
  <c r="L135" i="47" s="1"/>
  <c r="L148" i="47" s="1"/>
  <c r="L150" i="47" s="1"/>
  <c r="L163" i="47" s="1"/>
  <c r="F38" i="43"/>
  <c r="D38" i="43"/>
  <c r="E58" i="44"/>
  <c r="K58" i="44" s="1"/>
  <c r="D15" i="44"/>
  <c r="E27" i="44"/>
  <c r="E134" i="44" s="1"/>
  <c r="K134" i="44" s="1"/>
  <c r="E25" i="43" l="1"/>
  <c r="E27" i="43" s="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27" i="43" s="1"/>
  <c r="K113" i="47"/>
  <c r="Q113" i="47" s="1"/>
  <c r="Q101" i="47"/>
  <c r="K111" i="47"/>
  <c r="Q111" i="47" s="1"/>
  <c r="Q102" i="47"/>
  <c r="Q91" i="47"/>
  <c r="Q93" i="47"/>
  <c r="Q97" i="47"/>
  <c r="Q107" i="47"/>
  <c r="Q96" i="47"/>
  <c r="K116" i="47"/>
  <c r="Q116" i="47" s="1"/>
  <c r="Q99" i="47"/>
  <c r="Q109" i="47"/>
  <c r="Q95" i="47"/>
  <c r="Q100" i="47"/>
  <c r="K115" i="47" l="1"/>
  <c r="Q115" i="47" s="1"/>
  <c r="Q94" i="47"/>
  <c r="Q92" i="47"/>
  <c r="K147" i="47"/>
  <c r="K162" i="47"/>
  <c r="Q162" i="47" s="1"/>
  <c r="K128" i="47"/>
  <c r="K125" i="47"/>
  <c r="K76" i="47"/>
  <c r="Q76" i="47" s="1"/>
  <c r="K62" i="47"/>
  <c r="Q62" i="47" s="1"/>
  <c r="K46" i="47"/>
  <c r="Q46" i="47" s="1"/>
  <c r="K49" i="47"/>
  <c r="Q49" i="47" s="1"/>
  <c r="K55" i="47"/>
  <c r="Q55" i="47" s="1"/>
  <c r="Q108" i="47"/>
  <c r="K114" i="47"/>
  <c r="Q114" i="47" s="1"/>
  <c r="Q98" i="47"/>
  <c r="K112" i="47"/>
  <c r="Q112" i="47" s="1"/>
  <c r="K127" i="47"/>
  <c r="K121" i="47"/>
  <c r="K138" i="47"/>
  <c r="K158" i="47"/>
  <c r="Q158" i="47" s="1"/>
  <c r="K77" i="47"/>
  <c r="Q77" i="47" s="1"/>
  <c r="K82" i="47"/>
  <c r="Q82" i="47" s="1"/>
  <c r="K57" i="47"/>
  <c r="Q57" i="47" s="1"/>
  <c r="K68" i="47"/>
  <c r="Q68" i="47" s="1"/>
  <c r="K110" i="47"/>
  <c r="Q110" i="47" s="1"/>
  <c r="K117" i="47"/>
  <c r="Q117" i="47" s="1"/>
  <c r="Q106" i="47"/>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20" i="47" s="1"/>
  <c r="Q133" i="47" s="1"/>
  <c r="K90" i="47" l="1"/>
  <c r="K103" i="47" s="1"/>
  <c r="K105" i="47" s="1"/>
  <c r="K120" i="47" s="1"/>
  <c r="K133" i="47" s="1"/>
  <c r="K135" i="47" s="1"/>
  <c r="K148" i="47" s="1"/>
  <c r="K150" i="47" s="1"/>
  <c r="K163" i="47" s="1"/>
  <c r="Q135" i="47"/>
  <c r="Q148" i="47" s="1"/>
  <c r="K37" i="43" l="1"/>
  <c r="K38" i="43" s="1"/>
  <c r="H14" i="43" s="1"/>
  <c r="E38" i="43"/>
  <c r="Q150" i="47"/>
  <c r="Q163" i="47" s="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<sst xmlns="http://schemas.openxmlformats.org/spreadsheetml/2006/main" count="2145" uniqueCount="523">
  <si>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</si>
  <si>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</si>
  <si>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</si>
  <si>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</si>
  <si>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</si>
  <si>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</si>
  <si>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</si>
  <si>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</si>
  <si>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</si>
  <si>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</si>
  <si>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</si>
  <si>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</si>
  <si>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</si>
  <si>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</si>
  <si>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</si>
  <si>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</si>
  <si>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</si>
  <si>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</si>
  <si>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</si>
  <si>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</si>
  <si>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</si>
  <si>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</si>
  <si>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</si>
  <si>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</si>
  <si>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</si>
  <si>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</si>
  <si>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</si>
  <si>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</si>
  <si>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</si>
  <si>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</si>
  <si>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</si>
  <si>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</si>
  <si>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</si>
  <si>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</si>
  <si>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</si>
  <si>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</si>
  <si>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</si>
  <si>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</si>
  <si>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</si>
  <si>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</si>
  <si>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</si>
  <si>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</si>
  <si>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</si>
  <si>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</si>
  <si>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</si>
  <si>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</si>
  <si>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</si>
  <si>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</si>
  <si>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</si>
  <si>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</si>
  <si>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</si>
  <si>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</si>
  <si>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</si>
  <si>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</si>
  <si>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</si>
  <si>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</si>
  <si>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</si>
  <si>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</si>
  <si>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</si>
  <si>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</si>
  <si>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</si>
  <si>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</si>
  <si>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</si>
  <si>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</si>
  <si>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</si>
  <si>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</si>
  <si>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</si>
  <si>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</si>
  <si>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</si>
  <si>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</si>
  <si>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</si>
  <si>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</si>
  <si>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</si>
  <si>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</si>
  <si>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</si>
  <si>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</si>
  <si>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</si>
  <si>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</si>
  <si>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</si>
  <si>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</si>
  <si>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</si>
  <si>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</si>
  <si>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</si>
  <si>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</si>
  <si>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</si>
  <si>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</si>
  <si>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</si>
  <si>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</si>
  <si>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</si>
  <si>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</si>
  <si>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</si>
  <si>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</si>
  <si>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</si>
  <si>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</si>
  <si>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</si>
  <si>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</si>
  <si>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</si>
  <si>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</si>
  <si>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</si>
  <si>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</si>
  <si>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</si>
  <si>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</si>
  <si>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</si>
  <si>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</si>
  <si>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</si>
  <si>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</si>
  <si>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</si>
  <si>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</si>
  <si>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</si>
  <si>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</si>
  <si>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</si>
  <si>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</si>
  <si>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</si>
  <si>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</si>
  <si>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</si>
  <si>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</si>
  <si>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</si>
  <si>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</si>
  <si>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</si>
  <si>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</si>
  <si>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</si>
  <si>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</si>
  <si>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</si>
  <si>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</si>
  <si>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</si>
  <si>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</si>
  <si>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</si>
  <si>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</si>
  <si>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</si>
  <si>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</si>
  <si>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</si>
  <si>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</si>
  <si>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</si>
  <si>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</si>
  <si>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</si>
  <si>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</si>
  <si>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</si>
  <si>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</si>
  <si>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</si>
  <si>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</si>
  <si>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</si>
  <si>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</si>
  <si>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</si>
  <si>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</si>
  <si>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</si>
  <si>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</si>
  <si>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</si>
  <si>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</si>
  <si>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</si>
  <si>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</si>
  <si>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</si>
  <si>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</si>
  <si>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</si>
  <si>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</si>
  <si>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</si>
  <si>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</si>
  <si>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</si>
  <si>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</si>
  <si>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</si>
  <si>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</si>
  <si>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</si>
  <si>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</si>
  <si>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</si>
  <si>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</si>
  <si>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</si>
  <si>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</si>
  <si>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</si>
  <si>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</si>
  <si>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</si>
  <si>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</si>
  <si>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</si>
  <si>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</si>
  <si>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</si>
  <si>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</si>
  <si>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</si>
  <si>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</si>
  <si>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</si>
  <si>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</si>
  <si>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</si>
  <si>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</si>
  <si>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</si>
  <si>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</si>
  <si>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</si>
  <si>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</si>
  <si>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</si>
  <si>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</si>
  <si>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</si>
  <si>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</si>
  <si>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</si>
  <si>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</si>
  <si>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</si>
  <si>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</si>
  <si>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</si>
  <si>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</si>
  <si>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</si>
  <si>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</si>
  <si>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</si>
  <si>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</si>
  <si>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</si>
  <si>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</si>
  <si>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</si>
  <si>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</si>
  <si>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</si>
  <si>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</si>
  <si>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</si>
  <si>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</si>
  <si>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</si>
  <si>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</si>
  <si>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</si>
  <si>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EB-2009-xxxx</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</si>
  <si>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</si>
  <si>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</si>
  <si>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</si>
  <si>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</si>
  <si>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</si>
  <si>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</si>
  <si>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</si>
  <si>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</si>
  <si>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</si>
  <si>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</si>
  <si>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</si>
  <si>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</si>
  <si>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</si>
  <si>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</si>
  <si>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</si>
  <si>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</si>
  <si>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</si>
  <si>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</si>
  <si>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</si>
  <si>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</si>
  <si>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</si>
  <si>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</si>
  <si>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</si>
  <si>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</si>
  <si>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</si>
  <si>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</si>
  <si>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</si>
  <si>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</si>
  <si>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</si>
  <si>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</si>
  <si>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</si>
  <si>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</si>
  <si>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</si>
  <si>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</si>
  <si>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</si>
  <si>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</si>
  <si>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</si>
  <si>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</si>
  <si>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</si>
  <si>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</si>
  <si>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</si>
  <si>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</si>
  <si>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</si>
  <si>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</si>
  <si>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</si>
  <si>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</si>
  <si>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</si>
  <si>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</si>
  <si>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</si>
  <si>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</si>
  <si>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</si>
  <si>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</si>
  <si>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</si>
  <si>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</si>
  <si>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</si>
  <si>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</si>
  <si>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</si>
  <si>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</si>
  <si>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</si>
  <si>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</si>
  <si>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</si>
  <si>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</si>
  <si>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</si>
  <si>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</si>
  <si>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</si>
  <si>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</si>
  <si>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</si>
  <si>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</si>
  <si>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</si>
  <si>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</si>
  <si>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</si>
  <si>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</si>
  <si>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</si>
  <si>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</si>
  <si>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</si>
  <si>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</si>
  <si>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</si>
  <si>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</si>
  <si>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</si>
  <si>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</si>
  <si>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</si>
  <si>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</si>
  <si>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</si>
  <si>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</si>
  <si>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</si>
  <si>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</si>
  <si>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</si>
  <si>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</si>
  <si>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</si>
  <si>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</si>
  <si>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</si>
  <si>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</si>
  <si>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</si>
  <si>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</si>
  <si>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</si>
  <si>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</si>
  <si>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</si>
  <si>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</si>
  <si>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</si>
  <si>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</si>
  <si>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</si>
  <si>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</si>
  <si>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</si>
  <si>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</si>
  <si>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</si>
  <si>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</si>
  <si>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</si>
  <si>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</si>
  <si>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</si>
  <si>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</si>
  <si>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</si>
  <si>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</si>
  <si>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</si>
  <si>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</si>
  <si>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</si>
  <si>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</si>
  <si>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</si>
  <si>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</si>
  <si>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</si>
  <si>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</si>
  <si>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</si>
  <si>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</si>
  <si>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</si>
  <si>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</si>
  <si>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</si>
  <si>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</si>
  <si>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</si>
  <si>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</si>
  <si>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</si>
  <si>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</si>
  <si>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</si>
  <si>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</si>
  <si>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</si>
  <si>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</si>
  <si>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</si>
  <si>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</si>
  <si>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</si>
  <si>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</si>
  <si>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</si>
  <si>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</si>
  <si>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</si>
  <si>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</si>
  <si>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</si>
  <si>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</si>
  <si>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</si>
  <si>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</si>
  <si>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</si>
  <si>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</si>
  <si>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</si>
  <si>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</si>
  <si>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</si>
  <si>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</si>
  <si>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</si>
  <si>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</si>
  <si>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</si>
  <si>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</si>
  <si>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</si>
  <si>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</si>
  <si>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</si>
  <si>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</si>
  <si>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</si>
  <si>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</si>
  <si>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</si>
  <si>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</si>
  <si>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</si>
  <si>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</si>
  <si>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</si>
  <si>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</si>
  <si>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</si>
  <si>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</si>
  <si>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</si>
  <si>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</si>
  <si>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</si>
  <si>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</si>
  <si>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</si>
  <si>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</si>
  <si>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</si>
  <si>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</si>
  <si>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</si>
  <si>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</si>
  <si>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</si>
  <si>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</si>
  <si>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</si>
  <si>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</si>
  <si>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</si>
  <si>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</si>
  <si>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</si>
  <si>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</si>
  <si>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</si>
  <si>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</si>
  <si>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</si>
  <si>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</si>
  <si>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</si>
  <si>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</si>
  <si>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</si>
  <si>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</si>
  <si>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</si>
  <si>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</si>
  <si>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</si>
  <si>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</si>
  <si>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</si>
  <si>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</si>
  <si>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</si>
  <si>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</si>
  <si>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</si>
  <si>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</si>
  <si>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</si>
  <si>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</si>
  <si>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</si>
  <si>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</si>
  <si>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</si>
  <si>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</si>
  <si>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</si>
  <si>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</si>
  <si>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</si>
  <si>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</si>
  <si>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</si>
  <si>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</si>
  <si>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</si>
  <si>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</si>
  <si>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</si>
  <si>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</si>
  <si>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</si>
  <si>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</si>
  <si>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</si>
  <si>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</si>
  <si>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</si>
  <si>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</si>
  <si>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</si>
  <si>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</si>
  <si>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</si>
  <si>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</si>
  <si>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</si>
  <si>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</si>
  <si>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</si>
  <si>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</si>
  <si>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</si>
  <si>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</si>
  <si>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</si>
  <si>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</si>
  <si>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</si>
  <si>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</si>
  <si>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</si>
  <si>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</si>
  <si>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</si>
  <si>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</si>
  <si>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</si>
  <si>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</si>
  <si>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</si>
  <si>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</si>
  <si>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</si>
  <si>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</si>
  <si>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</si>
  <si>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</si>
  <si>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</si>
  <si>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</si>
  <si>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</si>
  <si>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</si>
  <si>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</si>
  <si>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</si>
  <si>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</si>
  <si>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</si>
  <si>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</si>
  <si>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</si>
  <si>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</si>
  <si>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</si>
  <si>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</si>
  <si>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</si>
  <si>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</si>
  <si>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</si>
  <si>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</si>
  <si>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</si>
  <si>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</si>
  <si>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</si>
  <si>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</si>
  <si>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</si>
  <si>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</si>
  <si>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</si>
  <si>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</si>
  <si>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</si>
  <si>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</si>
  <si>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</si>
  <si>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</si>
  <si>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</si>
  <si>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</si>
  <si>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</si>
  <si>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</si>
  <si>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</si>
  <si>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</si>
  <si>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</si>
  <si>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</si>
  <si>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</si>
  <si>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</si>
  <si>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</si>
  <si>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</si>
  <si>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</si>
  <si>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</si>
  <si>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</si>
  <si>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</si>
  <si>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</si>
  <si>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</si>
  <si>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</si>
  <si>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</si>
  <si>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</si>
  <si>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Large Use</t>
  </si>
  <si>
    <t>May 1, 2015
to
Apr 30, 2016</t>
  </si>
  <si>
    <t>EB-2011-0153</t>
  </si>
  <si>
    <t>EB-2012-0107</t>
  </si>
  <si>
    <t>EB-2013-0112</t>
  </si>
  <si>
    <t>EB-2014-0057</t>
  </si>
  <si>
    <t>EB-2010-0065</t>
  </si>
  <si>
    <t>EB-2016-0057</t>
  </si>
  <si>
    <t>2013-2015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</si>
</sst>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quot;$&quot;#,##0.0000;[Red]&quot;$&quot;#,##0.0000"/>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4">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73">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5"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6"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7"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5"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3"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3" fontId="51" fillId="29" borderId="0" xfId="0" applyNumberFormat="1" applyFont="1" applyFill="1" applyBorder="1"/>
    <xf numFmtId="3" fontId="51" fillId="32" borderId="2" xfId="0" applyNumberFormat="1" applyFont="1" applyFill="1" applyBorder="1" applyAlignment="1">
      <alignment horizontal="center"/>
    </xf>
    <xf numFmtId="9" fontId="70" fillId="2" borderId="0" xfId="0" applyNumberFormat="1" applyFont="1" applyFill="1"/>
    <xf numFmtId="167" fontId="70" fillId="2" borderId="0" xfId="0" applyNumberFormat="1" applyFont="1" applyFill="1"/>
    <xf numFmtId="3" fontId="10" fillId="32" borderId="39" xfId="0" applyNumberFormat="1" applyFont="1" applyFill="1" applyBorder="1" applyAlignment="1">
      <alignment horizontal="center" vertical="center"/>
    </xf>
    <xf numFmtId="3" fontId="56" fillId="32" borderId="0" xfId="0" applyNumberFormat="1" applyFont="1" applyFill="1" applyBorder="1" applyAlignment="1">
      <alignment horizontal="center" vertical="center"/>
    </xf>
    <xf numFmtId="9" fontId="56" fillId="32" borderId="0" xfId="72" applyFont="1" applyFill="1" applyBorder="1" applyAlignment="1">
      <alignment vertical="top"/>
    </xf>
    <xf numFmtId="0" fontId="56" fillId="32" borderId="0" xfId="0" applyFont="1" applyFill="1" applyBorder="1" applyAlignment="1">
      <alignment horizontal="center" vertical="top" wrapText="1"/>
    </xf>
    <xf numFmtId="38" fontId="51" fillId="32" borderId="13" xfId="0" applyNumberFormat="1" applyFont="1" applyFill="1" applyBorder="1" applyAlignment="1">
      <alignment horizontal="center"/>
    </xf>
    <xf numFmtId="9" fontId="51" fillId="32" borderId="13" xfId="72" applyFont="1" applyFill="1" applyBorder="1" applyAlignment="1">
      <alignment horizontal="center"/>
    </xf>
    <xf numFmtId="0" fontId="51" fillId="32" borderId="13" xfId="0" applyFont="1" applyFill="1" applyBorder="1"/>
    <xf numFmtId="38" fontId="56" fillId="32" borderId="13" xfId="71" applyNumberFormat="1" applyFont="1" applyFill="1" applyBorder="1" applyAlignment="1">
      <alignment horizontal="center" vertical="center"/>
    </xf>
    <xf numFmtId="38" fontId="56" fillId="32" borderId="0" xfId="71" applyNumberFormat="1" applyFont="1" applyFill="1" applyBorder="1" applyAlignment="1">
      <alignment horizontal="center" vertical="center"/>
    </xf>
    <xf numFmtId="0" fontId="51" fillId="32" borderId="0" xfId="0" applyFont="1" applyFill="1" applyBorder="1"/>
    <xf numFmtId="164" fontId="56" fillId="32" borderId="42" xfId="0" applyNumberFormat="1" applyFont="1" applyFill="1" applyBorder="1" applyAlignment="1">
      <alignment horizontal="center"/>
    </xf>
    <xf numFmtId="164" fontId="56" fillId="32" borderId="43" xfId="0" applyNumberFormat="1" applyFont="1" applyFill="1" applyBorder="1" applyAlignment="1">
      <alignment horizontal="center"/>
    </xf>
    <xf numFmtId="164" fontId="51" fillId="32" borderId="42" xfId="0" applyNumberFormat="1" applyFont="1" applyFill="1" applyBorder="1" applyAlignment="1">
      <alignment horizontal="center"/>
    </xf>
    <xf numFmtId="164" fontId="51" fillId="32" borderId="43" xfId="0" applyNumberFormat="1" applyFont="1" applyFill="1" applyBorder="1" applyAlignment="1">
      <alignment horizontal="center"/>
    </xf>
    <xf numFmtId="164" fontId="10" fillId="32" borderId="55" xfId="0" applyNumberFormat="1" applyFont="1" applyFill="1" applyBorder="1" applyAlignment="1">
      <alignment horizontal="center"/>
    </xf>
    <xf numFmtId="164" fontId="52" fillId="32" borderId="6" xfId="0" applyNumberFormat="1" applyFont="1" applyFill="1" applyBorder="1" applyAlignment="1">
      <alignment horizontal="center"/>
    </xf>
    <xf numFmtId="164" fontId="56" fillId="32" borderId="44" xfId="0" applyNumberFormat="1" applyFont="1" applyFill="1" applyBorder="1" applyAlignment="1">
      <alignment horizontal="center"/>
    </xf>
    <xf numFmtId="164" fontId="10" fillId="32" borderId="52" xfId="0" applyNumberFormat="1" applyFont="1" applyFill="1" applyBorder="1" applyAlignment="1">
      <alignment horizontal="center"/>
    </xf>
    <xf numFmtId="164" fontId="51" fillId="32" borderId="44" xfId="0" applyNumberFormat="1" applyFont="1" applyFill="1" applyBorder="1" applyAlignment="1">
      <alignment horizontal="center"/>
    </xf>
    <xf numFmtId="164" fontId="52" fillId="32" borderId="83" xfId="0" applyNumberFormat="1" applyFont="1" applyFill="1" applyBorder="1" applyAlignment="1">
      <alignment horizontal="center"/>
    </xf>
    <xf numFmtId="171" fontId="51" fillId="32" borderId="2" xfId="0" applyNumberFormat="1" applyFont="1" applyFill="1" applyBorder="1" applyAlignment="1">
      <alignment horizontal="center"/>
    </xf>
    <xf numFmtId="171" fontId="51" fillId="32" borderId="37" xfId="0" applyNumberFormat="1" applyFont="1" applyFill="1" applyBorder="1" applyAlignment="1">
      <alignment horizontal="center"/>
    </xf>
    <xf numFmtId="168" fontId="56" fillId="32" borderId="0" xfId="0" applyNumberFormat="1" applyFont="1" applyFill="1" applyBorder="1" applyAlignment="1">
      <alignment horizontal="center" vertical="center"/>
    </xf>
    <xf numFmtId="171" fontId="56" fillId="32" borderId="0" xfId="0" applyNumberFormat="1" applyFont="1" applyFill="1" applyBorder="1" applyAlignment="1">
      <alignment horizontal="center" vertical="center"/>
    </xf>
    <xf numFmtId="171" fontId="10" fillId="32" borderId="0" xfId="0" applyNumberFormat="1" applyFont="1" applyFill="1" applyBorder="1" applyAlignment="1">
      <alignment horizontal="center" vertical="center"/>
    </xf>
    <xf numFmtId="9" fontId="51" fillId="32" borderId="0" xfId="0" applyNumberFormat="1" applyFont="1" applyFill="1" applyBorder="1"/>
    <xf numFmtId="169" fontId="13" fillId="32" borderId="8" xfId="0" applyNumberFormat="1" applyFont="1" applyFill="1" applyBorder="1"/>
    <xf numFmtId="169" fontId="15" fillId="32" borderId="8" xfId="70" applyNumberFormat="1" applyFont="1" applyFill="1" applyBorder="1"/>
    <xf numFmtId="169" fontId="53" fillId="32" borderId="15" xfId="0" applyNumberFormat="1" applyFont="1" applyFill="1" applyBorder="1"/>
    <xf numFmtId="179" fontId="0" fillId="2" borderId="0" xfId="0" applyNumberFormat="1" applyFont="1" applyFill="1"/>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4"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1"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65" fillId="27" borderId="88" xfId="0" applyFont="1" applyFill="1" applyBorder="1" applyAlignment="1">
      <alignment horizontal="center" vertical="center" wrapText="1"/>
    </xf>
    <xf numFmtId="0" fontId="65" fillId="27" borderId="90"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89"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0001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zoomScale="90" zoomScaleNormal="90" workbookViewId="0">
      <selection activeCell="B3" sqref="B3:C3"/>
    </sheetView>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3"/>
    <row r="3" spans="1:3" ht="20.45" x14ac:dyDescent="0.3">
      <c r="B3" s="562" t="s">
        <v>342</v>
      </c>
      <c r="C3" s="562"/>
    </row>
    <row r="4" spans="1:3" ht="21" customHeight="1" x14ac:dyDescent="0.3"/>
    <row r="5" spans="1:3" s="73" customFormat="1" ht="25.5" customHeight="1" x14ac:dyDescent="0.25">
      <c r="B5" s="464" t="s">
        <v>378</v>
      </c>
      <c r="C5" s="464" t="s">
        <v>341</v>
      </c>
    </row>
    <row r="6" spans="1:3" s="80" customFormat="1" ht="32.25" customHeight="1" x14ac:dyDescent="0.3">
      <c r="A6" s="43"/>
      <c r="B6" s="465" t="s">
        <v>337</v>
      </c>
      <c r="C6" s="466" t="s">
        <v>463</v>
      </c>
    </row>
    <row r="7" spans="1:3" s="80" customFormat="1" ht="9.75" customHeight="1" x14ac:dyDescent="0.3">
      <c r="B7" s="91"/>
      <c r="C7" s="93"/>
    </row>
    <row r="8" spans="1:3" s="80" customFormat="1" ht="13.9" x14ac:dyDescent="0.3">
      <c r="B8" s="301" t="s">
        <v>332</v>
      </c>
      <c r="C8" s="93" t="s">
        <v>350</v>
      </c>
    </row>
    <row r="9" spans="1:3" s="80" customFormat="1" ht="13.9" x14ac:dyDescent="0.3">
      <c r="B9" s="91"/>
      <c r="C9" s="93"/>
    </row>
    <row r="10" spans="1:3" s="80" customFormat="1" ht="13.9" x14ac:dyDescent="0.3">
      <c r="B10" s="301" t="s">
        <v>333</v>
      </c>
      <c r="C10" s="93" t="s">
        <v>352</v>
      </c>
    </row>
    <row r="11" spans="1:3" s="80" customFormat="1" ht="13.9" x14ac:dyDescent="0.3">
      <c r="B11" s="91"/>
      <c r="C11" s="93"/>
    </row>
    <row r="12" spans="1:3" s="80" customFormat="1" ht="30" customHeight="1" x14ac:dyDescent="0.3">
      <c r="B12" s="301" t="s">
        <v>334</v>
      </c>
      <c r="C12" s="459" t="s">
        <v>464</v>
      </c>
    </row>
    <row r="13" spans="1:3" s="80" customFormat="1" ht="13.9" x14ac:dyDescent="0.3">
      <c r="B13" s="91"/>
      <c r="C13" s="93"/>
    </row>
    <row r="14" spans="1:3" s="80" customFormat="1" ht="13.9" x14ac:dyDescent="0.3">
      <c r="B14" s="301" t="s">
        <v>505</v>
      </c>
      <c r="C14" s="93" t="s">
        <v>484</v>
      </c>
    </row>
    <row r="15" spans="1:3" s="80" customFormat="1" ht="13.9" hidden="1" x14ac:dyDescent="0.3">
      <c r="B15" s="301" t="s">
        <v>472</v>
      </c>
      <c r="C15" s="93" t="s">
        <v>485</v>
      </c>
    </row>
    <row r="16" spans="1:3" s="80" customFormat="1" ht="13.9" hidden="1" x14ac:dyDescent="0.3">
      <c r="B16" s="91"/>
      <c r="C16" s="93"/>
    </row>
    <row r="17" spans="2:8" s="80" customFormat="1" ht="13.9" hidden="1" x14ac:dyDescent="0.3">
      <c r="B17" s="301" t="s">
        <v>473</v>
      </c>
      <c r="C17" s="93" t="s">
        <v>486</v>
      </c>
    </row>
    <row r="18" spans="2:8" s="80" customFormat="1" ht="13.9" hidden="1" x14ac:dyDescent="0.3">
      <c r="B18" s="91"/>
      <c r="C18" s="93"/>
    </row>
    <row r="19" spans="2:8" s="80" customFormat="1" ht="13.9" hidden="1" x14ac:dyDescent="0.3">
      <c r="B19" s="301" t="s">
        <v>474</v>
      </c>
      <c r="C19" s="93" t="s">
        <v>487</v>
      </c>
      <c r="E19" s="563" t="s">
        <v>469</v>
      </c>
      <c r="F19" s="563"/>
      <c r="G19" s="563"/>
      <c r="H19" s="563"/>
    </row>
    <row r="20" spans="2:8" s="80" customFormat="1" ht="13.9" hidden="1" x14ac:dyDescent="0.3">
      <c r="B20" s="91"/>
      <c r="C20" s="93"/>
      <c r="E20" s="563"/>
      <c r="F20" s="563"/>
      <c r="G20" s="563"/>
      <c r="H20" s="563"/>
    </row>
    <row r="21" spans="2:8" s="80" customFormat="1" ht="13.9" hidden="1" x14ac:dyDescent="0.3">
      <c r="B21" s="301" t="s">
        <v>475</v>
      </c>
      <c r="C21" s="93" t="s">
        <v>488</v>
      </c>
      <c r="E21" s="563"/>
      <c r="F21" s="563"/>
      <c r="G21" s="563"/>
      <c r="H21" s="563"/>
    </row>
    <row r="22" spans="2:8" s="80" customFormat="1" ht="13.9" hidden="1" x14ac:dyDescent="0.3">
      <c r="B22" s="91"/>
      <c r="C22" s="93"/>
    </row>
    <row r="23" spans="2:8" s="80" customFormat="1" ht="13.9" hidden="1" x14ac:dyDescent="0.3">
      <c r="B23" s="301" t="s">
        <v>476</v>
      </c>
      <c r="C23" s="93" t="s">
        <v>489</v>
      </c>
    </row>
    <row r="24" spans="2:8" s="80" customFormat="1" ht="13.9" x14ac:dyDescent="0.3">
      <c r="B24" s="91"/>
      <c r="C24" s="93"/>
    </row>
    <row r="25" spans="2:8" s="80" customFormat="1" ht="13.9" x14ac:dyDescent="0.3">
      <c r="B25" s="301" t="s">
        <v>471</v>
      </c>
      <c r="C25" s="459" t="s">
        <v>493</v>
      </c>
    </row>
    <row r="26" spans="2:8" s="80" customFormat="1" ht="13.9" x14ac:dyDescent="0.3">
      <c r="B26" s="301"/>
      <c r="C26" s="459"/>
    </row>
    <row r="27" spans="2:8" s="80" customFormat="1" ht="13.9" x14ac:dyDescent="0.3">
      <c r="B27" s="301" t="s">
        <v>335</v>
      </c>
      <c r="C27" s="93" t="s">
        <v>365</v>
      </c>
    </row>
    <row r="28" spans="2:8" s="80" customFormat="1" ht="13.9" x14ac:dyDescent="0.3">
      <c r="B28" s="92"/>
      <c r="C28" s="92"/>
    </row>
    <row r="29" spans="2:8" s="81" customFormat="1" ht="14.45" x14ac:dyDescent="0.3">
      <c r="B29" s="210"/>
    </row>
    <row r="30" spans="2:8" s="81" customFormat="1" ht="14.45" x14ac:dyDescent="0.3">
      <c r="B30" s="157"/>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5"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39" customWidth="1"/>
    <col min="4" max="4" width="12.28515625" style="440" customWidth="1"/>
    <col min="5" max="5" width="13.28515625" style="440"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5">
      <c r="B2" s="655" t="s">
        <v>281</v>
      </c>
      <c r="C2" s="655"/>
      <c r="D2" s="655"/>
      <c r="E2" s="655"/>
      <c r="F2" s="655"/>
      <c r="G2" s="655"/>
      <c r="H2" s="655"/>
      <c r="I2" s="655"/>
      <c r="J2" s="655"/>
      <c r="K2" s="655"/>
      <c r="L2" s="655"/>
      <c r="M2" s="655"/>
      <c r="N2" s="655"/>
      <c r="O2" s="655"/>
      <c r="P2" s="655"/>
    </row>
    <row r="3" spans="1:18" ht="18" outlineLevel="1" x14ac:dyDescent="0.35">
      <c r="B3" s="442"/>
      <c r="C3" s="443"/>
      <c r="D3" s="443"/>
      <c r="E3" s="443"/>
      <c r="F3" s="443"/>
      <c r="G3" s="443"/>
      <c r="H3" s="443"/>
      <c r="I3" s="443"/>
      <c r="J3" s="443"/>
      <c r="K3" s="443"/>
      <c r="L3" s="443"/>
      <c r="M3" s="443"/>
      <c r="N3" s="443"/>
      <c r="O3" s="443"/>
      <c r="P3" s="443"/>
    </row>
    <row r="4" spans="1:18" ht="35.25" customHeight="1" outlineLevel="1" x14ac:dyDescent="0.35">
      <c r="A4" s="65"/>
      <c r="B4" s="442"/>
      <c r="C4" s="368" t="s">
        <v>403</v>
      </c>
      <c r="D4" s="443"/>
      <c r="E4" s="654" t="s">
        <v>366</v>
      </c>
      <c r="F4" s="654"/>
      <c r="G4" s="654"/>
      <c r="H4" s="654"/>
      <c r="I4" s="654"/>
      <c r="J4" s="654"/>
      <c r="K4" s="654"/>
      <c r="L4" s="654"/>
      <c r="M4" s="654"/>
      <c r="N4" s="654"/>
      <c r="O4" s="654"/>
      <c r="P4" s="654"/>
    </row>
    <row r="5" spans="1:18" ht="18.75" customHeight="1" outlineLevel="1" x14ac:dyDescent="0.35">
      <c r="B5" s="442"/>
      <c r="C5" s="444"/>
      <c r="D5" s="443"/>
      <c r="E5" s="371" t="s">
        <v>360</v>
      </c>
      <c r="F5" s="443"/>
      <c r="G5" s="443"/>
      <c r="H5" s="443"/>
      <c r="I5" s="443"/>
      <c r="J5" s="443"/>
      <c r="K5" s="443"/>
      <c r="L5" s="443"/>
      <c r="M5" s="443"/>
      <c r="N5" s="443"/>
      <c r="O5" s="443"/>
      <c r="P5" s="443"/>
    </row>
    <row r="6" spans="1:18" ht="18.75" customHeight="1" outlineLevel="1" x14ac:dyDescent="0.35">
      <c r="B6" s="442"/>
      <c r="C6" s="444"/>
      <c r="D6" s="443"/>
      <c r="E6" s="371" t="s">
        <v>361</v>
      </c>
      <c r="F6" s="443"/>
      <c r="G6" s="443"/>
      <c r="H6" s="443"/>
      <c r="I6" s="443"/>
      <c r="J6" s="443"/>
      <c r="K6" s="443"/>
      <c r="L6" s="443"/>
      <c r="M6" s="443"/>
      <c r="N6" s="443"/>
      <c r="O6" s="443"/>
      <c r="P6" s="443"/>
    </row>
    <row r="7" spans="1:18" ht="18.75" customHeight="1" outlineLevel="1" x14ac:dyDescent="0.35">
      <c r="B7" s="442"/>
      <c r="C7" s="444"/>
      <c r="D7" s="443"/>
      <c r="E7" s="371" t="s">
        <v>421</v>
      </c>
      <c r="F7" s="443"/>
      <c r="G7" s="443"/>
      <c r="H7" s="443"/>
      <c r="I7" s="443"/>
      <c r="J7" s="443"/>
      <c r="K7" s="443"/>
      <c r="L7" s="443"/>
      <c r="M7" s="443"/>
      <c r="N7" s="443"/>
      <c r="O7" s="443"/>
      <c r="P7" s="443"/>
    </row>
    <row r="8" spans="1:18" ht="18.75" customHeight="1" outlineLevel="1" x14ac:dyDescent="0.35">
      <c r="B8" s="442"/>
      <c r="C8" s="444"/>
      <c r="D8" s="443"/>
      <c r="E8" s="371"/>
      <c r="F8" s="443"/>
      <c r="G8" s="443"/>
      <c r="H8" s="443"/>
      <c r="I8" s="443"/>
      <c r="J8" s="443"/>
      <c r="K8" s="443"/>
      <c r="L8" s="443"/>
      <c r="M8" s="443"/>
      <c r="N8" s="443"/>
      <c r="O8" s="443"/>
      <c r="P8" s="443"/>
    </row>
    <row r="9" spans="1:18" ht="18.75" customHeight="1" outlineLevel="1" x14ac:dyDescent="0.35">
      <c r="B9" s="442"/>
      <c r="C9" s="235" t="s">
        <v>339</v>
      </c>
      <c r="D9" s="442"/>
      <c r="E9" s="639" t="s">
        <v>367</v>
      </c>
      <c r="F9" s="639"/>
      <c r="G9" s="442"/>
      <c r="H9" s="442"/>
      <c r="I9" s="442"/>
      <c r="J9" s="442"/>
      <c r="K9" s="442"/>
      <c r="L9" s="442"/>
      <c r="M9" s="442"/>
      <c r="N9" s="442"/>
      <c r="O9" s="442"/>
      <c r="P9" s="442"/>
      <c r="R9" s="82"/>
    </row>
    <row r="10" spans="1:18" ht="18.75" customHeight="1" outlineLevel="1" x14ac:dyDescent="0.35">
      <c r="B10" s="442"/>
      <c r="C10" s="442"/>
      <c r="D10" s="442"/>
      <c r="E10" s="574" t="s">
        <v>340</v>
      </c>
      <c r="F10" s="574"/>
      <c r="G10" s="442"/>
      <c r="H10" s="442"/>
      <c r="I10" s="442"/>
      <c r="J10" s="442"/>
      <c r="K10" s="442"/>
      <c r="L10" s="442"/>
      <c r="M10" s="442"/>
      <c r="N10" s="442"/>
      <c r="O10" s="442"/>
      <c r="P10" s="442"/>
    </row>
    <row r="11" spans="1:18" ht="18.75" customHeight="1" x14ac:dyDescent="0.35">
      <c r="B11" s="442"/>
      <c r="C11" s="442"/>
      <c r="D11" s="442"/>
      <c r="E11" s="137"/>
      <c r="G11" s="442"/>
      <c r="H11" s="442"/>
      <c r="I11" s="442"/>
      <c r="J11" s="442"/>
      <c r="K11" s="442"/>
      <c r="L11" s="442"/>
      <c r="M11" s="442"/>
      <c r="N11" s="442"/>
      <c r="O11" s="442"/>
      <c r="P11" s="442"/>
    </row>
    <row r="12" spans="1:18" ht="15.6" x14ac:dyDescent="0.3">
      <c r="A12" s="48"/>
      <c r="B12" s="445" t="s">
        <v>481</v>
      </c>
      <c r="C12" s="446"/>
      <c r="D12" s="447"/>
      <c r="E12" s="447"/>
    </row>
    <row r="13" spans="1:18" ht="45" x14ac:dyDescent="0.25">
      <c r="B13" s="646" t="s">
        <v>58</v>
      </c>
      <c r="C13" s="648" t="s">
        <v>0</v>
      </c>
      <c r="D13" s="648" t="s">
        <v>44</v>
      </c>
      <c r="E13" s="648" t="s">
        <v>206</v>
      </c>
      <c r="F13" s="238" t="s">
        <v>203</v>
      </c>
      <c r="G13" s="238" t="s">
        <v>45</v>
      </c>
      <c r="H13" s="650" t="s">
        <v>59</v>
      </c>
      <c r="I13" s="650"/>
      <c r="J13" s="650"/>
      <c r="K13" s="650"/>
      <c r="L13" s="650"/>
      <c r="M13" s="650"/>
      <c r="N13" s="650"/>
      <c r="O13" s="650"/>
      <c r="P13" s="651"/>
    </row>
    <row r="14" spans="1:18" ht="60" x14ac:dyDescent="0.25">
      <c r="B14" s="647"/>
      <c r="C14" s="649"/>
      <c r="D14" s="649"/>
      <c r="E14" s="649"/>
      <c r="F14" s="437" t="s">
        <v>215</v>
      </c>
      <c r="G14" s="437" t="s">
        <v>216</v>
      </c>
      <c r="H14" s="438" t="s">
        <v>37</v>
      </c>
      <c r="I14" s="438" t="s">
        <v>39</v>
      </c>
      <c r="J14" s="438" t="s">
        <v>108</v>
      </c>
      <c r="K14" s="438" t="s">
        <v>109</v>
      </c>
      <c r="L14" s="438" t="s">
        <v>40</v>
      </c>
      <c r="M14" s="438" t="s">
        <v>41</v>
      </c>
      <c r="N14" s="438" t="s">
        <v>42</v>
      </c>
      <c r="O14" s="438" t="s">
        <v>105</v>
      </c>
      <c r="P14" s="441" t="s">
        <v>34</v>
      </c>
    </row>
    <row r="15" spans="1:18" ht="29.25" customHeight="1" x14ac:dyDescent="0.3">
      <c r="B15" s="627" t="s">
        <v>142</v>
      </c>
      <c r="C15" s="628"/>
      <c r="D15" s="628"/>
      <c r="E15" s="628"/>
      <c r="F15" s="628"/>
      <c r="G15" s="628"/>
      <c r="H15" s="628"/>
      <c r="I15" s="628"/>
      <c r="J15" s="628"/>
      <c r="K15" s="628"/>
      <c r="L15" s="628"/>
      <c r="M15" s="628"/>
      <c r="N15" s="628"/>
      <c r="O15" s="628"/>
      <c r="P15" s="629"/>
    </row>
    <row r="16" spans="1:18" ht="26.25" customHeight="1" x14ac:dyDescent="0.3">
      <c r="A16" s="50"/>
      <c r="B16" s="640" t="s">
        <v>143</v>
      </c>
      <c r="C16" s="641"/>
      <c r="D16" s="641"/>
      <c r="E16" s="641"/>
      <c r="F16" s="641"/>
      <c r="G16" s="641"/>
      <c r="H16" s="641"/>
      <c r="I16" s="641"/>
      <c r="J16" s="641"/>
      <c r="K16" s="641"/>
      <c r="L16" s="641"/>
      <c r="M16" s="641"/>
      <c r="N16" s="641"/>
      <c r="O16" s="641"/>
      <c r="P16" s="642"/>
    </row>
    <row r="17" spans="1:16" ht="14.45" x14ac:dyDescent="0.3">
      <c r="A17" s="50"/>
      <c r="B17" s="428">
        <v>1</v>
      </c>
      <c r="C17" s="413" t="s">
        <v>144</v>
      </c>
      <c r="D17" s="253" t="s">
        <v>33</v>
      </c>
      <c r="E17" s="414"/>
      <c r="F17" s="296"/>
      <c r="G17" s="296"/>
      <c r="H17" s="425">
        <v>1</v>
      </c>
      <c r="I17" s="415"/>
      <c r="J17" s="415"/>
      <c r="K17" s="415"/>
      <c r="L17" s="415"/>
      <c r="M17" s="415"/>
      <c r="N17" s="415"/>
      <c r="O17" s="415"/>
      <c r="P17" s="429">
        <f>SUM(H17:O17)</f>
        <v>1</v>
      </c>
    </row>
    <row r="18" spans="1:16" ht="14.45" x14ac:dyDescent="0.3">
      <c r="A18" s="47"/>
      <c r="B18" s="428">
        <v>2</v>
      </c>
      <c r="C18" s="413" t="s">
        <v>145</v>
      </c>
      <c r="D18" s="253" t="s">
        <v>33</v>
      </c>
      <c r="E18" s="416"/>
      <c r="F18" s="296"/>
      <c r="G18" s="296"/>
      <c r="H18" s="425">
        <v>1</v>
      </c>
      <c r="I18" s="415"/>
      <c r="J18" s="415"/>
      <c r="K18" s="415"/>
      <c r="L18" s="415"/>
      <c r="M18" s="415"/>
      <c r="N18" s="415"/>
      <c r="O18" s="415"/>
      <c r="P18" s="429">
        <f t="shared" ref="P18:P79" si="0">SUM(H18:O18)</f>
        <v>1</v>
      </c>
    </row>
    <row r="19" spans="1:16" ht="14.45" x14ac:dyDescent="0.3">
      <c r="A19" s="50"/>
      <c r="B19" s="428">
        <v>3</v>
      </c>
      <c r="C19" s="413" t="s">
        <v>146</v>
      </c>
      <c r="D19" s="253" t="s">
        <v>33</v>
      </c>
      <c r="E19" s="416"/>
      <c r="F19" s="296"/>
      <c r="G19" s="296"/>
      <c r="H19" s="425">
        <v>1</v>
      </c>
      <c r="I19" s="415"/>
      <c r="J19" s="415"/>
      <c r="K19" s="415"/>
      <c r="L19" s="415"/>
      <c r="M19" s="415"/>
      <c r="N19" s="415"/>
      <c r="O19" s="415"/>
      <c r="P19" s="429">
        <f t="shared" si="0"/>
        <v>1</v>
      </c>
    </row>
    <row r="20" spans="1:16" ht="14.45" x14ac:dyDescent="0.3">
      <c r="A20" s="50"/>
      <c r="B20" s="428">
        <v>4</v>
      </c>
      <c r="C20" s="413" t="s">
        <v>147</v>
      </c>
      <c r="D20" s="253" t="s">
        <v>33</v>
      </c>
      <c r="E20" s="416"/>
      <c r="F20" s="296"/>
      <c r="G20" s="296"/>
      <c r="H20" s="425">
        <v>1</v>
      </c>
      <c r="I20" s="415"/>
      <c r="J20" s="415"/>
      <c r="K20" s="415"/>
      <c r="L20" s="415"/>
      <c r="M20" s="415"/>
      <c r="N20" s="415"/>
      <c r="O20" s="415"/>
      <c r="P20" s="429">
        <f t="shared" si="0"/>
        <v>1</v>
      </c>
    </row>
    <row r="21" spans="1:16" ht="14.45" x14ac:dyDescent="0.3">
      <c r="A21" s="50"/>
      <c r="B21" s="428">
        <v>5</v>
      </c>
      <c r="C21" s="413" t="s">
        <v>148</v>
      </c>
      <c r="D21" s="253" t="s">
        <v>33</v>
      </c>
      <c r="E21" s="416"/>
      <c r="F21" s="296"/>
      <c r="G21" s="296"/>
      <c r="H21" s="425">
        <v>1</v>
      </c>
      <c r="I21" s="415"/>
      <c r="J21" s="415"/>
      <c r="K21" s="415"/>
      <c r="L21" s="415"/>
      <c r="M21" s="415"/>
      <c r="N21" s="415"/>
      <c r="O21" s="415"/>
      <c r="P21" s="429">
        <f t="shared" si="0"/>
        <v>1</v>
      </c>
    </row>
    <row r="22" spans="1:16" ht="27.6" x14ac:dyDescent="0.3">
      <c r="A22" s="50"/>
      <c r="B22" s="428">
        <v>6</v>
      </c>
      <c r="C22" s="413" t="s">
        <v>149</v>
      </c>
      <c r="D22" s="253" t="s">
        <v>33</v>
      </c>
      <c r="E22" s="416"/>
      <c r="F22" s="296"/>
      <c r="G22" s="296"/>
      <c r="H22" s="425">
        <v>1</v>
      </c>
      <c r="I22" s="415"/>
      <c r="J22" s="415"/>
      <c r="K22" s="415"/>
      <c r="L22" s="415"/>
      <c r="M22" s="415"/>
      <c r="N22" s="415"/>
      <c r="O22" s="415"/>
      <c r="P22" s="429">
        <f t="shared" si="0"/>
        <v>1</v>
      </c>
    </row>
    <row r="23" spans="1:16" ht="14.45" x14ac:dyDescent="0.3">
      <c r="A23" s="50"/>
      <c r="B23" s="430" t="s">
        <v>282</v>
      </c>
      <c r="C23" s="413"/>
      <c r="D23" s="253" t="s">
        <v>255</v>
      </c>
      <c r="E23" s="416"/>
      <c r="F23" s="296"/>
      <c r="G23" s="296"/>
      <c r="H23" s="425"/>
      <c r="I23" s="415"/>
      <c r="J23" s="415"/>
      <c r="K23" s="415"/>
      <c r="L23" s="415"/>
      <c r="M23" s="415"/>
      <c r="N23" s="415"/>
      <c r="O23" s="415"/>
      <c r="P23" s="429">
        <f t="shared" si="0"/>
        <v>0</v>
      </c>
    </row>
    <row r="24" spans="1:16" ht="14.45" x14ac:dyDescent="0.3">
      <c r="A24" s="50"/>
      <c r="B24" s="428"/>
      <c r="C24" s="413"/>
      <c r="D24" s="253"/>
      <c r="E24" s="416"/>
      <c r="F24" s="296"/>
      <c r="G24" s="296"/>
      <c r="H24" s="425"/>
      <c r="I24" s="415"/>
      <c r="J24" s="415"/>
      <c r="K24" s="415"/>
      <c r="L24" s="415"/>
      <c r="M24" s="415"/>
      <c r="N24" s="415"/>
      <c r="O24" s="415"/>
      <c r="P24" s="429">
        <f t="shared" si="0"/>
        <v>0</v>
      </c>
    </row>
    <row r="25" spans="1:16" ht="14.45" x14ac:dyDescent="0.3">
      <c r="A25" s="50"/>
      <c r="B25" s="428"/>
      <c r="C25" s="413"/>
      <c r="D25" s="253"/>
      <c r="E25" s="416"/>
      <c r="F25" s="296"/>
      <c r="G25" s="296"/>
      <c r="H25" s="425"/>
      <c r="I25" s="415"/>
      <c r="J25" s="415"/>
      <c r="K25" s="415"/>
      <c r="L25" s="415"/>
      <c r="M25" s="415"/>
      <c r="N25" s="415"/>
      <c r="O25" s="415"/>
      <c r="P25" s="429">
        <f t="shared" si="0"/>
        <v>0</v>
      </c>
    </row>
    <row r="26" spans="1:16" ht="14.45" x14ac:dyDescent="0.3">
      <c r="A26" s="50"/>
      <c r="B26" s="428"/>
      <c r="C26" s="413"/>
      <c r="D26" s="253"/>
      <c r="E26" s="416"/>
      <c r="F26" s="296"/>
      <c r="G26" s="296"/>
      <c r="H26" s="425"/>
      <c r="I26" s="415"/>
      <c r="J26" s="415"/>
      <c r="K26" s="415"/>
      <c r="L26" s="415"/>
      <c r="M26" s="415"/>
      <c r="N26" s="415"/>
      <c r="O26" s="415"/>
      <c r="P26" s="429">
        <f t="shared" si="0"/>
        <v>0</v>
      </c>
    </row>
    <row r="27" spans="1:16" ht="25.5" customHeight="1" x14ac:dyDescent="0.3">
      <c r="A27" s="50"/>
      <c r="B27" s="640" t="s">
        <v>150</v>
      </c>
      <c r="C27" s="641"/>
      <c r="D27" s="641"/>
      <c r="E27" s="641"/>
      <c r="F27" s="641"/>
      <c r="G27" s="641"/>
      <c r="H27" s="641"/>
      <c r="I27" s="641"/>
      <c r="J27" s="641"/>
      <c r="K27" s="641"/>
      <c r="L27" s="641"/>
      <c r="M27" s="641"/>
      <c r="N27" s="641"/>
      <c r="O27" s="641"/>
      <c r="P27" s="642"/>
    </row>
    <row r="28" spans="1:16" ht="14.45" x14ac:dyDescent="0.3">
      <c r="A28" s="50"/>
      <c r="B28" s="428">
        <v>7</v>
      </c>
      <c r="C28" s="413" t="s">
        <v>151</v>
      </c>
      <c r="D28" s="253" t="s">
        <v>33</v>
      </c>
      <c r="E28" s="416">
        <v>12</v>
      </c>
      <c r="F28" s="296"/>
      <c r="G28" s="296"/>
      <c r="H28" s="415"/>
      <c r="I28" s="425">
        <v>0.2</v>
      </c>
      <c r="J28" s="425">
        <v>0.5</v>
      </c>
      <c r="K28" s="425">
        <v>0.3</v>
      </c>
      <c r="L28" s="415"/>
      <c r="M28" s="415"/>
      <c r="N28" s="415"/>
      <c r="O28" s="415"/>
      <c r="P28" s="429">
        <f t="shared" si="0"/>
        <v>1</v>
      </c>
    </row>
    <row r="29" spans="1:16" ht="27.6" x14ac:dyDescent="0.3">
      <c r="A29" s="50"/>
      <c r="B29" s="428">
        <v>8</v>
      </c>
      <c r="C29" s="413" t="s">
        <v>152</v>
      </c>
      <c r="D29" s="253" t="s">
        <v>33</v>
      </c>
      <c r="E29" s="416">
        <v>12</v>
      </c>
      <c r="F29" s="296"/>
      <c r="G29" s="296"/>
      <c r="H29" s="415"/>
      <c r="I29" s="425">
        <v>0.8</v>
      </c>
      <c r="J29" s="425">
        <v>0.2</v>
      </c>
      <c r="K29" s="415"/>
      <c r="L29" s="415"/>
      <c r="M29" s="415"/>
      <c r="N29" s="415"/>
      <c r="O29" s="415"/>
      <c r="P29" s="429">
        <f t="shared" si="0"/>
        <v>1</v>
      </c>
    </row>
    <row r="30" spans="1:16" ht="27.6" x14ac:dyDescent="0.3">
      <c r="A30" s="50"/>
      <c r="B30" s="428">
        <v>9</v>
      </c>
      <c r="C30" s="413" t="s">
        <v>153</v>
      </c>
      <c r="D30" s="253" t="s">
        <v>33</v>
      </c>
      <c r="E30" s="416">
        <v>12</v>
      </c>
      <c r="F30" s="296"/>
      <c r="G30" s="296"/>
      <c r="H30" s="415"/>
      <c r="I30" s="425">
        <v>0.5</v>
      </c>
      <c r="J30" s="425">
        <v>0.5</v>
      </c>
      <c r="K30" s="415"/>
      <c r="L30" s="415"/>
      <c r="M30" s="415"/>
      <c r="N30" s="415"/>
      <c r="O30" s="415"/>
      <c r="P30" s="429">
        <f t="shared" si="0"/>
        <v>1</v>
      </c>
    </row>
    <row r="31" spans="1:16" ht="27.6" x14ac:dyDescent="0.3">
      <c r="A31" s="50"/>
      <c r="B31" s="428">
        <v>10</v>
      </c>
      <c r="C31" s="413" t="s">
        <v>154</v>
      </c>
      <c r="D31" s="253" t="s">
        <v>33</v>
      </c>
      <c r="E31" s="416">
        <v>12</v>
      </c>
      <c r="F31" s="296"/>
      <c r="G31" s="296"/>
      <c r="H31" s="415"/>
      <c r="I31" s="425">
        <v>1</v>
      </c>
      <c r="J31" s="415"/>
      <c r="K31" s="415"/>
      <c r="L31" s="415"/>
      <c r="M31" s="415"/>
      <c r="N31" s="415"/>
      <c r="O31" s="415"/>
      <c r="P31" s="429">
        <f t="shared" si="0"/>
        <v>1</v>
      </c>
    </row>
    <row r="32" spans="1:16" ht="27.6" x14ac:dyDescent="0.3">
      <c r="A32" s="50"/>
      <c r="B32" s="428">
        <v>11</v>
      </c>
      <c r="C32" s="413" t="s">
        <v>155</v>
      </c>
      <c r="D32" s="253" t="s">
        <v>33</v>
      </c>
      <c r="E32" s="416">
        <v>3</v>
      </c>
      <c r="F32" s="296"/>
      <c r="G32" s="296"/>
      <c r="H32" s="415"/>
      <c r="I32" s="415"/>
      <c r="J32" s="425">
        <v>1</v>
      </c>
      <c r="K32" s="415"/>
      <c r="L32" s="415"/>
      <c r="M32" s="415"/>
      <c r="N32" s="415"/>
      <c r="O32" s="415"/>
      <c r="P32" s="429">
        <f t="shared" si="0"/>
        <v>1</v>
      </c>
    </row>
    <row r="33" spans="1:16" ht="14.45" x14ac:dyDescent="0.3">
      <c r="A33" s="50"/>
      <c r="B33" s="430" t="s">
        <v>282</v>
      </c>
      <c r="C33" s="413"/>
      <c r="D33" s="253" t="s">
        <v>255</v>
      </c>
      <c r="E33" s="416"/>
      <c r="F33" s="296"/>
      <c r="G33" s="296"/>
      <c r="H33" s="415"/>
      <c r="I33" s="415"/>
      <c r="J33" s="415"/>
      <c r="K33" s="415"/>
      <c r="L33" s="415"/>
      <c r="M33" s="415"/>
      <c r="N33" s="415"/>
      <c r="O33" s="415"/>
      <c r="P33" s="429">
        <f t="shared" si="0"/>
        <v>0</v>
      </c>
    </row>
    <row r="34" spans="1:16" ht="14.45" x14ac:dyDescent="0.3">
      <c r="A34" s="50"/>
      <c r="B34" s="428"/>
      <c r="C34" s="413"/>
      <c r="D34" s="253"/>
      <c r="E34" s="416"/>
      <c r="F34" s="296"/>
      <c r="G34" s="296"/>
      <c r="H34" s="415"/>
      <c r="I34" s="415"/>
      <c r="J34" s="415"/>
      <c r="K34" s="415"/>
      <c r="L34" s="415"/>
      <c r="M34" s="415"/>
      <c r="N34" s="415"/>
      <c r="O34" s="415"/>
      <c r="P34" s="429">
        <f t="shared" si="0"/>
        <v>0</v>
      </c>
    </row>
    <row r="35" spans="1:16" ht="14.45" x14ac:dyDescent="0.3">
      <c r="A35" s="50"/>
      <c r="B35" s="428"/>
      <c r="C35" s="413"/>
      <c r="D35" s="253"/>
      <c r="E35" s="416"/>
      <c r="F35" s="296"/>
      <c r="G35" s="296"/>
      <c r="H35" s="415"/>
      <c r="I35" s="415"/>
      <c r="J35" s="415"/>
      <c r="K35" s="415"/>
      <c r="L35" s="415"/>
      <c r="M35" s="415"/>
      <c r="N35" s="415"/>
      <c r="O35" s="415"/>
      <c r="P35" s="429">
        <f t="shared" si="0"/>
        <v>0</v>
      </c>
    </row>
    <row r="36" spans="1:16" ht="14.45" x14ac:dyDescent="0.3">
      <c r="A36" s="50"/>
      <c r="B36" s="428"/>
      <c r="C36" s="413"/>
      <c r="D36" s="253"/>
      <c r="E36" s="416"/>
      <c r="F36" s="296"/>
      <c r="G36" s="296"/>
      <c r="H36" s="415"/>
      <c r="I36" s="415"/>
      <c r="J36" s="415"/>
      <c r="K36" s="415"/>
      <c r="L36" s="415"/>
      <c r="M36" s="415"/>
      <c r="N36" s="415"/>
      <c r="O36" s="415"/>
      <c r="P36" s="429">
        <f t="shared" si="0"/>
        <v>0</v>
      </c>
    </row>
    <row r="37" spans="1:16" ht="26.25" customHeight="1" x14ac:dyDescent="0.3">
      <c r="A37" s="50"/>
      <c r="B37" s="640" t="s">
        <v>11</v>
      </c>
      <c r="C37" s="641"/>
      <c r="D37" s="641"/>
      <c r="E37" s="641"/>
      <c r="F37" s="641"/>
      <c r="G37" s="641"/>
      <c r="H37" s="641"/>
      <c r="I37" s="641"/>
      <c r="J37" s="641"/>
      <c r="K37" s="641"/>
      <c r="L37" s="641"/>
      <c r="M37" s="641"/>
      <c r="N37" s="641"/>
      <c r="O37" s="641"/>
      <c r="P37" s="642"/>
    </row>
    <row r="38" spans="1:16" ht="27.6" x14ac:dyDescent="0.3">
      <c r="A38" s="50"/>
      <c r="B38" s="428">
        <v>12</v>
      </c>
      <c r="C38" s="413" t="s">
        <v>156</v>
      </c>
      <c r="D38" s="253" t="s">
        <v>33</v>
      </c>
      <c r="E38" s="416">
        <v>12</v>
      </c>
      <c r="F38" s="296"/>
      <c r="G38" s="296"/>
      <c r="H38" s="415"/>
      <c r="I38" s="415"/>
      <c r="J38" s="425">
        <v>1</v>
      </c>
      <c r="K38" s="415"/>
      <c r="L38" s="415"/>
      <c r="M38" s="415"/>
      <c r="N38" s="415"/>
      <c r="O38" s="415"/>
      <c r="P38" s="429">
        <f t="shared" si="0"/>
        <v>1</v>
      </c>
    </row>
    <row r="39" spans="1:16" ht="27.6" x14ac:dyDescent="0.3">
      <c r="A39" s="50"/>
      <c r="B39" s="428">
        <v>13</v>
      </c>
      <c r="C39" s="413" t="s">
        <v>157</v>
      </c>
      <c r="D39" s="253" t="s">
        <v>33</v>
      </c>
      <c r="E39" s="416">
        <v>12</v>
      </c>
      <c r="F39" s="296"/>
      <c r="G39" s="296"/>
      <c r="H39" s="415"/>
      <c r="I39" s="415"/>
      <c r="J39" s="425">
        <v>1</v>
      </c>
      <c r="K39" s="415"/>
      <c r="L39" s="415"/>
      <c r="M39" s="415"/>
      <c r="N39" s="415"/>
      <c r="O39" s="415"/>
      <c r="P39" s="429">
        <f t="shared" si="0"/>
        <v>1</v>
      </c>
    </row>
    <row r="40" spans="1:16" ht="27.6" x14ac:dyDescent="0.3">
      <c r="A40" s="50"/>
      <c r="B40" s="428">
        <v>14</v>
      </c>
      <c r="C40" s="413" t="s">
        <v>158</v>
      </c>
      <c r="D40" s="253" t="s">
        <v>33</v>
      </c>
      <c r="E40" s="416">
        <v>12</v>
      </c>
      <c r="F40" s="296"/>
      <c r="G40" s="296"/>
      <c r="H40" s="415"/>
      <c r="I40" s="415"/>
      <c r="J40" s="425">
        <v>1</v>
      </c>
      <c r="K40" s="415"/>
      <c r="L40" s="415"/>
      <c r="M40" s="415"/>
      <c r="N40" s="415"/>
      <c r="O40" s="415"/>
      <c r="P40" s="429">
        <f t="shared" si="0"/>
        <v>1</v>
      </c>
    </row>
    <row r="41" spans="1:16" ht="14.45" x14ac:dyDescent="0.3">
      <c r="A41" s="50"/>
      <c r="B41" s="430" t="s">
        <v>282</v>
      </c>
      <c r="C41" s="413"/>
      <c r="D41" s="253" t="s">
        <v>255</v>
      </c>
      <c r="E41" s="416"/>
      <c r="F41" s="296"/>
      <c r="G41" s="296"/>
      <c r="H41" s="415"/>
      <c r="I41" s="415"/>
      <c r="J41" s="415"/>
      <c r="K41" s="415"/>
      <c r="L41" s="415"/>
      <c r="M41" s="415"/>
      <c r="N41" s="415"/>
      <c r="O41" s="415"/>
      <c r="P41" s="429">
        <f t="shared" si="0"/>
        <v>0</v>
      </c>
    </row>
    <row r="42" spans="1:16" ht="14.45" x14ac:dyDescent="0.3">
      <c r="A42" s="50"/>
      <c r="B42" s="428"/>
      <c r="C42" s="413"/>
      <c r="D42" s="253"/>
      <c r="E42" s="416"/>
      <c r="F42" s="296"/>
      <c r="G42" s="296"/>
      <c r="H42" s="415"/>
      <c r="I42" s="415"/>
      <c r="J42" s="415"/>
      <c r="K42" s="415"/>
      <c r="L42" s="415"/>
      <c r="M42" s="415"/>
      <c r="N42" s="415"/>
      <c r="O42" s="415"/>
      <c r="P42" s="429">
        <f t="shared" si="0"/>
        <v>0</v>
      </c>
    </row>
    <row r="43" spans="1:16" ht="14.45" x14ac:dyDescent="0.3">
      <c r="A43" s="50"/>
      <c r="B43" s="428"/>
      <c r="C43" s="413"/>
      <c r="D43" s="253"/>
      <c r="E43" s="416"/>
      <c r="F43" s="296"/>
      <c r="G43" s="296"/>
      <c r="H43" s="415"/>
      <c r="I43" s="415"/>
      <c r="J43" s="415"/>
      <c r="K43" s="415"/>
      <c r="L43" s="415"/>
      <c r="M43" s="415"/>
      <c r="N43" s="415"/>
      <c r="O43" s="415"/>
      <c r="P43" s="429">
        <f t="shared" si="0"/>
        <v>0</v>
      </c>
    </row>
    <row r="44" spans="1:16" ht="14.45" x14ac:dyDescent="0.3">
      <c r="A44" s="50"/>
      <c r="B44" s="428"/>
      <c r="C44" s="413"/>
      <c r="D44" s="253"/>
      <c r="E44" s="416"/>
      <c r="F44" s="296"/>
      <c r="G44" s="296"/>
      <c r="H44" s="415"/>
      <c r="I44" s="415"/>
      <c r="J44" s="415"/>
      <c r="K44" s="415"/>
      <c r="L44" s="415"/>
      <c r="M44" s="415"/>
      <c r="N44" s="415"/>
      <c r="O44" s="415"/>
      <c r="P44" s="429">
        <f t="shared" si="0"/>
        <v>0</v>
      </c>
    </row>
    <row r="45" spans="1:16" ht="24" customHeight="1" x14ac:dyDescent="0.3">
      <c r="A45" s="50"/>
      <c r="B45" s="640" t="s">
        <v>159</v>
      </c>
      <c r="C45" s="641"/>
      <c r="D45" s="641"/>
      <c r="E45" s="641"/>
      <c r="F45" s="641"/>
      <c r="G45" s="641"/>
      <c r="H45" s="641"/>
      <c r="I45" s="641"/>
      <c r="J45" s="641"/>
      <c r="K45" s="641"/>
      <c r="L45" s="641"/>
      <c r="M45" s="641"/>
      <c r="N45" s="641"/>
      <c r="O45" s="641"/>
      <c r="P45" s="642"/>
    </row>
    <row r="46" spans="1:16" ht="14.45" x14ac:dyDescent="0.3">
      <c r="A46" s="50"/>
      <c r="B46" s="428">
        <v>15</v>
      </c>
      <c r="C46" s="413" t="s">
        <v>160</v>
      </c>
      <c r="D46" s="253" t="s">
        <v>33</v>
      </c>
      <c r="E46" s="416"/>
      <c r="F46" s="296"/>
      <c r="G46" s="296"/>
      <c r="H46" s="425">
        <v>1</v>
      </c>
      <c r="I46" s="415"/>
      <c r="J46" s="415"/>
      <c r="K46" s="415"/>
      <c r="L46" s="415"/>
      <c r="M46" s="415"/>
      <c r="N46" s="415"/>
      <c r="O46" s="415"/>
      <c r="P46" s="429">
        <f t="shared" si="0"/>
        <v>1</v>
      </c>
    </row>
    <row r="47" spans="1:16" ht="14.45" x14ac:dyDescent="0.3">
      <c r="A47" s="50"/>
      <c r="B47" s="430" t="s">
        <v>282</v>
      </c>
      <c r="C47" s="413"/>
      <c r="D47" s="253" t="s">
        <v>255</v>
      </c>
      <c r="E47" s="416"/>
      <c r="F47" s="296"/>
      <c r="G47" s="296"/>
      <c r="H47" s="425"/>
      <c r="I47" s="415"/>
      <c r="J47" s="415"/>
      <c r="K47" s="415"/>
      <c r="L47" s="415"/>
      <c r="M47" s="415"/>
      <c r="N47" s="415"/>
      <c r="O47" s="415"/>
      <c r="P47" s="429">
        <f t="shared" si="0"/>
        <v>0</v>
      </c>
    </row>
    <row r="48" spans="1:16" ht="14.45" x14ac:dyDescent="0.3">
      <c r="A48" s="50"/>
      <c r="B48" s="428"/>
      <c r="C48" s="413"/>
      <c r="D48" s="253"/>
      <c r="E48" s="416"/>
      <c r="F48" s="296"/>
      <c r="G48" s="296"/>
      <c r="H48" s="425"/>
      <c r="I48" s="415"/>
      <c r="J48" s="415"/>
      <c r="K48" s="415"/>
      <c r="L48" s="415"/>
      <c r="M48" s="415"/>
      <c r="N48" s="415"/>
      <c r="O48" s="415"/>
      <c r="P48" s="429">
        <f t="shared" si="0"/>
        <v>0</v>
      </c>
    </row>
    <row r="49" spans="1:16" ht="14.45" x14ac:dyDescent="0.3">
      <c r="A49" s="50"/>
      <c r="B49" s="428"/>
      <c r="C49" s="413"/>
      <c r="D49" s="253"/>
      <c r="E49" s="416"/>
      <c r="F49" s="296"/>
      <c r="G49" s="296"/>
      <c r="H49" s="425"/>
      <c r="I49" s="415"/>
      <c r="J49" s="415"/>
      <c r="K49" s="415"/>
      <c r="L49" s="415"/>
      <c r="M49" s="415"/>
      <c r="N49" s="415"/>
      <c r="O49" s="415"/>
      <c r="P49" s="429"/>
    </row>
    <row r="50" spans="1:16" ht="14.45" x14ac:dyDescent="0.3">
      <c r="A50" s="50"/>
      <c r="B50" s="428"/>
      <c r="C50" s="413"/>
      <c r="D50" s="253"/>
      <c r="E50" s="416"/>
      <c r="F50" s="296"/>
      <c r="G50" s="296"/>
      <c r="H50" s="425"/>
      <c r="I50" s="415"/>
      <c r="J50" s="415"/>
      <c r="K50" s="415"/>
      <c r="L50" s="415"/>
      <c r="M50" s="415"/>
      <c r="N50" s="415"/>
      <c r="O50" s="415"/>
      <c r="P50" s="429">
        <f t="shared" si="0"/>
        <v>0</v>
      </c>
    </row>
    <row r="51" spans="1:16" ht="21" customHeight="1" x14ac:dyDescent="0.3">
      <c r="A51" s="48"/>
      <c r="B51" s="640" t="s">
        <v>161</v>
      </c>
      <c r="C51" s="641"/>
      <c r="D51" s="641"/>
      <c r="E51" s="641"/>
      <c r="F51" s="641"/>
      <c r="G51" s="641"/>
      <c r="H51" s="641"/>
      <c r="I51" s="641"/>
      <c r="J51" s="641"/>
      <c r="K51" s="641"/>
      <c r="L51" s="641"/>
      <c r="M51" s="641"/>
      <c r="N51" s="641"/>
      <c r="O51" s="641"/>
      <c r="P51" s="642"/>
    </row>
    <row r="52" spans="1:16" ht="14.45" x14ac:dyDescent="0.3">
      <c r="A52" s="50"/>
      <c r="B52" s="428">
        <v>16</v>
      </c>
      <c r="C52" s="413" t="s">
        <v>162</v>
      </c>
      <c r="D52" s="253" t="s">
        <v>33</v>
      </c>
      <c r="E52" s="416"/>
      <c r="F52" s="296"/>
      <c r="G52" s="296"/>
      <c r="H52" s="415"/>
      <c r="I52" s="415"/>
      <c r="J52" s="415"/>
      <c r="K52" s="415"/>
      <c r="L52" s="415"/>
      <c r="M52" s="415"/>
      <c r="N52" s="415"/>
      <c r="O52" s="415"/>
      <c r="P52" s="429">
        <f t="shared" si="0"/>
        <v>0</v>
      </c>
    </row>
    <row r="53" spans="1:16" ht="14.45" x14ac:dyDescent="0.3">
      <c r="A53" s="50"/>
      <c r="B53" s="428">
        <v>17</v>
      </c>
      <c r="C53" s="413" t="s">
        <v>163</v>
      </c>
      <c r="D53" s="253" t="s">
        <v>33</v>
      </c>
      <c r="E53" s="416"/>
      <c r="F53" s="296"/>
      <c r="G53" s="296"/>
      <c r="H53" s="415"/>
      <c r="I53" s="415"/>
      <c r="J53" s="415"/>
      <c r="K53" s="415"/>
      <c r="L53" s="415"/>
      <c r="M53" s="415"/>
      <c r="N53" s="415"/>
      <c r="O53" s="415"/>
      <c r="P53" s="429">
        <f t="shared" si="0"/>
        <v>0</v>
      </c>
    </row>
    <row r="54" spans="1:16" ht="14.45" x14ac:dyDescent="0.3">
      <c r="A54" s="50"/>
      <c r="B54" s="428">
        <v>18</v>
      </c>
      <c r="C54" s="413" t="s">
        <v>164</v>
      </c>
      <c r="D54" s="253" t="s">
        <v>33</v>
      </c>
      <c r="E54" s="416"/>
      <c r="F54" s="296"/>
      <c r="G54" s="296"/>
      <c r="H54" s="415"/>
      <c r="I54" s="415"/>
      <c r="J54" s="415"/>
      <c r="K54" s="415"/>
      <c r="L54" s="415"/>
      <c r="M54" s="415"/>
      <c r="N54" s="415"/>
      <c r="O54" s="415"/>
      <c r="P54" s="429">
        <f t="shared" si="0"/>
        <v>0</v>
      </c>
    </row>
    <row r="55" spans="1:16" ht="14.45" x14ac:dyDescent="0.3">
      <c r="A55" s="50"/>
      <c r="B55" s="428">
        <v>19</v>
      </c>
      <c r="C55" s="413" t="s">
        <v>165</v>
      </c>
      <c r="D55" s="253" t="s">
        <v>33</v>
      </c>
      <c r="E55" s="416"/>
      <c r="F55" s="296"/>
      <c r="G55" s="296"/>
      <c r="H55" s="415"/>
      <c r="I55" s="415"/>
      <c r="J55" s="415"/>
      <c r="K55" s="415"/>
      <c r="L55" s="415"/>
      <c r="M55" s="415"/>
      <c r="N55" s="415"/>
      <c r="O55" s="415"/>
      <c r="P55" s="429">
        <f t="shared" si="0"/>
        <v>0</v>
      </c>
    </row>
    <row r="56" spans="1:16" ht="14.45" x14ac:dyDescent="0.3">
      <c r="A56" s="50"/>
      <c r="B56" s="430" t="s">
        <v>282</v>
      </c>
      <c r="C56" s="413"/>
      <c r="D56" s="253" t="s">
        <v>255</v>
      </c>
      <c r="E56" s="416"/>
      <c r="F56" s="296"/>
      <c r="G56" s="296"/>
      <c r="H56" s="415"/>
      <c r="I56" s="415"/>
      <c r="J56" s="415"/>
      <c r="K56" s="415"/>
      <c r="L56" s="415"/>
      <c r="M56" s="415"/>
      <c r="N56" s="415"/>
      <c r="O56" s="415"/>
      <c r="P56" s="429">
        <f t="shared" si="0"/>
        <v>0</v>
      </c>
    </row>
    <row r="57" spans="1:16" ht="14.45" x14ac:dyDescent="0.3">
      <c r="A57" s="50"/>
      <c r="B57" s="430"/>
      <c r="C57" s="413"/>
      <c r="D57" s="253"/>
      <c r="E57" s="416"/>
      <c r="F57" s="296"/>
      <c r="G57" s="296"/>
      <c r="H57" s="415"/>
      <c r="I57" s="415"/>
      <c r="J57" s="415"/>
      <c r="K57" s="415"/>
      <c r="L57" s="415"/>
      <c r="M57" s="415"/>
      <c r="N57" s="415"/>
      <c r="O57" s="415"/>
      <c r="P57" s="429"/>
    </row>
    <row r="58" spans="1:16" ht="14.45" x14ac:dyDescent="0.3">
      <c r="A58" s="50"/>
      <c r="B58" s="430"/>
      <c r="C58" s="413"/>
      <c r="D58" s="253"/>
      <c r="E58" s="416"/>
      <c r="F58" s="296"/>
      <c r="G58" s="296"/>
      <c r="H58" s="415"/>
      <c r="I58" s="415"/>
      <c r="J58" s="415"/>
      <c r="K58" s="415"/>
      <c r="L58" s="415"/>
      <c r="M58" s="415"/>
      <c r="N58" s="415"/>
      <c r="O58" s="415"/>
      <c r="P58" s="429"/>
    </row>
    <row r="59" spans="1:16" ht="14.45" x14ac:dyDescent="0.3">
      <c r="A59" s="48"/>
      <c r="B59" s="431"/>
      <c r="C59" s="417"/>
      <c r="D59" s="418"/>
      <c r="E59" s="418"/>
      <c r="F59" s="296"/>
      <c r="G59" s="296"/>
      <c r="H59" s="419"/>
      <c r="I59" s="419"/>
      <c r="J59" s="419"/>
      <c r="K59" s="419"/>
      <c r="L59" s="419"/>
      <c r="M59" s="419"/>
      <c r="N59" s="419"/>
      <c r="O59" s="419"/>
      <c r="P59" s="429"/>
    </row>
    <row r="60" spans="1:16" ht="27" customHeight="1" x14ac:dyDescent="0.3">
      <c r="B60" s="627" t="s">
        <v>166</v>
      </c>
      <c r="C60" s="628"/>
      <c r="D60" s="628"/>
      <c r="E60" s="628"/>
      <c r="F60" s="628"/>
      <c r="G60" s="628"/>
      <c r="H60" s="628"/>
      <c r="I60" s="628"/>
      <c r="J60" s="628"/>
      <c r="K60" s="628"/>
      <c r="L60" s="628"/>
      <c r="M60" s="628"/>
      <c r="N60" s="628"/>
      <c r="O60" s="628"/>
      <c r="P60" s="629"/>
    </row>
    <row r="61" spans="1:16" ht="16.899999999999999" x14ac:dyDescent="0.3">
      <c r="B61" s="432"/>
      <c r="C61" s="413"/>
      <c r="D61" s="416"/>
      <c r="E61" s="416"/>
      <c r="F61" s="412"/>
      <c r="G61" s="412"/>
      <c r="H61" s="412"/>
      <c r="I61" s="412"/>
      <c r="J61" s="412"/>
      <c r="K61" s="412"/>
      <c r="L61" s="412"/>
      <c r="M61" s="412"/>
      <c r="N61" s="412"/>
      <c r="O61" s="412"/>
      <c r="P61" s="433"/>
    </row>
    <row r="62" spans="1:16" ht="25.5" customHeight="1" x14ac:dyDescent="0.3">
      <c r="A62" s="50"/>
      <c r="B62" s="643" t="s">
        <v>167</v>
      </c>
      <c r="C62" s="620"/>
      <c r="D62" s="620"/>
      <c r="E62" s="620"/>
      <c r="F62" s="620"/>
      <c r="G62" s="620"/>
      <c r="H62" s="620"/>
      <c r="I62" s="620"/>
      <c r="J62" s="620"/>
      <c r="K62" s="620"/>
      <c r="L62" s="620"/>
      <c r="M62" s="620"/>
      <c r="N62" s="620"/>
      <c r="O62" s="620"/>
      <c r="P62" s="644"/>
    </row>
    <row r="63" spans="1:16" ht="14.45" x14ac:dyDescent="0.3">
      <c r="A63" s="50"/>
      <c r="B63" s="428">
        <v>21</v>
      </c>
      <c r="C63" s="413" t="s">
        <v>168</v>
      </c>
      <c r="D63" s="253" t="s">
        <v>33</v>
      </c>
      <c r="E63" s="416"/>
      <c r="F63" s="296"/>
      <c r="G63" s="296"/>
      <c r="H63" s="425">
        <v>1</v>
      </c>
      <c r="I63" s="415"/>
      <c r="J63" s="415"/>
      <c r="K63" s="415"/>
      <c r="L63" s="415"/>
      <c r="M63" s="415"/>
      <c r="N63" s="415"/>
      <c r="O63" s="415"/>
      <c r="P63" s="429">
        <f t="shared" si="0"/>
        <v>1</v>
      </c>
    </row>
    <row r="64" spans="1:16" ht="14.45" x14ac:dyDescent="0.3">
      <c r="A64" s="50"/>
      <c r="B64" s="428">
        <v>22</v>
      </c>
      <c r="C64" s="413" t="s">
        <v>169</v>
      </c>
      <c r="D64" s="253" t="s">
        <v>33</v>
      </c>
      <c r="E64" s="416"/>
      <c r="F64" s="296"/>
      <c r="G64" s="296"/>
      <c r="H64" s="425">
        <v>1</v>
      </c>
      <c r="I64" s="415"/>
      <c r="J64" s="415"/>
      <c r="K64" s="415"/>
      <c r="L64" s="415"/>
      <c r="M64" s="415"/>
      <c r="N64" s="415"/>
      <c r="O64" s="415"/>
      <c r="P64" s="429">
        <f t="shared" si="0"/>
        <v>1</v>
      </c>
    </row>
    <row r="65" spans="1:16" ht="14.45" x14ac:dyDescent="0.3">
      <c r="A65" s="50"/>
      <c r="B65" s="428">
        <v>23</v>
      </c>
      <c r="C65" s="413" t="s">
        <v>170</v>
      </c>
      <c r="D65" s="253" t="s">
        <v>33</v>
      </c>
      <c r="E65" s="416"/>
      <c r="F65" s="296"/>
      <c r="G65" s="296"/>
      <c r="H65" s="425">
        <v>1</v>
      </c>
      <c r="I65" s="415"/>
      <c r="J65" s="415"/>
      <c r="K65" s="415"/>
      <c r="L65" s="415"/>
      <c r="M65" s="415"/>
      <c r="N65" s="415"/>
      <c r="O65" s="415"/>
      <c r="P65" s="429">
        <f t="shared" si="0"/>
        <v>1</v>
      </c>
    </row>
    <row r="66" spans="1:16" ht="14.45" x14ac:dyDescent="0.3">
      <c r="A66" s="50"/>
      <c r="B66" s="428">
        <v>24</v>
      </c>
      <c r="C66" s="413" t="s">
        <v>171</v>
      </c>
      <c r="D66" s="253" t="s">
        <v>33</v>
      </c>
      <c r="E66" s="416"/>
      <c r="F66" s="296"/>
      <c r="G66" s="296"/>
      <c r="H66" s="425">
        <v>1</v>
      </c>
      <c r="I66" s="415"/>
      <c r="J66" s="415"/>
      <c r="K66" s="415"/>
      <c r="L66" s="415"/>
      <c r="M66" s="415"/>
      <c r="N66" s="415"/>
      <c r="O66" s="415"/>
      <c r="P66" s="429">
        <f t="shared" si="0"/>
        <v>1</v>
      </c>
    </row>
    <row r="67" spans="1:16" ht="14.45" x14ac:dyDescent="0.3">
      <c r="A67" s="50"/>
      <c r="B67" s="430" t="s">
        <v>282</v>
      </c>
      <c r="C67" s="413"/>
      <c r="D67" s="253" t="s">
        <v>255</v>
      </c>
      <c r="E67" s="416"/>
      <c r="F67" s="296"/>
      <c r="G67" s="296"/>
      <c r="H67" s="425"/>
      <c r="I67" s="415"/>
      <c r="J67" s="415"/>
      <c r="K67" s="415"/>
      <c r="L67" s="415"/>
      <c r="M67" s="415"/>
      <c r="N67" s="415"/>
      <c r="O67" s="415"/>
      <c r="P67" s="429"/>
    </row>
    <row r="68" spans="1:16" ht="14.45" x14ac:dyDescent="0.3">
      <c r="A68" s="50"/>
      <c r="B68" s="428"/>
      <c r="C68" s="413"/>
      <c r="D68" s="253"/>
      <c r="E68" s="416"/>
      <c r="F68" s="296"/>
      <c r="G68" s="296"/>
      <c r="H68" s="425"/>
      <c r="I68" s="415"/>
      <c r="J68" s="415"/>
      <c r="K68" s="415"/>
      <c r="L68" s="415"/>
      <c r="M68" s="415"/>
      <c r="N68" s="415"/>
      <c r="O68" s="415"/>
      <c r="P68" s="429"/>
    </row>
    <row r="69" spans="1:16" ht="14.45" x14ac:dyDescent="0.3">
      <c r="A69" s="50"/>
      <c r="B69" s="428"/>
      <c r="C69" s="413"/>
      <c r="D69" s="253"/>
      <c r="E69" s="416"/>
      <c r="F69" s="296"/>
      <c r="G69" s="296"/>
      <c r="H69" s="425"/>
      <c r="I69" s="415"/>
      <c r="J69" s="415"/>
      <c r="K69" s="415"/>
      <c r="L69" s="415"/>
      <c r="M69" s="415"/>
      <c r="N69" s="415"/>
      <c r="O69" s="415"/>
      <c r="P69" s="429"/>
    </row>
    <row r="70" spans="1:16" ht="14.45" x14ac:dyDescent="0.3">
      <c r="A70" s="50"/>
      <c r="B70" s="428"/>
      <c r="C70" s="413"/>
      <c r="D70" s="253"/>
      <c r="E70" s="416"/>
      <c r="F70" s="296"/>
      <c r="G70" s="296"/>
      <c r="H70" s="415"/>
      <c r="I70" s="415"/>
      <c r="J70" s="415"/>
      <c r="K70" s="415"/>
      <c r="L70" s="415"/>
      <c r="M70" s="415"/>
      <c r="N70" s="415"/>
      <c r="O70" s="415"/>
      <c r="P70" s="429">
        <f t="shared" si="0"/>
        <v>0</v>
      </c>
    </row>
    <row r="71" spans="1:16" ht="28.5" customHeight="1" x14ac:dyDescent="0.3">
      <c r="A71" s="50"/>
      <c r="B71" s="643" t="s">
        <v>172</v>
      </c>
      <c r="C71" s="620"/>
      <c r="D71" s="620"/>
      <c r="E71" s="620"/>
      <c r="F71" s="620"/>
      <c r="G71" s="620"/>
      <c r="H71" s="620"/>
      <c r="I71" s="620"/>
      <c r="J71" s="620"/>
      <c r="K71" s="620"/>
      <c r="L71" s="620"/>
      <c r="M71" s="620"/>
      <c r="N71" s="620"/>
      <c r="O71" s="620"/>
      <c r="P71" s="644"/>
    </row>
    <row r="72" spans="1:16" ht="14.45" x14ac:dyDescent="0.3">
      <c r="A72" s="50"/>
      <c r="B72" s="428">
        <v>25</v>
      </c>
      <c r="C72" s="413" t="s">
        <v>173</v>
      </c>
      <c r="D72" s="253" t="s">
        <v>33</v>
      </c>
      <c r="E72" s="416"/>
      <c r="F72" s="296"/>
      <c r="G72" s="296"/>
      <c r="H72" s="415"/>
      <c r="I72" s="425">
        <v>1</v>
      </c>
      <c r="J72" s="415"/>
      <c r="K72" s="415"/>
      <c r="L72" s="415"/>
      <c r="M72" s="415"/>
      <c r="N72" s="415"/>
      <c r="O72" s="415"/>
      <c r="P72" s="429">
        <f t="shared" si="0"/>
        <v>1</v>
      </c>
    </row>
    <row r="73" spans="1:16" ht="14.45" x14ac:dyDescent="0.3">
      <c r="A73" s="50"/>
      <c r="B73" s="428">
        <v>26</v>
      </c>
      <c r="C73" s="413" t="s">
        <v>174</v>
      </c>
      <c r="D73" s="253" t="s">
        <v>33</v>
      </c>
      <c r="E73" s="416"/>
      <c r="F73" s="296"/>
      <c r="G73" s="296"/>
      <c r="H73" s="415"/>
      <c r="I73" s="425">
        <v>1</v>
      </c>
      <c r="J73" s="415"/>
      <c r="K73" s="415"/>
      <c r="L73" s="415"/>
      <c r="M73" s="415"/>
      <c r="N73" s="415"/>
      <c r="O73" s="415"/>
      <c r="P73" s="429">
        <f t="shared" si="0"/>
        <v>1</v>
      </c>
    </row>
    <row r="74" spans="1:16" ht="27.6" x14ac:dyDescent="0.3">
      <c r="A74" s="50"/>
      <c r="B74" s="428">
        <v>27</v>
      </c>
      <c r="C74" s="413" t="s">
        <v>175</v>
      </c>
      <c r="D74" s="253" t="s">
        <v>33</v>
      </c>
      <c r="E74" s="416"/>
      <c r="F74" s="296"/>
      <c r="G74" s="296"/>
      <c r="H74" s="415"/>
      <c r="I74" s="425">
        <v>0.8</v>
      </c>
      <c r="J74" s="425">
        <v>0.2</v>
      </c>
      <c r="K74" s="415"/>
      <c r="L74" s="415"/>
      <c r="M74" s="415"/>
      <c r="N74" s="415"/>
      <c r="O74" s="415"/>
      <c r="P74" s="429">
        <f t="shared" si="0"/>
        <v>1</v>
      </c>
    </row>
    <row r="75" spans="1:16" ht="27.6" x14ac:dyDescent="0.3">
      <c r="A75" s="50"/>
      <c r="B75" s="428">
        <v>28</v>
      </c>
      <c r="C75" s="413" t="s">
        <v>176</v>
      </c>
      <c r="D75" s="253" t="s">
        <v>33</v>
      </c>
      <c r="E75" s="416"/>
      <c r="F75" s="296"/>
      <c r="G75" s="296"/>
      <c r="H75" s="415"/>
      <c r="I75" s="415"/>
      <c r="J75" s="415"/>
      <c r="K75" s="415"/>
      <c r="L75" s="415"/>
      <c r="M75" s="415"/>
      <c r="N75" s="415"/>
      <c r="O75" s="415"/>
      <c r="P75" s="429">
        <f t="shared" si="0"/>
        <v>0</v>
      </c>
    </row>
    <row r="76" spans="1:16" ht="27.6" x14ac:dyDescent="0.3">
      <c r="A76" s="50"/>
      <c r="B76" s="428">
        <v>29</v>
      </c>
      <c r="C76" s="413" t="s">
        <v>177</v>
      </c>
      <c r="D76" s="253" t="s">
        <v>33</v>
      </c>
      <c r="E76" s="416"/>
      <c r="F76" s="296"/>
      <c r="G76" s="296"/>
      <c r="H76" s="415"/>
      <c r="I76" s="415"/>
      <c r="J76" s="415"/>
      <c r="K76" s="415"/>
      <c r="L76" s="415"/>
      <c r="M76" s="415"/>
      <c r="N76" s="415"/>
      <c r="O76" s="415"/>
      <c r="P76" s="429">
        <f t="shared" si="0"/>
        <v>0</v>
      </c>
    </row>
    <row r="77" spans="1:16" ht="27.6" x14ac:dyDescent="0.3">
      <c r="A77" s="50"/>
      <c r="B77" s="428">
        <v>30</v>
      </c>
      <c r="C77" s="413" t="s">
        <v>178</v>
      </c>
      <c r="D77" s="253" t="s">
        <v>33</v>
      </c>
      <c r="E77" s="416"/>
      <c r="F77" s="296"/>
      <c r="G77" s="296"/>
      <c r="H77" s="415"/>
      <c r="I77" s="415"/>
      <c r="J77" s="415"/>
      <c r="K77" s="415"/>
      <c r="L77" s="415"/>
      <c r="M77" s="415"/>
      <c r="N77" s="415"/>
      <c r="O77" s="415"/>
      <c r="P77" s="429">
        <f t="shared" si="0"/>
        <v>0</v>
      </c>
    </row>
    <row r="78" spans="1:16" ht="27.6" x14ac:dyDescent="0.3">
      <c r="A78" s="50"/>
      <c r="B78" s="428">
        <v>31</v>
      </c>
      <c r="C78" s="413" t="s">
        <v>179</v>
      </c>
      <c r="D78" s="253" t="s">
        <v>33</v>
      </c>
      <c r="E78" s="416"/>
      <c r="F78" s="296"/>
      <c r="G78" s="296"/>
      <c r="H78" s="415"/>
      <c r="I78" s="415"/>
      <c r="J78" s="415"/>
      <c r="K78" s="415"/>
      <c r="L78" s="415"/>
      <c r="M78" s="415"/>
      <c r="N78" s="415"/>
      <c r="O78" s="415"/>
      <c r="P78" s="429">
        <f t="shared" si="0"/>
        <v>0</v>
      </c>
    </row>
    <row r="79" spans="1:16" ht="14.45" x14ac:dyDescent="0.3">
      <c r="A79" s="50"/>
      <c r="B79" s="428">
        <v>32</v>
      </c>
      <c r="C79" s="413" t="s">
        <v>180</v>
      </c>
      <c r="D79" s="253" t="s">
        <v>33</v>
      </c>
      <c r="E79" s="416"/>
      <c r="F79" s="296"/>
      <c r="G79" s="296"/>
      <c r="H79" s="415"/>
      <c r="I79" s="415"/>
      <c r="J79" s="415"/>
      <c r="K79" s="415"/>
      <c r="L79" s="415"/>
      <c r="M79" s="415"/>
      <c r="N79" s="415"/>
      <c r="O79" s="415"/>
      <c r="P79" s="429">
        <f t="shared" si="0"/>
        <v>0</v>
      </c>
    </row>
    <row r="80" spans="1:16" ht="14.45" x14ac:dyDescent="0.3">
      <c r="A80" s="50"/>
      <c r="B80" s="430" t="s">
        <v>282</v>
      </c>
      <c r="C80" s="413"/>
      <c r="D80" s="253" t="s">
        <v>255</v>
      </c>
      <c r="E80" s="416"/>
      <c r="F80" s="296"/>
      <c r="G80" s="296"/>
      <c r="H80" s="415"/>
      <c r="I80" s="415"/>
      <c r="J80" s="415"/>
      <c r="K80" s="415"/>
      <c r="L80" s="415"/>
      <c r="M80" s="415"/>
      <c r="N80" s="415"/>
      <c r="O80" s="415"/>
      <c r="P80" s="429"/>
    </row>
    <row r="81" spans="1:16" ht="14.45" x14ac:dyDescent="0.3">
      <c r="A81" s="50"/>
      <c r="B81" s="428"/>
      <c r="C81" s="413"/>
      <c r="D81" s="253"/>
      <c r="E81" s="416"/>
      <c r="F81" s="296"/>
      <c r="G81" s="296"/>
      <c r="H81" s="415"/>
      <c r="I81" s="415"/>
      <c r="J81" s="415"/>
      <c r="K81" s="415"/>
      <c r="L81" s="415"/>
      <c r="M81" s="415"/>
      <c r="N81" s="415"/>
      <c r="O81" s="415"/>
      <c r="P81" s="429"/>
    </row>
    <row r="82" spans="1:16" ht="14.45" x14ac:dyDescent="0.3">
      <c r="A82" s="50"/>
      <c r="B82" s="428"/>
      <c r="C82" s="413"/>
      <c r="D82" s="253"/>
      <c r="E82" s="416"/>
      <c r="F82" s="296"/>
      <c r="G82" s="296"/>
      <c r="H82" s="415"/>
      <c r="I82" s="415"/>
      <c r="J82" s="415"/>
      <c r="K82" s="415"/>
      <c r="L82" s="415"/>
      <c r="M82" s="415"/>
      <c r="N82" s="415"/>
      <c r="O82" s="415"/>
      <c r="P82" s="429"/>
    </row>
    <row r="83" spans="1:16" ht="14.45" x14ac:dyDescent="0.3">
      <c r="A83" s="50"/>
      <c r="B83" s="428"/>
      <c r="C83" s="413"/>
      <c r="D83" s="253"/>
      <c r="E83" s="416"/>
      <c r="F83" s="296"/>
      <c r="G83" s="296"/>
      <c r="H83" s="415"/>
      <c r="I83" s="415"/>
      <c r="J83" s="415"/>
      <c r="K83" s="415"/>
      <c r="L83" s="415"/>
      <c r="M83" s="415"/>
      <c r="N83" s="415"/>
      <c r="O83" s="415"/>
      <c r="P83" s="429">
        <f t="shared" ref="P83:P106" si="1">SUM(H83:O83)</f>
        <v>0</v>
      </c>
    </row>
    <row r="84" spans="1:16" ht="25.5" customHeight="1" x14ac:dyDescent="0.3">
      <c r="A84" s="50"/>
      <c r="B84" s="643" t="s">
        <v>181</v>
      </c>
      <c r="C84" s="620"/>
      <c r="D84" s="620"/>
      <c r="E84" s="620"/>
      <c r="F84" s="620"/>
      <c r="G84" s="620"/>
      <c r="H84" s="620"/>
      <c r="I84" s="620"/>
      <c r="J84" s="620"/>
      <c r="K84" s="620"/>
      <c r="L84" s="620"/>
      <c r="M84" s="620"/>
      <c r="N84" s="620"/>
      <c r="O84" s="620"/>
      <c r="P84" s="644"/>
    </row>
    <row r="85" spans="1:16" ht="14.45" x14ac:dyDescent="0.3">
      <c r="A85" s="50"/>
      <c r="B85" s="428">
        <v>33</v>
      </c>
      <c r="C85" s="413" t="s">
        <v>182</v>
      </c>
      <c r="D85" s="253" t="s">
        <v>33</v>
      </c>
      <c r="E85" s="416"/>
      <c r="F85" s="296"/>
      <c r="G85" s="296"/>
      <c r="H85" s="421"/>
      <c r="I85" s="421"/>
      <c r="J85" s="421"/>
      <c r="K85" s="421"/>
      <c r="L85" s="421"/>
      <c r="M85" s="421"/>
      <c r="N85" s="421"/>
      <c r="O85" s="421"/>
      <c r="P85" s="429">
        <f t="shared" si="1"/>
        <v>0</v>
      </c>
    </row>
    <row r="86" spans="1:16" ht="14.45" x14ac:dyDescent="0.3">
      <c r="A86" s="50"/>
      <c r="B86" s="428">
        <v>34</v>
      </c>
      <c r="C86" s="413" t="s">
        <v>183</v>
      </c>
      <c r="D86" s="253" t="s">
        <v>33</v>
      </c>
      <c r="E86" s="416"/>
      <c r="F86" s="296"/>
      <c r="G86" s="296"/>
      <c r="H86" s="421"/>
      <c r="I86" s="421"/>
      <c r="J86" s="421"/>
      <c r="K86" s="421"/>
      <c r="L86" s="421"/>
      <c r="M86" s="421"/>
      <c r="N86" s="421"/>
      <c r="O86" s="421"/>
      <c r="P86" s="429">
        <f t="shared" si="1"/>
        <v>0</v>
      </c>
    </row>
    <row r="87" spans="1:16" ht="14.45" x14ac:dyDescent="0.3">
      <c r="A87" s="50"/>
      <c r="B87" s="428">
        <v>35</v>
      </c>
      <c r="C87" s="413" t="s">
        <v>184</v>
      </c>
      <c r="D87" s="253" t="s">
        <v>33</v>
      </c>
      <c r="E87" s="416"/>
      <c r="F87" s="296"/>
      <c r="G87" s="296"/>
      <c r="H87" s="421"/>
      <c r="I87" s="421"/>
      <c r="J87" s="421"/>
      <c r="K87" s="421"/>
      <c r="L87" s="421"/>
      <c r="M87" s="421"/>
      <c r="N87" s="421"/>
      <c r="O87" s="421"/>
      <c r="P87" s="429">
        <f t="shared" si="1"/>
        <v>0</v>
      </c>
    </row>
    <row r="88" spans="1:16" ht="14.45" x14ac:dyDescent="0.3">
      <c r="A88" s="50"/>
      <c r="B88" s="430" t="s">
        <v>282</v>
      </c>
      <c r="C88" s="413"/>
      <c r="D88" s="253" t="s">
        <v>255</v>
      </c>
      <c r="E88" s="416"/>
      <c r="F88" s="296"/>
      <c r="G88" s="296"/>
      <c r="H88" s="421"/>
      <c r="I88" s="421"/>
      <c r="J88" s="421"/>
      <c r="K88" s="421"/>
      <c r="L88" s="421"/>
      <c r="M88" s="421"/>
      <c r="N88" s="421"/>
      <c r="O88" s="421"/>
      <c r="P88" s="429"/>
    </row>
    <row r="89" spans="1:16" ht="14.45" x14ac:dyDescent="0.3">
      <c r="A89" s="50"/>
      <c r="B89" s="428"/>
      <c r="C89" s="413"/>
      <c r="D89" s="253"/>
      <c r="E89" s="416"/>
      <c r="F89" s="296"/>
      <c r="G89" s="296"/>
      <c r="H89" s="421"/>
      <c r="I89" s="421"/>
      <c r="J89" s="421"/>
      <c r="K89" s="421"/>
      <c r="L89" s="421"/>
      <c r="M89" s="421"/>
      <c r="N89" s="421"/>
      <c r="O89" s="421"/>
      <c r="P89" s="429"/>
    </row>
    <row r="90" spans="1:16" ht="14.45" x14ac:dyDescent="0.3">
      <c r="A90" s="50"/>
      <c r="B90" s="428"/>
      <c r="C90" s="413"/>
      <c r="D90" s="253"/>
      <c r="E90" s="416"/>
      <c r="F90" s="296"/>
      <c r="G90" s="296"/>
      <c r="H90" s="421"/>
      <c r="I90" s="421"/>
      <c r="J90" s="421"/>
      <c r="K90" s="421"/>
      <c r="L90" s="421"/>
      <c r="M90" s="421"/>
      <c r="N90" s="421"/>
      <c r="O90" s="421"/>
      <c r="P90" s="429"/>
    </row>
    <row r="91" spans="1:16" ht="14.45" x14ac:dyDescent="0.3">
      <c r="A91" s="50"/>
      <c r="B91" s="428"/>
      <c r="C91" s="413"/>
      <c r="D91" s="253"/>
      <c r="E91" s="416"/>
      <c r="F91" s="421"/>
      <c r="G91" s="421"/>
      <c r="H91" s="421"/>
      <c r="I91" s="421"/>
      <c r="J91" s="421"/>
      <c r="K91" s="421"/>
      <c r="L91" s="421"/>
      <c r="M91" s="421"/>
      <c r="N91" s="421"/>
      <c r="O91" s="421"/>
      <c r="P91" s="429">
        <f t="shared" si="1"/>
        <v>0</v>
      </c>
    </row>
    <row r="92" spans="1:16" ht="24" customHeight="1" x14ac:dyDescent="0.3">
      <c r="A92" s="50"/>
      <c r="B92" s="643" t="s">
        <v>185</v>
      </c>
      <c r="C92" s="620"/>
      <c r="D92" s="620"/>
      <c r="E92" s="620"/>
      <c r="F92" s="620"/>
      <c r="G92" s="620"/>
      <c r="H92" s="620"/>
      <c r="I92" s="620"/>
      <c r="J92" s="620"/>
      <c r="K92" s="620"/>
      <c r="L92" s="620"/>
      <c r="M92" s="620"/>
      <c r="N92" s="620"/>
      <c r="O92" s="620"/>
      <c r="P92" s="644"/>
    </row>
    <row r="93" spans="1:16" ht="41.45" x14ac:dyDescent="0.3">
      <c r="A93" s="50"/>
      <c r="B93" s="428">
        <v>36</v>
      </c>
      <c r="C93" s="413" t="s">
        <v>186</v>
      </c>
      <c r="D93" s="253" t="s">
        <v>33</v>
      </c>
      <c r="E93" s="416"/>
      <c r="F93" s="296"/>
      <c r="G93" s="296"/>
      <c r="H93" s="421"/>
      <c r="I93" s="421"/>
      <c r="J93" s="421"/>
      <c r="K93" s="421"/>
      <c r="L93" s="421"/>
      <c r="M93" s="421"/>
      <c r="N93" s="421"/>
      <c r="O93" s="421"/>
      <c r="P93" s="429">
        <f t="shared" si="1"/>
        <v>0</v>
      </c>
    </row>
    <row r="94" spans="1:16" ht="14.45" x14ac:dyDescent="0.3">
      <c r="A94" s="50"/>
      <c r="B94" s="428">
        <v>37</v>
      </c>
      <c r="C94" s="413" t="s">
        <v>187</v>
      </c>
      <c r="D94" s="253" t="s">
        <v>33</v>
      </c>
      <c r="E94" s="416"/>
      <c r="F94" s="296"/>
      <c r="G94" s="296"/>
      <c r="H94" s="421"/>
      <c r="I94" s="421"/>
      <c r="J94" s="421"/>
      <c r="K94" s="421"/>
      <c r="L94" s="421"/>
      <c r="M94" s="421"/>
      <c r="N94" s="421"/>
      <c r="O94" s="421"/>
      <c r="P94" s="429">
        <f t="shared" si="1"/>
        <v>0</v>
      </c>
    </row>
    <row r="95" spans="1:16" ht="14.45" x14ac:dyDescent="0.3">
      <c r="A95" s="50"/>
      <c r="B95" s="428">
        <v>38</v>
      </c>
      <c r="C95" s="413" t="s">
        <v>188</v>
      </c>
      <c r="D95" s="253" t="s">
        <v>33</v>
      </c>
      <c r="E95" s="416"/>
      <c r="F95" s="296"/>
      <c r="G95" s="296"/>
      <c r="H95" s="421"/>
      <c r="I95" s="421"/>
      <c r="J95" s="421"/>
      <c r="K95" s="421"/>
      <c r="L95" s="421"/>
      <c r="M95" s="421"/>
      <c r="N95" s="421"/>
      <c r="O95" s="421"/>
      <c r="P95" s="429">
        <f t="shared" si="1"/>
        <v>0</v>
      </c>
    </row>
    <row r="96" spans="1:16" ht="27.6" x14ac:dyDescent="0.3">
      <c r="A96" s="50"/>
      <c r="B96" s="428">
        <v>39</v>
      </c>
      <c r="C96" s="413" t="s">
        <v>189</v>
      </c>
      <c r="D96" s="253" t="s">
        <v>33</v>
      </c>
      <c r="E96" s="416"/>
      <c r="F96" s="296"/>
      <c r="G96" s="296"/>
      <c r="H96" s="421"/>
      <c r="I96" s="421"/>
      <c r="J96" s="421"/>
      <c r="K96" s="421"/>
      <c r="L96" s="421"/>
      <c r="M96" s="421"/>
      <c r="N96" s="421"/>
      <c r="O96" s="421"/>
      <c r="P96" s="429">
        <f t="shared" si="1"/>
        <v>0</v>
      </c>
    </row>
    <row r="97" spans="1:16" ht="27.6" x14ac:dyDescent="0.3">
      <c r="A97" s="50"/>
      <c r="B97" s="428">
        <v>40</v>
      </c>
      <c r="C97" s="413" t="s">
        <v>190</v>
      </c>
      <c r="D97" s="253" t="s">
        <v>33</v>
      </c>
      <c r="E97" s="416"/>
      <c r="F97" s="296"/>
      <c r="G97" s="296"/>
      <c r="H97" s="421"/>
      <c r="I97" s="421"/>
      <c r="J97" s="421"/>
      <c r="K97" s="421"/>
      <c r="L97" s="421"/>
      <c r="M97" s="421"/>
      <c r="N97" s="421"/>
      <c r="O97" s="421"/>
      <c r="P97" s="429">
        <f t="shared" si="1"/>
        <v>0</v>
      </c>
    </row>
    <row r="98" spans="1:16" ht="27.6" x14ac:dyDescent="0.3">
      <c r="A98" s="50"/>
      <c r="B98" s="428">
        <v>41</v>
      </c>
      <c r="C98" s="413" t="s">
        <v>191</v>
      </c>
      <c r="D98" s="253" t="s">
        <v>33</v>
      </c>
      <c r="E98" s="416"/>
      <c r="F98" s="296"/>
      <c r="G98" s="296"/>
      <c r="H98" s="421"/>
      <c r="I98" s="421"/>
      <c r="J98" s="421"/>
      <c r="K98" s="421"/>
      <c r="L98" s="421"/>
      <c r="M98" s="421"/>
      <c r="N98" s="421"/>
      <c r="O98" s="421"/>
      <c r="P98" s="429">
        <f t="shared" si="1"/>
        <v>0</v>
      </c>
    </row>
    <row r="99" spans="1:16" ht="27.6" x14ac:dyDescent="0.3">
      <c r="A99" s="50"/>
      <c r="B99" s="428">
        <v>42</v>
      </c>
      <c r="C99" s="413" t="s">
        <v>192</v>
      </c>
      <c r="D99" s="253" t="s">
        <v>33</v>
      </c>
      <c r="E99" s="416"/>
      <c r="F99" s="296"/>
      <c r="G99" s="296"/>
      <c r="H99" s="421"/>
      <c r="I99" s="421"/>
      <c r="J99" s="421"/>
      <c r="K99" s="421"/>
      <c r="L99" s="421"/>
      <c r="M99" s="421"/>
      <c r="N99" s="421"/>
      <c r="O99" s="421"/>
      <c r="P99" s="429">
        <f t="shared" si="1"/>
        <v>0</v>
      </c>
    </row>
    <row r="100" spans="1:16" ht="14.45" x14ac:dyDescent="0.3">
      <c r="A100" s="50"/>
      <c r="B100" s="428">
        <v>43</v>
      </c>
      <c r="C100" s="413" t="s">
        <v>193</v>
      </c>
      <c r="D100" s="253" t="s">
        <v>33</v>
      </c>
      <c r="E100" s="416"/>
      <c r="F100" s="296"/>
      <c r="G100" s="296"/>
      <c r="H100" s="421"/>
      <c r="I100" s="421"/>
      <c r="J100" s="421"/>
      <c r="K100" s="421"/>
      <c r="L100" s="421"/>
      <c r="M100" s="421"/>
      <c r="N100" s="421"/>
      <c r="O100" s="421"/>
      <c r="P100" s="429">
        <f t="shared" si="1"/>
        <v>0</v>
      </c>
    </row>
    <row r="101" spans="1:16" ht="41.45" x14ac:dyDescent="0.3">
      <c r="A101" s="50"/>
      <c r="B101" s="428">
        <v>44</v>
      </c>
      <c r="C101" s="413" t="s">
        <v>194</v>
      </c>
      <c r="D101" s="253" t="s">
        <v>33</v>
      </c>
      <c r="E101" s="416"/>
      <c r="F101" s="296"/>
      <c r="G101" s="296"/>
      <c r="H101" s="421"/>
      <c r="I101" s="421"/>
      <c r="J101" s="421"/>
      <c r="K101" s="421"/>
      <c r="L101" s="421"/>
      <c r="M101" s="421"/>
      <c r="N101" s="421"/>
      <c r="O101" s="421"/>
      <c r="P101" s="429">
        <f t="shared" si="1"/>
        <v>0</v>
      </c>
    </row>
    <row r="102" spans="1:16" ht="27.6" x14ac:dyDescent="0.3">
      <c r="A102" s="50"/>
      <c r="B102" s="428">
        <v>45</v>
      </c>
      <c r="C102" s="413" t="s">
        <v>195</v>
      </c>
      <c r="D102" s="253" t="s">
        <v>33</v>
      </c>
      <c r="E102" s="416"/>
      <c r="F102" s="296"/>
      <c r="G102" s="296"/>
      <c r="H102" s="421"/>
      <c r="I102" s="421"/>
      <c r="J102" s="421"/>
      <c r="K102" s="421"/>
      <c r="L102" s="421"/>
      <c r="M102" s="421"/>
      <c r="N102" s="421"/>
      <c r="O102" s="421"/>
      <c r="P102" s="429">
        <f t="shared" si="1"/>
        <v>0</v>
      </c>
    </row>
    <row r="103" spans="1:16" ht="27.6" x14ac:dyDescent="0.3">
      <c r="A103" s="50"/>
      <c r="B103" s="428">
        <v>46</v>
      </c>
      <c r="C103" s="413" t="s">
        <v>196</v>
      </c>
      <c r="D103" s="253" t="s">
        <v>33</v>
      </c>
      <c r="E103" s="416"/>
      <c r="F103" s="296"/>
      <c r="G103" s="296"/>
      <c r="H103" s="421"/>
      <c r="I103" s="421"/>
      <c r="J103" s="421"/>
      <c r="K103" s="421"/>
      <c r="L103" s="421"/>
      <c r="M103" s="421"/>
      <c r="N103" s="421"/>
      <c r="O103" s="421"/>
      <c r="P103" s="429">
        <f t="shared" si="1"/>
        <v>0</v>
      </c>
    </row>
    <row r="104" spans="1:16" ht="27.6" x14ac:dyDescent="0.3">
      <c r="A104" s="50"/>
      <c r="B104" s="428">
        <v>47</v>
      </c>
      <c r="C104" s="413" t="s">
        <v>197</v>
      </c>
      <c r="D104" s="253" t="s">
        <v>33</v>
      </c>
      <c r="E104" s="416"/>
      <c r="F104" s="296"/>
      <c r="G104" s="296"/>
      <c r="H104" s="421"/>
      <c r="I104" s="421"/>
      <c r="J104" s="421"/>
      <c r="K104" s="421"/>
      <c r="L104" s="421"/>
      <c r="M104" s="421"/>
      <c r="N104" s="421"/>
      <c r="O104" s="421"/>
      <c r="P104" s="429">
        <f t="shared" si="1"/>
        <v>0</v>
      </c>
    </row>
    <row r="105" spans="1:16" ht="27.6" x14ac:dyDescent="0.3">
      <c r="A105" s="50"/>
      <c r="B105" s="428">
        <v>48</v>
      </c>
      <c r="C105" s="413" t="s">
        <v>198</v>
      </c>
      <c r="D105" s="253" t="s">
        <v>33</v>
      </c>
      <c r="E105" s="416"/>
      <c r="F105" s="296"/>
      <c r="G105" s="296"/>
      <c r="H105" s="421"/>
      <c r="I105" s="421"/>
      <c r="J105" s="421"/>
      <c r="K105" s="421"/>
      <c r="L105" s="421"/>
      <c r="M105" s="421"/>
      <c r="N105" s="421"/>
      <c r="O105" s="421"/>
      <c r="P105" s="429">
        <f t="shared" si="1"/>
        <v>0</v>
      </c>
    </row>
    <row r="106" spans="1:16" ht="27.6" x14ac:dyDescent="0.3">
      <c r="A106" s="50"/>
      <c r="B106" s="428">
        <v>49</v>
      </c>
      <c r="C106" s="413" t="s">
        <v>199</v>
      </c>
      <c r="D106" s="253" t="s">
        <v>33</v>
      </c>
      <c r="E106" s="416"/>
      <c r="F106" s="296"/>
      <c r="G106" s="296"/>
      <c r="H106" s="421"/>
      <c r="I106" s="421"/>
      <c r="J106" s="421"/>
      <c r="K106" s="421"/>
      <c r="L106" s="421"/>
      <c r="M106" s="421"/>
      <c r="N106" s="421"/>
      <c r="O106" s="421"/>
      <c r="P106" s="429">
        <f t="shared" si="1"/>
        <v>0</v>
      </c>
    </row>
    <row r="107" spans="1:16" ht="14.45" x14ac:dyDescent="0.3">
      <c r="A107" s="50"/>
      <c r="B107" s="430" t="s">
        <v>282</v>
      </c>
      <c r="C107" s="413"/>
      <c r="D107" s="253" t="s">
        <v>255</v>
      </c>
      <c r="E107" s="416"/>
      <c r="F107" s="296"/>
      <c r="G107" s="296"/>
      <c r="H107" s="421"/>
      <c r="I107" s="421"/>
      <c r="J107" s="421"/>
      <c r="K107" s="421"/>
      <c r="L107" s="421"/>
      <c r="M107" s="421"/>
      <c r="N107" s="421"/>
      <c r="O107" s="421"/>
      <c r="P107" s="429"/>
    </row>
    <row r="108" spans="1:16" ht="14.45" x14ac:dyDescent="0.3">
      <c r="A108" s="50"/>
      <c r="B108" s="428"/>
      <c r="C108" s="413"/>
      <c r="D108" s="253"/>
      <c r="E108" s="416"/>
      <c r="F108" s="296"/>
      <c r="G108" s="296"/>
      <c r="H108" s="421"/>
      <c r="I108" s="421"/>
      <c r="J108" s="421"/>
      <c r="K108" s="421"/>
      <c r="L108" s="421"/>
      <c r="M108" s="421"/>
      <c r="N108" s="421"/>
      <c r="O108" s="421"/>
      <c r="P108" s="429"/>
    </row>
    <row r="109" spans="1:16" ht="14.45" x14ac:dyDescent="0.3">
      <c r="A109" s="50"/>
      <c r="B109" s="428"/>
      <c r="C109" s="413"/>
      <c r="D109" s="253"/>
      <c r="E109" s="416"/>
      <c r="F109" s="296"/>
      <c r="G109" s="296"/>
      <c r="H109" s="421"/>
      <c r="I109" s="421"/>
      <c r="J109" s="421"/>
      <c r="K109" s="421"/>
      <c r="L109" s="421"/>
      <c r="M109" s="421"/>
      <c r="N109" s="421"/>
      <c r="O109" s="421"/>
      <c r="P109" s="429"/>
    </row>
    <row r="110" spans="1:16" ht="14.45" x14ac:dyDescent="0.3">
      <c r="A110" s="50"/>
      <c r="B110" s="428"/>
      <c r="C110" s="413"/>
      <c r="D110" s="253"/>
      <c r="E110" s="416"/>
      <c r="F110" s="296"/>
      <c r="G110" s="296"/>
      <c r="H110" s="421"/>
      <c r="I110" s="421"/>
      <c r="J110" s="421"/>
      <c r="K110" s="421"/>
      <c r="L110" s="421"/>
      <c r="M110" s="421"/>
      <c r="N110" s="421"/>
      <c r="O110" s="421"/>
      <c r="P110" s="429"/>
    </row>
    <row r="111" spans="1:16" ht="14.45" x14ac:dyDescent="0.3">
      <c r="B111" s="352"/>
      <c r="C111" s="608" t="s">
        <v>223</v>
      </c>
      <c r="D111" s="608"/>
      <c r="E111" s="353"/>
      <c r="F111" s="354"/>
      <c r="G111" s="354"/>
      <c r="H111" s="355">
        <f>SUM(F17*H17,F18*H18,F19*H19,F20*H20,F21*H21,F22*H22,F46*H46,F63*H63,F64*H64,F65*H65,F66*H66)</f>
        <v>0</v>
      </c>
      <c r="I111" s="355">
        <f>SUM(F28*I28,F29*I29,F30*I30,F31*I31,F32*I32,F72*I72,F73*I73,F74*I74,F75*I75,F76*I76,F77*I77,F78*I78,F79*I79,F85*I85,F86*I86,F87*I87)</f>
        <v>0</v>
      </c>
      <c r="J111" s="356"/>
      <c r="K111" s="353"/>
      <c r="L111" s="353"/>
      <c r="M111" s="353"/>
      <c r="N111" s="355"/>
      <c r="O111" s="353"/>
      <c r="P111" s="357">
        <f>SUM(H111:O111)</f>
        <v>0</v>
      </c>
    </row>
    <row r="112" spans="1:16" ht="14.45" x14ac:dyDescent="0.3">
      <c r="B112" s="275"/>
      <c r="C112" s="609" t="s">
        <v>262</v>
      </c>
      <c r="D112" s="609"/>
      <c r="E112" s="269"/>
      <c r="F112" s="267"/>
      <c r="G112" s="267"/>
      <c r="H112" s="269"/>
      <c r="I112" s="269"/>
      <c r="J112" s="270">
        <f>SUM(E28*G28*J28,E29*G29*J29,E30*G30*J30,E31*G31,J31*E32*G32*J32,E38*G38*J38,E39*G39*J39,E40*G40*J40)</f>
        <v>0</v>
      </c>
      <c r="K112" s="270">
        <f>SUM(E28*G28*K28,E29*G29*K29,E30*G30*K30,E31*G31*K31,E32*G32*K32,E38*G38*K38,E39*G39*K39,E40*G40*K40)</f>
        <v>0</v>
      </c>
      <c r="L112" s="270"/>
      <c r="M112" s="270"/>
      <c r="N112" s="269"/>
      <c r="O112" s="269"/>
      <c r="P112" s="276">
        <f>SUM(H112:O112)</f>
        <v>0</v>
      </c>
    </row>
    <row r="113" spans="2:16" ht="14.45" x14ac:dyDescent="0.3">
      <c r="B113" s="275"/>
      <c r="C113" s="609" t="s">
        <v>263</v>
      </c>
      <c r="D113" s="609"/>
      <c r="E113" s="269"/>
      <c r="F113" s="267"/>
      <c r="G113" s="267"/>
      <c r="H113" s="269"/>
      <c r="I113" s="269"/>
      <c r="J113" s="270">
        <f>J112-(E32*G32*J32)</f>
        <v>0</v>
      </c>
      <c r="K113" s="269">
        <f>K112-(E32*G32*K32)</f>
        <v>0</v>
      </c>
      <c r="L113" s="269"/>
      <c r="M113" s="269"/>
      <c r="N113" s="269"/>
      <c r="O113" s="269"/>
      <c r="P113" s="276"/>
    </row>
    <row r="114" spans="2:16" ht="14.45" x14ac:dyDescent="0.3">
      <c r="B114" s="352"/>
      <c r="C114" s="608"/>
      <c r="D114" s="608"/>
      <c r="E114" s="353"/>
      <c r="F114" s="354"/>
      <c r="G114" s="354"/>
      <c r="H114" s="353"/>
      <c r="I114" s="353"/>
      <c r="J114" s="353"/>
      <c r="K114" s="353"/>
      <c r="L114" s="353"/>
      <c r="M114" s="353"/>
      <c r="N114" s="353"/>
      <c r="O114" s="353"/>
      <c r="P114" s="357"/>
    </row>
    <row r="115" spans="2:16" ht="14.45" x14ac:dyDescent="0.3">
      <c r="B115" s="277"/>
      <c r="C115" s="261"/>
      <c r="D115" s="262"/>
      <c r="E115" s="262"/>
      <c r="F115" s="260"/>
      <c r="G115" s="260"/>
      <c r="H115" s="262"/>
      <c r="I115" s="262"/>
      <c r="J115" s="262"/>
      <c r="K115" s="262"/>
      <c r="L115" s="262"/>
      <c r="M115" s="262"/>
      <c r="N115" s="262"/>
      <c r="O115" s="262"/>
      <c r="P115" s="278"/>
    </row>
    <row r="116" spans="2:16" ht="14.45" x14ac:dyDescent="0.3">
      <c r="B116" s="380"/>
      <c r="C116" s="611" t="s">
        <v>329</v>
      </c>
      <c r="D116" s="611"/>
      <c r="E116" s="253"/>
      <c r="F116" s="264"/>
      <c r="G116" s="253"/>
      <c r="H116" s="265" t="e">
        <f>'3.  Distribution Rates'!#REF!</f>
        <v>#REF!</v>
      </c>
      <c r="I116" s="265" t="e">
        <f>'3.  Distribution Rates'!#REF!</f>
        <v>#REF!</v>
      </c>
      <c r="J116" s="265" t="e">
        <f>'3.  Distribution Rates'!#REF!</f>
        <v>#REF!</v>
      </c>
      <c r="K116" s="265" t="e">
        <f>'3.  Distribution Rates'!#REF!</f>
        <v>#REF!</v>
      </c>
      <c r="L116" s="265" t="e">
        <f>'3.  Distribution Rates'!#REF!</f>
        <v>#REF!</v>
      </c>
      <c r="M116" s="265" t="e">
        <f>'3.  Distribution Rates'!#REF!</f>
        <v>#REF!</v>
      </c>
      <c r="N116" s="265" t="e">
        <f>'3.  Distribution Rates'!#REF!</f>
        <v>#REF!</v>
      </c>
      <c r="O116" s="265"/>
      <c r="P116" s="381"/>
    </row>
    <row r="117" spans="2:16" ht="14.45" x14ac:dyDescent="0.3">
      <c r="B117" s="380"/>
      <c r="C117" s="611" t="s">
        <v>283</v>
      </c>
      <c r="D117" s="611"/>
      <c r="E117" s="262"/>
      <c r="F117" s="264"/>
      <c r="G117" s="264"/>
      <c r="H117" s="355"/>
      <c r="I117" s="355"/>
      <c r="J117" s="355"/>
      <c r="K117" s="355"/>
      <c r="L117" s="355"/>
      <c r="M117" s="355"/>
      <c r="N117" s="355"/>
      <c r="O117" s="253"/>
      <c r="P117" s="279">
        <f>SUM(H117:O117)</f>
        <v>0</v>
      </c>
    </row>
    <row r="118" spans="2:16" ht="14.45" x14ac:dyDescent="0.3">
      <c r="B118" s="380"/>
      <c r="C118" s="611" t="s">
        <v>284</v>
      </c>
      <c r="D118" s="611"/>
      <c r="E118" s="262"/>
      <c r="F118" s="264"/>
      <c r="G118" s="264"/>
      <c r="H118" s="355"/>
      <c r="I118" s="355"/>
      <c r="J118" s="355"/>
      <c r="K118" s="355"/>
      <c r="L118" s="355"/>
      <c r="M118" s="355"/>
      <c r="N118" s="355"/>
      <c r="O118" s="253"/>
      <c r="P118" s="279">
        <f>SUM(H118:O118)</f>
        <v>0</v>
      </c>
    </row>
    <row r="119" spans="2:16" ht="14.45" x14ac:dyDescent="0.3">
      <c r="B119" s="380"/>
      <c r="C119" s="611" t="s">
        <v>285</v>
      </c>
      <c r="D119" s="611"/>
      <c r="E119" s="262"/>
      <c r="F119" s="264"/>
      <c r="G119" s="264"/>
      <c r="H119" s="355"/>
      <c r="I119" s="355"/>
      <c r="J119" s="355"/>
      <c r="K119" s="355"/>
      <c r="L119" s="355"/>
      <c r="M119" s="355"/>
      <c r="N119" s="355"/>
      <c r="O119" s="253"/>
      <c r="P119" s="279">
        <f t="shared" ref="P119" si="2">SUM(H119:O119)</f>
        <v>0</v>
      </c>
    </row>
    <row r="120" spans="2:16" ht="14.45" x14ac:dyDescent="0.3">
      <c r="B120" s="380"/>
      <c r="C120" s="611" t="s">
        <v>286</v>
      </c>
      <c r="D120" s="611"/>
      <c r="E120" s="262"/>
      <c r="F120" s="264"/>
      <c r="G120" s="264"/>
      <c r="H120" s="355"/>
      <c r="I120" s="355"/>
      <c r="J120" s="355"/>
      <c r="K120" s="355"/>
      <c r="L120" s="355"/>
      <c r="M120" s="355"/>
      <c r="N120" s="355"/>
      <c r="O120" s="253"/>
      <c r="P120" s="279">
        <f>SUM(H120:O120)</f>
        <v>0</v>
      </c>
    </row>
    <row r="121" spans="2:16" ht="14.45" x14ac:dyDescent="0.3">
      <c r="B121" s="380"/>
      <c r="C121" s="611" t="s">
        <v>287</v>
      </c>
      <c r="D121" s="611"/>
      <c r="E121" s="262"/>
      <c r="F121" s="264"/>
      <c r="G121" s="264"/>
      <c r="H121" s="377" t="e">
        <f>'5.  2015 LRAM'!H128*H116</f>
        <v>#DIV/0!</v>
      </c>
      <c r="I121" s="377" t="e">
        <f>'5.  2015 LRAM'!I128*I116</f>
        <v>#DIV/0!</v>
      </c>
      <c r="J121" s="377" t="e">
        <f>'5.  2015 LRAM'!J128*J116</f>
        <v>#DIV/0!</v>
      </c>
      <c r="K121" s="377" t="e">
        <f>'5.  2015 LRAM'!K128*K116</f>
        <v>#DIV/0!</v>
      </c>
      <c r="L121" s="377" t="e">
        <f>'5.  2015 LRAM'!L128*L116</f>
        <v>#DIV/0!</v>
      </c>
      <c r="M121" s="377" t="e">
        <f>'5.  2015 LRAM'!M128*M116</f>
        <v>#DIV/0!</v>
      </c>
      <c r="N121" s="377" t="e">
        <f>'5.  2015 LRAM'!N128*N116</f>
        <v>#DIV/0!</v>
      </c>
      <c r="O121" s="253"/>
      <c r="P121" s="279" t="e">
        <f t="shared" ref="P121:P122" si="3">SUM(H121:O121)</f>
        <v>#DIV/0!</v>
      </c>
    </row>
    <row r="122" spans="2:16" ht="14.45" x14ac:dyDescent="0.3">
      <c r="B122" s="380"/>
      <c r="C122" s="611" t="s">
        <v>288</v>
      </c>
      <c r="D122" s="611"/>
      <c r="E122" s="262"/>
      <c r="F122" s="264"/>
      <c r="G122" s="264"/>
      <c r="H122" s="377" t="e">
        <f>'5-b. 2016 LRAM'!H126*H116</f>
        <v>#DIV/0!</v>
      </c>
      <c r="I122" s="377" t="e">
        <f>'5-b. 2016 LRAM'!I126*I116</f>
        <v>#DIV/0!</v>
      </c>
      <c r="J122" s="377" t="e">
        <f>'5-b. 2016 LRAM'!J126*J116</f>
        <v>#DIV/0!</v>
      </c>
      <c r="K122" s="377" t="e">
        <f>'5-b. 2016 LRAM'!K126*K116</f>
        <v>#DIV/0!</v>
      </c>
      <c r="L122" s="377" t="e">
        <f>'5-b. 2016 LRAM'!L126*L116</f>
        <v>#REF!</v>
      </c>
      <c r="M122" s="377" t="e">
        <f>'5-b. 2016 LRAM'!M126*M116</f>
        <v>#REF!</v>
      </c>
      <c r="N122" s="377" t="e">
        <f>'5-b. 2016 LRAM'!N126*N116</f>
        <v>#REF!</v>
      </c>
      <c r="O122" s="253"/>
      <c r="P122" s="279" t="e">
        <f t="shared" si="3"/>
        <v>#DIV/0!</v>
      </c>
    </row>
    <row r="123" spans="2:16" ht="14.45" x14ac:dyDescent="0.3">
      <c r="B123" s="380"/>
      <c r="C123" s="611" t="s">
        <v>289</v>
      </c>
      <c r="D123" s="611"/>
      <c r="E123" s="262"/>
      <c r="F123" s="264"/>
      <c r="G123" s="264"/>
      <c r="H123" s="377" t="e">
        <f>'5-c.  2017 LRAM'!H127*H116</f>
        <v>#DIV/0!</v>
      </c>
      <c r="I123" s="377" t="e">
        <f>'5-c.  2017 LRAM'!I127*I116</f>
        <v>#DIV/0!</v>
      </c>
      <c r="J123" s="377" t="e">
        <f>'5-c.  2017 LRAM'!J127*J116</f>
        <v>#DIV/0!</v>
      </c>
      <c r="K123" s="377" t="e">
        <f>'5-c.  2017 LRAM'!K127*K116</f>
        <v>#DIV/0!</v>
      </c>
      <c r="L123" s="377" t="e">
        <f>'5-c.  2017 LRAM'!L127*L116</f>
        <v>#REF!</v>
      </c>
      <c r="M123" s="377" t="e">
        <f>'5-c.  2017 LRAM'!M127*M116</f>
        <v>#REF!</v>
      </c>
      <c r="N123" s="377" t="e">
        <f>'5-c.  2017 LRAM'!N127*N116</f>
        <v>#DIV/0!</v>
      </c>
      <c r="O123" s="253"/>
      <c r="P123" s="279" t="e">
        <f>SUM(H123:O123)</f>
        <v>#DIV/0!</v>
      </c>
    </row>
    <row r="124" spans="2:16" ht="14.45" x14ac:dyDescent="0.3">
      <c r="B124" s="380"/>
      <c r="C124" s="611" t="s">
        <v>290</v>
      </c>
      <c r="D124" s="611"/>
      <c r="E124" s="262"/>
      <c r="F124" s="264"/>
      <c r="G124" s="264"/>
      <c r="H124" s="377" t="e">
        <f>H111*H116</f>
        <v>#REF!</v>
      </c>
      <c r="I124" s="377" t="e">
        <f>I111*I116</f>
        <v>#REF!</v>
      </c>
      <c r="J124" s="377" t="e">
        <f>J112*J116</f>
        <v>#REF!</v>
      </c>
      <c r="K124" s="377" t="e">
        <f>K112*K116</f>
        <v>#REF!</v>
      </c>
      <c r="L124" s="377" t="e">
        <f>L112*L116</f>
        <v>#REF!</v>
      </c>
      <c r="M124" s="377" t="e">
        <f>M112*M116</f>
        <v>#REF!</v>
      </c>
      <c r="N124" s="377" t="e">
        <f>N111*N116</f>
        <v>#REF!</v>
      </c>
      <c r="O124" s="253"/>
      <c r="P124" s="279" t="e">
        <f>SUM(H124:O124)</f>
        <v>#REF!</v>
      </c>
    </row>
    <row r="125" spans="2:16" ht="14.45" x14ac:dyDescent="0.3">
      <c r="B125" s="277"/>
      <c r="C125" s="378" t="s">
        <v>291</v>
      </c>
      <c r="D125" s="262"/>
      <c r="E125" s="262"/>
      <c r="F125" s="260"/>
      <c r="G125" s="260"/>
      <c r="H125" s="266" t="e">
        <f t="shared" ref="H125:N125" si="4">SUM(H117:H124)</f>
        <v>#DIV/0!</v>
      </c>
      <c r="I125" s="266" t="e">
        <f t="shared" si="4"/>
        <v>#DIV/0!</v>
      </c>
      <c r="J125" s="266" t="e">
        <f>SUM(J117:J124)</f>
        <v>#DIV/0!</v>
      </c>
      <c r="K125" s="266" t="e">
        <f t="shared" si="4"/>
        <v>#DIV/0!</v>
      </c>
      <c r="L125" s="266" t="e">
        <f t="shared" si="4"/>
        <v>#DIV/0!</v>
      </c>
      <c r="M125" s="266" t="e">
        <f t="shared" si="4"/>
        <v>#DIV/0!</v>
      </c>
      <c r="N125" s="266" t="e">
        <f t="shared" si="4"/>
        <v>#DIV/0!</v>
      </c>
      <c r="O125" s="262"/>
      <c r="P125" s="280" t="e">
        <f>SUM(P117:P124)</f>
        <v>#DIV/0!</v>
      </c>
    </row>
    <row r="126" spans="2:16" ht="14.45" x14ac:dyDescent="0.3">
      <c r="B126" s="277"/>
      <c r="C126" s="378"/>
      <c r="D126" s="262"/>
      <c r="E126" s="262"/>
      <c r="F126" s="260"/>
      <c r="G126" s="260"/>
      <c r="H126" s="266"/>
      <c r="I126" s="266"/>
      <c r="J126" s="266"/>
      <c r="K126" s="266"/>
      <c r="L126" s="266"/>
      <c r="M126" s="266"/>
      <c r="N126" s="266"/>
      <c r="O126" s="262"/>
      <c r="P126" s="280"/>
    </row>
    <row r="127" spans="2:16" ht="14.45" x14ac:dyDescent="0.3">
      <c r="B127" s="422"/>
      <c r="C127" s="611" t="s">
        <v>292</v>
      </c>
      <c r="D127" s="611"/>
      <c r="E127" s="414"/>
      <c r="F127" s="158"/>
      <c r="G127" s="158"/>
      <c r="H127" s="296" t="e">
        <f>$H$111*'6.  Persistence Rates'!$H$47</f>
        <v>#DIV/0!</v>
      </c>
      <c r="I127" s="296" t="e">
        <f>$H$111*'6.  Persistence Rates'!$H$47</f>
        <v>#DIV/0!</v>
      </c>
      <c r="J127" s="296" t="e">
        <f>J112*'6.  Persistence Rates'!$U$47</f>
        <v>#DIV/0!</v>
      </c>
      <c r="K127" s="296" t="e">
        <f>K112*'6.  Persistence Rates'!$U$47</f>
        <v>#DIV/0!</v>
      </c>
      <c r="L127" s="296" t="e">
        <f>L112*'6.  Persistence Rates'!$R$44</f>
        <v>#DIV/0!</v>
      </c>
      <c r="M127" s="296" t="e">
        <f>M112*'6.  Persistence Rates'!$R$44</f>
        <v>#DIV/0!</v>
      </c>
      <c r="N127" s="296" t="e">
        <f>N111*'6.  Persistence Rates'!$E$44</f>
        <v>#DIV/0!</v>
      </c>
      <c r="O127" s="158"/>
      <c r="P127" s="350"/>
    </row>
    <row r="128" spans="2:16" ht="14.45" x14ac:dyDescent="0.3">
      <c r="B128" s="423"/>
      <c r="C128" s="623" t="s">
        <v>293</v>
      </c>
      <c r="D128" s="623"/>
      <c r="E128" s="424"/>
      <c r="F128" s="330"/>
      <c r="G128" s="330"/>
      <c r="H128" s="296" t="e">
        <f>H111*'6.  Persistence Rates'!$I$47</f>
        <v>#DIV/0!</v>
      </c>
      <c r="I128" s="296" t="e">
        <f>I111*'6.  Persistence Rates'!$I$47</f>
        <v>#DIV/0!</v>
      </c>
      <c r="J128" s="296" t="e">
        <f>$J$113*'6.  Persistence Rates'!$V$47</f>
        <v>#DIV/0!</v>
      </c>
      <c r="K128" s="296" t="e">
        <f>$K$113*'6.  Persistence Rates'!$V$47</f>
        <v>#DIV/0!</v>
      </c>
      <c r="L128" s="296"/>
      <c r="M128" s="296"/>
      <c r="N128" s="296" t="e">
        <f>N111*'6.  Persistence Rates'!$I$47</f>
        <v>#DIV/0!</v>
      </c>
      <c r="O128" s="330"/>
      <c r="P128" s="399"/>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39" customWidth="1"/>
    <col min="4" max="4" width="12.28515625" style="440" customWidth="1"/>
    <col min="5" max="5" width="13.28515625" style="440"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5">
      <c r="B2" s="655" t="s">
        <v>295</v>
      </c>
      <c r="C2" s="655"/>
      <c r="D2" s="655"/>
      <c r="E2" s="655"/>
      <c r="F2" s="655"/>
      <c r="G2" s="655"/>
      <c r="H2" s="655"/>
      <c r="I2" s="655"/>
      <c r="J2" s="655"/>
      <c r="K2" s="655"/>
      <c r="L2" s="655"/>
      <c r="M2" s="655"/>
      <c r="N2" s="655"/>
      <c r="O2" s="655"/>
      <c r="P2" s="655"/>
    </row>
    <row r="3" spans="1:18" ht="18" outlineLevel="1" x14ac:dyDescent="0.35">
      <c r="B3" s="442"/>
      <c r="C3" s="442"/>
      <c r="D3" s="442"/>
      <c r="E3" s="442"/>
      <c r="F3" s="442"/>
      <c r="G3" s="442"/>
      <c r="H3" s="442"/>
      <c r="I3" s="442"/>
      <c r="J3" s="442"/>
      <c r="K3" s="442"/>
      <c r="L3" s="442"/>
      <c r="M3" s="442"/>
      <c r="N3" s="442"/>
      <c r="O3" s="442"/>
      <c r="P3" s="442"/>
    </row>
    <row r="4" spans="1:18" ht="35.25" customHeight="1" outlineLevel="1" x14ac:dyDescent="0.35">
      <c r="A4" s="336"/>
      <c r="B4" s="442"/>
      <c r="C4" s="368" t="s">
        <v>403</v>
      </c>
      <c r="D4" s="443"/>
      <c r="E4" s="654" t="s">
        <v>366</v>
      </c>
      <c r="F4" s="654"/>
      <c r="G4" s="654"/>
      <c r="H4" s="654"/>
      <c r="I4" s="654"/>
      <c r="J4" s="654"/>
      <c r="K4" s="654"/>
      <c r="L4" s="654"/>
      <c r="M4" s="654"/>
      <c r="N4" s="654"/>
      <c r="O4" s="654"/>
      <c r="P4" s="654"/>
    </row>
    <row r="5" spans="1:18" ht="18.75" customHeight="1" outlineLevel="1" x14ac:dyDescent="0.35">
      <c r="B5" s="442"/>
      <c r="C5" s="444"/>
      <c r="D5" s="443"/>
      <c r="E5" s="371" t="s">
        <v>360</v>
      </c>
      <c r="F5" s="443"/>
      <c r="G5" s="443"/>
      <c r="H5" s="443"/>
      <c r="I5" s="443"/>
      <c r="J5" s="443"/>
      <c r="K5" s="443"/>
      <c r="L5" s="443"/>
      <c r="M5" s="443"/>
      <c r="N5" s="443"/>
      <c r="O5" s="443"/>
      <c r="P5" s="443"/>
    </row>
    <row r="6" spans="1:18" ht="18.75" customHeight="1" outlineLevel="1" x14ac:dyDescent="0.35">
      <c r="B6" s="442"/>
      <c r="C6" s="444"/>
      <c r="D6" s="443"/>
      <c r="E6" s="371" t="s">
        <v>361</v>
      </c>
      <c r="F6" s="443"/>
      <c r="G6" s="443"/>
      <c r="H6" s="443"/>
      <c r="I6" s="443"/>
      <c r="J6" s="443"/>
      <c r="K6" s="443"/>
      <c r="L6" s="443"/>
      <c r="M6" s="443"/>
      <c r="N6" s="443"/>
      <c r="O6" s="443"/>
      <c r="P6" s="443"/>
    </row>
    <row r="7" spans="1:18" ht="18.75" customHeight="1" outlineLevel="1" x14ac:dyDescent="0.35">
      <c r="B7" s="442"/>
      <c r="C7" s="444"/>
      <c r="D7" s="443"/>
      <c r="E7" s="371" t="s">
        <v>421</v>
      </c>
      <c r="F7" s="443"/>
      <c r="G7" s="443"/>
      <c r="H7" s="443"/>
      <c r="I7" s="443"/>
      <c r="J7" s="443"/>
      <c r="K7" s="443"/>
      <c r="L7" s="443"/>
      <c r="M7" s="443"/>
      <c r="N7" s="443"/>
      <c r="O7" s="443"/>
      <c r="P7" s="443"/>
    </row>
    <row r="8" spans="1:18" ht="18.75" customHeight="1" outlineLevel="1" x14ac:dyDescent="0.35">
      <c r="B8" s="442"/>
      <c r="C8" s="448"/>
      <c r="D8" s="442"/>
      <c r="E8" s="169"/>
      <c r="F8" s="442"/>
      <c r="G8" s="442"/>
      <c r="H8" s="442"/>
      <c r="I8" s="442"/>
      <c r="J8" s="442"/>
      <c r="K8" s="442"/>
      <c r="L8" s="442"/>
      <c r="M8" s="442"/>
      <c r="N8" s="442"/>
      <c r="O8" s="442"/>
      <c r="P8" s="442"/>
    </row>
    <row r="9" spans="1:18" ht="18.75" customHeight="1" outlineLevel="1" x14ac:dyDescent="0.35">
      <c r="B9" s="442"/>
      <c r="C9" s="235" t="s">
        <v>339</v>
      </c>
      <c r="D9" s="442"/>
      <c r="E9" s="639" t="s">
        <v>367</v>
      </c>
      <c r="F9" s="639"/>
      <c r="G9" s="442"/>
      <c r="H9" s="442"/>
      <c r="I9" s="442"/>
      <c r="J9" s="442"/>
      <c r="K9" s="442"/>
      <c r="L9" s="442"/>
      <c r="M9" s="442"/>
      <c r="N9" s="442"/>
      <c r="O9" s="442"/>
      <c r="P9" s="442"/>
      <c r="R9" s="82"/>
    </row>
    <row r="10" spans="1:18" ht="18.75" customHeight="1" outlineLevel="1" x14ac:dyDescent="0.35">
      <c r="B10" s="442"/>
      <c r="C10" s="442"/>
      <c r="D10" s="442"/>
      <c r="E10" s="656" t="s">
        <v>340</v>
      </c>
      <c r="F10" s="656"/>
      <c r="G10" s="442"/>
      <c r="H10" s="442"/>
      <c r="I10" s="442"/>
      <c r="J10" s="442"/>
      <c r="K10" s="442"/>
      <c r="L10" s="442"/>
      <c r="M10" s="442"/>
      <c r="N10" s="442"/>
      <c r="O10" s="442"/>
      <c r="P10" s="442"/>
    </row>
    <row r="11" spans="1:18" ht="14.45" x14ac:dyDescent="0.3">
      <c r="A11" s="449"/>
      <c r="C11" s="446"/>
      <c r="D11" s="447"/>
      <c r="E11" s="447"/>
    </row>
    <row r="12" spans="1:18" ht="15.6" x14ac:dyDescent="0.3">
      <c r="A12" s="449"/>
      <c r="B12" s="445" t="s">
        <v>482</v>
      </c>
      <c r="C12" s="446"/>
      <c r="D12" s="447"/>
      <c r="E12" s="447"/>
    </row>
    <row r="13" spans="1:18" ht="45" x14ac:dyDescent="0.25">
      <c r="A13" s="449"/>
      <c r="B13" s="646" t="s">
        <v>58</v>
      </c>
      <c r="C13" s="648" t="s">
        <v>0</v>
      </c>
      <c r="D13" s="648" t="s">
        <v>44</v>
      </c>
      <c r="E13" s="648" t="s">
        <v>206</v>
      </c>
      <c r="F13" s="238" t="s">
        <v>203</v>
      </c>
      <c r="G13" s="238" t="s">
        <v>45</v>
      </c>
      <c r="H13" s="650" t="s">
        <v>59</v>
      </c>
      <c r="I13" s="650"/>
      <c r="J13" s="650"/>
      <c r="K13" s="650"/>
      <c r="L13" s="650"/>
      <c r="M13" s="650"/>
      <c r="N13" s="650"/>
      <c r="O13" s="650"/>
      <c r="P13" s="651"/>
    </row>
    <row r="14" spans="1:18" ht="60" x14ac:dyDescent="0.25">
      <c r="A14" s="449"/>
      <c r="B14" s="647"/>
      <c r="C14" s="649"/>
      <c r="D14" s="649"/>
      <c r="E14" s="649"/>
      <c r="F14" s="437" t="s">
        <v>215</v>
      </c>
      <c r="G14" s="437" t="s">
        <v>216</v>
      </c>
      <c r="H14" s="438" t="s">
        <v>37</v>
      </c>
      <c r="I14" s="438" t="s">
        <v>39</v>
      </c>
      <c r="J14" s="438" t="s">
        <v>108</v>
      </c>
      <c r="K14" s="438" t="s">
        <v>109</v>
      </c>
      <c r="L14" s="438" t="s">
        <v>40</v>
      </c>
      <c r="M14" s="438" t="s">
        <v>41</v>
      </c>
      <c r="N14" s="438" t="s">
        <v>42</v>
      </c>
      <c r="O14" s="438" t="s">
        <v>105</v>
      </c>
      <c r="P14" s="441" t="s">
        <v>34</v>
      </c>
    </row>
    <row r="15" spans="1:18" ht="29.25" customHeight="1" x14ac:dyDescent="0.3">
      <c r="B15" s="627" t="s">
        <v>142</v>
      </c>
      <c r="C15" s="628"/>
      <c r="D15" s="628"/>
      <c r="E15" s="628"/>
      <c r="F15" s="628"/>
      <c r="G15" s="628"/>
      <c r="H15" s="628"/>
      <c r="I15" s="628"/>
      <c r="J15" s="628"/>
      <c r="K15" s="628"/>
      <c r="L15" s="628"/>
      <c r="M15" s="628"/>
      <c r="N15" s="628"/>
      <c r="O15" s="628"/>
      <c r="P15" s="629"/>
    </row>
    <row r="16" spans="1:18" ht="26.25" customHeight="1" x14ac:dyDescent="0.3">
      <c r="A16" s="450"/>
      <c r="B16" s="640" t="s">
        <v>143</v>
      </c>
      <c r="C16" s="641"/>
      <c r="D16" s="641"/>
      <c r="E16" s="641"/>
      <c r="F16" s="641"/>
      <c r="G16" s="641"/>
      <c r="H16" s="641"/>
      <c r="I16" s="641"/>
      <c r="J16" s="641"/>
      <c r="K16" s="641"/>
      <c r="L16" s="641"/>
      <c r="M16" s="641"/>
      <c r="N16" s="641"/>
      <c r="O16" s="641"/>
      <c r="P16" s="642"/>
    </row>
    <row r="17" spans="1:16" ht="14.45" x14ac:dyDescent="0.3">
      <c r="A17" s="450"/>
      <c r="B17" s="428">
        <v>1</v>
      </c>
      <c r="C17" s="413" t="s">
        <v>144</v>
      </c>
      <c r="D17" s="253" t="s">
        <v>33</v>
      </c>
      <c r="E17" s="414"/>
      <c r="F17" s="296"/>
      <c r="G17" s="296"/>
      <c r="H17" s="425">
        <v>1</v>
      </c>
      <c r="I17" s="415"/>
      <c r="J17" s="415"/>
      <c r="K17" s="415"/>
      <c r="L17" s="415"/>
      <c r="M17" s="415"/>
      <c r="N17" s="415"/>
      <c r="O17" s="415"/>
      <c r="P17" s="429">
        <f>SUM(H17:O17)</f>
        <v>1</v>
      </c>
    </row>
    <row r="18" spans="1:16" ht="14.45" x14ac:dyDescent="0.3">
      <c r="A18" s="40"/>
      <c r="B18" s="428">
        <v>2</v>
      </c>
      <c r="C18" s="413" t="s">
        <v>145</v>
      </c>
      <c r="D18" s="253" t="s">
        <v>33</v>
      </c>
      <c r="E18" s="416"/>
      <c r="F18" s="296"/>
      <c r="G18" s="296"/>
      <c r="H18" s="425">
        <v>1</v>
      </c>
      <c r="I18" s="415"/>
      <c r="J18" s="415"/>
      <c r="K18" s="415"/>
      <c r="L18" s="415"/>
      <c r="M18" s="415"/>
      <c r="N18" s="415"/>
      <c r="O18" s="415"/>
      <c r="P18" s="429">
        <f t="shared" ref="P18:P79" si="0">SUM(H18:O18)</f>
        <v>1</v>
      </c>
    </row>
    <row r="19" spans="1:16" ht="14.45" x14ac:dyDescent="0.3">
      <c r="A19" s="450"/>
      <c r="B19" s="428">
        <v>3</v>
      </c>
      <c r="C19" s="413" t="s">
        <v>146</v>
      </c>
      <c r="D19" s="253" t="s">
        <v>33</v>
      </c>
      <c r="E19" s="416"/>
      <c r="F19" s="296"/>
      <c r="G19" s="296"/>
      <c r="H19" s="425">
        <v>1</v>
      </c>
      <c r="I19" s="415"/>
      <c r="J19" s="415"/>
      <c r="K19" s="415"/>
      <c r="L19" s="415"/>
      <c r="M19" s="415"/>
      <c r="N19" s="415"/>
      <c r="O19" s="415"/>
      <c r="P19" s="429">
        <f t="shared" si="0"/>
        <v>1</v>
      </c>
    </row>
    <row r="20" spans="1:16" ht="14.45" x14ac:dyDescent="0.3">
      <c r="A20" s="450"/>
      <c r="B20" s="428">
        <v>4</v>
      </c>
      <c r="C20" s="413" t="s">
        <v>147</v>
      </c>
      <c r="D20" s="253" t="s">
        <v>33</v>
      </c>
      <c r="E20" s="416"/>
      <c r="F20" s="296"/>
      <c r="G20" s="296"/>
      <c r="H20" s="425">
        <v>1</v>
      </c>
      <c r="I20" s="415"/>
      <c r="J20" s="415"/>
      <c r="K20" s="415"/>
      <c r="L20" s="415"/>
      <c r="M20" s="415"/>
      <c r="N20" s="415"/>
      <c r="O20" s="415"/>
      <c r="P20" s="429">
        <f t="shared" si="0"/>
        <v>1</v>
      </c>
    </row>
    <row r="21" spans="1:16" ht="14.45" x14ac:dyDescent="0.3">
      <c r="A21" s="450"/>
      <c r="B21" s="428">
        <v>5</v>
      </c>
      <c r="C21" s="413" t="s">
        <v>148</v>
      </c>
      <c r="D21" s="253" t="s">
        <v>33</v>
      </c>
      <c r="E21" s="416"/>
      <c r="F21" s="296"/>
      <c r="G21" s="296"/>
      <c r="H21" s="425">
        <v>1</v>
      </c>
      <c r="I21" s="415"/>
      <c r="J21" s="415"/>
      <c r="K21" s="415"/>
      <c r="L21" s="415"/>
      <c r="M21" s="415"/>
      <c r="N21" s="415"/>
      <c r="O21" s="415"/>
      <c r="P21" s="429">
        <f t="shared" si="0"/>
        <v>1</v>
      </c>
    </row>
    <row r="22" spans="1:16" ht="27.6" x14ac:dyDescent="0.3">
      <c r="A22" s="450"/>
      <c r="B22" s="428">
        <v>6</v>
      </c>
      <c r="C22" s="413" t="s">
        <v>149</v>
      </c>
      <c r="D22" s="253" t="s">
        <v>33</v>
      </c>
      <c r="E22" s="416"/>
      <c r="F22" s="296"/>
      <c r="G22" s="296"/>
      <c r="H22" s="425">
        <v>1</v>
      </c>
      <c r="I22" s="415"/>
      <c r="J22" s="415"/>
      <c r="K22" s="415"/>
      <c r="L22" s="415"/>
      <c r="M22" s="415"/>
      <c r="N22" s="415"/>
      <c r="O22" s="415"/>
      <c r="P22" s="429">
        <f t="shared" si="0"/>
        <v>1</v>
      </c>
    </row>
    <row r="23" spans="1:16" ht="14.45" x14ac:dyDescent="0.3">
      <c r="A23" s="450"/>
      <c r="B23" s="430" t="s">
        <v>296</v>
      </c>
      <c r="C23" s="413"/>
      <c r="D23" s="253" t="s">
        <v>255</v>
      </c>
      <c r="E23" s="416"/>
      <c r="F23" s="296"/>
      <c r="G23" s="296"/>
      <c r="H23" s="425"/>
      <c r="I23" s="415"/>
      <c r="J23" s="415"/>
      <c r="K23" s="415"/>
      <c r="L23" s="415"/>
      <c r="M23" s="415"/>
      <c r="N23" s="415"/>
      <c r="O23" s="415"/>
      <c r="P23" s="429">
        <f t="shared" si="0"/>
        <v>0</v>
      </c>
    </row>
    <row r="24" spans="1:16" ht="14.45" x14ac:dyDescent="0.3">
      <c r="A24" s="450"/>
      <c r="B24" s="428"/>
      <c r="C24" s="413"/>
      <c r="D24" s="253"/>
      <c r="E24" s="416"/>
      <c r="F24" s="296"/>
      <c r="G24" s="296"/>
      <c r="H24" s="425"/>
      <c r="I24" s="415"/>
      <c r="J24" s="415"/>
      <c r="K24" s="415"/>
      <c r="L24" s="415"/>
      <c r="M24" s="415"/>
      <c r="N24" s="415"/>
      <c r="O24" s="415"/>
      <c r="P24" s="429">
        <f t="shared" si="0"/>
        <v>0</v>
      </c>
    </row>
    <row r="25" spans="1:16" ht="14.45" x14ac:dyDescent="0.3">
      <c r="A25" s="450"/>
      <c r="B25" s="428"/>
      <c r="C25" s="413"/>
      <c r="D25" s="253"/>
      <c r="E25" s="416"/>
      <c r="F25" s="296"/>
      <c r="G25" s="296"/>
      <c r="H25" s="425"/>
      <c r="I25" s="415"/>
      <c r="J25" s="415"/>
      <c r="K25" s="415"/>
      <c r="L25" s="415"/>
      <c r="M25" s="415"/>
      <c r="N25" s="415"/>
      <c r="O25" s="415"/>
      <c r="P25" s="429">
        <f t="shared" si="0"/>
        <v>0</v>
      </c>
    </row>
    <row r="26" spans="1:16" ht="14.45" x14ac:dyDescent="0.3">
      <c r="A26" s="450"/>
      <c r="B26" s="428"/>
      <c r="C26" s="413"/>
      <c r="D26" s="253"/>
      <c r="E26" s="416"/>
      <c r="F26" s="296"/>
      <c r="G26" s="296"/>
      <c r="H26" s="425"/>
      <c r="I26" s="415"/>
      <c r="J26" s="415"/>
      <c r="K26" s="415"/>
      <c r="L26" s="415"/>
      <c r="M26" s="415"/>
      <c r="N26" s="415"/>
      <c r="O26" s="415"/>
      <c r="P26" s="429">
        <f t="shared" si="0"/>
        <v>0</v>
      </c>
    </row>
    <row r="27" spans="1:16" ht="25.5" customHeight="1" x14ac:dyDescent="0.3">
      <c r="A27" s="450"/>
      <c r="B27" s="640" t="s">
        <v>150</v>
      </c>
      <c r="C27" s="641"/>
      <c r="D27" s="641"/>
      <c r="E27" s="641"/>
      <c r="F27" s="641"/>
      <c r="G27" s="641"/>
      <c r="H27" s="641"/>
      <c r="I27" s="641"/>
      <c r="J27" s="641"/>
      <c r="K27" s="641"/>
      <c r="L27" s="641"/>
      <c r="M27" s="641"/>
      <c r="N27" s="641"/>
      <c r="O27" s="641"/>
      <c r="P27" s="642"/>
    </row>
    <row r="28" spans="1:16" ht="14.45" x14ac:dyDescent="0.3">
      <c r="A28" s="450"/>
      <c r="B28" s="428">
        <v>7</v>
      </c>
      <c r="C28" s="413" t="s">
        <v>151</v>
      </c>
      <c r="D28" s="253" t="s">
        <v>33</v>
      </c>
      <c r="E28" s="416">
        <v>12</v>
      </c>
      <c r="F28" s="296"/>
      <c r="G28" s="296"/>
      <c r="H28" s="415"/>
      <c r="I28" s="425">
        <v>0.2</v>
      </c>
      <c r="J28" s="425">
        <v>0.5</v>
      </c>
      <c r="K28" s="425">
        <v>0.3</v>
      </c>
      <c r="L28" s="415"/>
      <c r="M28" s="415"/>
      <c r="N28" s="415"/>
      <c r="O28" s="415"/>
      <c r="P28" s="429">
        <f t="shared" si="0"/>
        <v>1</v>
      </c>
    </row>
    <row r="29" spans="1:16" ht="27.6" x14ac:dyDescent="0.3">
      <c r="A29" s="450"/>
      <c r="B29" s="428">
        <v>8</v>
      </c>
      <c r="C29" s="413" t="s">
        <v>152</v>
      </c>
      <c r="D29" s="253" t="s">
        <v>33</v>
      </c>
      <c r="E29" s="416">
        <v>12</v>
      </c>
      <c r="F29" s="296"/>
      <c r="G29" s="296"/>
      <c r="H29" s="415"/>
      <c r="I29" s="425">
        <v>0.8</v>
      </c>
      <c r="J29" s="425">
        <v>0.2</v>
      </c>
      <c r="K29" s="415"/>
      <c r="L29" s="415"/>
      <c r="M29" s="415"/>
      <c r="N29" s="415"/>
      <c r="O29" s="415"/>
      <c r="P29" s="429">
        <f t="shared" si="0"/>
        <v>1</v>
      </c>
    </row>
    <row r="30" spans="1:16" ht="27.6" x14ac:dyDescent="0.3">
      <c r="A30" s="450"/>
      <c r="B30" s="428">
        <v>9</v>
      </c>
      <c r="C30" s="413" t="s">
        <v>153</v>
      </c>
      <c r="D30" s="253" t="s">
        <v>33</v>
      </c>
      <c r="E30" s="416">
        <v>12</v>
      </c>
      <c r="F30" s="296"/>
      <c r="G30" s="296"/>
      <c r="H30" s="415"/>
      <c r="I30" s="425">
        <v>0.5</v>
      </c>
      <c r="J30" s="425">
        <v>0.5</v>
      </c>
      <c r="K30" s="415"/>
      <c r="L30" s="415"/>
      <c r="M30" s="415"/>
      <c r="N30" s="415"/>
      <c r="O30" s="415"/>
      <c r="P30" s="429">
        <f t="shared" si="0"/>
        <v>1</v>
      </c>
    </row>
    <row r="31" spans="1:16" ht="27.6" x14ac:dyDescent="0.3">
      <c r="A31" s="450"/>
      <c r="B31" s="428">
        <v>10</v>
      </c>
      <c r="C31" s="413" t="s">
        <v>154</v>
      </c>
      <c r="D31" s="253" t="s">
        <v>33</v>
      </c>
      <c r="E31" s="416">
        <v>12</v>
      </c>
      <c r="F31" s="296"/>
      <c r="G31" s="296"/>
      <c r="H31" s="415"/>
      <c r="I31" s="425">
        <v>1</v>
      </c>
      <c r="J31" s="415"/>
      <c r="K31" s="415"/>
      <c r="L31" s="415"/>
      <c r="M31" s="415"/>
      <c r="N31" s="415"/>
      <c r="O31" s="415"/>
      <c r="P31" s="429">
        <f t="shared" si="0"/>
        <v>1</v>
      </c>
    </row>
    <row r="32" spans="1:16" ht="27.6" x14ac:dyDescent="0.3">
      <c r="A32" s="450"/>
      <c r="B32" s="428">
        <v>11</v>
      </c>
      <c r="C32" s="413" t="s">
        <v>155</v>
      </c>
      <c r="D32" s="253" t="s">
        <v>33</v>
      </c>
      <c r="E32" s="416">
        <v>3</v>
      </c>
      <c r="F32" s="296"/>
      <c r="G32" s="296"/>
      <c r="H32" s="415"/>
      <c r="I32" s="415"/>
      <c r="J32" s="425">
        <v>1</v>
      </c>
      <c r="K32" s="415"/>
      <c r="L32" s="415"/>
      <c r="M32" s="415"/>
      <c r="N32" s="415"/>
      <c r="O32" s="415"/>
      <c r="P32" s="429">
        <f t="shared" si="0"/>
        <v>1</v>
      </c>
    </row>
    <row r="33" spans="1:16" ht="14.45" x14ac:dyDescent="0.3">
      <c r="A33" s="450"/>
      <c r="B33" s="430" t="s">
        <v>296</v>
      </c>
      <c r="C33" s="413"/>
      <c r="D33" s="253" t="s">
        <v>255</v>
      </c>
      <c r="E33" s="416"/>
      <c r="F33" s="296"/>
      <c r="G33" s="296"/>
      <c r="H33" s="415"/>
      <c r="I33" s="415"/>
      <c r="J33" s="415"/>
      <c r="K33" s="415"/>
      <c r="L33" s="415"/>
      <c r="M33" s="415"/>
      <c r="N33" s="415"/>
      <c r="O33" s="415"/>
      <c r="P33" s="429">
        <f t="shared" si="0"/>
        <v>0</v>
      </c>
    </row>
    <row r="34" spans="1:16" ht="14.45" x14ac:dyDescent="0.3">
      <c r="A34" s="450"/>
      <c r="B34" s="428"/>
      <c r="C34" s="413"/>
      <c r="D34" s="253"/>
      <c r="E34" s="416"/>
      <c r="F34" s="296"/>
      <c r="G34" s="296"/>
      <c r="H34" s="415"/>
      <c r="I34" s="415"/>
      <c r="J34" s="415"/>
      <c r="K34" s="415"/>
      <c r="L34" s="415"/>
      <c r="M34" s="415"/>
      <c r="N34" s="415"/>
      <c r="O34" s="415"/>
      <c r="P34" s="429">
        <f t="shared" si="0"/>
        <v>0</v>
      </c>
    </row>
    <row r="35" spans="1:16" ht="14.45" x14ac:dyDescent="0.3">
      <c r="A35" s="450"/>
      <c r="B35" s="428"/>
      <c r="C35" s="413"/>
      <c r="D35" s="253"/>
      <c r="E35" s="416"/>
      <c r="F35" s="296"/>
      <c r="G35" s="296"/>
      <c r="H35" s="415"/>
      <c r="I35" s="415"/>
      <c r="J35" s="415"/>
      <c r="K35" s="415"/>
      <c r="L35" s="415"/>
      <c r="M35" s="415"/>
      <c r="N35" s="415"/>
      <c r="O35" s="415"/>
      <c r="P35" s="429">
        <f t="shared" si="0"/>
        <v>0</v>
      </c>
    </row>
    <row r="36" spans="1:16" ht="14.45" x14ac:dyDescent="0.3">
      <c r="A36" s="450"/>
      <c r="B36" s="428"/>
      <c r="C36" s="413"/>
      <c r="D36" s="253"/>
      <c r="E36" s="416"/>
      <c r="F36" s="296"/>
      <c r="G36" s="296"/>
      <c r="H36" s="415"/>
      <c r="I36" s="415"/>
      <c r="J36" s="415"/>
      <c r="K36" s="415"/>
      <c r="L36" s="415"/>
      <c r="M36" s="415"/>
      <c r="N36" s="415"/>
      <c r="O36" s="415"/>
      <c r="P36" s="429">
        <f t="shared" si="0"/>
        <v>0</v>
      </c>
    </row>
    <row r="37" spans="1:16" ht="26.25" customHeight="1" x14ac:dyDescent="0.3">
      <c r="A37" s="450"/>
      <c r="B37" s="640" t="s">
        <v>11</v>
      </c>
      <c r="C37" s="641"/>
      <c r="D37" s="641"/>
      <c r="E37" s="641"/>
      <c r="F37" s="641"/>
      <c r="G37" s="641"/>
      <c r="H37" s="641"/>
      <c r="I37" s="641"/>
      <c r="J37" s="641"/>
      <c r="K37" s="641"/>
      <c r="L37" s="641"/>
      <c r="M37" s="641"/>
      <c r="N37" s="641"/>
      <c r="O37" s="641"/>
      <c r="P37" s="642"/>
    </row>
    <row r="38" spans="1:16" ht="27.6" x14ac:dyDescent="0.3">
      <c r="A38" s="450"/>
      <c r="B38" s="428">
        <v>12</v>
      </c>
      <c r="C38" s="413" t="s">
        <v>156</v>
      </c>
      <c r="D38" s="253" t="s">
        <v>33</v>
      </c>
      <c r="E38" s="416">
        <v>12</v>
      </c>
      <c r="F38" s="296"/>
      <c r="G38" s="296"/>
      <c r="H38" s="415"/>
      <c r="I38" s="415"/>
      <c r="J38" s="425">
        <v>1</v>
      </c>
      <c r="K38" s="415"/>
      <c r="L38" s="415"/>
      <c r="M38" s="415"/>
      <c r="N38" s="415"/>
      <c r="O38" s="415"/>
      <c r="P38" s="429">
        <f t="shared" si="0"/>
        <v>1</v>
      </c>
    </row>
    <row r="39" spans="1:16" ht="27.6" x14ac:dyDescent="0.3">
      <c r="A39" s="450"/>
      <c r="B39" s="428">
        <v>13</v>
      </c>
      <c r="C39" s="413" t="s">
        <v>157</v>
      </c>
      <c r="D39" s="253" t="s">
        <v>33</v>
      </c>
      <c r="E39" s="416">
        <v>12</v>
      </c>
      <c r="F39" s="296"/>
      <c r="G39" s="296"/>
      <c r="H39" s="415"/>
      <c r="I39" s="415"/>
      <c r="J39" s="425">
        <v>1</v>
      </c>
      <c r="K39" s="415"/>
      <c r="L39" s="415"/>
      <c r="M39" s="415"/>
      <c r="N39" s="415"/>
      <c r="O39" s="415"/>
      <c r="P39" s="429">
        <f t="shared" si="0"/>
        <v>1</v>
      </c>
    </row>
    <row r="40" spans="1:16" ht="27.6" x14ac:dyDescent="0.3">
      <c r="A40" s="450"/>
      <c r="B40" s="428">
        <v>14</v>
      </c>
      <c r="C40" s="413" t="s">
        <v>158</v>
      </c>
      <c r="D40" s="253" t="s">
        <v>33</v>
      </c>
      <c r="E40" s="416">
        <v>12</v>
      </c>
      <c r="F40" s="296"/>
      <c r="G40" s="296"/>
      <c r="H40" s="415"/>
      <c r="I40" s="415"/>
      <c r="J40" s="425">
        <v>1</v>
      </c>
      <c r="K40" s="415"/>
      <c r="L40" s="415"/>
      <c r="M40" s="415"/>
      <c r="N40" s="415"/>
      <c r="O40" s="415"/>
      <c r="P40" s="429">
        <f t="shared" si="0"/>
        <v>1</v>
      </c>
    </row>
    <row r="41" spans="1:16" ht="14.45" x14ac:dyDescent="0.3">
      <c r="A41" s="450"/>
      <c r="B41" s="430" t="s">
        <v>296</v>
      </c>
      <c r="C41" s="413"/>
      <c r="D41" s="253" t="s">
        <v>255</v>
      </c>
      <c r="E41" s="416"/>
      <c r="F41" s="296"/>
      <c r="G41" s="296"/>
      <c r="H41" s="415"/>
      <c r="I41" s="415"/>
      <c r="J41" s="415"/>
      <c r="K41" s="415"/>
      <c r="L41" s="415"/>
      <c r="M41" s="415"/>
      <c r="N41" s="415"/>
      <c r="O41" s="415"/>
      <c r="P41" s="429">
        <f t="shared" si="0"/>
        <v>0</v>
      </c>
    </row>
    <row r="42" spans="1:16" ht="14.45" x14ac:dyDescent="0.3">
      <c r="A42" s="450"/>
      <c r="B42" s="428"/>
      <c r="C42" s="413"/>
      <c r="D42" s="253"/>
      <c r="E42" s="416"/>
      <c r="F42" s="296"/>
      <c r="G42" s="296"/>
      <c r="H42" s="415"/>
      <c r="I42" s="415"/>
      <c r="J42" s="415"/>
      <c r="K42" s="415"/>
      <c r="L42" s="415"/>
      <c r="M42" s="415"/>
      <c r="N42" s="415"/>
      <c r="O42" s="415"/>
      <c r="P42" s="429">
        <f t="shared" si="0"/>
        <v>0</v>
      </c>
    </row>
    <row r="43" spans="1:16" ht="14.45" x14ac:dyDescent="0.3">
      <c r="A43" s="450"/>
      <c r="B43" s="428"/>
      <c r="C43" s="413"/>
      <c r="D43" s="253"/>
      <c r="E43" s="416"/>
      <c r="F43" s="296"/>
      <c r="G43" s="296"/>
      <c r="H43" s="415"/>
      <c r="I43" s="415"/>
      <c r="J43" s="415"/>
      <c r="K43" s="415"/>
      <c r="L43" s="415"/>
      <c r="M43" s="415"/>
      <c r="N43" s="415"/>
      <c r="O43" s="415"/>
      <c r="P43" s="429">
        <f t="shared" si="0"/>
        <v>0</v>
      </c>
    </row>
    <row r="44" spans="1:16" ht="14.45" x14ac:dyDescent="0.3">
      <c r="A44" s="450"/>
      <c r="B44" s="428"/>
      <c r="C44" s="413"/>
      <c r="D44" s="253"/>
      <c r="E44" s="416"/>
      <c r="F44" s="296"/>
      <c r="G44" s="296"/>
      <c r="H44" s="415"/>
      <c r="I44" s="415"/>
      <c r="J44" s="415"/>
      <c r="K44" s="415"/>
      <c r="L44" s="415"/>
      <c r="M44" s="415"/>
      <c r="N44" s="415"/>
      <c r="O44" s="415"/>
      <c r="P44" s="429">
        <f t="shared" si="0"/>
        <v>0</v>
      </c>
    </row>
    <row r="45" spans="1:16" ht="24" customHeight="1" x14ac:dyDescent="0.3">
      <c r="A45" s="450"/>
      <c r="B45" s="640" t="s">
        <v>159</v>
      </c>
      <c r="C45" s="641"/>
      <c r="D45" s="641"/>
      <c r="E45" s="641"/>
      <c r="F45" s="641"/>
      <c r="G45" s="641"/>
      <c r="H45" s="641"/>
      <c r="I45" s="641"/>
      <c r="J45" s="641"/>
      <c r="K45" s="641"/>
      <c r="L45" s="641"/>
      <c r="M45" s="641"/>
      <c r="N45" s="641"/>
      <c r="O45" s="641"/>
      <c r="P45" s="642"/>
    </row>
    <row r="46" spans="1:16" ht="14.45" x14ac:dyDescent="0.3">
      <c r="A46" s="450"/>
      <c r="B46" s="428">
        <v>15</v>
      </c>
      <c r="C46" s="413" t="s">
        <v>160</v>
      </c>
      <c r="D46" s="253" t="s">
        <v>33</v>
      </c>
      <c r="E46" s="416"/>
      <c r="F46" s="296"/>
      <c r="G46" s="296"/>
      <c r="H46" s="425">
        <v>1</v>
      </c>
      <c r="I46" s="415"/>
      <c r="J46" s="415"/>
      <c r="K46" s="415"/>
      <c r="L46" s="415"/>
      <c r="M46" s="415"/>
      <c r="N46" s="415"/>
      <c r="O46" s="415"/>
      <c r="P46" s="429">
        <f t="shared" si="0"/>
        <v>1</v>
      </c>
    </row>
    <row r="47" spans="1:16" x14ac:dyDescent="0.25">
      <c r="A47" s="450"/>
      <c r="B47" s="430" t="s">
        <v>296</v>
      </c>
      <c r="C47" s="413"/>
      <c r="D47" s="253" t="s">
        <v>255</v>
      </c>
      <c r="E47" s="416"/>
      <c r="F47" s="296"/>
      <c r="G47" s="296"/>
      <c r="H47" s="425"/>
      <c r="I47" s="415"/>
      <c r="J47" s="415"/>
      <c r="K47" s="415"/>
      <c r="L47" s="415"/>
      <c r="M47" s="415"/>
      <c r="N47" s="415"/>
      <c r="O47" s="415"/>
      <c r="P47" s="429">
        <f t="shared" si="0"/>
        <v>0</v>
      </c>
    </row>
    <row r="48" spans="1:16" x14ac:dyDescent="0.25">
      <c r="A48" s="450"/>
      <c r="B48" s="428"/>
      <c r="C48" s="413"/>
      <c r="D48" s="253"/>
      <c r="E48" s="416"/>
      <c r="F48" s="296"/>
      <c r="G48" s="296"/>
      <c r="H48" s="425"/>
      <c r="I48" s="415"/>
      <c r="J48" s="415"/>
      <c r="K48" s="415"/>
      <c r="L48" s="415"/>
      <c r="M48" s="415"/>
      <c r="N48" s="415"/>
      <c r="O48" s="415"/>
      <c r="P48" s="429">
        <f t="shared" si="0"/>
        <v>0</v>
      </c>
    </row>
    <row r="49" spans="1:16" x14ac:dyDescent="0.25">
      <c r="A49" s="450"/>
      <c r="B49" s="428"/>
      <c r="C49" s="413"/>
      <c r="D49" s="253"/>
      <c r="E49" s="416"/>
      <c r="F49" s="296"/>
      <c r="G49" s="296"/>
      <c r="H49" s="425"/>
      <c r="I49" s="415"/>
      <c r="J49" s="415"/>
      <c r="K49" s="415"/>
      <c r="L49" s="415"/>
      <c r="M49" s="415"/>
      <c r="N49" s="415"/>
      <c r="O49" s="415"/>
      <c r="P49" s="429"/>
    </row>
    <row r="50" spans="1:16" x14ac:dyDescent="0.25">
      <c r="A50" s="450"/>
      <c r="B50" s="428"/>
      <c r="C50" s="413"/>
      <c r="D50" s="253"/>
      <c r="E50" s="416"/>
      <c r="F50" s="296"/>
      <c r="G50" s="296"/>
      <c r="H50" s="425"/>
      <c r="I50" s="415"/>
      <c r="J50" s="415"/>
      <c r="K50" s="415"/>
      <c r="L50" s="415"/>
      <c r="M50" s="415"/>
      <c r="N50" s="415"/>
      <c r="O50" s="415"/>
      <c r="P50" s="429">
        <f t="shared" si="0"/>
        <v>0</v>
      </c>
    </row>
    <row r="51" spans="1:16" ht="21" customHeight="1" x14ac:dyDescent="0.25">
      <c r="A51" s="449"/>
      <c r="B51" s="640" t="s">
        <v>161</v>
      </c>
      <c r="C51" s="641"/>
      <c r="D51" s="641"/>
      <c r="E51" s="641"/>
      <c r="F51" s="641"/>
      <c r="G51" s="641"/>
      <c r="H51" s="641"/>
      <c r="I51" s="641"/>
      <c r="J51" s="641"/>
      <c r="K51" s="641"/>
      <c r="L51" s="641"/>
      <c r="M51" s="641"/>
      <c r="N51" s="641"/>
      <c r="O51" s="641"/>
      <c r="P51" s="642"/>
    </row>
    <row r="52" spans="1:16" x14ac:dyDescent="0.25">
      <c r="A52" s="450"/>
      <c r="B52" s="428">
        <v>16</v>
      </c>
      <c r="C52" s="413" t="s">
        <v>162</v>
      </c>
      <c r="D52" s="253" t="s">
        <v>33</v>
      </c>
      <c r="E52" s="416"/>
      <c r="F52" s="296"/>
      <c r="G52" s="296"/>
      <c r="H52" s="415"/>
      <c r="I52" s="415"/>
      <c r="J52" s="415"/>
      <c r="K52" s="415"/>
      <c r="L52" s="415"/>
      <c r="M52" s="415"/>
      <c r="N52" s="415"/>
      <c r="O52" s="415"/>
      <c r="P52" s="429">
        <f t="shared" si="0"/>
        <v>0</v>
      </c>
    </row>
    <row r="53" spans="1:16" x14ac:dyDescent="0.25">
      <c r="A53" s="450"/>
      <c r="B53" s="428">
        <v>17</v>
      </c>
      <c r="C53" s="413" t="s">
        <v>163</v>
      </c>
      <c r="D53" s="253" t="s">
        <v>33</v>
      </c>
      <c r="E53" s="416"/>
      <c r="F53" s="296"/>
      <c r="G53" s="296"/>
      <c r="H53" s="415"/>
      <c r="I53" s="415"/>
      <c r="J53" s="415"/>
      <c r="K53" s="415"/>
      <c r="L53" s="415"/>
      <c r="M53" s="415"/>
      <c r="N53" s="415"/>
      <c r="O53" s="415"/>
      <c r="P53" s="429">
        <f t="shared" si="0"/>
        <v>0</v>
      </c>
    </row>
    <row r="54" spans="1:16" x14ac:dyDescent="0.25">
      <c r="A54" s="450"/>
      <c r="B54" s="428">
        <v>18</v>
      </c>
      <c r="C54" s="413" t="s">
        <v>164</v>
      </c>
      <c r="D54" s="253" t="s">
        <v>33</v>
      </c>
      <c r="E54" s="416"/>
      <c r="F54" s="296"/>
      <c r="G54" s="296"/>
      <c r="H54" s="415"/>
      <c r="I54" s="415"/>
      <c r="J54" s="415"/>
      <c r="K54" s="415"/>
      <c r="L54" s="415"/>
      <c r="M54" s="415"/>
      <c r="N54" s="415"/>
      <c r="O54" s="415"/>
      <c r="P54" s="429">
        <f t="shared" si="0"/>
        <v>0</v>
      </c>
    </row>
    <row r="55" spans="1:16" x14ac:dyDescent="0.25">
      <c r="A55" s="450"/>
      <c r="B55" s="428">
        <v>19</v>
      </c>
      <c r="C55" s="413" t="s">
        <v>165</v>
      </c>
      <c r="D55" s="253" t="s">
        <v>33</v>
      </c>
      <c r="E55" s="416"/>
      <c r="F55" s="296"/>
      <c r="G55" s="296"/>
      <c r="H55" s="415"/>
      <c r="I55" s="415"/>
      <c r="J55" s="415"/>
      <c r="K55" s="415"/>
      <c r="L55" s="415"/>
      <c r="M55" s="415"/>
      <c r="N55" s="415"/>
      <c r="O55" s="415"/>
      <c r="P55" s="429">
        <f t="shared" si="0"/>
        <v>0</v>
      </c>
    </row>
    <row r="56" spans="1:16" x14ac:dyDescent="0.25">
      <c r="A56" s="450"/>
      <c r="B56" s="430" t="s">
        <v>296</v>
      </c>
      <c r="C56" s="413"/>
      <c r="D56" s="253" t="s">
        <v>255</v>
      </c>
      <c r="E56" s="416"/>
      <c r="F56" s="296"/>
      <c r="G56" s="296"/>
      <c r="H56" s="415"/>
      <c r="I56" s="415"/>
      <c r="J56" s="415"/>
      <c r="K56" s="415"/>
      <c r="L56" s="415"/>
      <c r="M56" s="415"/>
      <c r="N56" s="415"/>
      <c r="O56" s="415"/>
      <c r="P56" s="429">
        <f t="shared" si="0"/>
        <v>0</v>
      </c>
    </row>
    <row r="57" spans="1:16" x14ac:dyDescent="0.25">
      <c r="A57" s="450"/>
      <c r="B57" s="430"/>
      <c r="C57" s="413"/>
      <c r="D57" s="253"/>
      <c r="E57" s="416"/>
      <c r="F57" s="296"/>
      <c r="G57" s="296"/>
      <c r="H57" s="415"/>
      <c r="I57" s="415"/>
      <c r="J57" s="415"/>
      <c r="K57" s="415"/>
      <c r="L57" s="415"/>
      <c r="M57" s="415"/>
      <c r="N57" s="415"/>
      <c r="O57" s="415"/>
      <c r="P57" s="429"/>
    </row>
    <row r="58" spans="1:16" x14ac:dyDescent="0.25">
      <c r="A58" s="450"/>
      <c r="B58" s="430"/>
      <c r="C58" s="413"/>
      <c r="D58" s="253"/>
      <c r="E58" s="416"/>
      <c r="F58" s="296"/>
      <c r="G58" s="296"/>
      <c r="H58" s="415"/>
      <c r="I58" s="415"/>
      <c r="J58" s="415"/>
      <c r="K58" s="415"/>
      <c r="L58" s="415"/>
      <c r="M58" s="415"/>
      <c r="N58" s="415"/>
      <c r="O58" s="415"/>
      <c r="P58" s="429"/>
    </row>
    <row r="59" spans="1:16" x14ac:dyDescent="0.25">
      <c r="A59" s="449"/>
      <c r="B59" s="431"/>
      <c r="C59" s="417"/>
      <c r="D59" s="418"/>
      <c r="E59" s="418"/>
      <c r="F59" s="296"/>
      <c r="G59" s="296"/>
      <c r="H59" s="419"/>
      <c r="I59" s="419"/>
      <c r="J59" s="419"/>
      <c r="K59" s="419"/>
      <c r="L59" s="419"/>
      <c r="M59" s="419"/>
      <c r="N59" s="419"/>
      <c r="O59" s="419"/>
      <c r="P59" s="429"/>
    </row>
    <row r="60" spans="1:16" ht="27" customHeight="1" x14ac:dyDescent="0.25">
      <c r="B60" s="627" t="s">
        <v>166</v>
      </c>
      <c r="C60" s="628"/>
      <c r="D60" s="628"/>
      <c r="E60" s="628"/>
      <c r="F60" s="628"/>
      <c r="G60" s="628"/>
      <c r="H60" s="628"/>
      <c r="I60" s="628"/>
      <c r="J60" s="628"/>
      <c r="K60" s="628"/>
      <c r="L60" s="628"/>
      <c r="M60" s="628"/>
      <c r="N60" s="628"/>
      <c r="O60" s="628"/>
      <c r="P60" s="629"/>
    </row>
    <row r="61" spans="1:16" ht="16.5" x14ac:dyDescent="0.25">
      <c r="B61" s="432"/>
      <c r="C61" s="413"/>
      <c r="D61" s="416"/>
      <c r="E61" s="416"/>
      <c r="F61" s="412"/>
      <c r="G61" s="412"/>
      <c r="H61" s="412"/>
      <c r="I61" s="412"/>
      <c r="J61" s="412"/>
      <c r="K61" s="412"/>
      <c r="L61" s="412"/>
      <c r="M61" s="412"/>
      <c r="N61" s="412"/>
      <c r="O61" s="412"/>
      <c r="P61" s="433"/>
    </row>
    <row r="62" spans="1:16" ht="25.5" customHeight="1" x14ac:dyDescent="0.25">
      <c r="A62" s="450"/>
      <c r="B62" s="643" t="s">
        <v>167</v>
      </c>
      <c r="C62" s="620"/>
      <c r="D62" s="620"/>
      <c r="E62" s="620"/>
      <c r="F62" s="620"/>
      <c r="G62" s="620"/>
      <c r="H62" s="620"/>
      <c r="I62" s="620"/>
      <c r="J62" s="620"/>
      <c r="K62" s="620"/>
      <c r="L62" s="620"/>
      <c r="M62" s="620"/>
      <c r="N62" s="620"/>
      <c r="O62" s="620"/>
      <c r="P62" s="644"/>
    </row>
    <row r="63" spans="1:16" x14ac:dyDescent="0.25">
      <c r="A63" s="450"/>
      <c r="B63" s="428">
        <v>21</v>
      </c>
      <c r="C63" s="413" t="s">
        <v>168</v>
      </c>
      <c r="D63" s="253" t="s">
        <v>33</v>
      </c>
      <c r="E63" s="416"/>
      <c r="F63" s="296"/>
      <c r="G63" s="296"/>
      <c r="H63" s="425">
        <v>1</v>
      </c>
      <c r="I63" s="415"/>
      <c r="J63" s="415"/>
      <c r="K63" s="415"/>
      <c r="L63" s="415"/>
      <c r="M63" s="415"/>
      <c r="N63" s="415"/>
      <c r="O63" s="415"/>
      <c r="P63" s="429">
        <f t="shared" si="0"/>
        <v>1</v>
      </c>
    </row>
    <row r="64" spans="1:16" ht="28.5" x14ac:dyDescent="0.25">
      <c r="A64" s="450"/>
      <c r="B64" s="428">
        <v>22</v>
      </c>
      <c r="C64" s="413" t="s">
        <v>169</v>
      </c>
      <c r="D64" s="253" t="s">
        <v>33</v>
      </c>
      <c r="E64" s="416"/>
      <c r="F64" s="296"/>
      <c r="G64" s="296"/>
      <c r="H64" s="425">
        <v>1</v>
      </c>
      <c r="I64" s="415"/>
      <c r="J64" s="415"/>
      <c r="K64" s="415"/>
      <c r="L64" s="415"/>
      <c r="M64" s="415"/>
      <c r="N64" s="415"/>
      <c r="O64" s="415"/>
      <c r="P64" s="429">
        <f t="shared" si="0"/>
        <v>1</v>
      </c>
    </row>
    <row r="65" spans="1:16" x14ac:dyDescent="0.25">
      <c r="A65" s="450"/>
      <c r="B65" s="428">
        <v>23</v>
      </c>
      <c r="C65" s="413" t="s">
        <v>170</v>
      </c>
      <c r="D65" s="253" t="s">
        <v>33</v>
      </c>
      <c r="E65" s="416"/>
      <c r="F65" s="296"/>
      <c r="G65" s="296"/>
      <c r="H65" s="425">
        <v>1</v>
      </c>
      <c r="I65" s="415"/>
      <c r="J65" s="415"/>
      <c r="K65" s="415"/>
      <c r="L65" s="415"/>
      <c r="M65" s="415"/>
      <c r="N65" s="415"/>
      <c r="O65" s="415"/>
      <c r="P65" s="429">
        <f t="shared" si="0"/>
        <v>1</v>
      </c>
    </row>
    <row r="66" spans="1:16" x14ac:dyDescent="0.25">
      <c r="A66" s="450"/>
      <c r="B66" s="428">
        <v>24</v>
      </c>
      <c r="C66" s="413" t="s">
        <v>171</v>
      </c>
      <c r="D66" s="253" t="s">
        <v>33</v>
      </c>
      <c r="E66" s="416"/>
      <c r="F66" s="296"/>
      <c r="G66" s="296"/>
      <c r="H66" s="425">
        <v>1</v>
      </c>
      <c r="I66" s="415"/>
      <c r="J66" s="415"/>
      <c r="K66" s="415"/>
      <c r="L66" s="415"/>
      <c r="M66" s="415"/>
      <c r="N66" s="415"/>
      <c r="O66" s="415"/>
      <c r="P66" s="429">
        <f t="shared" si="0"/>
        <v>1</v>
      </c>
    </row>
    <row r="67" spans="1:16" x14ac:dyDescent="0.25">
      <c r="A67" s="450"/>
      <c r="B67" s="430" t="s">
        <v>296</v>
      </c>
      <c r="C67" s="413"/>
      <c r="D67" s="253" t="s">
        <v>255</v>
      </c>
      <c r="E67" s="416"/>
      <c r="F67" s="296"/>
      <c r="G67" s="296"/>
      <c r="H67" s="425"/>
      <c r="I67" s="415"/>
      <c r="J67" s="415"/>
      <c r="K67" s="415"/>
      <c r="L67" s="415"/>
      <c r="M67" s="415"/>
      <c r="N67" s="415"/>
      <c r="O67" s="415"/>
      <c r="P67" s="429"/>
    </row>
    <row r="68" spans="1:16" x14ac:dyDescent="0.25">
      <c r="A68" s="450"/>
      <c r="B68" s="428"/>
      <c r="C68" s="413"/>
      <c r="D68" s="253"/>
      <c r="E68" s="416"/>
      <c r="F68" s="296"/>
      <c r="G68" s="296"/>
      <c r="H68" s="425"/>
      <c r="I68" s="415"/>
      <c r="J68" s="415"/>
      <c r="K68" s="415"/>
      <c r="L68" s="415"/>
      <c r="M68" s="415"/>
      <c r="N68" s="415"/>
      <c r="O68" s="415"/>
      <c r="P68" s="429"/>
    </row>
    <row r="69" spans="1:16" x14ac:dyDescent="0.25">
      <c r="A69" s="450"/>
      <c r="B69" s="428"/>
      <c r="C69" s="413"/>
      <c r="D69" s="253"/>
      <c r="E69" s="416"/>
      <c r="F69" s="296"/>
      <c r="G69" s="296"/>
      <c r="H69" s="425"/>
      <c r="I69" s="415"/>
      <c r="J69" s="415"/>
      <c r="K69" s="415"/>
      <c r="L69" s="415"/>
      <c r="M69" s="415"/>
      <c r="N69" s="415"/>
      <c r="O69" s="415"/>
      <c r="P69" s="429"/>
    </row>
    <row r="70" spans="1:16" x14ac:dyDescent="0.25">
      <c r="A70" s="450"/>
      <c r="B70" s="428"/>
      <c r="C70" s="413"/>
      <c r="D70" s="253"/>
      <c r="E70" s="416"/>
      <c r="F70" s="296"/>
      <c r="G70" s="296"/>
      <c r="H70" s="415"/>
      <c r="I70" s="415"/>
      <c r="J70" s="415"/>
      <c r="K70" s="415"/>
      <c r="L70" s="415"/>
      <c r="M70" s="415"/>
      <c r="N70" s="415"/>
      <c r="O70" s="415"/>
      <c r="P70" s="429">
        <f t="shared" si="0"/>
        <v>0</v>
      </c>
    </row>
    <row r="71" spans="1:16" ht="28.5" customHeight="1" x14ac:dyDescent="0.25">
      <c r="A71" s="450"/>
      <c r="B71" s="643" t="s">
        <v>172</v>
      </c>
      <c r="C71" s="620"/>
      <c r="D71" s="620"/>
      <c r="E71" s="620"/>
      <c r="F71" s="620"/>
      <c r="G71" s="620"/>
      <c r="H71" s="620"/>
      <c r="I71" s="620"/>
      <c r="J71" s="620"/>
      <c r="K71" s="620"/>
      <c r="L71" s="620"/>
      <c r="M71" s="620"/>
      <c r="N71" s="620"/>
      <c r="O71" s="620"/>
      <c r="P71" s="644"/>
    </row>
    <row r="72" spans="1:16" x14ac:dyDescent="0.25">
      <c r="A72" s="450"/>
      <c r="B72" s="428">
        <v>25</v>
      </c>
      <c r="C72" s="413" t="s">
        <v>173</v>
      </c>
      <c r="D72" s="253" t="s">
        <v>33</v>
      </c>
      <c r="E72" s="416"/>
      <c r="F72" s="296"/>
      <c r="G72" s="296"/>
      <c r="H72" s="415"/>
      <c r="I72" s="425">
        <v>1</v>
      </c>
      <c r="J72" s="415"/>
      <c r="K72" s="415"/>
      <c r="L72" s="415"/>
      <c r="M72" s="415"/>
      <c r="N72" s="415"/>
      <c r="O72" s="415"/>
      <c r="P72" s="429">
        <f t="shared" si="0"/>
        <v>1</v>
      </c>
    </row>
    <row r="73" spans="1:16" x14ac:dyDescent="0.25">
      <c r="A73" s="450"/>
      <c r="B73" s="428">
        <v>26</v>
      </c>
      <c r="C73" s="413" t="s">
        <v>174</v>
      </c>
      <c r="D73" s="253" t="s">
        <v>33</v>
      </c>
      <c r="E73" s="416"/>
      <c r="F73" s="296"/>
      <c r="G73" s="296"/>
      <c r="H73" s="415"/>
      <c r="I73" s="425">
        <v>1</v>
      </c>
      <c r="J73" s="415"/>
      <c r="K73" s="415"/>
      <c r="L73" s="415"/>
      <c r="M73" s="415"/>
      <c r="N73" s="415"/>
      <c r="O73" s="415"/>
      <c r="P73" s="429">
        <f t="shared" si="0"/>
        <v>1</v>
      </c>
    </row>
    <row r="74" spans="1:16" ht="28.5" x14ac:dyDescent="0.25">
      <c r="A74" s="450"/>
      <c r="B74" s="428">
        <v>27</v>
      </c>
      <c r="C74" s="413" t="s">
        <v>175</v>
      </c>
      <c r="D74" s="253" t="s">
        <v>33</v>
      </c>
      <c r="E74" s="416"/>
      <c r="F74" s="296"/>
      <c r="G74" s="296"/>
      <c r="H74" s="415"/>
      <c r="I74" s="425">
        <v>0.8</v>
      </c>
      <c r="J74" s="425">
        <v>0.2</v>
      </c>
      <c r="K74" s="415"/>
      <c r="L74" s="415"/>
      <c r="M74" s="415"/>
      <c r="N74" s="415"/>
      <c r="O74" s="415"/>
      <c r="P74" s="429">
        <f t="shared" si="0"/>
        <v>1</v>
      </c>
    </row>
    <row r="75" spans="1:16" ht="28.5" x14ac:dyDescent="0.25">
      <c r="A75" s="450"/>
      <c r="B75" s="428">
        <v>28</v>
      </c>
      <c r="C75" s="413" t="s">
        <v>176</v>
      </c>
      <c r="D75" s="253" t="s">
        <v>33</v>
      </c>
      <c r="E75" s="416"/>
      <c r="F75" s="296"/>
      <c r="G75" s="296"/>
      <c r="H75" s="415"/>
      <c r="I75" s="415"/>
      <c r="J75" s="415"/>
      <c r="K75" s="415"/>
      <c r="L75" s="415"/>
      <c r="M75" s="415"/>
      <c r="N75" s="415"/>
      <c r="O75" s="415"/>
      <c r="P75" s="429">
        <f t="shared" si="0"/>
        <v>0</v>
      </c>
    </row>
    <row r="76" spans="1:16" ht="28.5" x14ac:dyDescent="0.25">
      <c r="A76" s="450"/>
      <c r="B76" s="428">
        <v>29</v>
      </c>
      <c r="C76" s="413" t="s">
        <v>177</v>
      </c>
      <c r="D76" s="253" t="s">
        <v>33</v>
      </c>
      <c r="E76" s="416"/>
      <c r="F76" s="296"/>
      <c r="G76" s="296"/>
      <c r="H76" s="415"/>
      <c r="I76" s="415"/>
      <c r="J76" s="415"/>
      <c r="K76" s="415"/>
      <c r="L76" s="415"/>
      <c r="M76" s="415"/>
      <c r="N76" s="415"/>
      <c r="O76" s="415"/>
      <c r="P76" s="429">
        <f t="shared" si="0"/>
        <v>0</v>
      </c>
    </row>
    <row r="77" spans="1:16" ht="28.5" x14ac:dyDescent="0.25">
      <c r="A77" s="450"/>
      <c r="B77" s="428">
        <v>30</v>
      </c>
      <c r="C77" s="413" t="s">
        <v>178</v>
      </c>
      <c r="D77" s="253" t="s">
        <v>33</v>
      </c>
      <c r="E77" s="416"/>
      <c r="F77" s="296"/>
      <c r="G77" s="296"/>
      <c r="H77" s="415"/>
      <c r="I77" s="415"/>
      <c r="J77" s="415"/>
      <c r="K77" s="415"/>
      <c r="L77" s="415"/>
      <c r="M77" s="415"/>
      <c r="N77" s="415"/>
      <c r="O77" s="415"/>
      <c r="P77" s="429">
        <f t="shared" si="0"/>
        <v>0</v>
      </c>
    </row>
    <row r="78" spans="1:16" ht="28.5" x14ac:dyDescent="0.25">
      <c r="A78" s="450"/>
      <c r="B78" s="428">
        <v>31</v>
      </c>
      <c r="C78" s="413" t="s">
        <v>179</v>
      </c>
      <c r="D78" s="253" t="s">
        <v>33</v>
      </c>
      <c r="E78" s="416"/>
      <c r="F78" s="296"/>
      <c r="G78" s="296"/>
      <c r="H78" s="415"/>
      <c r="I78" s="415"/>
      <c r="J78" s="415"/>
      <c r="K78" s="415"/>
      <c r="L78" s="415"/>
      <c r="M78" s="415"/>
      <c r="N78" s="415"/>
      <c r="O78" s="415"/>
      <c r="P78" s="429">
        <f t="shared" si="0"/>
        <v>0</v>
      </c>
    </row>
    <row r="79" spans="1:16" x14ac:dyDescent="0.25">
      <c r="A79" s="450"/>
      <c r="B79" s="428">
        <v>32</v>
      </c>
      <c r="C79" s="413" t="s">
        <v>180</v>
      </c>
      <c r="D79" s="253" t="s">
        <v>33</v>
      </c>
      <c r="E79" s="416"/>
      <c r="F79" s="296"/>
      <c r="G79" s="296"/>
      <c r="H79" s="415"/>
      <c r="I79" s="415"/>
      <c r="J79" s="415"/>
      <c r="K79" s="415"/>
      <c r="L79" s="415"/>
      <c r="M79" s="415"/>
      <c r="N79" s="415"/>
      <c r="O79" s="415"/>
      <c r="P79" s="429">
        <f t="shared" si="0"/>
        <v>0</v>
      </c>
    </row>
    <row r="80" spans="1:16" x14ac:dyDescent="0.25">
      <c r="A80" s="450"/>
      <c r="B80" s="430" t="s">
        <v>296</v>
      </c>
      <c r="C80" s="413"/>
      <c r="D80" s="253" t="s">
        <v>255</v>
      </c>
      <c r="E80" s="416"/>
      <c r="F80" s="296"/>
      <c r="G80" s="296"/>
      <c r="H80" s="415"/>
      <c r="I80" s="415"/>
      <c r="J80" s="415"/>
      <c r="K80" s="415"/>
      <c r="L80" s="415"/>
      <c r="M80" s="415"/>
      <c r="N80" s="415"/>
      <c r="O80" s="415"/>
      <c r="P80" s="429"/>
    </row>
    <row r="81" spans="1:16" x14ac:dyDescent="0.25">
      <c r="A81" s="450"/>
      <c r="B81" s="428"/>
      <c r="C81" s="413"/>
      <c r="D81" s="253"/>
      <c r="E81" s="416"/>
      <c r="F81" s="296"/>
      <c r="G81" s="296"/>
      <c r="H81" s="415"/>
      <c r="I81" s="415"/>
      <c r="J81" s="415"/>
      <c r="K81" s="415"/>
      <c r="L81" s="415"/>
      <c r="M81" s="415"/>
      <c r="N81" s="415"/>
      <c r="O81" s="415"/>
      <c r="P81" s="429"/>
    </row>
    <row r="82" spans="1:16" x14ac:dyDescent="0.25">
      <c r="A82" s="450"/>
      <c r="B82" s="428"/>
      <c r="C82" s="413"/>
      <c r="D82" s="253"/>
      <c r="E82" s="416"/>
      <c r="F82" s="296"/>
      <c r="G82" s="296"/>
      <c r="H82" s="415"/>
      <c r="I82" s="415"/>
      <c r="J82" s="415"/>
      <c r="K82" s="415"/>
      <c r="L82" s="415"/>
      <c r="M82" s="415"/>
      <c r="N82" s="415"/>
      <c r="O82" s="415"/>
      <c r="P82" s="429"/>
    </row>
    <row r="83" spans="1:16" x14ac:dyDescent="0.25">
      <c r="A83" s="450"/>
      <c r="B83" s="428"/>
      <c r="C83" s="413"/>
      <c r="D83" s="253"/>
      <c r="E83" s="416"/>
      <c r="F83" s="296"/>
      <c r="G83" s="296"/>
      <c r="H83" s="415"/>
      <c r="I83" s="415"/>
      <c r="J83" s="415"/>
      <c r="K83" s="415"/>
      <c r="L83" s="415"/>
      <c r="M83" s="415"/>
      <c r="N83" s="415"/>
      <c r="O83" s="415"/>
      <c r="P83" s="429">
        <f t="shared" ref="P83:P106" si="1">SUM(H83:O83)</f>
        <v>0</v>
      </c>
    </row>
    <row r="84" spans="1:16" ht="25.5" customHeight="1" x14ac:dyDescent="0.25">
      <c r="A84" s="450"/>
      <c r="B84" s="643" t="s">
        <v>181</v>
      </c>
      <c r="C84" s="620"/>
      <c r="D84" s="620"/>
      <c r="E84" s="620"/>
      <c r="F84" s="620"/>
      <c r="G84" s="620"/>
      <c r="H84" s="620"/>
      <c r="I84" s="620"/>
      <c r="J84" s="620"/>
      <c r="K84" s="620"/>
      <c r="L84" s="620"/>
      <c r="M84" s="620"/>
      <c r="N84" s="620"/>
      <c r="O84" s="620"/>
      <c r="P84" s="644"/>
    </row>
    <row r="85" spans="1:16" x14ac:dyDescent="0.25">
      <c r="A85" s="450"/>
      <c r="B85" s="428">
        <v>33</v>
      </c>
      <c r="C85" s="413" t="s">
        <v>182</v>
      </c>
      <c r="D85" s="253" t="s">
        <v>33</v>
      </c>
      <c r="E85" s="416"/>
      <c r="F85" s="296"/>
      <c r="G85" s="296"/>
      <c r="H85" s="421"/>
      <c r="I85" s="421"/>
      <c r="J85" s="421"/>
      <c r="K85" s="421"/>
      <c r="L85" s="421"/>
      <c r="M85" s="421"/>
      <c r="N85" s="421"/>
      <c r="O85" s="421"/>
      <c r="P85" s="429">
        <f t="shared" si="1"/>
        <v>0</v>
      </c>
    </row>
    <row r="86" spans="1:16" x14ac:dyDescent="0.25">
      <c r="A86" s="450"/>
      <c r="B86" s="428">
        <v>34</v>
      </c>
      <c r="C86" s="413" t="s">
        <v>183</v>
      </c>
      <c r="D86" s="253" t="s">
        <v>33</v>
      </c>
      <c r="E86" s="416"/>
      <c r="F86" s="296"/>
      <c r="G86" s="296"/>
      <c r="H86" s="421"/>
      <c r="I86" s="421"/>
      <c r="J86" s="421"/>
      <c r="K86" s="421"/>
      <c r="L86" s="421"/>
      <c r="M86" s="421"/>
      <c r="N86" s="421"/>
      <c r="O86" s="421"/>
      <c r="P86" s="429">
        <f t="shared" si="1"/>
        <v>0</v>
      </c>
    </row>
    <row r="87" spans="1:16" x14ac:dyDescent="0.25">
      <c r="A87" s="450"/>
      <c r="B87" s="428">
        <v>35</v>
      </c>
      <c r="C87" s="413" t="s">
        <v>184</v>
      </c>
      <c r="D87" s="253" t="s">
        <v>33</v>
      </c>
      <c r="E87" s="416"/>
      <c r="F87" s="296"/>
      <c r="G87" s="296"/>
      <c r="H87" s="421"/>
      <c r="I87" s="421"/>
      <c r="J87" s="421"/>
      <c r="K87" s="421"/>
      <c r="L87" s="421"/>
      <c r="M87" s="421"/>
      <c r="N87" s="421"/>
      <c r="O87" s="421"/>
      <c r="P87" s="429">
        <f t="shared" si="1"/>
        <v>0</v>
      </c>
    </row>
    <row r="88" spans="1:16" x14ac:dyDescent="0.25">
      <c r="A88" s="450"/>
      <c r="B88" s="430" t="s">
        <v>296</v>
      </c>
      <c r="C88" s="413"/>
      <c r="D88" s="253" t="s">
        <v>255</v>
      </c>
      <c r="E88" s="416"/>
      <c r="F88" s="296"/>
      <c r="G88" s="296"/>
      <c r="H88" s="421"/>
      <c r="I88" s="421"/>
      <c r="J88" s="421"/>
      <c r="K88" s="421"/>
      <c r="L88" s="421"/>
      <c r="M88" s="421"/>
      <c r="N88" s="421"/>
      <c r="O88" s="421"/>
      <c r="P88" s="429"/>
    </row>
    <row r="89" spans="1:16" x14ac:dyDescent="0.25">
      <c r="A89" s="450"/>
      <c r="B89" s="428"/>
      <c r="C89" s="413"/>
      <c r="D89" s="253"/>
      <c r="E89" s="416"/>
      <c r="F89" s="296"/>
      <c r="G89" s="296"/>
      <c r="H89" s="421"/>
      <c r="I89" s="421"/>
      <c r="J89" s="421"/>
      <c r="K89" s="421"/>
      <c r="L89" s="421"/>
      <c r="M89" s="421"/>
      <c r="N89" s="421"/>
      <c r="O89" s="421"/>
      <c r="P89" s="429"/>
    </row>
    <row r="90" spans="1:16" x14ac:dyDescent="0.25">
      <c r="A90" s="450"/>
      <c r="B90" s="428"/>
      <c r="C90" s="413"/>
      <c r="D90" s="253"/>
      <c r="E90" s="416"/>
      <c r="F90" s="296"/>
      <c r="G90" s="296"/>
      <c r="H90" s="421"/>
      <c r="I90" s="421"/>
      <c r="J90" s="421"/>
      <c r="K90" s="421"/>
      <c r="L90" s="421"/>
      <c r="M90" s="421"/>
      <c r="N90" s="421"/>
      <c r="O90" s="421"/>
      <c r="P90" s="429"/>
    </row>
    <row r="91" spans="1:16" x14ac:dyDescent="0.25">
      <c r="A91" s="450"/>
      <c r="B91" s="428"/>
      <c r="C91" s="413"/>
      <c r="D91" s="253"/>
      <c r="E91" s="416"/>
      <c r="F91" s="296"/>
      <c r="G91" s="296"/>
      <c r="H91" s="421"/>
      <c r="I91" s="421"/>
      <c r="J91" s="421"/>
      <c r="K91" s="421"/>
      <c r="L91" s="421"/>
      <c r="M91" s="421"/>
      <c r="N91" s="421"/>
      <c r="O91" s="421"/>
      <c r="P91" s="429">
        <f t="shared" si="1"/>
        <v>0</v>
      </c>
    </row>
    <row r="92" spans="1:16" ht="24" customHeight="1" x14ac:dyDescent="0.25">
      <c r="A92" s="450"/>
      <c r="B92" s="643" t="s">
        <v>185</v>
      </c>
      <c r="C92" s="620"/>
      <c r="D92" s="620"/>
      <c r="E92" s="620"/>
      <c r="F92" s="620"/>
      <c r="G92" s="620"/>
      <c r="H92" s="620"/>
      <c r="I92" s="620"/>
      <c r="J92" s="620"/>
      <c r="K92" s="620"/>
      <c r="L92" s="620"/>
      <c r="M92" s="620"/>
      <c r="N92" s="620"/>
      <c r="O92" s="620"/>
      <c r="P92" s="644"/>
    </row>
    <row r="93" spans="1:16" ht="42.75" x14ac:dyDescent="0.25">
      <c r="A93" s="450"/>
      <c r="B93" s="428">
        <v>36</v>
      </c>
      <c r="C93" s="413" t="s">
        <v>186</v>
      </c>
      <c r="D93" s="253" t="s">
        <v>33</v>
      </c>
      <c r="E93" s="416"/>
      <c r="F93" s="296"/>
      <c r="G93" s="296"/>
      <c r="H93" s="421"/>
      <c r="I93" s="421"/>
      <c r="J93" s="421"/>
      <c r="K93" s="421"/>
      <c r="L93" s="421"/>
      <c r="M93" s="421"/>
      <c r="N93" s="421"/>
      <c r="O93" s="421"/>
      <c r="P93" s="429">
        <f t="shared" si="1"/>
        <v>0</v>
      </c>
    </row>
    <row r="94" spans="1:16" ht="28.5" x14ac:dyDescent="0.25">
      <c r="A94" s="450"/>
      <c r="B94" s="428">
        <v>37</v>
      </c>
      <c r="C94" s="413" t="s">
        <v>187</v>
      </c>
      <c r="D94" s="253" t="s">
        <v>33</v>
      </c>
      <c r="E94" s="416"/>
      <c r="F94" s="296"/>
      <c r="G94" s="296"/>
      <c r="H94" s="421"/>
      <c r="I94" s="421"/>
      <c r="J94" s="421"/>
      <c r="K94" s="421"/>
      <c r="L94" s="421"/>
      <c r="M94" s="421"/>
      <c r="N94" s="421"/>
      <c r="O94" s="421"/>
      <c r="P94" s="429">
        <f t="shared" si="1"/>
        <v>0</v>
      </c>
    </row>
    <row r="95" spans="1:16" x14ac:dyDescent="0.25">
      <c r="A95" s="450"/>
      <c r="B95" s="428">
        <v>38</v>
      </c>
      <c r="C95" s="413" t="s">
        <v>188</v>
      </c>
      <c r="D95" s="253" t="s">
        <v>33</v>
      </c>
      <c r="E95" s="416"/>
      <c r="F95" s="296"/>
      <c r="G95" s="296"/>
      <c r="H95" s="421"/>
      <c r="I95" s="421"/>
      <c r="J95" s="421"/>
      <c r="K95" s="421"/>
      <c r="L95" s="421"/>
      <c r="M95" s="421"/>
      <c r="N95" s="421"/>
      <c r="O95" s="421"/>
      <c r="P95" s="429">
        <f t="shared" si="1"/>
        <v>0</v>
      </c>
    </row>
    <row r="96" spans="1:16" ht="28.5" x14ac:dyDescent="0.25">
      <c r="A96" s="450"/>
      <c r="B96" s="428">
        <v>39</v>
      </c>
      <c r="C96" s="413" t="s">
        <v>189</v>
      </c>
      <c r="D96" s="253" t="s">
        <v>33</v>
      </c>
      <c r="E96" s="416"/>
      <c r="F96" s="296"/>
      <c r="G96" s="296"/>
      <c r="H96" s="421"/>
      <c r="I96" s="421"/>
      <c r="J96" s="421"/>
      <c r="K96" s="421"/>
      <c r="L96" s="421"/>
      <c r="M96" s="421"/>
      <c r="N96" s="421"/>
      <c r="O96" s="421"/>
      <c r="P96" s="429">
        <f t="shared" si="1"/>
        <v>0</v>
      </c>
    </row>
    <row r="97" spans="1:16" ht="28.5" x14ac:dyDescent="0.25">
      <c r="A97" s="450"/>
      <c r="B97" s="428">
        <v>40</v>
      </c>
      <c r="C97" s="413" t="s">
        <v>190</v>
      </c>
      <c r="D97" s="253" t="s">
        <v>33</v>
      </c>
      <c r="E97" s="416"/>
      <c r="F97" s="296"/>
      <c r="G97" s="296"/>
      <c r="H97" s="421"/>
      <c r="I97" s="421"/>
      <c r="J97" s="421"/>
      <c r="K97" s="421"/>
      <c r="L97" s="421"/>
      <c r="M97" s="421"/>
      <c r="N97" s="421"/>
      <c r="O97" s="421"/>
      <c r="P97" s="429">
        <f t="shared" si="1"/>
        <v>0</v>
      </c>
    </row>
    <row r="98" spans="1:16" ht="28.5" x14ac:dyDescent="0.25">
      <c r="A98" s="450"/>
      <c r="B98" s="428">
        <v>41</v>
      </c>
      <c r="C98" s="413" t="s">
        <v>191</v>
      </c>
      <c r="D98" s="253" t="s">
        <v>33</v>
      </c>
      <c r="E98" s="416"/>
      <c r="F98" s="296"/>
      <c r="G98" s="296"/>
      <c r="H98" s="421"/>
      <c r="I98" s="421"/>
      <c r="J98" s="421"/>
      <c r="K98" s="421"/>
      <c r="L98" s="421"/>
      <c r="M98" s="421"/>
      <c r="N98" s="421"/>
      <c r="O98" s="421"/>
      <c r="P98" s="429">
        <f t="shared" si="1"/>
        <v>0</v>
      </c>
    </row>
    <row r="99" spans="1:16" ht="28.5" x14ac:dyDescent="0.25">
      <c r="A99" s="450"/>
      <c r="B99" s="428">
        <v>42</v>
      </c>
      <c r="C99" s="413" t="s">
        <v>192</v>
      </c>
      <c r="D99" s="253" t="s">
        <v>33</v>
      </c>
      <c r="E99" s="416"/>
      <c r="F99" s="296"/>
      <c r="G99" s="296"/>
      <c r="H99" s="421"/>
      <c r="I99" s="421"/>
      <c r="J99" s="421"/>
      <c r="K99" s="421"/>
      <c r="L99" s="421"/>
      <c r="M99" s="421"/>
      <c r="N99" s="421"/>
      <c r="O99" s="421"/>
      <c r="P99" s="429">
        <f t="shared" si="1"/>
        <v>0</v>
      </c>
    </row>
    <row r="100" spans="1:16" x14ac:dyDescent="0.25">
      <c r="A100" s="450"/>
      <c r="B100" s="428">
        <v>43</v>
      </c>
      <c r="C100" s="413" t="s">
        <v>193</v>
      </c>
      <c r="D100" s="253" t="s">
        <v>33</v>
      </c>
      <c r="E100" s="416"/>
      <c r="F100" s="296"/>
      <c r="G100" s="296"/>
      <c r="H100" s="421"/>
      <c r="I100" s="421"/>
      <c r="J100" s="421"/>
      <c r="K100" s="421"/>
      <c r="L100" s="421"/>
      <c r="M100" s="421"/>
      <c r="N100" s="421"/>
      <c r="O100" s="421"/>
      <c r="P100" s="429">
        <f t="shared" si="1"/>
        <v>0</v>
      </c>
    </row>
    <row r="101" spans="1:16" ht="42.75" x14ac:dyDescent="0.25">
      <c r="A101" s="450"/>
      <c r="B101" s="428">
        <v>44</v>
      </c>
      <c r="C101" s="413" t="s">
        <v>194</v>
      </c>
      <c r="D101" s="253" t="s">
        <v>33</v>
      </c>
      <c r="E101" s="416"/>
      <c r="F101" s="296"/>
      <c r="G101" s="296"/>
      <c r="H101" s="421"/>
      <c r="I101" s="421"/>
      <c r="J101" s="421"/>
      <c r="K101" s="421"/>
      <c r="L101" s="421"/>
      <c r="M101" s="421"/>
      <c r="N101" s="421"/>
      <c r="O101" s="421"/>
      <c r="P101" s="429">
        <f t="shared" si="1"/>
        <v>0</v>
      </c>
    </row>
    <row r="102" spans="1:16" ht="28.5" x14ac:dyDescent="0.25">
      <c r="A102" s="450"/>
      <c r="B102" s="428">
        <v>45</v>
      </c>
      <c r="C102" s="413" t="s">
        <v>195</v>
      </c>
      <c r="D102" s="253" t="s">
        <v>33</v>
      </c>
      <c r="E102" s="416"/>
      <c r="F102" s="296"/>
      <c r="G102" s="296"/>
      <c r="H102" s="421"/>
      <c r="I102" s="421"/>
      <c r="J102" s="421"/>
      <c r="K102" s="421"/>
      <c r="L102" s="421"/>
      <c r="M102" s="421"/>
      <c r="N102" s="421"/>
      <c r="O102" s="421"/>
      <c r="P102" s="429">
        <f t="shared" si="1"/>
        <v>0</v>
      </c>
    </row>
    <row r="103" spans="1:16" ht="28.5" x14ac:dyDescent="0.25">
      <c r="A103" s="450"/>
      <c r="B103" s="428">
        <v>46</v>
      </c>
      <c r="C103" s="413" t="s">
        <v>196</v>
      </c>
      <c r="D103" s="253" t="s">
        <v>33</v>
      </c>
      <c r="E103" s="416"/>
      <c r="F103" s="296"/>
      <c r="G103" s="296"/>
      <c r="H103" s="421"/>
      <c r="I103" s="421"/>
      <c r="J103" s="421"/>
      <c r="K103" s="421"/>
      <c r="L103" s="421"/>
      <c r="M103" s="421"/>
      <c r="N103" s="421"/>
      <c r="O103" s="421"/>
      <c r="P103" s="429">
        <f t="shared" si="1"/>
        <v>0</v>
      </c>
    </row>
    <row r="104" spans="1:16" ht="28.5" x14ac:dyDescent="0.25">
      <c r="A104" s="450"/>
      <c r="B104" s="428">
        <v>47</v>
      </c>
      <c r="C104" s="413" t="s">
        <v>197</v>
      </c>
      <c r="D104" s="253" t="s">
        <v>33</v>
      </c>
      <c r="E104" s="416"/>
      <c r="F104" s="296"/>
      <c r="G104" s="296"/>
      <c r="H104" s="421"/>
      <c r="I104" s="421"/>
      <c r="J104" s="421"/>
      <c r="K104" s="421"/>
      <c r="L104" s="421"/>
      <c r="M104" s="421"/>
      <c r="N104" s="421"/>
      <c r="O104" s="421"/>
      <c r="P104" s="429">
        <f t="shared" si="1"/>
        <v>0</v>
      </c>
    </row>
    <row r="105" spans="1:16" ht="28.5" x14ac:dyDescent="0.25">
      <c r="A105" s="450"/>
      <c r="B105" s="428">
        <v>48</v>
      </c>
      <c r="C105" s="413" t="s">
        <v>198</v>
      </c>
      <c r="D105" s="253" t="s">
        <v>33</v>
      </c>
      <c r="E105" s="416"/>
      <c r="F105" s="296"/>
      <c r="G105" s="296"/>
      <c r="H105" s="421"/>
      <c r="I105" s="421"/>
      <c r="J105" s="421"/>
      <c r="K105" s="421"/>
      <c r="L105" s="421"/>
      <c r="M105" s="421"/>
      <c r="N105" s="421"/>
      <c r="O105" s="421"/>
      <c r="P105" s="429">
        <f t="shared" si="1"/>
        <v>0</v>
      </c>
    </row>
    <row r="106" spans="1:16" ht="28.5" x14ac:dyDescent="0.25">
      <c r="A106" s="450"/>
      <c r="B106" s="428">
        <v>49</v>
      </c>
      <c r="C106" s="413" t="s">
        <v>199</v>
      </c>
      <c r="D106" s="253" t="s">
        <v>33</v>
      </c>
      <c r="E106" s="416"/>
      <c r="F106" s="296"/>
      <c r="G106" s="296"/>
      <c r="H106" s="421"/>
      <c r="I106" s="421"/>
      <c r="J106" s="421"/>
      <c r="K106" s="421"/>
      <c r="L106" s="421"/>
      <c r="M106" s="421"/>
      <c r="N106" s="421"/>
      <c r="O106" s="421"/>
      <c r="P106" s="429">
        <f t="shared" si="1"/>
        <v>0</v>
      </c>
    </row>
    <row r="107" spans="1:16" x14ac:dyDescent="0.25">
      <c r="A107" s="450"/>
      <c r="B107" s="430" t="s">
        <v>296</v>
      </c>
      <c r="C107" s="413"/>
      <c r="D107" s="253" t="s">
        <v>255</v>
      </c>
      <c r="E107" s="416"/>
      <c r="F107" s="296"/>
      <c r="G107" s="296"/>
      <c r="H107" s="421"/>
      <c r="I107" s="421"/>
      <c r="J107" s="421"/>
      <c r="K107" s="421"/>
      <c r="L107" s="421"/>
      <c r="M107" s="421"/>
      <c r="N107" s="421"/>
      <c r="O107" s="421"/>
      <c r="P107" s="429"/>
    </row>
    <row r="108" spans="1:16" x14ac:dyDescent="0.25">
      <c r="A108" s="450"/>
      <c r="B108" s="428"/>
      <c r="C108" s="413"/>
      <c r="D108" s="253"/>
      <c r="E108" s="416"/>
      <c r="F108" s="296"/>
      <c r="G108" s="296"/>
      <c r="H108" s="421"/>
      <c r="I108" s="421"/>
      <c r="J108" s="421"/>
      <c r="K108" s="421"/>
      <c r="L108" s="421"/>
      <c r="M108" s="421"/>
      <c r="N108" s="421"/>
      <c r="O108" s="421"/>
      <c r="P108" s="429"/>
    </row>
    <row r="109" spans="1:16" x14ac:dyDescent="0.25">
      <c r="A109" s="450"/>
      <c r="B109" s="428"/>
      <c r="C109" s="413"/>
      <c r="D109" s="253"/>
      <c r="E109" s="416"/>
      <c r="F109" s="296"/>
      <c r="G109" s="296"/>
      <c r="H109" s="421"/>
      <c r="I109" s="421"/>
      <c r="J109" s="421"/>
      <c r="K109" s="421"/>
      <c r="L109" s="421"/>
      <c r="M109" s="421"/>
      <c r="N109" s="421"/>
      <c r="O109" s="421"/>
      <c r="P109" s="429"/>
    </row>
    <row r="110" spans="1:16" x14ac:dyDescent="0.25">
      <c r="A110" s="450"/>
      <c r="B110" s="428"/>
      <c r="C110" s="413"/>
      <c r="D110" s="253"/>
      <c r="E110" s="416"/>
      <c r="F110" s="296"/>
      <c r="G110" s="296"/>
      <c r="H110" s="421"/>
      <c r="I110" s="421"/>
      <c r="J110" s="421"/>
      <c r="K110" s="421"/>
      <c r="L110" s="421"/>
      <c r="M110" s="421"/>
      <c r="N110" s="421"/>
      <c r="O110" s="421"/>
      <c r="P110" s="429"/>
    </row>
    <row r="111" spans="1:16" x14ac:dyDescent="0.25">
      <c r="B111" s="352"/>
      <c r="C111" s="608" t="s">
        <v>223</v>
      </c>
      <c r="D111" s="608"/>
      <c r="E111" s="353"/>
      <c r="F111" s="354"/>
      <c r="G111" s="354"/>
      <c r="H111" s="355">
        <f>SUM(F17*H17,F18*H18,F19*H19,F20*H20,F21*H21,F22*H22,F46*H46,F63*H63,F64*H64,F65*H65,F66*H66)</f>
        <v>0</v>
      </c>
      <c r="I111" s="355">
        <f>SUM(F28*I28,F29*I29,F30*I30,F31*I31,F32*I32,F72*I72,F73*I73,F74*I74,F75*I75,F76*I76,F77*I77,F78*I78,F79*I79,F85*I85,F86*I86,F87*I87)</f>
        <v>0</v>
      </c>
      <c r="J111" s="356"/>
      <c r="K111" s="353"/>
      <c r="L111" s="353"/>
      <c r="M111" s="353"/>
      <c r="N111" s="355"/>
      <c r="O111" s="353"/>
      <c r="P111" s="357">
        <f>SUM(H111:O111)</f>
        <v>0</v>
      </c>
    </row>
    <row r="112" spans="1:16" x14ac:dyDescent="0.25">
      <c r="B112" s="275"/>
      <c r="C112" s="609" t="s">
        <v>262</v>
      </c>
      <c r="D112" s="609"/>
      <c r="E112" s="269"/>
      <c r="F112" s="267"/>
      <c r="G112" s="267"/>
      <c r="H112" s="269"/>
      <c r="I112" s="269"/>
      <c r="J112" s="270">
        <f>SUM(E28*G28*J28,E29*G29*J29,E30*G30*J30,E31*G31,J31*E32*G32*J32,E38*G38*J38,E39*G39*J39,E40*G40*J40)</f>
        <v>0</v>
      </c>
      <c r="K112" s="270">
        <f>SUM(E28*G28*K28,E29*G29*K29,E30*G30*K30,E31*G31*K31,E32*G32*K32,E38*G38*K38,E39*G39*K39,E40*G40*K40)</f>
        <v>0</v>
      </c>
      <c r="L112" s="270"/>
      <c r="M112" s="270"/>
      <c r="N112" s="269"/>
      <c r="O112" s="269"/>
      <c r="P112" s="276">
        <f>SUM(H112:O112)</f>
        <v>0</v>
      </c>
    </row>
    <row r="113" spans="2:16" x14ac:dyDescent="0.25">
      <c r="B113" s="275"/>
      <c r="C113" s="609" t="s">
        <v>263</v>
      </c>
      <c r="D113" s="609"/>
      <c r="E113" s="269"/>
      <c r="F113" s="267"/>
      <c r="G113" s="267"/>
      <c r="H113" s="269"/>
      <c r="I113" s="269"/>
      <c r="J113" s="270">
        <f>J112-(E32*G32*J32)</f>
        <v>0</v>
      </c>
      <c r="K113" s="269">
        <f>K112-(E32*G32*K32)</f>
        <v>0</v>
      </c>
      <c r="L113" s="269"/>
      <c r="M113" s="269"/>
      <c r="N113" s="269"/>
      <c r="O113" s="269"/>
      <c r="P113" s="276"/>
    </row>
    <row r="114" spans="2:16" x14ac:dyDescent="0.25">
      <c r="B114" s="277"/>
      <c r="C114" s="610"/>
      <c r="D114" s="610"/>
      <c r="E114" s="262"/>
      <c r="F114" s="260"/>
      <c r="G114" s="260"/>
      <c r="H114" s="262"/>
      <c r="I114" s="262"/>
      <c r="J114" s="262"/>
      <c r="K114" s="262"/>
      <c r="L114" s="262"/>
      <c r="M114" s="262"/>
      <c r="N114" s="262"/>
      <c r="O114" s="262"/>
      <c r="P114" s="278"/>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0"/>
      <c r="C116" s="611" t="s">
        <v>330</v>
      </c>
      <c r="D116" s="611"/>
      <c r="E116" s="253"/>
      <c r="F116" s="264"/>
      <c r="G116" s="253"/>
      <c r="H116" s="265" t="e">
        <f>'3.  Distribution Rates'!#REF!</f>
        <v>#REF!</v>
      </c>
      <c r="I116" s="265" t="e">
        <f>'3.  Distribution Rates'!#REF!</f>
        <v>#REF!</v>
      </c>
      <c r="J116" s="265" t="e">
        <f>'3.  Distribution Rates'!#REF!</f>
        <v>#REF!</v>
      </c>
      <c r="K116" s="265" t="e">
        <f>'3.  Distribution Rates'!#REF!</f>
        <v>#REF!</v>
      </c>
      <c r="L116" s="265" t="e">
        <f>'3.  Distribution Rates'!#REF!</f>
        <v>#REF!</v>
      </c>
      <c r="M116" s="265" t="e">
        <f>'3.  Distribution Rates'!#REF!</f>
        <v>#REF!</v>
      </c>
      <c r="N116" s="265" t="e">
        <f>'3.  Distribution Rates'!#REF!</f>
        <v>#REF!</v>
      </c>
      <c r="O116" s="265"/>
      <c r="P116" s="381"/>
    </row>
    <row r="117" spans="2:16" x14ac:dyDescent="0.25">
      <c r="B117" s="380"/>
      <c r="C117" s="611" t="s">
        <v>298</v>
      </c>
      <c r="D117" s="611"/>
      <c r="E117" s="262"/>
      <c r="F117" s="264"/>
      <c r="G117" s="264"/>
      <c r="H117" s="296"/>
      <c r="I117" s="296"/>
      <c r="J117" s="296"/>
      <c r="K117" s="296"/>
      <c r="L117" s="296"/>
      <c r="M117" s="296"/>
      <c r="N117" s="296"/>
      <c r="O117" s="253"/>
      <c r="P117" s="279">
        <f>SUM(H117:O117)</f>
        <v>0</v>
      </c>
    </row>
    <row r="118" spans="2:16" x14ac:dyDescent="0.25">
      <c r="B118" s="380"/>
      <c r="C118" s="611" t="s">
        <v>299</v>
      </c>
      <c r="D118" s="611"/>
      <c r="E118" s="262"/>
      <c r="F118" s="264"/>
      <c r="G118" s="264"/>
      <c r="H118" s="296"/>
      <c r="I118" s="296"/>
      <c r="J118" s="296"/>
      <c r="K118" s="296"/>
      <c r="L118" s="296"/>
      <c r="M118" s="296"/>
      <c r="N118" s="296"/>
      <c r="O118" s="253"/>
      <c r="P118" s="279">
        <f>SUM(H118:O118)</f>
        <v>0</v>
      </c>
    </row>
    <row r="119" spans="2:16" x14ac:dyDescent="0.25">
      <c r="B119" s="380"/>
      <c r="C119" s="611" t="s">
        <v>300</v>
      </c>
      <c r="D119" s="611"/>
      <c r="E119" s="262"/>
      <c r="F119" s="264"/>
      <c r="G119" s="264"/>
      <c r="H119" s="296"/>
      <c r="I119" s="296"/>
      <c r="J119" s="296"/>
      <c r="K119" s="296"/>
      <c r="L119" s="296"/>
      <c r="M119" s="296"/>
      <c r="N119" s="296"/>
      <c r="O119" s="253"/>
      <c r="P119" s="279">
        <f t="shared" ref="P119" si="2">SUM(H119:O119)</f>
        <v>0</v>
      </c>
    </row>
    <row r="120" spans="2:16" x14ac:dyDescent="0.25">
      <c r="B120" s="380"/>
      <c r="C120" s="611" t="s">
        <v>301</v>
      </c>
      <c r="D120" s="611"/>
      <c r="E120" s="262"/>
      <c r="F120" s="264"/>
      <c r="G120" s="264"/>
      <c r="H120" s="296"/>
      <c r="I120" s="296"/>
      <c r="J120" s="296"/>
      <c r="K120" s="296"/>
      <c r="L120" s="296"/>
      <c r="M120" s="296"/>
      <c r="N120" s="296"/>
      <c r="O120" s="253"/>
      <c r="P120" s="279">
        <f>SUM(H120:O120)</f>
        <v>0</v>
      </c>
    </row>
    <row r="121" spans="2:16" x14ac:dyDescent="0.25">
      <c r="B121" s="380"/>
      <c r="C121" s="611" t="s">
        <v>302</v>
      </c>
      <c r="D121" s="611"/>
      <c r="E121" s="262"/>
      <c r="F121" s="264"/>
      <c r="G121" s="264"/>
      <c r="H121" s="377" t="e">
        <f>'5.  2015 LRAM'!H129*H116</f>
        <v>#DIV/0!</v>
      </c>
      <c r="I121" s="377" t="e">
        <f>'5.  2015 LRAM'!I129*I116</f>
        <v>#DIV/0!</v>
      </c>
      <c r="J121" s="377" t="e">
        <f>'5.  2015 LRAM'!J129*J116</f>
        <v>#DIV/0!</v>
      </c>
      <c r="K121" s="377" t="e">
        <f>'5.  2015 LRAM'!K129*K116</f>
        <v>#DIV/0!</v>
      </c>
      <c r="L121" s="377" t="e">
        <f>'5.  2015 LRAM'!L129*L116</f>
        <v>#DIV/0!</v>
      </c>
      <c r="M121" s="377" t="e">
        <f>'5.  2015 LRAM'!M129*M116</f>
        <v>#DIV/0!</v>
      </c>
      <c r="N121" s="377" t="e">
        <f>'5.  2015 LRAM'!N129*N116</f>
        <v>#DIV/0!</v>
      </c>
      <c r="O121" s="253"/>
      <c r="P121" s="279" t="e">
        <f t="shared" ref="P121:P122" si="3">SUM(H121:O121)</f>
        <v>#DIV/0!</v>
      </c>
    </row>
    <row r="122" spans="2:16" x14ac:dyDescent="0.25">
      <c r="B122" s="380"/>
      <c r="C122" s="611" t="s">
        <v>303</v>
      </c>
      <c r="D122" s="611"/>
      <c r="E122" s="262"/>
      <c r="F122" s="264"/>
      <c r="G122" s="264"/>
      <c r="H122" s="377" t="e">
        <f>'5-b. 2016 LRAM'!H127*H116</f>
        <v>#DIV/0!</v>
      </c>
      <c r="I122" s="377" t="e">
        <f>'5-b. 2016 LRAM'!I127*I116</f>
        <v>#DIV/0!</v>
      </c>
      <c r="J122" s="377" t="e">
        <f>'5-b. 2016 LRAM'!J127*J116</f>
        <v>#DIV/0!</v>
      </c>
      <c r="K122" s="377" t="e">
        <f>'5-b. 2016 LRAM'!K127*K116</f>
        <v>#DIV/0!</v>
      </c>
      <c r="L122" s="377" t="e">
        <f>'5-b. 2016 LRAM'!L127*L116</f>
        <v>#REF!</v>
      </c>
      <c r="M122" s="377" t="e">
        <f>'5-b. 2016 LRAM'!M127*M116</f>
        <v>#REF!</v>
      </c>
      <c r="N122" s="377" t="e">
        <f>'5-b. 2016 LRAM'!N127*N116</f>
        <v>#REF!</v>
      </c>
      <c r="O122" s="253"/>
      <c r="P122" s="279" t="e">
        <f t="shared" si="3"/>
        <v>#DIV/0!</v>
      </c>
    </row>
    <row r="123" spans="2:16" x14ac:dyDescent="0.25">
      <c r="B123" s="380"/>
      <c r="C123" s="611" t="s">
        <v>304</v>
      </c>
      <c r="D123" s="611"/>
      <c r="E123" s="262"/>
      <c r="F123" s="264"/>
      <c r="G123" s="264"/>
      <c r="H123" s="377" t="e">
        <f>'5-c.  2017 LRAM'!H128*H116</f>
        <v>#DIV/0!</v>
      </c>
      <c r="I123" s="377" t="e">
        <f>'5-c.  2017 LRAM'!I128*I116</f>
        <v>#DIV/0!</v>
      </c>
      <c r="J123" s="377" t="e">
        <f>'5-c.  2017 LRAM'!J128*J116</f>
        <v>#DIV/0!</v>
      </c>
      <c r="K123" s="377" t="e">
        <f>'5-c.  2017 LRAM'!K128*K116</f>
        <v>#DIV/0!</v>
      </c>
      <c r="L123" s="377" t="e">
        <f>'5-c.  2017 LRAM'!L128*L116</f>
        <v>#REF!</v>
      </c>
      <c r="M123" s="377" t="e">
        <f>'5-c.  2017 LRAM'!M128*M116</f>
        <v>#REF!</v>
      </c>
      <c r="N123" s="377" t="e">
        <f>'5-c.  2017 LRAM'!N128*N116</f>
        <v>#DIV/0!</v>
      </c>
      <c r="O123" s="253"/>
      <c r="P123" s="279" t="e">
        <f>SUM(H123:O123)</f>
        <v>#DIV/0!</v>
      </c>
    </row>
    <row r="124" spans="2:16" x14ac:dyDescent="0.25">
      <c r="B124" s="380"/>
      <c r="C124" s="611" t="s">
        <v>305</v>
      </c>
      <c r="D124" s="611"/>
      <c r="E124" s="262"/>
      <c r="F124" s="264"/>
      <c r="G124" s="264"/>
      <c r="H124" s="377" t="e">
        <f>'5-d.  2018 LRAM'!H127*H116</f>
        <v>#DIV/0!</v>
      </c>
      <c r="I124" s="377" t="e">
        <f>'5-d.  2018 LRAM'!I127*I116</f>
        <v>#DIV/0!</v>
      </c>
      <c r="J124" s="377" t="e">
        <f>'5-d.  2018 LRAM'!J127*J116</f>
        <v>#DIV/0!</v>
      </c>
      <c r="K124" s="377" t="e">
        <f>'5-d.  2018 LRAM'!K127*K116</f>
        <v>#DIV/0!</v>
      </c>
      <c r="L124" s="377" t="e">
        <f>'5-d.  2018 LRAM'!L127*L116</f>
        <v>#DIV/0!</v>
      </c>
      <c r="M124" s="377" t="e">
        <f>'5-d.  2018 LRAM'!M127*M116</f>
        <v>#DIV/0!</v>
      </c>
      <c r="N124" s="377" t="e">
        <f>'5-d.  2018 LRAM'!N127*N116</f>
        <v>#DIV/0!</v>
      </c>
      <c r="O124" s="253"/>
      <c r="P124" s="279" t="e">
        <f t="shared" ref="P124:P125" si="4">SUM(H124:O124)</f>
        <v>#DIV/0!</v>
      </c>
    </row>
    <row r="125" spans="2:16" x14ac:dyDescent="0.25">
      <c r="B125" s="380"/>
      <c r="C125" s="611" t="s">
        <v>306</v>
      </c>
      <c r="D125" s="611"/>
      <c r="E125" s="262"/>
      <c r="F125" s="264"/>
      <c r="G125" s="264"/>
      <c r="H125" s="377" t="e">
        <f>H111*H116</f>
        <v>#REF!</v>
      </c>
      <c r="I125" s="377" t="e">
        <f>I111*I116</f>
        <v>#REF!</v>
      </c>
      <c r="J125" s="377" t="e">
        <f>J112*J116</f>
        <v>#REF!</v>
      </c>
      <c r="K125" s="377" t="e">
        <f>K112*K116</f>
        <v>#REF!</v>
      </c>
      <c r="L125" s="377" t="e">
        <f>L112*L116</f>
        <v>#REF!</v>
      </c>
      <c r="M125" s="377" t="e">
        <f>M112*M116</f>
        <v>#REF!</v>
      </c>
      <c r="N125" s="377" t="e">
        <f>N111*N116</f>
        <v>#REF!</v>
      </c>
      <c r="O125" s="253"/>
      <c r="P125" s="279" t="e">
        <f t="shared" si="4"/>
        <v>#REF!</v>
      </c>
    </row>
    <row r="126" spans="2:16" x14ac:dyDescent="0.25">
      <c r="B126" s="277"/>
      <c r="C126" s="378" t="s">
        <v>297</v>
      </c>
      <c r="D126" s="262"/>
      <c r="E126" s="262"/>
      <c r="F126" s="260"/>
      <c r="G126" s="260"/>
      <c r="H126" s="266" t="e">
        <f t="shared" ref="H126:N126" si="5">SUM(H117:H125)</f>
        <v>#DIV/0!</v>
      </c>
      <c r="I126" s="266" t="e">
        <f t="shared" si="5"/>
        <v>#DIV/0!</v>
      </c>
      <c r="J126" s="266" t="e">
        <f t="shared" si="5"/>
        <v>#DIV/0!</v>
      </c>
      <c r="K126" s="266" t="e">
        <f t="shared" si="5"/>
        <v>#DIV/0!</v>
      </c>
      <c r="L126" s="266" t="e">
        <f t="shared" si="5"/>
        <v>#DIV/0!</v>
      </c>
      <c r="M126" s="266" t="e">
        <f t="shared" si="5"/>
        <v>#DIV/0!</v>
      </c>
      <c r="N126" s="266" t="e">
        <f t="shared" si="5"/>
        <v>#DIV/0!</v>
      </c>
      <c r="O126" s="262"/>
      <c r="P126" s="280" t="e">
        <f>SUM(P117:P125)</f>
        <v>#DIV/0!</v>
      </c>
    </row>
    <row r="127" spans="2:16" x14ac:dyDescent="0.25">
      <c r="B127" s="277"/>
      <c r="C127" s="378"/>
      <c r="D127" s="262"/>
      <c r="E127" s="262"/>
      <c r="F127" s="260"/>
      <c r="G127" s="260"/>
      <c r="H127" s="266"/>
      <c r="I127" s="266"/>
      <c r="J127" s="266"/>
      <c r="K127" s="266"/>
      <c r="L127" s="266"/>
      <c r="M127" s="266"/>
      <c r="N127" s="266"/>
      <c r="O127" s="262"/>
      <c r="P127" s="280"/>
    </row>
    <row r="128" spans="2:16" x14ac:dyDescent="0.25">
      <c r="B128" s="423"/>
      <c r="C128" s="623" t="s">
        <v>307</v>
      </c>
      <c r="D128" s="623"/>
      <c r="E128" s="424"/>
      <c r="F128" s="330"/>
      <c r="G128" s="330"/>
      <c r="H128" s="403" t="e">
        <f>H111*'6.  Persistence Rates'!$I$48</f>
        <v>#DIV/0!</v>
      </c>
      <c r="I128" s="403" t="e">
        <f>I111*'6.  Persistence Rates'!$I$48</f>
        <v>#DIV/0!</v>
      </c>
      <c r="J128" s="403" t="e">
        <f>J112*'6.  Persistence Rates'!$V$48</f>
        <v>#DIV/0!</v>
      </c>
      <c r="K128" s="403" t="e">
        <f>K112*'6.  Persistence Rates'!$V$48</f>
        <v>#DIV/0!</v>
      </c>
      <c r="L128" s="403" t="e">
        <f>L112*'6.  Persistence Rates'!$V$48</f>
        <v>#DIV/0!</v>
      </c>
      <c r="M128" s="403" t="e">
        <f>M112*'6.  Persistence Rates'!$V$48</f>
        <v>#DIV/0!</v>
      </c>
      <c r="N128" s="403" t="e">
        <f>N111*'6.  Persistence Rates'!$I$48</f>
        <v>#DIV/0!</v>
      </c>
      <c r="O128" s="330"/>
      <c r="P128" s="399"/>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39" customWidth="1"/>
    <col min="4" max="4" width="12.28515625" style="440" customWidth="1"/>
    <col min="5" max="5" width="13.28515625" style="440"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5">
      <c r="B2" s="655" t="s">
        <v>308</v>
      </c>
      <c r="C2" s="655"/>
      <c r="D2" s="655"/>
      <c r="E2" s="655"/>
      <c r="F2" s="655"/>
      <c r="G2" s="655"/>
      <c r="H2" s="655"/>
      <c r="I2" s="655"/>
      <c r="J2" s="655"/>
      <c r="K2" s="655"/>
      <c r="L2" s="655"/>
      <c r="M2" s="655"/>
      <c r="N2" s="655"/>
      <c r="O2" s="655"/>
      <c r="P2" s="655"/>
    </row>
    <row r="3" spans="1:18" ht="18" outlineLevel="1" x14ac:dyDescent="0.35">
      <c r="B3" s="442"/>
      <c r="C3" s="442"/>
      <c r="D3" s="442"/>
      <c r="E3" s="442"/>
      <c r="F3" s="442"/>
      <c r="G3" s="442"/>
      <c r="H3" s="442"/>
      <c r="I3" s="442"/>
      <c r="J3" s="442"/>
      <c r="K3" s="442"/>
      <c r="L3" s="442"/>
      <c r="M3" s="442"/>
      <c r="N3" s="442"/>
      <c r="O3" s="442"/>
      <c r="P3" s="442"/>
    </row>
    <row r="4" spans="1:18" ht="35.25" customHeight="1" outlineLevel="1" x14ac:dyDescent="0.35">
      <c r="A4" s="336"/>
      <c r="B4" s="442"/>
      <c r="C4" s="368" t="s">
        <v>403</v>
      </c>
      <c r="D4" s="443"/>
      <c r="E4" s="654" t="s">
        <v>366</v>
      </c>
      <c r="F4" s="654"/>
      <c r="G4" s="654"/>
      <c r="H4" s="654"/>
      <c r="I4" s="654"/>
      <c r="J4" s="654"/>
      <c r="K4" s="654"/>
      <c r="L4" s="654"/>
      <c r="M4" s="654"/>
      <c r="N4" s="654"/>
      <c r="O4" s="654"/>
      <c r="P4" s="654"/>
    </row>
    <row r="5" spans="1:18" ht="18.75" customHeight="1" outlineLevel="1" x14ac:dyDescent="0.35">
      <c r="B5" s="442"/>
      <c r="C5" s="444"/>
      <c r="D5" s="443"/>
      <c r="E5" s="371" t="s">
        <v>360</v>
      </c>
      <c r="F5" s="443"/>
      <c r="G5" s="443"/>
      <c r="H5" s="443"/>
      <c r="I5" s="443"/>
      <c r="J5" s="443"/>
      <c r="K5" s="443"/>
      <c r="L5" s="443"/>
      <c r="M5" s="443"/>
      <c r="N5" s="443"/>
      <c r="O5" s="443"/>
      <c r="P5" s="443"/>
    </row>
    <row r="6" spans="1:18" ht="18.75" customHeight="1" outlineLevel="1" x14ac:dyDescent="0.35">
      <c r="B6" s="442"/>
      <c r="C6" s="444"/>
      <c r="D6" s="443"/>
      <c r="E6" s="371" t="s">
        <v>361</v>
      </c>
      <c r="F6" s="443"/>
      <c r="G6" s="443"/>
      <c r="H6" s="443"/>
      <c r="I6" s="443"/>
      <c r="J6" s="443"/>
      <c r="K6" s="443"/>
      <c r="L6" s="443"/>
      <c r="M6" s="443"/>
      <c r="N6" s="443"/>
      <c r="O6" s="443"/>
      <c r="P6" s="443"/>
    </row>
    <row r="7" spans="1:18" ht="18.75" customHeight="1" outlineLevel="1" x14ac:dyDescent="0.35">
      <c r="B7" s="442"/>
      <c r="C7" s="444"/>
      <c r="D7" s="443"/>
      <c r="E7" s="371" t="s">
        <v>421</v>
      </c>
      <c r="F7" s="443"/>
      <c r="G7" s="443"/>
      <c r="H7" s="443"/>
      <c r="I7" s="443"/>
      <c r="J7" s="443"/>
      <c r="K7" s="443"/>
      <c r="L7" s="443"/>
      <c r="M7" s="443"/>
      <c r="N7" s="443"/>
      <c r="O7" s="443"/>
      <c r="P7" s="443"/>
    </row>
    <row r="8" spans="1:18" ht="18.75" customHeight="1" outlineLevel="1" x14ac:dyDescent="0.35">
      <c r="B8" s="442"/>
      <c r="C8" s="444"/>
      <c r="D8" s="443"/>
      <c r="E8" s="371"/>
      <c r="F8" s="443"/>
      <c r="G8" s="443"/>
      <c r="H8" s="443"/>
      <c r="I8" s="443"/>
      <c r="J8" s="443"/>
      <c r="K8" s="443"/>
      <c r="L8" s="443"/>
      <c r="M8" s="443"/>
      <c r="N8" s="443"/>
      <c r="O8" s="443"/>
      <c r="P8" s="443"/>
    </row>
    <row r="9" spans="1:18" ht="18.75" customHeight="1" outlineLevel="1" x14ac:dyDescent="0.35">
      <c r="B9" s="442"/>
      <c r="C9" s="235" t="s">
        <v>339</v>
      </c>
      <c r="D9" s="442"/>
      <c r="E9" s="236" t="s">
        <v>367</v>
      </c>
      <c r="F9" s="451"/>
      <c r="G9" s="442"/>
      <c r="H9" s="442"/>
      <c r="I9" s="442"/>
      <c r="J9" s="442"/>
      <c r="K9" s="442"/>
      <c r="L9" s="442"/>
      <c r="M9" s="442"/>
      <c r="N9" s="442"/>
      <c r="O9" s="442"/>
      <c r="P9" s="442"/>
      <c r="R9" s="82"/>
    </row>
    <row r="10" spans="1:18" ht="18.75" customHeight="1" outlineLevel="1" x14ac:dyDescent="0.35">
      <c r="B10" s="442"/>
      <c r="C10" s="442"/>
      <c r="D10" s="442"/>
      <c r="E10" s="656" t="s">
        <v>340</v>
      </c>
      <c r="F10" s="656"/>
      <c r="G10" s="442"/>
      <c r="H10" s="442"/>
      <c r="I10" s="442"/>
      <c r="J10" s="442"/>
      <c r="K10" s="442"/>
      <c r="L10" s="442"/>
      <c r="M10" s="442"/>
      <c r="N10" s="442"/>
      <c r="O10" s="442"/>
      <c r="P10" s="442"/>
    </row>
    <row r="11" spans="1:18" ht="14.45" x14ac:dyDescent="0.3">
      <c r="A11" s="449"/>
      <c r="C11" s="446"/>
      <c r="D11" s="447"/>
      <c r="E11" s="447"/>
    </row>
    <row r="12" spans="1:18" ht="18" x14ac:dyDescent="0.35">
      <c r="B12" s="445" t="s">
        <v>483</v>
      </c>
      <c r="C12" s="442"/>
      <c r="D12" s="442"/>
      <c r="E12" s="442"/>
      <c r="F12" s="442"/>
      <c r="G12" s="442"/>
      <c r="H12" s="442"/>
      <c r="I12" s="442"/>
      <c r="J12" s="442"/>
      <c r="K12" s="442"/>
      <c r="L12" s="442"/>
      <c r="M12" s="442"/>
      <c r="N12" s="442"/>
      <c r="O12" s="442"/>
      <c r="P12" s="442"/>
    </row>
    <row r="13" spans="1:18" ht="45" x14ac:dyDescent="0.25">
      <c r="B13" s="646" t="s">
        <v>58</v>
      </c>
      <c r="C13" s="648" t="s">
        <v>0</v>
      </c>
      <c r="D13" s="648" t="s">
        <v>44</v>
      </c>
      <c r="E13" s="648" t="s">
        <v>206</v>
      </c>
      <c r="F13" s="238" t="s">
        <v>203</v>
      </c>
      <c r="G13" s="238" t="s">
        <v>45</v>
      </c>
      <c r="H13" s="650" t="s">
        <v>59</v>
      </c>
      <c r="I13" s="650"/>
      <c r="J13" s="650"/>
      <c r="K13" s="650"/>
      <c r="L13" s="650"/>
      <c r="M13" s="650"/>
      <c r="N13" s="650"/>
      <c r="O13" s="650"/>
      <c r="P13" s="651"/>
    </row>
    <row r="14" spans="1:18" ht="60" x14ac:dyDescent="0.25">
      <c r="B14" s="647"/>
      <c r="C14" s="649"/>
      <c r="D14" s="649"/>
      <c r="E14" s="649"/>
      <c r="F14" s="437" t="s">
        <v>215</v>
      </c>
      <c r="G14" s="437" t="s">
        <v>216</v>
      </c>
      <c r="H14" s="438" t="s">
        <v>37</v>
      </c>
      <c r="I14" s="438" t="s">
        <v>39</v>
      </c>
      <c r="J14" s="438" t="s">
        <v>108</v>
      </c>
      <c r="K14" s="438" t="s">
        <v>109</v>
      </c>
      <c r="L14" s="438" t="s">
        <v>40</v>
      </c>
      <c r="M14" s="438" t="s">
        <v>41</v>
      </c>
      <c r="N14" s="438" t="s">
        <v>42</v>
      </c>
      <c r="O14" s="438" t="s">
        <v>105</v>
      </c>
      <c r="P14" s="441" t="s">
        <v>34</v>
      </c>
    </row>
    <row r="15" spans="1:18" ht="29.25" customHeight="1" x14ac:dyDescent="0.3">
      <c r="B15" s="627" t="s">
        <v>142</v>
      </c>
      <c r="C15" s="628"/>
      <c r="D15" s="628"/>
      <c r="E15" s="628"/>
      <c r="F15" s="628"/>
      <c r="G15" s="628"/>
      <c r="H15" s="628"/>
      <c r="I15" s="628"/>
      <c r="J15" s="628"/>
      <c r="K15" s="628"/>
      <c r="L15" s="628"/>
      <c r="M15" s="628"/>
      <c r="N15" s="628"/>
      <c r="O15" s="628"/>
      <c r="P15" s="629"/>
    </row>
    <row r="16" spans="1:18" ht="26.25" customHeight="1" x14ac:dyDescent="0.3">
      <c r="A16" s="450"/>
      <c r="B16" s="640" t="s">
        <v>143</v>
      </c>
      <c r="C16" s="641"/>
      <c r="D16" s="641"/>
      <c r="E16" s="641"/>
      <c r="F16" s="641"/>
      <c r="G16" s="641"/>
      <c r="H16" s="641"/>
      <c r="I16" s="641"/>
      <c r="J16" s="641"/>
      <c r="K16" s="641"/>
      <c r="L16" s="641"/>
      <c r="M16" s="641"/>
      <c r="N16" s="641"/>
      <c r="O16" s="641"/>
      <c r="P16" s="642"/>
    </row>
    <row r="17" spans="1:16" ht="14.45" x14ac:dyDescent="0.3">
      <c r="A17" s="450"/>
      <c r="B17" s="428">
        <v>1</v>
      </c>
      <c r="C17" s="413" t="s">
        <v>144</v>
      </c>
      <c r="D17" s="253" t="s">
        <v>33</v>
      </c>
      <c r="E17" s="414"/>
      <c r="F17" s="296"/>
      <c r="G17" s="296"/>
      <c r="H17" s="425">
        <v>1</v>
      </c>
      <c r="I17" s="415"/>
      <c r="J17" s="415"/>
      <c r="K17" s="415"/>
      <c r="L17" s="415"/>
      <c r="M17" s="415"/>
      <c r="N17" s="415"/>
      <c r="O17" s="415"/>
      <c r="P17" s="429">
        <f>SUM(H17:O17)</f>
        <v>1</v>
      </c>
    </row>
    <row r="18" spans="1:16" ht="14.45" x14ac:dyDescent="0.3">
      <c r="A18" s="40"/>
      <c r="B18" s="428">
        <v>2</v>
      </c>
      <c r="C18" s="413" t="s">
        <v>145</v>
      </c>
      <c r="D18" s="253" t="s">
        <v>33</v>
      </c>
      <c r="E18" s="416"/>
      <c r="F18" s="296"/>
      <c r="G18" s="296"/>
      <c r="H18" s="425">
        <v>1</v>
      </c>
      <c r="I18" s="415"/>
      <c r="J18" s="415"/>
      <c r="K18" s="415"/>
      <c r="L18" s="415"/>
      <c r="M18" s="415"/>
      <c r="N18" s="415"/>
      <c r="O18" s="415"/>
      <c r="P18" s="429">
        <f t="shared" ref="P18:P79" si="0">SUM(H18:O18)</f>
        <v>1</v>
      </c>
    </row>
    <row r="19" spans="1:16" ht="14.45" x14ac:dyDescent="0.3">
      <c r="A19" s="450"/>
      <c r="B19" s="428">
        <v>3</v>
      </c>
      <c r="C19" s="413" t="s">
        <v>146</v>
      </c>
      <c r="D19" s="253" t="s">
        <v>33</v>
      </c>
      <c r="E19" s="416"/>
      <c r="F19" s="296"/>
      <c r="G19" s="296"/>
      <c r="H19" s="425">
        <v>1</v>
      </c>
      <c r="I19" s="415"/>
      <c r="J19" s="415"/>
      <c r="K19" s="415"/>
      <c r="L19" s="415"/>
      <c r="M19" s="415"/>
      <c r="N19" s="415"/>
      <c r="O19" s="415"/>
      <c r="P19" s="429">
        <f t="shared" si="0"/>
        <v>1</v>
      </c>
    </row>
    <row r="20" spans="1:16" ht="14.45" x14ac:dyDescent="0.3">
      <c r="A20" s="450"/>
      <c r="B20" s="428">
        <v>4</v>
      </c>
      <c r="C20" s="413" t="s">
        <v>147</v>
      </c>
      <c r="D20" s="253" t="s">
        <v>33</v>
      </c>
      <c r="E20" s="416"/>
      <c r="F20" s="296"/>
      <c r="G20" s="296"/>
      <c r="H20" s="425">
        <v>1</v>
      </c>
      <c r="I20" s="415"/>
      <c r="J20" s="415"/>
      <c r="K20" s="415"/>
      <c r="L20" s="415"/>
      <c r="M20" s="415"/>
      <c r="N20" s="415"/>
      <c r="O20" s="415"/>
      <c r="P20" s="429">
        <f t="shared" si="0"/>
        <v>1</v>
      </c>
    </row>
    <row r="21" spans="1:16" ht="14.45" x14ac:dyDescent="0.3">
      <c r="A21" s="450"/>
      <c r="B21" s="428">
        <v>5</v>
      </c>
      <c r="C21" s="413" t="s">
        <v>148</v>
      </c>
      <c r="D21" s="253" t="s">
        <v>33</v>
      </c>
      <c r="E21" s="416"/>
      <c r="F21" s="296"/>
      <c r="G21" s="296"/>
      <c r="H21" s="425">
        <v>1</v>
      </c>
      <c r="I21" s="415"/>
      <c r="J21" s="415"/>
      <c r="K21" s="415"/>
      <c r="L21" s="415"/>
      <c r="M21" s="415"/>
      <c r="N21" s="415"/>
      <c r="O21" s="415"/>
      <c r="P21" s="429">
        <f t="shared" si="0"/>
        <v>1</v>
      </c>
    </row>
    <row r="22" spans="1:16" ht="27.6" x14ac:dyDescent="0.3">
      <c r="A22" s="450"/>
      <c r="B22" s="428">
        <v>6</v>
      </c>
      <c r="C22" s="413" t="s">
        <v>149</v>
      </c>
      <c r="D22" s="253" t="s">
        <v>33</v>
      </c>
      <c r="E22" s="416"/>
      <c r="F22" s="296"/>
      <c r="G22" s="296"/>
      <c r="H22" s="425">
        <v>1</v>
      </c>
      <c r="I22" s="415"/>
      <c r="J22" s="415"/>
      <c r="K22" s="415"/>
      <c r="L22" s="415"/>
      <c r="M22" s="415"/>
      <c r="N22" s="415"/>
      <c r="O22" s="415"/>
      <c r="P22" s="429">
        <f t="shared" si="0"/>
        <v>1</v>
      </c>
    </row>
    <row r="23" spans="1:16" ht="14.45" x14ac:dyDescent="0.3">
      <c r="A23" s="450"/>
      <c r="B23" s="430" t="s">
        <v>321</v>
      </c>
      <c r="C23" s="413"/>
      <c r="D23" s="253" t="s">
        <v>255</v>
      </c>
      <c r="E23" s="416"/>
      <c r="F23" s="296"/>
      <c r="G23" s="296"/>
      <c r="H23" s="425"/>
      <c r="I23" s="415"/>
      <c r="J23" s="415"/>
      <c r="K23" s="415"/>
      <c r="L23" s="415"/>
      <c r="M23" s="415"/>
      <c r="N23" s="415"/>
      <c r="O23" s="415"/>
      <c r="P23" s="429">
        <f t="shared" si="0"/>
        <v>0</v>
      </c>
    </row>
    <row r="24" spans="1:16" ht="14.45" x14ac:dyDescent="0.3">
      <c r="A24" s="450"/>
      <c r="B24" s="428"/>
      <c r="C24" s="413"/>
      <c r="D24" s="253"/>
      <c r="E24" s="416"/>
      <c r="F24" s="296"/>
      <c r="G24" s="296"/>
      <c r="H24" s="425"/>
      <c r="I24" s="415"/>
      <c r="J24" s="415"/>
      <c r="K24" s="415"/>
      <c r="L24" s="415"/>
      <c r="M24" s="415"/>
      <c r="N24" s="415"/>
      <c r="O24" s="415"/>
      <c r="P24" s="429">
        <f t="shared" si="0"/>
        <v>0</v>
      </c>
    </row>
    <row r="25" spans="1:16" ht="14.45" x14ac:dyDescent="0.3">
      <c r="A25" s="450"/>
      <c r="B25" s="428"/>
      <c r="C25" s="413"/>
      <c r="D25" s="253"/>
      <c r="E25" s="416"/>
      <c r="F25" s="296"/>
      <c r="G25" s="296"/>
      <c r="H25" s="425"/>
      <c r="I25" s="415"/>
      <c r="J25" s="415"/>
      <c r="K25" s="415"/>
      <c r="L25" s="415"/>
      <c r="M25" s="415"/>
      <c r="N25" s="415"/>
      <c r="O25" s="415"/>
      <c r="P25" s="429">
        <f t="shared" si="0"/>
        <v>0</v>
      </c>
    </row>
    <row r="26" spans="1:16" ht="14.45" x14ac:dyDescent="0.3">
      <c r="A26" s="450"/>
      <c r="B26" s="428"/>
      <c r="C26" s="413"/>
      <c r="D26" s="253"/>
      <c r="E26" s="416"/>
      <c r="F26" s="296"/>
      <c r="G26" s="296"/>
      <c r="H26" s="425"/>
      <c r="I26" s="415"/>
      <c r="J26" s="415"/>
      <c r="K26" s="415"/>
      <c r="L26" s="415"/>
      <c r="M26" s="415"/>
      <c r="N26" s="415"/>
      <c r="O26" s="415"/>
      <c r="P26" s="429">
        <f t="shared" si="0"/>
        <v>0</v>
      </c>
    </row>
    <row r="27" spans="1:16" ht="25.5" customHeight="1" x14ac:dyDescent="0.3">
      <c r="A27" s="450"/>
      <c r="B27" s="640" t="s">
        <v>150</v>
      </c>
      <c r="C27" s="641"/>
      <c r="D27" s="641"/>
      <c r="E27" s="641"/>
      <c r="F27" s="641"/>
      <c r="G27" s="641"/>
      <c r="H27" s="641"/>
      <c r="I27" s="641"/>
      <c r="J27" s="641"/>
      <c r="K27" s="641"/>
      <c r="L27" s="641"/>
      <c r="M27" s="641"/>
      <c r="N27" s="641"/>
      <c r="O27" s="641"/>
      <c r="P27" s="642"/>
    </row>
    <row r="28" spans="1:16" ht="14.45" x14ac:dyDescent="0.3">
      <c r="A28" s="450"/>
      <c r="B28" s="428">
        <v>7</v>
      </c>
      <c r="C28" s="413" t="s">
        <v>151</v>
      </c>
      <c r="D28" s="253" t="s">
        <v>33</v>
      </c>
      <c r="E28" s="416">
        <v>12</v>
      </c>
      <c r="F28" s="296"/>
      <c r="G28" s="296"/>
      <c r="H28" s="415"/>
      <c r="I28" s="425">
        <v>0.2</v>
      </c>
      <c r="J28" s="425">
        <v>0.5</v>
      </c>
      <c r="K28" s="425">
        <v>0.3</v>
      </c>
      <c r="L28" s="415"/>
      <c r="M28" s="415"/>
      <c r="N28" s="415"/>
      <c r="O28" s="415"/>
      <c r="P28" s="429">
        <f t="shared" si="0"/>
        <v>1</v>
      </c>
    </row>
    <row r="29" spans="1:16" ht="27.6" x14ac:dyDescent="0.3">
      <c r="A29" s="450"/>
      <c r="B29" s="428">
        <v>8</v>
      </c>
      <c r="C29" s="413" t="s">
        <v>152</v>
      </c>
      <c r="D29" s="253" t="s">
        <v>33</v>
      </c>
      <c r="E29" s="416">
        <v>12</v>
      </c>
      <c r="F29" s="296"/>
      <c r="G29" s="296"/>
      <c r="H29" s="415"/>
      <c r="I29" s="425">
        <v>0.8</v>
      </c>
      <c r="J29" s="425">
        <v>0.2</v>
      </c>
      <c r="K29" s="415"/>
      <c r="L29" s="415"/>
      <c r="M29" s="415"/>
      <c r="N29" s="415"/>
      <c r="O29" s="415"/>
      <c r="P29" s="429">
        <f t="shared" si="0"/>
        <v>1</v>
      </c>
    </row>
    <row r="30" spans="1:16" ht="27.6" x14ac:dyDescent="0.3">
      <c r="A30" s="450"/>
      <c r="B30" s="428">
        <v>9</v>
      </c>
      <c r="C30" s="413" t="s">
        <v>153</v>
      </c>
      <c r="D30" s="253" t="s">
        <v>33</v>
      </c>
      <c r="E30" s="416">
        <v>12</v>
      </c>
      <c r="F30" s="296"/>
      <c r="G30" s="296"/>
      <c r="H30" s="415"/>
      <c r="I30" s="425">
        <v>0.5</v>
      </c>
      <c r="J30" s="425">
        <v>0.5</v>
      </c>
      <c r="K30" s="415"/>
      <c r="L30" s="415"/>
      <c r="M30" s="415"/>
      <c r="N30" s="415"/>
      <c r="O30" s="415"/>
      <c r="P30" s="429">
        <f t="shared" si="0"/>
        <v>1</v>
      </c>
    </row>
    <row r="31" spans="1:16" ht="27.6" x14ac:dyDescent="0.3">
      <c r="A31" s="450"/>
      <c r="B31" s="428">
        <v>10</v>
      </c>
      <c r="C31" s="413" t="s">
        <v>154</v>
      </c>
      <c r="D31" s="253" t="s">
        <v>33</v>
      </c>
      <c r="E31" s="416">
        <v>12</v>
      </c>
      <c r="F31" s="296"/>
      <c r="G31" s="296"/>
      <c r="H31" s="415"/>
      <c r="I31" s="425">
        <v>1</v>
      </c>
      <c r="J31" s="415"/>
      <c r="K31" s="415"/>
      <c r="L31" s="415"/>
      <c r="M31" s="415"/>
      <c r="N31" s="415"/>
      <c r="O31" s="415"/>
      <c r="P31" s="429">
        <f t="shared" si="0"/>
        <v>1</v>
      </c>
    </row>
    <row r="32" spans="1:16" ht="27.6" x14ac:dyDescent="0.3">
      <c r="A32" s="450"/>
      <c r="B32" s="428">
        <v>11</v>
      </c>
      <c r="C32" s="413" t="s">
        <v>155</v>
      </c>
      <c r="D32" s="253" t="s">
        <v>33</v>
      </c>
      <c r="E32" s="416">
        <v>3</v>
      </c>
      <c r="F32" s="296"/>
      <c r="G32" s="296"/>
      <c r="H32" s="415"/>
      <c r="I32" s="415"/>
      <c r="J32" s="425">
        <v>1</v>
      </c>
      <c r="K32" s="415"/>
      <c r="L32" s="415"/>
      <c r="M32" s="415"/>
      <c r="N32" s="415"/>
      <c r="O32" s="415"/>
      <c r="P32" s="429">
        <f t="shared" si="0"/>
        <v>1</v>
      </c>
    </row>
    <row r="33" spans="1:16" ht="14.45" x14ac:dyDescent="0.3">
      <c r="A33" s="450"/>
      <c r="B33" s="430" t="s">
        <v>321</v>
      </c>
      <c r="C33" s="413"/>
      <c r="D33" s="253" t="s">
        <v>255</v>
      </c>
      <c r="E33" s="416"/>
      <c r="F33" s="296"/>
      <c r="G33" s="296"/>
      <c r="H33" s="415"/>
      <c r="I33" s="415"/>
      <c r="J33" s="415"/>
      <c r="K33" s="415"/>
      <c r="L33" s="415"/>
      <c r="M33" s="415"/>
      <c r="N33" s="415"/>
      <c r="O33" s="415"/>
      <c r="P33" s="429">
        <f t="shared" si="0"/>
        <v>0</v>
      </c>
    </row>
    <row r="34" spans="1:16" ht="14.45" x14ac:dyDescent="0.3">
      <c r="A34" s="450"/>
      <c r="B34" s="428"/>
      <c r="C34" s="413"/>
      <c r="D34" s="253"/>
      <c r="E34" s="416"/>
      <c r="F34" s="296"/>
      <c r="G34" s="296"/>
      <c r="H34" s="415"/>
      <c r="I34" s="415"/>
      <c r="J34" s="415"/>
      <c r="K34" s="415"/>
      <c r="L34" s="415"/>
      <c r="M34" s="415"/>
      <c r="N34" s="415"/>
      <c r="O34" s="415"/>
      <c r="P34" s="429">
        <f t="shared" si="0"/>
        <v>0</v>
      </c>
    </row>
    <row r="35" spans="1:16" ht="14.45" x14ac:dyDescent="0.3">
      <c r="A35" s="450"/>
      <c r="B35" s="428"/>
      <c r="C35" s="413"/>
      <c r="D35" s="253"/>
      <c r="E35" s="416"/>
      <c r="F35" s="296"/>
      <c r="G35" s="296"/>
      <c r="H35" s="415"/>
      <c r="I35" s="415"/>
      <c r="J35" s="415"/>
      <c r="K35" s="415"/>
      <c r="L35" s="415"/>
      <c r="M35" s="415"/>
      <c r="N35" s="415"/>
      <c r="O35" s="415"/>
      <c r="P35" s="429">
        <f t="shared" si="0"/>
        <v>0</v>
      </c>
    </row>
    <row r="36" spans="1:16" ht="14.45" x14ac:dyDescent="0.3">
      <c r="A36" s="450"/>
      <c r="B36" s="428"/>
      <c r="C36" s="413"/>
      <c r="D36" s="253"/>
      <c r="E36" s="416"/>
      <c r="F36" s="296"/>
      <c r="G36" s="296"/>
      <c r="H36" s="415"/>
      <c r="I36" s="415"/>
      <c r="J36" s="415"/>
      <c r="K36" s="415"/>
      <c r="L36" s="415"/>
      <c r="M36" s="415"/>
      <c r="N36" s="415"/>
      <c r="O36" s="415"/>
      <c r="P36" s="429">
        <f t="shared" si="0"/>
        <v>0</v>
      </c>
    </row>
    <row r="37" spans="1:16" ht="26.25" customHeight="1" x14ac:dyDescent="0.3">
      <c r="A37" s="450"/>
      <c r="B37" s="640" t="s">
        <v>11</v>
      </c>
      <c r="C37" s="641"/>
      <c r="D37" s="641"/>
      <c r="E37" s="641"/>
      <c r="F37" s="641"/>
      <c r="G37" s="641"/>
      <c r="H37" s="641"/>
      <c r="I37" s="641"/>
      <c r="J37" s="641"/>
      <c r="K37" s="641"/>
      <c r="L37" s="641"/>
      <c r="M37" s="641"/>
      <c r="N37" s="641"/>
      <c r="O37" s="641"/>
      <c r="P37" s="642"/>
    </row>
    <row r="38" spans="1:16" ht="27.6" x14ac:dyDescent="0.3">
      <c r="A38" s="450"/>
      <c r="B38" s="428">
        <v>12</v>
      </c>
      <c r="C38" s="413" t="s">
        <v>156</v>
      </c>
      <c r="D38" s="253" t="s">
        <v>33</v>
      </c>
      <c r="E38" s="416">
        <v>12</v>
      </c>
      <c r="F38" s="296"/>
      <c r="G38" s="296"/>
      <c r="H38" s="415"/>
      <c r="I38" s="415"/>
      <c r="J38" s="425">
        <v>1</v>
      </c>
      <c r="K38" s="415"/>
      <c r="L38" s="415"/>
      <c r="M38" s="415"/>
      <c r="N38" s="415"/>
      <c r="O38" s="415"/>
      <c r="P38" s="429">
        <f t="shared" si="0"/>
        <v>1</v>
      </c>
    </row>
    <row r="39" spans="1:16" ht="27.6" x14ac:dyDescent="0.3">
      <c r="A39" s="450"/>
      <c r="B39" s="428">
        <v>13</v>
      </c>
      <c r="C39" s="413" t="s">
        <v>157</v>
      </c>
      <c r="D39" s="253" t="s">
        <v>33</v>
      </c>
      <c r="E39" s="416">
        <v>12</v>
      </c>
      <c r="F39" s="296"/>
      <c r="G39" s="296"/>
      <c r="H39" s="415"/>
      <c r="I39" s="415"/>
      <c r="J39" s="425">
        <v>1</v>
      </c>
      <c r="K39" s="415"/>
      <c r="L39" s="415"/>
      <c r="M39" s="415"/>
      <c r="N39" s="415"/>
      <c r="O39" s="415"/>
      <c r="P39" s="429">
        <f t="shared" si="0"/>
        <v>1</v>
      </c>
    </row>
    <row r="40" spans="1:16" ht="27.6" x14ac:dyDescent="0.3">
      <c r="A40" s="450"/>
      <c r="B40" s="428">
        <v>14</v>
      </c>
      <c r="C40" s="413" t="s">
        <v>158</v>
      </c>
      <c r="D40" s="253" t="s">
        <v>33</v>
      </c>
      <c r="E40" s="416">
        <v>12</v>
      </c>
      <c r="F40" s="296"/>
      <c r="G40" s="296"/>
      <c r="H40" s="415"/>
      <c r="I40" s="415"/>
      <c r="J40" s="425">
        <v>1</v>
      </c>
      <c r="K40" s="415"/>
      <c r="L40" s="415"/>
      <c r="M40" s="415"/>
      <c r="N40" s="415"/>
      <c r="O40" s="415"/>
      <c r="P40" s="429">
        <f t="shared" si="0"/>
        <v>1</v>
      </c>
    </row>
    <row r="41" spans="1:16" ht="14.45" x14ac:dyDescent="0.3">
      <c r="A41" s="450"/>
      <c r="B41" s="430" t="s">
        <v>321</v>
      </c>
      <c r="C41" s="413"/>
      <c r="D41" s="253" t="s">
        <v>255</v>
      </c>
      <c r="E41" s="416"/>
      <c r="F41" s="296"/>
      <c r="G41" s="296"/>
      <c r="H41" s="415"/>
      <c r="I41" s="415"/>
      <c r="J41" s="415"/>
      <c r="K41" s="415"/>
      <c r="L41" s="415"/>
      <c r="M41" s="415"/>
      <c r="N41" s="415"/>
      <c r="O41" s="415"/>
      <c r="P41" s="429">
        <f t="shared" si="0"/>
        <v>0</v>
      </c>
    </row>
    <row r="42" spans="1:16" ht="14.45" x14ac:dyDescent="0.3">
      <c r="A42" s="450"/>
      <c r="B42" s="428"/>
      <c r="C42" s="413"/>
      <c r="D42" s="253"/>
      <c r="E42" s="416"/>
      <c r="F42" s="296"/>
      <c r="G42" s="296"/>
      <c r="H42" s="415"/>
      <c r="I42" s="415"/>
      <c r="J42" s="415"/>
      <c r="K42" s="415"/>
      <c r="L42" s="415"/>
      <c r="M42" s="415"/>
      <c r="N42" s="415"/>
      <c r="O42" s="415"/>
      <c r="P42" s="429">
        <f t="shared" si="0"/>
        <v>0</v>
      </c>
    </row>
    <row r="43" spans="1:16" ht="14.45" x14ac:dyDescent="0.3">
      <c r="A43" s="450"/>
      <c r="B43" s="428"/>
      <c r="C43" s="413"/>
      <c r="D43" s="253"/>
      <c r="E43" s="416"/>
      <c r="F43" s="296"/>
      <c r="G43" s="296"/>
      <c r="H43" s="415"/>
      <c r="I43" s="415"/>
      <c r="J43" s="415"/>
      <c r="K43" s="415"/>
      <c r="L43" s="415"/>
      <c r="M43" s="415"/>
      <c r="N43" s="415"/>
      <c r="O43" s="415"/>
      <c r="P43" s="429">
        <f t="shared" si="0"/>
        <v>0</v>
      </c>
    </row>
    <row r="44" spans="1:16" ht="14.45" x14ac:dyDescent="0.3">
      <c r="A44" s="450"/>
      <c r="B44" s="428"/>
      <c r="C44" s="413"/>
      <c r="D44" s="253"/>
      <c r="E44" s="416"/>
      <c r="F44" s="296"/>
      <c r="G44" s="296"/>
      <c r="H44" s="415"/>
      <c r="I44" s="415"/>
      <c r="J44" s="415"/>
      <c r="K44" s="415"/>
      <c r="L44" s="415"/>
      <c r="M44" s="415"/>
      <c r="N44" s="415"/>
      <c r="O44" s="415"/>
      <c r="P44" s="429">
        <f t="shared" si="0"/>
        <v>0</v>
      </c>
    </row>
    <row r="45" spans="1:16" ht="24" customHeight="1" x14ac:dyDescent="0.3">
      <c r="A45" s="450"/>
      <c r="B45" s="640" t="s">
        <v>159</v>
      </c>
      <c r="C45" s="641"/>
      <c r="D45" s="641"/>
      <c r="E45" s="641"/>
      <c r="F45" s="641"/>
      <c r="G45" s="641"/>
      <c r="H45" s="641"/>
      <c r="I45" s="641"/>
      <c r="J45" s="641"/>
      <c r="K45" s="641"/>
      <c r="L45" s="641"/>
      <c r="M45" s="641"/>
      <c r="N45" s="641"/>
      <c r="O45" s="641"/>
      <c r="P45" s="642"/>
    </row>
    <row r="46" spans="1:16" ht="14.45" x14ac:dyDescent="0.3">
      <c r="A46" s="450"/>
      <c r="B46" s="428">
        <v>15</v>
      </c>
      <c r="C46" s="413" t="s">
        <v>160</v>
      </c>
      <c r="D46" s="253" t="s">
        <v>33</v>
      </c>
      <c r="E46" s="416"/>
      <c r="F46" s="296"/>
      <c r="G46" s="296"/>
      <c r="H46" s="425">
        <v>1</v>
      </c>
      <c r="I46" s="415"/>
      <c r="J46" s="415"/>
      <c r="K46" s="415"/>
      <c r="L46" s="415"/>
      <c r="M46" s="415"/>
      <c r="N46" s="415"/>
      <c r="O46" s="415"/>
      <c r="P46" s="429">
        <f t="shared" si="0"/>
        <v>1</v>
      </c>
    </row>
    <row r="47" spans="1:16" x14ac:dyDescent="0.25">
      <c r="A47" s="450"/>
      <c r="B47" s="430" t="s">
        <v>321</v>
      </c>
      <c r="C47" s="413"/>
      <c r="D47" s="253" t="s">
        <v>255</v>
      </c>
      <c r="E47" s="416"/>
      <c r="F47" s="296"/>
      <c r="G47" s="296"/>
      <c r="H47" s="425"/>
      <c r="I47" s="415"/>
      <c r="J47" s="415"/>
      <c r="K47" s="415"/>
      <c r="L47" s="415"/>
      <c r="M47" s="415"/>
      <c r="N47" s="415"/>
      <c r="O47" s="415"/>
      <c r="P47" s="429">
        <f t="shared" si="0"/>
        <v>0</v>
      </c>
    </row>
    <row r="48" spans="1:16" x14ac:dyDescent="0.25">
      <c r="A48" s="450"/>
      <c r="B48" s="428"/>
      <c r="C48" s="413"/>
      <c r="D48" s="253"/>
      <c r="E48" s="416"/>
      <c r="F48" s="296"/>
      <c r="G48" s="296"/>
      <c r="H48" s="425"/>
      <c r="I48" s="415"/>
      <c r="J48" s="415"/>
      <c r="K48" s="415"/>
      <c r="L48" s="415"/>
      <c r="M48" s="415"/>
      <c r="N48" s="415"/>
      <c r="O48" s="415"/>
      <c r="P48" s="429">
        <f t="shared" si="0"/>
        <v>0</v>
      </c>
    </row>
    <row r="49" spans="1:16" x14ac:dyDescent="0.25">
      <c r="A49" s="450"/>
      <c r="B49" s="428"/>
      <c r="C49" s="413"/>
      <c r="D49" s="253"/>
      <c r="E49" s="416"/>
      <c r="F49" s="296"/>
      <c r="G49" s="296"/>
      <c r="H49" s="425"/>
      <c r="I49" s="415"/>
      <c r="J49" s="415"/>
      <c r="K49" s="415"/>
      <c r="L49" s="415"/>
      <c r="M49" s="415"/>
      <c r="N49" s="415"/>
      <c r="O49" s="415"/>
      <c r="P49" s="429"/>
    </row>
    <row r="50" spans="1:16" x14ac:dyDescent="0.25">
      <c r="A50" s="450"/>
      <c r="B50" s="428"/>
      <c r="C50" s="413"/>
      <c r="D50" s="253"/>
      <c r="E50" s="416"/>
      <c r="F50" s="296"/>
      <c r="G50" s="296"/>
      <c r="H50" s="425"/>
      <c r="I50" s="415"/>
      <c r="J50" s="415"/>
      <c r="K50" s="415"/>
      <c r="L50" s="415"/>
      <c r="M50" s="415"/>
      <c r="N50" s="415"/>
      <c r="O50" s="415"/>
      <c r="P50" s="429">
        <f t="shared" si="0"/>
        <v>0</v>
      </c>
    </row>
    <row r="51" spans="1:16" ht="21" customHeight="1" x14ac:dyDescent="0.25">
      <c r="A51" s="449"/>
      <c r="B51" s="640" t="s">
        <v>161</v>
      </c>
      <c r="C51" s="641"/>
      <c r="D51" s="641"/>
      <c r="E51" s="641"/>
      <c r="F51" s="641"/>
      <c r="G51" s="641"/>
      <c r="H51" s="641"/>
      <c r="I51" s="641"/>
      <c r="J51" s="641"/>
      <c r="K51" s="641"/>
      <c r="L51" s="641"/>
      <c r="M51" s="641"/>
      <c r="N51" s="641"/>
      <c r="O51" s="641"/>
      <c r="P51" s="642"/>
    </row>
    <row r="52" spans="1:16" x14ac:dyDescent="0.25">
      <c r="A52" s="450"/>
      <c r="B52" s="428">
        <v>16</v>
      </c>
      <c r="C52" s="413" t="s">
        <v>162</v>
      </c>
      <c r="D52" s="253" t="s">
        <v>33</v>
      </c>
      <c r="E52" s="416"/>
      <c r="F52" s="296"/>
      <c r="G52" s="296"/>
      <c r="H52" s="415"/>
      <c r="I52" s="415"/>
      <c r="J52" s="415"/>
      <c r="K52" s="415"/>
      <c r="L52" s="415"/>
      <c r="M52" s="415"/>
      <c r="N52" s="415"/>
      <c r="O52" s="415"/>
      <c r="P52" s="429">
        <f t="shared" si="0"/>
        <v>0</v>
      </c>
    </row>
    <row r="53" spans="1:16" x14ac:dyDescent="0.25">
      <c r="A53" s="450"/>
      <c r="B53" s="428">
        <v>17</v>
      </c>
      <c r="C53" s="413" t="s">
        <v>163</v>
      </c>
      <c r="D53" s="253" t="s">
        <v>33</v>
      </c>
      <c r="E53" s="416"/>
      <c r="F53" s="296"/>
      <c r="G53" s="296"/>
      <c r="H53" s="415"/>
      <c r="I53" s="415"/>
      <c r="J53" s="415"/>
      <c r="K53" s="415"/>
      <c r="L53" s="415"/>
      <c r="M53" s="415"/>
      <c r="N53" s="415"/>
      <c r="O53" s="415"/>
      <c r="P53" s="429">
        <f t="shared" si="0"/>
        <v>0</v>
      </c>
    </row>
    <row r="54" spans="1:16" x14ac:dyDescent="0.25">
      <c r="A54" s="450"/>
      <c r="B54" s="428">
        <v>18</v>
      </c>
      <c r="C54" s="413" t="s">
        <v>164</v>
      </c>
      <c r="D54" s="253" t="s">
        <v>33</v>
      </c>
      <c r="E54" s="416"/>
      <c r="F54" s="296"/>
      <c r="G54" s="296"/>
      <c r="H54" s="415"/>
      <c r="I54" s="415"/>
      <c r="J54" s="415"/>
      <c r="K54" s="415"/>
      <c r="L54" s="415"/>
      <c r="M54" s="415"/>
      <c r="N54" s="415"/>
      <c r="O54" s="415"/>
      <c r="P54" s="429">
        <f t="shared" si="0"/>
        <v>0</v>
      </c>
    </row>
    <row r="55" spans="1:16" x14ac:dyDescent="0.25">
      <c r="A55" s="450"/>
      <c r="B55" s="428">
        <v>19</v>
      </c>
      <c r="C55" s="413" t="s">
        <v>165</v>
      </c>
      <c r="D55" s="253" t="s">
        <v>33</v>
      </c>
      <c r="E55" s="416"/>
      <c r="F55" s="296"/>
      <c r="G55" s="296"/>
      <c r="H55" s="415"/>
      <c r="I55" s="415"/>
      <c r="J55" s="415"/>
      <c r="K55" s="415"/>
      <c r="L55" s="415"/>
      <c r="M55" s="415"/>
      <c r="N55" s="415"/>
      <c r="O55" s="415"/>
      <c r="P55" s="429">
        <f t="shared" si="0"/>
        <v>0</v>
      </c>
    </row>
    <row r="56" spans="1:16" x14ac:dyDescent="0.25">
      <c r="A56" s="450"/>
      <c r="B56" s="430" t="s">
        <v>321</v>
      </c>
      <c r="C56" s="413"/>
      <c r="D56" s="253" t="s">
        <v>255</v>
      </c>
      <c r="E56" s="416"/>
      <c r="F56" s="296"/>
      <c r="G56" s="296"/>
      <c r="H56" s="415"/>
      <c r="I56" s="415"/>
      <c r="J56" s="415"/>
      <c r="K56" s="415"/>
      <c r="L56" s="415"/>
      <c r="M56" s="415"/>
      <c r="N56" s="415"/>
      <c r="O56" s="415"/>
      <c r="P56" s="429">
        <f t="shared" si="0"/>
        <v>0</v>
      </c>
    </row>
    <row r="57" spans="1:16" x14ac:dyDescent="0.25">
      <c r="A57" s="450"/>
      <c r="B57" s="430"/>
      <c r="C57" s="413"/>
      <c r="D57" s="253"/>
      <c r="E57" s="416"/>
      <c r="F57" s="296"/>
      <c r="G57" s="296"/>
      <c r="H57" s="415"/>
      <c r="I57" s="415"/>
      <c r="J57" s="415"/>
      <c r="K57" s="415"/>
      <c r="L57" s="415"/>
      <c r="M57" s="415"/>
      <c r="N57" s="415"/>
      <c r="O57" s="415"/>
      <c r="P57" s="429"/>
    </row>
    <row r="58" spans="1:16" x14ac:dyDescent="0.25">
      <c r="A58" s="450"/>
      <c r="B58" s="430"/>
      <c r="C58" s="413"/>
      <c r="D58" s="253"/>
      <c r="E58" s="416"/>
      <c r="F58" s="296"/>
      <c r="G58" s="296"/>
      <c r="H58" s="415"/>
      <c r="I58" s="415"/>
      <c r="J58" s="415"/>
      <c r="K58" s="415"/>
      <c r="L58" s="415"/>
      <c r="M58" s="415"/>
      <c r="N58" s="415"/>
      <c r="O58" s="415"/>
      <c r="P58" s="429"/>
    </row>
    <row r="59" spans="1:16" x14ac:dyDescent="0.25">
      <c r="A59" s="449"/>
      <c r="B59" s="431"/>
      <c r="C59" s="417"/>
      <c r="D59" s="418"/>
      <c r="E59" s="418"/>
      <c r="F59" s="296"/>
      <c r="G59" s="296"/>
      <c r="H59" s="419"/>
      <c r="I59" s="419"/>
      <c r="J59" s="419"/>
      <c r="K59" s="419"/>
      <c r="L59" s="419"/>
      <c r="M59" s="419"/>
      <c r="N59" s="419"/>
      <c r="O59" s="419"/>
      <c r="P59" s="429"/>
    </row>
    <row r="60" spans="1:16" ht="27" customHeight="1" x14ac:dyDescent="0.25">
      <c r="B60" s="627" t="s">
        <v>166</v>
      </c>
      <c r="C60" s="628"/>
      <c r="D60" s="628"/>
      <c r="E60" s="628"/>
      <c r="F60" s="628"/>
      <c r="G60" s="628"/>
      <c r="H60" s="628"/>
      <c r="I60" s="628"/>
      <c r="J60" s="628"/>
      <c r="K60" s="628"/>
      <c r="L60" s="628"/>
      <c r="M60" s="628"/>
      <c r="N60" s="628"/>
      <c r="O60" s="628"/>
      <c r="P60" s="629"/>
    </row>
    <row r="61" spans="1:16" ht="16.5" x14ac:dyDescent="0.25">
      <c r="B61" s="432"/>
      <c r="C61" s="413"/>
      <c r="D61" s="416"/>
      <c r="E61" s="416"/>
      <c r="F61" s="412"/>
      <c r="G61" s="412"/>
      <c r="H61" s="412"/>
      <c r="I61" s="412"/>
      <c r="J61" s="412"/>
      <c r="K61" s="412"/>
      <c r="L61" s="412"/>
      <c r="M61" s="412"/>
      <c r="N61" s="412"/>
      <c r="O61" s="412"/>
      <c r="P61" s="433"/>
    </row>
    <row r="62" spans="1:16" ht="25.5" customHeight="1" x14ac:dyDescent="0.25">
      <c r="A62" s="450"/>
      <c r="B62" s="643" t="s">
        <v>167</v>
      </c>
      <c r="C62" s="620"/>
      <c r="D62" s="620"/>
      <c r="E62" s="620"/>
      <c r="F62" s="620"/>
      <c r="G62" s="620"/>
      <c r="H62" s="620"/>
      <c r="I62" s="620"/>
      <c r="J62" s="620"/>
      <c r="K62" s="620"/>
      <c r="L62" s="620"/>
      <c r="M62" s="620"/>
      <c r="N62" s="620"/>
      <c r="O62" s="620"/>
      <c r="P62" s="644"/>
    </row>
    <row r="63" spans="1:16" x14ac:dyDescent="0.25">
      <c r="A63" s="450"/>
      <c r="B63" s="428">
        <v>21</v>
      </c>
      <c r="C63" s="413" t="s">
        <v>168</v>
      </c>
      <c r="D63" s="253" t="s">
        <v>33</v>
      </c>
      <c r="E63" s="416"/>
      <c r="F63" s="296"/>
      <c r="G63" s="296"/>
      <c r="H63" s="425">
        <v>1</v>
      </c>
      <c r="I63" s="415"/>
      <c r="J63" s="415"/>
      <c r="K63" s="415"/>
      <c r="L63" s="415"/>
      <c r="M63" s="415"/>
      <c r="N63" s="415"/>
      <c r="O63" s="415"/>
      <c r="P63" s="429">
        <f t="shared" si="0"/>
        <v>1</v>
      </c>
    </row>
    <row r="64" spans="1:16" ht="28.5" x14ac:dyDescent="0.25">
      <c r="A64" s="450"/>
      <c r="B64" s="428">
        <v>22</v>
      </c>
      <c r="C64" s="413" t="s">
        <v>169</v>
      </c>
      <c r="D64" s="253" t="s">
        <v>33</v>
      </c>
      <c r="E64" s="416"/>
      <c r="F64" s="296"/>
      <c r="G64" s="296"/>
      <c r="H64" s="425">
        <v>1</v>
      </c>
      <c r="I64" s="415"/>
      <c r="J64" s="415"/>
      <c r="K64" s="415"/>
      <c r="L64" s="415"/>
      <c r="M64" s="415"/>
      <c r="N64" s="415"/>
      <c r="O64" s="415"/>
      <c r="P64" s="429">
        <f t="shared" si="0"/>
        <v>1</v>
      </c>
    </row>
    <row r="65" spans="1:16" x14ac:dyDescent="0.25">
      <c r="A65" s="450"/>
      <c r="B65" s="428">
        <v>23</v>
      </c>
      <c r="C65" s="413" t="s">
        <v>170</v>
      </c>
      <c r="D65" s="253" t="s">
        <v>33</v>
      </c>
      <c r="E65" s="416"/>
      <c r="F65" s="296"/>
      <c r="G65" s="296"/>
      <c r="H65" s="425">
        <v>1</v>
      </c>
      <c r="I65" s="415"/>
      <c r="J65" s="415"/>
      <c r="K65" s="415"/>
      <c r="L65" s="415"/>
      <c r="M65" s="415"/>
      <c r="N65" s="415"/>
      <c r="O65" s="415"/>
      <c r="P65" s="429">
        <f t="shared" si="0"/>
        <v>1</v>
      </c>
    </row>
    <row r="66" spans="1:16" x14ac:dyDescent="0.25">
      <c r="A66" s="450"/>
      <c r="B66" s="428">
        <v>24</v>
      </c>
      <c r="C66" s="413" t="s">
        <v>171</v>
      </c>
      <c r="D66" s="253" t="s">
        <v>33</v>
      </c>
      <c r="E66" s="416"/>
      <c r="F66" s="296"/>
      <c r="G66" s="296"/>
      <c r="H66" s="425">
        <v>1</v>
      </c>
      <c r="I66" s="415"/>
      <c r="J66" s="415"/>
      <c r="K66" s="415"/>
      <c r="L66" s="415"/>
      <c r="M66" s="415"/>
      <c r="N66" s="415"/>
      <c r="O66" s="415"/>
      <c r="P66" s="429">
        <f t="shared" si="0"/>
        <v>1</v>
      </c>
    </row>
    <row r="67" spans="1:16" x14ac:dyDescent="0.25">
      <c r="A67" s="450"/>
      <c r="B67" s="430" t="s">
        <v>321</v>
      </c>
      <c r="C67" s="413"/>
      <c r="D67" s="253" t="s">
        <v>255</v>
      </c>
      <c r="E67" s="416"/>
      <c r="F67" s="296"/>
      <c r="G67" s="296"/>
      <c r="H67" s="425"/>
      <c r="I67" s="415"/>
      <c r="J67" s="415"/>
      <c r="K67" s="415"/>
      <c r="L67" s="415"/>
      <c r="M67" s="415"/>
      <c r="N67" s="415"/>
      <c r="O67" s="415"/>
      <c r="P67" s="429"/>
    </row>
    <row r="68" spans="1:16" x14ac:dyDescent="0.25">
      <c r="A68" s="450"/>
      <c r="B68" s="428"/>
      <c r="C68" s="413"/>
      <c r="D68" s="253"/>
      <c r="E68" s="416"/>
      <c r="F68" s="296"/>
      <c r="G68" s="296"/>
      <c r="H68" s="425"/>
      <c r="I68" s="415"/>
      <c r="J68" s="415"/>
      <c r="K68" s="415"/>
      <c r="L68" s="415"/>
      <c r="M68" s="415"/>
      <c r="N68" s="415"/>
      <c r="O68" s="415"/>
      <c r="P68" s="429"/>
    </row>
    <row r="69" spans="1:16" x14ac:dyDescent="0.25">
      <c r="A69" s="450"/>
      <c r="B69" s="428"/>
      <c r="C69" s="413"/>
      <c r="D69" s="253"/>
      <c r="E69" s="416"/>
      <c r="F69" s="296"/>
      <c r="G69" s="296"/>
      <c r="H69" s="425"/>
      <c r="I69" s="415"/>
      <c r="J69" s="415"/>
      <c r="K69" s="415"/>
      <c r="L69" s="415"/>
      <c r="M69" s="415"/>
      <c r="N69" s="415"/>
      <c r="O69" s="415"/>
      <c r="P69" s="429"/>
    </row>
    <row r="70" spans="1:16" x14ac:dyDescent="0.25">
      <c r="A70" s="450"/>
      <c r="B70" s="428"/>
      <c r="C70" s="413"/>
      <c r="D70" s="253"/>
      <c r="E70" s="416"/>
      <c r="F70" s="296"/>
      <c r="G70" s="296"/>
      <c r="H70" s="415"/>
      <c r="I70" s="415"/>
      <c r="J70" s="415"/>
      <c r="K70" s="415"/>
      <c r="L70" s="415"/>
      <c r="M70" s="415"/>
      <c r="N70" s="415"/>
      <c r="O70" s="415"/>
      <c r="P70" s="429">
        <f t="shared" si="0"/>
        <v>0</v>
      </c>
    </row>
    <row r="71" spans="1:16" ht="28.5" customHeight="1" x14ac:dyDescent="0.25">
      <c r="A71" s="450"/>
      <c r="B71" s="643" t="s">
        <v>172</v>
      </c>
      <c r="C71" s="620"/>
      <c r="D71" s="620"/>
      <c r="E71" s="620"/>
      <c r="F71" s="620"/>
      <c r="G71" s="620"/>
      <c r="H71" s="620"/>
      <c r="I71" s="620"/>
      <c r="J71" s="620"/>
      <c r="K71" s="620"/>
      <c r="L71" s="620"/>
      <c r="M71" s="620"/>
      <c r="N71" s="620"/>
      <c r="O71" s="620"/>
      <c r="P71" s="644"/>
    </row>
    <row r="72" spans="1:16" x14ac:dyDescent="0.25">
      <c r="A72" s="450"/>
      <c r="B72" s="428">
        <v>25</v>
      </c>
      <c r="C72" s="413" t="s">
        <v>173</v>
      </c>
      <c r="D72" s="253" t="s">
        <v>33</v>
      </c>
      <c r="E72" s="416"/>
      <c r="F72" s="296"/>
      <c r="G72" s="296"/>
      <c r="H72" s="415"/>
      <c r="I72" s="425">
        <v>1</v>
      </c>
      <c r="J72" s="415"/>
      <c r="K72" s="415"/>
      <c r="L72" s="415"/>
      <c r="M72" s="415"/>
      <c r="N72" s="415"/>
      <c r="O72" s="415"/>
      <c r="P72" s="429">
        <f t="shared" si="0"/>
        <v>1</v>
      </c>
    </row>
    <row r="73" spans="1:16" x14ac:dyDescent="0.25">
      <c r="A73" s="450"/>
      <c r="B73" s="428">
        <v>26</v>
      </c>
      <c r="C73" s="413" t="s">
        <v>174</v>
      </c>
      <c r="D73" s="253" t="s">
        <v>33</v>
      </c>
      <c r="E73" s="416"/>
      <c r="F73" s="296"/>
      <c r="G73" s="296"/>
      <c r="H73" s="415"/>
      <c r="I73" s="425">
        <v>1</v>
      </c>
      <c r="J73" s="415"/>
      <c r="K73" s="415"/>
      <c r="L73" s="415"/>
      <c r="M73" s="415"/>
      <c r="N73" s="415"/>
      <c r="O73" s="415"/>
      <c r="P73" s="429">
        <f t="shared" si="0"/>
        <v>1</v>
      </c>
    </row>
    <row r="74" spans="1:16" ht="28.5" x14ac:dyDescent="0.25">
      <c r="A74" s="450"/>
      <c r="B74" s="428">
        <v>27</v>
      </c>
      <c r="C74" s="413" t="s">
        <v>175</v>
      </c>
      <c r="D74" s="253" t="s">
        <v>33</v>
      </c>
      <c r="E74" s="416"/>
      <c r="F74" s="296"/>
      <c r="G74" s="296"/>
      <c r="H74" s="415"/>
      <c r="I74" s="425">
        <v>0.8</v>
      </c>
      <c r="J74" s="425">
        <v>0.2</v>
      </c>
      <c r="K74" s="415"/>
      <c r="L74" s="415"/>
      <c r="M74" s="415"/>
      <c r="N74" s="415"/>
      <c r="O74" s="415"/>
      <c r="P74" s="429">
        <f t="shared" si="0"/>
        <v>1</v>
      </c>
    </row>
    <row r="75" spans="1:16" ht="28.5" x14ac:dyDescent="0.25">
      <c r="A75" s="450"/>
      <c r="B75" s="428">
        <v>28</v>
      </c>
      <c r="C75" s="413" t="s">
        <v>176</v>
      </c>
      <c r="D75" s="253" t="s">
        <v>33</v>
      </c>
      <c r="E75" s="416"/>
      <c r="F75" s="296"/>
      <c r="G75" s="296"/>
      <c r="H75" s="415"/>
      <c r="I75" s="415"/>
      <c r="J75" s="415"/>
      <c r="K75" s="415"/>
      <c r="L75" s="415"/>
      <c r="M75" s="415"/>
      <c r="N75" s="415"/>
      <c r="O75" s="415"/>
      <c r="P75" s="429">
        <f t="shared" si="0"/>
        <v>0</v>
      </c>
    </row>
    <row r="76" spans="1:16" ht="28.5" x14ac:dyDescent="0.25">
      <c r="A76" s="450"/>
      <c r="B76" s="428">
        <v>29</v>
      </c>
      <c r="C76" s="413" t="s">
        <v>177</v>
      </c>
      <c r="D76" s="253" t="s">
        <v>33</v>
      </c>
      <c r="E76" s="416"/>
      <c r="F76" s="296"/>
      <c r="G76" s="296"/>
      <c r="H76" s="415"/>
      <c r="I76" s="415"/>
      <c r="J76" s="415"/>
      <c r="K76" s="415"/>
      <c r="L76" s="415"/>
      <c r="M76" s="415"/>
      <c r="N76" s="415"/>
      <c r="O76" s="415"/>
      <c r="P76" s="429">
        <f t="shared" si="0"/>
        <v>0</v>
      </c>
    </row>
    <row r="77" spans="1:16" ht="28.5" x14ac:dyDescent="0.25">
      <c r="A77" s="450"/>
      <c r="B77" s="428">
        <v>30</v>
      </c>
      <c r="C77" s="413" t="s">
        <v>178</v>
      </c>
      <c r="D77" s="253" t="s">
        <v>33</v>
      </c>
      <c r="E77" s="416"/>
      <c r="F77" s="296"/>
      <c r="G77" s="296"/>
      <c r="H77" s="415"/>
      <c r="I77" s="415"/>
      <c r="J77" s="415"/>
      <c r="K77" s="415"/>
      <c r="L77" s="415"/>
      <c r="M77" s="415"/>
      <c r="N77" s="415"/>
      <c r="O77" s="415"/>
      <c r="P77" s="429">
        <f t="shared" si="0"/>
        <v>0</v>
      </c>
    </row>
    <row r="78" spans="1:16" ht="28.5" x14ac:dyDescent="0.25">
      <c r="A78" s="450"/>
      <c r="B78" s="428">
        <v>31</v>
      </c>
      <c r="C78" s="413" t="s">
        <v>179</v>
      </c>
      <c r="D78" s="253" t="s">
        <v>33</v>
      </c>
      <c r="E78" s="416"/>
      <c r="F78" s="296"/>
      <c r="G78" s="296"/>
      <c r="H78" s="415"/>
      <c r="I78" s="415"/>
      <c r="J78" s="415"/>
      <c r="K78" s="415"/>
      <c r="L78" s="415"/>
      <c r="M78" s="415"/>
      <c r="N78" s="415"/>
      <c r="O78" s="415"/>
      <c r="P78" s="429">
        <f t="shared" si="0"/>
        <v>0</v>
      </c>
    </row>
    <row r="79" spans="1:16" x14ac:dyDescent="0.25">
      <c r="A79" s="450"/>
      <c r="B79" s="428">
        <v>32</v>
      </c>
      <c r="C79" s="413" t="s">
        <v>180</v>
      </c>
      <c r="D79" s="253" t="s">
        <v>33</v>
      </c>
      <c r="E79" s="416"/>
      <c r="F79" s="296"/>
      <c r="G79" s="296"/>
      <c r="H79" s="415"/>
      <c r="I79" s="415"/>
      <c r="J79" s="415"/>
      <c r="K79" s="415"/>
      <c r="L79" s="415"/>
      <c r="M79" s="415"/>
      <c r="N79" s="415"/>
      <c r="O79" s="415"/>
      <c r="P79" s="429">
        <f t="shared" si="0"/>
        <v>0</v>
      </c>
    </row>
    <row r="80" spans="1:16" x14ac:dyDescent="0.25">
      <c r="A80" s="450"/>
      <c r="B80" s="430" t="s">
        <v>321</v>
      </c>
      <c r="C80" s="413"/>
      <c r="D80" s="253" t="s">
        <v>255</v>
      </c>
      <c r="E80" s="416"/>
      <c r="F80" s="296"/>
      <c r="G80" s="296"/>
      <c r="H80" s="415"/>
      <c r="I80" s="415"/>
      <c r="J80" s="415"/>
      <c r="K80" s="415"/>
      <c r="L80" s="415"/>
      <c r="M80" s="415"/>
      <c r="N80" s="415"/>
      <c r="O80" s="415"/>
      <c r="P80" s="429"/>
    </row>
    <row r="81" spans="1:16" x14ac:dyDescent="0.25">
      <c r="A81" s="450"/>
      <c r="B81" s="428"/>
      <c r="C81" s="413"/>
      <c r="D81" s="253"/>
      <c r="E81" s="416"/>
      <c r="F81" s="296"/>
      <c r="G81" s="296"/>
      <c r="H81" s="415"/>
      <c r="I81" s="415"/>
      <c r="J81" s="415"/>
      <c r="K81" s="415"/>
      <c r="L81" s="415"/>
      <c r="M81" s="415"/>
      <c r="N81" s="415"/>
      <c r="O81" s="415"/>
      <c r="P81" s="429"/>
    </row>
    <row r="82" spans="1:16" x14ac:dyDescent="0.25">
      <c r="A82" s="450"/>
      <c r="B82" s="428"/>
      <c r="C82" s="413"/>
      <c r="D82" s="253"/>
      <c r="E82" s="416"/>
      <c r="F82" s="296"/>
      <c r="G82" s="296"/>
      <c r="H82" s="415"/>
      <c r="I82" s="415"/>
      <c r="J82" s="415"/>
      <c r="K82" s="415"/>
      <c r="L82" s="415"/>
      <c r="M82" s="415"/>
      <c r="N82" s="415"/>
      <c r="O82" s="415"/>
      <c r="P82" s="429"/>
    </row>
    <row r="83" spans="1:16" x14ac:dyDescent="0.25">
      <c r="A83" s="450"/>
      <c r="B83" s="428"/>
      <c r="C83" s="413"/>
      <c r="D83" s="253"/>
      <c r="E83" s="416"/>
      <c r="F83" s="296"/>
      <c r="G83" s="296"/>
      <c r="H83" s="415"/>
      <c r="I83" s="415"/>
      <c r="J83" s="415"/>
      <c r="K83" s="415"/>
      <c r="L83" s="415"/>
      <c r="M83" s="415"/>
      <c r="N83" s="415"/>
      <c r="O83" s="415"/>
      <c r="P83" s="429">
        <f t="shared" ref="P83:P106" si="1">SUM(H83:O83)</f>
        <v>0</v>
      </c>
    </row>
    <row r="84" spans="1:16" ht="25.5" customHeight="1" x14ac:dyDescent="0.25">
      <c r="A84" s="450"/>
      <c r="B84" s="643" t="s">
        <v>181</v>
      </c>
      <c r="C84" s="620"/>
      <c r="D84" s="620"/>
      <c r="E84" s="620"/>
      <c r="F84" s="620"/>
      <c r="G84" s="620"/>
      <c r="H84" s="620"/>
      <c r="I84" s="620"/>
      <c r="J84" s="620"/>
      <c r="K84" s="620"/>
      <c r="L84" s="620"/>
      <c r="M84" s="620"/>
      <c r="N84" s="620"/>
      <c r="O84" s="620"/>
      <c r="P84" s="644"/>
    </row>
    <row r="85" spans="1:16" x14ac:dyDescent="0.25">
      <c r="A85" s="450"/>
      <c r="B85" s="428">
        <v>33</v>
      </c>
      <c r="C85" s="413" t="s">
        <v>182</v>
      </c>
      <c r="D85" s="253" t="s">
        <v>33</v>
      </c>
      <c r="E85" s="416"/>
      <c r="F85" s="296"/>
      <c r="G85" s="296"/>
      <c r="H85" s="421"/>
      <c r="I85" s="421"/>
      <c r="J85" s="421"/>
      <c r="K85" s="421"/>
      <c r="L85" s="421"/>
      <c r="M85" s="421"/>
      <c r="N85" s="421"/>
      <c r="O85" s="421"/>
      <c r="P85" s="429">
        <f t="shared" si="1"/>
        <v>0</v>
      </c>
    </row>
    <row r="86" spans="1:16" x14ac:dyDescent="0.25">
      <c r="A86" s="450"/>
      <c r="B86" s="428">
        <v>34</v>
      </c>
      <c r="C86" s="413" t="s">
        <v>183</v>
      </c>
      <c r="D86" s="253" t="s">
        <v>33</v>
      </c>
      <c r="E86" s="416"/>
      <c r="F86" s="296"/>
      <c r="G86" s="296"/>
      <c r="H86" s="421"/>
      <c r="I86" s="421"/>
      <c r="J86" s="421"/>
      <c r="K86" s="421"/>
      <c r="L86" s="421"/>
      <c r="M86" s="421"/>
      <c r="N86" s="421"/>
      <c r="O86" s="421"/>
      <c r="P86" s="429">
        <f t="shared" si="1"/>
        <v>0</v>
      </c>
    </row>
    <row r="87" spans="1:16" x14ac:dyDescent="0.25">
      <c r="A87" s="450"/>
      <c r="B87" s="428">
        <v>35</v>
      </c>
      <c r="C87" s="413" t="s">
        <v>184</v>
      </c>
      <c r="D87" s="253" t="s">
        <v>33</v>
      </c>
      <c r="E87" s="416"/>
      <c r="F87" s="296"/>
      <c r="G87" s="296"/>
      <c r="H87" s="421"/>
      <c r="I87" s="421"/>
      <c r="J87" s="421"/>
      <c r="K87" s="421"/>
      <c r="L87" s="421"/>
      <c r="M87" s="421"/>
      <c r="N87" s="421"/>
      <c r="O87" s="421"/>
      <c r="P87" s="429">
        <f t="shared" si="1"/>
        <v>0</v>
      </c>
    </row>
    <row r="88" spans="1:16" x14ac:dyDescent="0.25">
      <c r="A88" s="450"/>
      <c r="B88" s="430" t="s">
        <v>321</v>
      </c>
      <c r="C88" s="413"/>
      <c r="D88" s="253" t="s">
        <v>255</v>
      </c>
      <c r="E88" s="416"/>
      <c r="F88" s="296"/>
      <c r="G88" s="296"/>
      <c r="H88" s="421"/>
      <c r="I88" s="421"/>
      <c r="J88" s="421"/>
      <c r="K88" s="421"/>
      <c r="L88" s="421"/>
      <c r="M88" s="421"/>
      <c r="N88" s="421"/>
      <c r="O88" s="421"/>
      <c r="P88" s="429"/>
    </row>
    <row r="89" spans="1:16" x14ac:dyDescent="0.25">
      <c r="A89" s="450"/>
      <c r="B89" s="428"/>
      <c r="C89" s="413"/>
      <c r="D89" s="253"/>
      <c r="E89" s="416"/>
      <c r="F89" s="296"/>
      <c r="G89" s="296"/>
      <c r="H89" s="421"/>
      <c r="I89" s="421"/>
      <c r="J89" s="421"/>
      <c r="K89" s="421"/>
      <c r="L89" s="421"/>
      <c r="M89" s="421"/>
      <c r="N89" s="421"/>
      <c r="O89" s="421"/>
      <c r="P89" s="429"/>
    </row>
    <row r="90" spans="1:16" x14ac:dyDescent="0.25">
      <c r="A90" s="450"/>
      <c r="B90" s="428"/>
      <c r="C90" s="413"/>
      <c r="D90" s="253"/>
      <c r="E90" s="416"/>
      <c r="F90" s="296"/>
      <c r="G90" s="296"/>
      <c r="H90" s="421"/>
      <c r="I90" s="421"/>
      <c r="J90" s="421"/>
      <c r="K90" s="421"/>
      <c r="L90" s="421"/>
      <c r="M90" s="421"/>
      <c r="N90" s="421"/>
      <c r="O90" s="421"/>
      <c r="P90" s="429"/>
    </row>
    <row r="91" spans="1:16" x14ac:dyDescent="0.25">
      <c r="A91" s="450"/>
      <c r="B91" s="428"/>
      <c r="C91" s="413"/>
      <c r="D91" s="253"/>
      <c r="E91" s="416"/>
      <c r="F91" s="296"/>
      <c r="G91" s="296"/>
      <c r="H91" s="421"/>
      <c r="I91" s="421"/>
      <c r="J91" s="421"/>
      <c r="K91" s="421"/>
      <c r="L91" s="421"/>
      <c r="M91" s="421"/>
      <c r="N91" s="421"/>
      <c r="O91" s="421"/>
      <c r="P91" s="429">
        <f t="shared" si="1"/>
        <v>0</v>
      </c>
    </row>
    <row r="92" spans="1:16" ht="24" customHeight="1" x14ac:dyDescent="0.25">
      <c r="A92" s="450"/>
      <c r="B92" s="643" t="s">
        <v>185</v>
      </c>
      <c r="C92" s="620"/>
      <c r="D92" s="620"/>
      <c r="E92" s="620"/>
      <c r="F92" s="620"/>
      <c r="G92" s="620"/>
      <c r="H92" s="620"/>
      <c r="I92" s="620"/>
      <c r="J92" s="620"/>
      <c r="K92" s="620"/>
      <c r="L92" s="620"/>
      <c r="M92" s="620"/>
      <c r="N92" s="620"/>
      <c r="O92" s="620"/>
      <c r="P92" s="644"/>
    </row>
    <row r="93" spans="1:16" ht="42.75" x14ac:dyDescent="0.25">
      <c r="A93" s="450"/>
      <c r="B93" s="428">
        <v>36</v>
      </c>
      <c r="C93" s="413" t="s">
        <v>186</v>
      </c>
      <c r="D93" s="253" t="s">
        <v>33</v>
      </c>
      <c r="E93" s="416"/>
      <c r="F93" s="296"/>
      <c r="G93" s="296"/>
      <c r="H93" s="421"/>
      <c r="I93" s="421"/>
      <c r="J93" s="421"/>
      <c r="K93" s="421"/>
      <c r="L93" s="421"/>
      <c r="M93" s="421"/>
      <c r="N93" s="421"/>
      <c r="O93" s="421"/>
      <c r="P93" s="429">
        <f t="shared" si="1"/>
        <v>0</v>
      </c>
    </row>
    <row r="94" spans="1:16" ht="28.5" x14ac:dyDescent="0.25">
      <c r="A94" s="450"/>
      <c r="B94" s="428">
        <v>37</v>
      </c>
      <c r="C94" s="413" t="s">
        <v>187</v>
      </c>
      <c r="D94" s="253" t="s">
        <v>33</v>
      </c>
      <c r="E94" s="416"/>
      <c r="F94" s="296"/>
      <c r="G94" s="296"/>
      <c r="H94" s="421"/>
      <c r="I94" s="421"/>
      <c r="J94" s="421"/>
      <c r="K94" s="421"/>
      <c r="L94" s="421"/>
      <c r="M94" s="421"/>
      <c r="N94" s="421"/>
      <c r="O94" s="421"/>
      <c r="P94" s="429">
        <f t="shared" si="1"/>
        <v>0</v>
      </c>
    </row>
    <row r="95" spans="1:16" x14ac:dyDescent="0.25">
      <c r="A95" s="450"/>
      <c r="B95" s="428">
        <v>38</v>
      </c>
      <c r="C95" s="413" t="s">
        <v>188</v>
      </c>
      <c r="D95" s="253" t="s">
        <v>33</v>
      </c>
      <c r="E95" s="416"/>
      <c r="F95" s="296"/>
      <c r="G95" s="296"/>
      <c r="H95" s="421"/>
      <c r="I95" s="421"/>
      <c r="J95" s="421"/>
      <c r="K95" s="421"/>
      <c r="L95" s="421"/>
      <c r="M95" s="421"/>
      <c r="N95" s="421"/>
      <c r="O95" s="421"/>
      <c r="P95" s="429">
        <f t="shared" si="1"/>
        <v>0</v>
      </c>
    </row>
    <row r="96" spans="1:16" ht="28.5" x14ac:dyDescent="0.25">
      <c r="A96" s="450"/>
      <c r="B96" s="428">
        <v>39</v>
      </c>
      <c r="C96" s="413" t="s">
        <v>189</v>
      </c>
      <c r="D96" s="253" t="s">
        <v>33</v>
      </c>
      <c r="E96" s="416"/>
      <c r="F96" s="296"/>
      <c r="G96" s="296"/>
      <c r="H96" s="421"/>
      <c r="I96" s="421"/>
      <c r="J96" s="421"/>
      <c r="K96" s="421"/>
      <c r="L96" s="421"/>
      <c r="M96" s="421"/>
      <c r="N96" s="421"/>
      <c r="O96" s="421"/>
      <c r="P96" s="429">
        <f t="shared" si="1"/>
        <v>0</v>
      </c>
    </row>
    <row r="97" spans="1:16" ht="28.5" x14ac:dyDescent="0.25">
      <c r="A97" s="450"/>
      <c r="B97" s="428">
        <v>40</v>
      </c>
      <c r="C97" s="413" t="s">
        <v>190</v>
      </c>
      <c r="D97" s="253" t="s">
        <v>33</v>
      </c>
      <c r="E97" s="416"/>
      <c r="F97" s="296"/>
      <c r="G97" s="296"/>
      <c r="H97" s="421"/>
      <c r="I97" s="421"/>
      <c r="J97" s="421"/>
      <c r="K97" s="421"/>
      <c r="L97" s="421"/>
      <c r="M97" s="421"/>
      <c r="N97" s="421"/>
      <c r="O97" s="421"/>
      <c r="P97" s="429">
        <f t="shared" si="1"/>
        <v>0</v>
      </c>
    </row>
    <row r="98" spans="1:16" ht="28.5" x14ac:dyDescent="0.25">
      <c r="A98" s="450"/>
      <c r="B98" s="428">
        <v>41</v>
      </c>
      <c r="C98" s="413" t="s">
        <v>191</v>
      </c>
      <c r="D98" s="253" t="s">
        <v>33</v>
      </c>
      <c r="E98" s="416"/>
      <c r="F98" s="296"/>
      <c r="G98" s="296"/>
      <c r="H98" s="421"/>
      <c r="I98" s="421"/>
      <c r="J98" s="421"/>
      <c r="K98" s="421"/>
      <c r="L98" s="421"/>
      <c r="M98" s="421"/>
      <c r="N98" s="421"/>
      <c r="O98" s="421"/>
      <c r="P98" s="429">
        <f t="shared" si="1"/>
        <v>0</v>
      </c>
    </row>
    <row r="99" spans="1:16" ht="28.5" x14ac:dyDescent="0.25">
      <c r="A99" s="450"/>
      <c r="B99" s="428">
        <v>42</v>
      </c>
      <c r="C99" s="413" t="s">
        <v>192</v>
      </c>
      <c r="D99" s="253" t="s">
        <v>33</v>
      </c>
      <c r="E99" s="416"/>
      <c r="F99" s="296"/>
      <c r="G99" s="296"/>
      <c r="H99" s="421"/>
      <c r="I99" s="421"/>
      <c r="J99" s="421"/>
      <c r="K99" s="421"/>
      <c r="L99" s="421"/>
      <c r="M99" s="421"/>
      <c r="N99" s="421"/>
      <c r="O99" s="421"/>
      <c r="P99" s="429">
        <f t="shared" si="1"/>
        <v>0</v>
      </c>
    </row>
    <row r="100" spans="1:16" x14ac:dyDescent="0.25">
      <c r="A100" s="450"/>
      <c r="B100" s="428">
        <v>43</v>
      </c>
      <c r="C100" s="413" t="s">
        <v>193</v>
      </c>
      <c r="D100" s="253" t="s">
        <v>33</v>
      </c>
      <c r="E100" s="416"/>
      <c r="F100" s="296"/>
      <c r="G100" s="296"/>
      <c r="H100" s="421"/>
      <c r="I100" s="421"/>
      <c r="J100" s="421"/>
      <c r="K100" s="421"/>
      <c r="L100" s="421"/>
      <c r="M100" s="421"/>
      <c r="N100" s="421"/>
      <c r="O100" s="421"/>
      <c r="P100" s="429">
        <f t="shared" si="1"/>
        <v>0</v>
      </c>
    </row>
    <row r="101" spans="1:16" ht="42.75" x14ac:dyDescent="0.25">
      <c r="A101" s="450"/>
      <c r="B101" s="428">
        <v>44</v>
      </c>
      <c r="C101" s="413" t="s">
        <v>194</v>
      </c>
      <c r="D101" s="253" t="s">
        <v>33</v>
      </c>
      <c r="E101" s="416"/>
      <c r="F101" s="296"/>
      <c r="G101" s="296"/>
      <c r="H101" s="421"/>
      <c r="I101" s="421"/>
      <c r="J101" s="421"/>
      <c r="K101" s="421"/>
      <c r="L101" s="421"/>
      <c r="M101" s="421"/>
      <c r="N101" s="421"/>
      <c r="O101" s="421"/>
      <c r="P101" s="429">
        <f t="shared" si="1"/>
        <v>0</v>
      </c>
    </row>
    <row r="102" spans="1:16" ht="28.5" x14ac:dyDescent="0.25">
      <c r="A102" s="450"/>
      <c r="B102" s="428">
        <v>45</v>
      </c>
      <c r="C102" s="413" t="s">
        <v>195</v>
      </c>
      <c r="D102" s="253" t="s">
        <v>33</v>
      </c>
      <c r="E102" s="416"/>
      <c r="F102" s="296"/>
      <c r="G102" s="296"/>
      <c r="H102" s="421"/>
      <c r="I102" s="421"/>
      <c r="J102" s="421"/>
      <c r="K102" s="421"/>
      <c r="L102" s="421"/>
      <c r="M102" s="421"/>
      <c r="N102" s="421"/>
      <c r="O102" s="421"/>
      <c r="P102" s="429">
        <f t="shared" si="1"/>
        <v>0</v>
      </c>
    </row>
    <row r="103" spans="1:16" ht="28.5" x14ac:dyDescent="0.25">
      <c r="A103" s="450"/>
      <c r="B103" s="428">
        <v>46</v>
      </c>
      <c r="C103" s="413" t="s">
        <v>196</v>
      </c>
      <c r="D103" s="253" t="s">
        <v>33</v>
      </c>
      <c r="E103" s="416"/>
      <c r="F103" s="296"/>
      <c r="G103" s="296"/>
      <c r="H103" s="421"/>
      <c r="I103" s="421"/>
      <c r="J103" s="421"/>
      <c r="K103" s="421"/>
      <c r="L103" s="421"/>
      <c r="M103" s="421"/>
      <c r="N103" s="421"/>
      <c r="O103" s="421"/>
      <c r="P103" s="429">
        <f t="shared" si="1"/>
        <v>0</v>
      </c>
    </row>
    <row r="104" spans="1:16" ht="28.5" x14ac:dyDescent="0.25">
      <c r="A104" s="450"/>
      <c r="B104" s="428">
        <v>47</v>
      </c>
      <c r="C104" s="413" t="s">
        <v>197</v>
      </c>
      <c r="D104" s="253" t="s">
        <v>33</v>
      </c>
      <c r="E104" s="416"/>
      <c r="F104" s="296"/>
      <c r="G104" s="296"/>
      <c r="H104" s="421"/>
      <c r="I104" s="421"/>
      <c r="J104" s="421"/>
      <c r="K104" s="421"/>
      <c r="L104" s="421"/>
      <c r="M104" s="421"/>
      <c r="N104" s="421"/>
      <c r="O104" s="421"/>
      <c r="P104" s="429">
        <f t="shared" si="1"/>
        <v>0</v>
      </c>
    </row>
    <row r="105" spans="1:16" ht="28.5" x14ac:dyDescent="0.25">
      <c r="A105" s="450"/>
      <c r="B105" s="428">
        <v>48</v>
      </c>
      <c r="C105" s="413" t="s">
        <v>198</v>
      </c>
      <c r="D105" s="253" t="s">
        <v>33</v>
      </c>
      <c r="E105" s="416"/>
      <c r="F105" s="296"/>
      <c r="G105" s="296"/>
      <c r="H105" s="421"/>
      <c r="I105" s="421"/>
      <c r="J105" s="421"/>
      <c r="K105" s="421"/>
      <c r="L105" s="421"/>
      <c r="M105" s="421"/>
      <c r="N105" s="421"/>
      <c r="O105" s="421"/>
      <c r="P105" s="429">
        <f t="shared" si="1"/>
        <v>0</v>
      </c>
    </row>
    <row r="106" spans="1:16" ht="28.5" x14ac:dyDescent="0.25">
      <c r="A106" s="450"/>
      <c r="B106" s="428">
        <v>49</v>
      </c>
      <c r="C106" s="413" t="s">
        <v>199</v>
      </c>
      <c r="D106" s="253" t="s">
        <v>33</v>
      </c>
      <c r="E106" s="416"/>
      <c r="F106" s="296"/>
      <c r="G106" s="296"/>
      <c r="H106" s="421"/>
      <c r="I106" s="421"/>
      <c r="J106" s="421"/>
      <c r="K106" s="421"/>
      <c r="L106" s="421"/>
      <c r="M106" s="421"/>
      <c r="N106" s="421"/>
      <c r="O106" s="421"/>
      <c r="P106" s="429">
        <f t="shared" si="1"/>
        <v>0</v>
      </c>
    </row>
    <row r="107" spans="1:16" x14ac:dyDescent="0.25">
      <c r="A107" s="450"/>
      <c r="B107" s="430" t="s">
        <v>321</v>
      </c>
      <c r="C107" s="413"/>
      <c r="D107" s="253" t="s">
        <v>255</v>
      </c>
      <c r="E107" s="416"/>
      <c r="F107" s="296"/>
      <c r="G107" s="296"/>
      <c r="H107" s="421"/>
      <c r="I107" s="421"/>
      <c r="J107" s="421"/>
      <c r="K107" s="421"/>
      <c r="L107" s="421"/>
      <c r="M107" s="421"/>
      <c r="N107" s="421"/>
      <c r="O107" s="421"/>
      <c r="P107" s="429"/>
    </row>
    <row r="108" spans="1:16" x14ac:dyDescent="0.25">
      <c r="A108" s="450"/>
      <c r="B108" s="428"/>
      <c r="C108" s="413"/>
      <c r="D108" s="253"/>
      <c r="E108" s="416"/>
      <c r="F108" s="296"/>
      <c r="G108" s="296"/>
      <c r="H108" s="421"/>
      <c r="I108" s="421"/>
      <c r="J108" s="421"/>
      <c r="K108" s="421"/>
      <c r="L108" s="421"/>
      <c r="M108" s="421"/>
      <c r="N108" s="421"/>
      <c r="O108" s="421"/>
      <c r="P108" s="429"/>
    </row>
    <row r="109" spans="1:16" x14ac:dyDescent="0.25">
      <c r="A109" s="450"/>
      <c r="B109" s="428"/>
      <c r="C109" s="413"/>
      <c r="D109" s="253"/>
      <c r="E109" s="416"/>
      <c r="F109" s="296"/>
      <c r="G109" s="296"/>
      <c r="H109" s="421"/>
      <c r="I109" s="421"/>
      <c r="J109" s="421"/>
      <c r="K109" s="421"/>
      <c r="L109" s="421"/>
      <c r="M109" s="421"/>
      <c r="N109" s="421"/>
      <c r="O109" s="421"/>
      <c r="P109" s="429"/>
    </row>
    <row r="110" spans="1:16" x14ac:dyDescent="0.25">
      <c r="A110" s="450"/>
      <c r="B110" s="428"/>
      <c r="C110" s="413"/>
      <c r="D110" s="253"/>
      <c r="E110" s="416"/>
      <c r="F110" s="296"/>
      <c r="G110" s="296"/>
      <c r="H110" s="421"/>
      <c r="I110" s="421"/>
      <c r="J110" s="421"/>
      <c r="K110" s="421"/>
      <c r="L110" s="421"/>
      <c r="M110" s="421"/>
      <c r="N110" s="421"/>
      <c r="O110" s="421"/>
      <c r="P110" s="429"/>
    </row>
    <row r="111" spans="1:16" x14ac:dyDescent="0.25">
      <c r="B111" s="352"/>
      <c r="C111" s="608" t="s">
        <v>223</v>
      </c>
      <c r="D111" s="608"/>
      <c r="E111" s="353"/>
      <c r="F111" s="354"/>
      <c r="G111" s="354"/>
      <c r="H111" s="355">
        <f>SUM(F17*H17,F18*H18,F19*H19,F20*H20,F21*H21,F22*H22,F46*H46,F63*H63,F64*H64,F65*H65,F66*H66)</f>
        <v>0</v>
      </c>
      <c r="I111" s="355">
        <f>SUM(F28*I28,F29*I29,F30*I30,F31*I31,F32*I32,F72*I72,F73*I73,F74*I74,F75*I75,F76*I76,F77*I77,F78*I78,F79*I79,F85*I85,F86*I86,F87*I87)</f>
        <v>0</v>
      </c>
      <c r="J111" s="356"/>
      <c r="K111" s="353"/>
      <c r="L111" s="353"/>
      <c r="M111" s="353"/>
      <c r="N111" s="355"/>
      <c r="O111" s="353"/>
      <c r="P111" s="357">
        <f>SUM(H111:O111)</f>
        <v>0</v>
      </c>
    </row>
    <row r="112" spans="1:16" x14ac:dyDescent="0.25">
      <c r="B112" s="275"/>
      <c r="C112" s="609" t="s">
        <v>262</v>
      </c>
      <c r="D112" s="609"/>
      <c r="E112" s="269"/>
      <c r="F112" s="267"/>
      <c r="G112" s="267"/>
      <c r="H112" s="269"/>
      <c r="I112" s="269"/>
      <c r="J112" s="270">
        <f>SUM(E28*G28*J28,E29*G29*J29,E30*G30*J30,E31*G31,J31*E32*G32*J32,E38*G38*J38,E39*G39*J39,E40*G40*J40)</f>
        <v>0</v>
      </c>
      <c r="K112" s="270">
        <f>SUM(E28*G28*K28,E29*G29*K29,E30*G30*K30,E31*G31*K31,E32*G32*K32,E38*G38*K38,E39*G39*K39,E40*G40*K40)</f>
        <v>0</v>
      </c>
      <c r="L112" s="270"/>
      <c r="M112" s="270"/>
      <c r="N112" s="269"/>
      <c r="O112" s="269"/>
      <c r="P112" s="276">
        <f>SUM(H112:O112)</f>
        <v>0</v>
      </c>
    </row>
    <row r="113" spans="2:16" x14ac:dyDescent="0.25">
      <c r="B113" s="275"/>
      <c r="C113" s="609" t="s">
        <v>263</v>
      </c>
      <c r="D113" s="609"/>
      <c r="E113" s="269"/>
      <c r="F113" s="267"/>
      <c r="G113" s="267"/>
      <c r="H113" s="269"/>
      <c r="I113" s="269"/>
      <c r="J113" s="270">
        <f>J112-(E32*G32*J32)</f>
        <v>0</v>
      </c>
      <c r="K113" s="269">
        <f>K112-(E32*G32*K32)</f>
        <v>0</v>
      </c>
      <c r="L113" s="269"/>
      <c r="M113" s="269"/>
      <c r="N113" s="269"/>
      <c r="O113" s="269"/>
      <c r="P113" s="276"/>
    </row>
    <row r="114" spans="2:16" x14ac:dyDescent="0.25">
      <c r="B114" s="277"/>
      <c r="C114" s="610"/>
      <c r="D114" s="610"/>
      <c r="E114" s="262"/>
      <c r="F114" s="260"/>
      <c r="G114" s="260"/>
      <c r="H114" s="262"/>
      <c r="I114" s="262"/>
      <c r="J114" s="262"/>
      <c r="K114" s="262"/>
      <c r="L114" s="262"/>
      <c r="M114" s="262"/>
      <c r="N114" s="262"/>
      <c r="O114" s="262"/>
      <c r="P114" s="278"/>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0"/>
      <c r="C116" s="611" t="s">
        <v>331</v>
      </c>
      <c r="D116" s="611"/>
      <c r="E116" s="253"/>
      <c r="F116" s="264"/>
      <c r="G116" s="253"/>
      <c r="H116" s="265" t="e">
        <f>'3.  Distribution Rates'!#REF!</f>
        <v>#REF!</v>
      </c>
      <c r="I116" s="265" t="e">
        <f>'3.  Distribution Rates'!#REF!</f>
        <v>#REF!</v>
      </c>
      <c r="J116" s="265" t="e">
        <f>'3.  Distribution Rates'!#REF!</f>
        <v>#REF!</v>
      </c>
      <c r="K116" s="265" t="e">
        <f>'3.  Distribution Rates'!#REF!</f>
        <v>#REF!</v>
      </c>
      <c r="L116" s="265" t="e">
        <f>'3.  Distribution Rates'!#REF!</f>
        <v>#REF!</v>
      </c>
      <c r="M116" s="265" t="e">
        <f>'3.  Distribution Rates'!#REF!</f>
        <v>#REF!</v>
      </c>
      <c r="N116" s="265" t="e">
        <f>'3.  Distribution Rates'!#REF!</f>
        <v>#REF!</v>
      </c>
      <c r="O116" s="265"/>
      <c r="P116" s="381"/>
    </row>
    <row r="117" spans="2:16" x14ac:dyDescent="0.25">
      <c r="B117" s="380"/>
      <c r="C117" s="611" t="s">
        <v>310</v>
      </c>
      <c r="D117" s="611"/>
      <c r="E117" s="262"/>
      <c r="F117" s="264"/>
      <c r="G117" s="264"/>
      <c r="H117" s="403"/>
      <c r="I117" s="403"/>
      <c r="J117" s="403"/>
      <c r="K117" s="403"/>
      <c r="L117" s="403"/>
      <c r="M117" s="403"/>
      <c r="N117" s="403"/>
      <c r="O117" s="253"/>
      <c r="P117" s="279">
        <f>SUM(H117:O117)</f>
        <v>0</v>
      </c>
    </row>
    <row r="118" spans="2:16" x14ac:dyDescent="0.25">
      <c r="B118" s="380"/>
      <c r="C118" s="611" t="s">
        <v>311</v>
      </c>
      <c r="D118" s="611"/>
      <c r="E118" s="262"/>
      <c r="F118" s="264"/>
      <c r="G118" s="264"/>
      <c r="H118" s="403"/>
      <c r="I118" s="403"/>
      <c r="J118" s="403"/>
      <c r="K118" s="403"/>
      <c r="L118" s="403"/>
      <c r="M118" s="403"/>
      <c r="N118" s="403"/>
      <c r="O118" s="253"/>
      <c r="P118" s="279">
        <f>SUM(H118:O118)</f>
        <v>0</v>
      </c>
    </row>
    <row r="119" spans="2:16" x14ac:dyDescent="0.25">
      <c r="B119" s="380"/>
      <c r="C119" s="611" t="s">
        <v>312</v>
      </c>
      <c r="D119" s="611"/>
      <c r="E119" s="262"/>
      <c r="F119" s="264"/>
      <c r="G119" s="264"/>
      <c r="H119" s="403"/>
      <c r="I119" s="403"/>
      <c r="J119" s="403"/>
      <c r="K119" s="403"/>
      <c r="L119" s="403"/>
      <c r="M119" s="403"/>
      <c r="N119" s="403"/>
      <c r="O119" s="253"/>
      <c r="P119" s="279">
        <f t="shared" ref="P119" si="2">SUM(H119:O119)</f>
        <v>0</v>
      </c>
    </row>
    <row r="120" spans="2:16" x14ac:dyDescent="0.25">
      <c r="B120" s="380"/>
      <c r="C120" s="611" t="s">
        <v>313</v>
      </c>
      <c r="D120" s="611"/>
      <c r="E120" s="262"/>
      <c r="F120" s="264"/>
      <c r="G120" s="264"/>
      <c r="H120" s="403"/>
      <c r="I120" s="403"/>
      <c r="J120" s="403"/>
      <c r="K120" s="403"/>
      <c r="L120" s="403"/>
      <c r="M120" s="403"/>
      <c r="N120" s="403"/>
      <c r="O120" s="253"/>
      <c r="P120" s="279">
        <f>SUM(H120:O120)</f>
        <v>0</v>
      </c>
    </row>
    <row r="121" spans="2:16" x14ac:dyDescent="0.25">
      <c r="B121" s="380"/>
      <c r="C121" s="611" t="s">
        <v>314</v>
      </c>
      <c r="D121" s="611"/>
      <c r="E121" s="262"/>
      <c r="F121" s="264"/>
      <c r="G121" s="264"/>
      <c r="H121" s="377" t="e">
        <f>'5.  2015 LRAM'!H130*H116</f>
        <v>#DIV/0!</v>
      </c>
      <c r="I121" s="377" t="e">
        <f>'5.  2015 LRAM'!I130*I116</f>
        <v>#DIV/0!</v>
      </c>
      <c r="J121" s="377" t="e">
        <f>'5.  2015 LRAM'!J130*J116</f>
        <v>#DIV/0!</v>
      </c>
      <c r="K121" s="377" t="e">
        <f>'5.  2015 LRAM'!K130*K116</f>
        <v>#DIV/0!</v>
      </c>
      <c r="L121" s="377" t="e">
        <f>'5.  2015 LRAM'!L130*L116</f>
        <v>#DIV/0!</v>
      </c>
      <c r="M121" s="377" t="e">
        <f>'5.  2015 LRAM'!M130*M116</f>
        <v>#DIV/0!</v>
      </c>
      <c r="N121" s="377" t="e">
        <f>'5.  2015 LRAM'!N130*N116</f>
        <v>#DIV/0!</v>
      </c>
      <c r="O121" s="253"/>
      <c r="P121" s="279" t="e">
        <f t="shared" ref="P121:P122" si="3">SUM(H121:O121)</f>
        <v>#DIV/0!</v>
      </c>
    </row>
    <row r="122" spans="2:16" x14ac:dyDescent="0.25">
      <c r="B122" s="380"/>
      <c r="C122" s="611" t="s">
        <v>315</v>
      </c>
      <c r="D122" s="611"/>
      <c r="E122" s="262"/>
      <c r="F122" s="264"/>
      <c r="G122" s="264"/>
      <c r="H122" s="377" t="e">
        <f>'5-b. 2016 LRAM'!H128*H116</f>
        <v>#DIV/0!</v>
      </c>
      <c r="I122" s="377" t="e">
        <f>'5-b. 2016 LRAM'!I128*I116</f>
        <v>#DIV/0!</v>
      </c>
      <c r="J122" s="377" t="e">
        <f>'5-b. 2016 LRAM'!J128*J116</f>
        <v>#DIV/0!</v>
      </c>
      <c r="K122" s="377" t="e">
        <f>'5-b. 2016 LRAM'!K128*K116</f>
        <v>#DIV/0!</v>
      </c>
      <c r="L122" s="377" t="e">
        <f>'5-b. 2016 LRAM'!L128*L116</f>
        <v>#REF!</v>
      </c>
      <c r="M122" s="377" t="e">
        <f>'5-b. 2016 LRAM'!M128*M116</f>
        <v>#REF!</v>
      </c>
      <c r="N122" s="377" t="e">
        <f>'5-b. 2016 LRAM'!N128*N116</f>
        <v>#REF!</v>
      </c>
      <c r="O122" s="253"/>
      <c r="P122" s="279" t="e">
        <f t="shared" si="3"/>
        <v>#DIV/0!</v>
      </c>
    </row>
    <row r="123" spans="2:16" x14ac:dyDescent="0.25">
      <c r="B123" s="380"/>
      <c r="C123" s="611" t="s">
        <v>316</v>
      </c>
      <c r="D123" s="611"/>
      <c r="E123" s="262"/>
      <c r="F123" s="264"/>
      <c r="G123" s="264"/>
      <c r="H123" s="377" t="e">
        <f>'5-c.  2017 LRAM'!H129*H116</f>
        <v>#DIV/0!</v>
      </c>
      <c r="I123" s="377" t="e">
        <f>'5-c.  2017 LRAM'!I129*I116</f>
        <v>#DIV/0!</v>
      </c>
      <c r="J123" s="377" t="e">
        <f>'5-c.  2017 LRAM'!J129*J116</f>
        <v>#DIV/0!</v>
      </c>
      <c r="K123" s="377" t="e">
        <f>'5-c.  2017 LRAM'!K129*K116</f>
        <v>#DIV/0!</v>
      </c>
      <c r="L123" s="377" t="e">
        <f>'5-c.  2017 LRAM'!L129*L116</f>
        <v>#REF!</v>
      </c>
      <c r="M123" s="377" t="e">
        <f>'5-c.  2017 LRAM'!M129*M116</f>
        <v>#REF!</v>
      </c>
      <c r="N123" s="377" t="e">
        <f>'5-c.  2017 LRAM'!N129*N116</f>
        <v>#DIV/0!</v>
      </c>
      <c r="O123" s="253"/>
      <c r="P123" s="279" t="e">
        <f>SUM(H123:O123)</f>
        <v>#DIV/0!</v>
      </c>
    </row>
    <row r="124" spans="2:16" x14ac:dyDescent="0.25">
      <c r="B124" s="380"/>
      <c r="C124" s="611" t="s">
        <v>317</v>
      </c>
      <c r="D124" s="611"/>
      <c r="E124" s="262"/>
      <c r="F124" s="264"/>
      <c r="G124" s="264"/>
      <c r="H124" s="377" t="e">
        <f>'5-d.  2018 LRAM'!H128*H116</f>
        <v>#DIV/0!</v>
      </c>
      <c r="I124" s="377" t="e">
        <f>'5-d.  2018 LRAM'!I128*I116</f>
        <v>#DIV/0!</v>
      </c>
      <c r="J124" s="377" t="e">
        <f>'5-d.  2018 LRAM'!J128*J116</f>
        <v>#DIV/0!</v>
      </c>
      <c r="K124" s="377" t="e">
        <f>'5-d.  2018 LRAM'!K128*K116</f>
        <v>#DIV/0!</v>
      </c>
      <c r="L124" s="377" t="e">
        <f>'5-d.  2018 LRAM'!L128*L116</f>
        <v>#REF!</v>
      </c>
      <c r="M124" s="377" t="e">
        <f>'5-d.  2018 LRAM'!M128*M116</f>
        <v>#REF!</v>
      </c>
      <c r="N124" s="377" t="e">
        <f>'5-d.  2018 LRAM'!N128*N116</f>
        <v>#DIV/0!</v>
      </c>
      <c r="O124" s="253"/>
      <c r="P124" s="279" t="e">
        <f t="shared" ref="P124:P126" si="4">SUM(H124:O124)</f>
        <v>#DIV/0!</v>
      </c>
    </row>
    <row r="125" spans="2:16" x14ac:dyDescent="0.25">
      <c r="B125" s="380"/>
      <c r="C125" s="611" t="s">
        <v>318</v>
      </c>
      <c r="D125" s="611"/>
      <c r="E125" s="262"/>
      <c r="F125" s="264"/>
      <c r="G125" s="264"/>
      <c r="H125" s="377" t="e">
        <f>'5-e.  2019 LRAM'!H128*H116</f>
        <v>#DIV/0!</v>
      </c>
      <c r="I125" s="377" t="e">
        <f>'5-e.  2019 LRAM'!I128*I116</f>
        <v>#DIV/0!</v>
      </c>
      <c r="J125" s="377" t="e">
        <f>'5-e.  2019 LRAM'!J128*J116</f>
        <v>#DIV/0!</v>
      </c>
      <c r="K125" s="377" t="e">
        <f>'5-e.  2019 LRAM'!K128*K116</f>
        <v>#DIV/0!</v>
      </c>
      <c r="L125" s="377" t="e">
        <f>'5-e.  2019 LRAM'!L128*L116</f>
        <v>#DIV/0!</v>
      </c>
      <c r="M125" s="377" t="e">
        <f>'5-e.  2019 LRAM'!M128*M116</f>
        <v>#DIV/0!</v>
      </c>
      <c r="N125" s="377" t="e">
        <f>'5-e.  2019 LRAM'!N128*N116</f>
        <v>#DIV/0!</v>
      </c>
      <c r="O125" s="253"/>
      <c r="P125" s="279" t="e">
        <f t="shared" si="4"/>
        <v>#DIV/0!</v>
      </c>
    </row>
    <row r="126" spans="2:16" x14ac:dyDescent="0.25">
      <c r="B126" s="380"/>
      <c r="C126" s="611" t="s">
        <v>319</v>
      </c>
      <c r="D126" s="611"/>
      <c r="E126" s="262"/>
      <c r="F126" s="264"/>
      <c r="G126" s="264"/>
      <c r="H126" s="377" t="e">
        <f>H111*H116</f>
        <v>#REF!</v>
      </c>
      <c r="I126" s="377" t="e">
        <f>I111*I116</f>
        <v>#REF!</v>
      </c>
      <c r="J126" s="377" t="e">
        <f>J112*J116</f>
        <v>#REF!</v>
      </c>
      <c r="K126" s="377" t="e">
        <f>K112*K116</f>
        <v>#REF!</v>
      </c>
      <c r="L126" s="377" t="e">
        <f>L112*L116</f>
        <v>#REF!</v>
      </c>
      <c r="M126" s="377" t="e">
        <f>M112*M116</f>
        <v>#REF!</v>
      </c>
      <c r="N126" s="377" t="e">
        <f>N111*N116</f>
        <v>#REF!</v>
      </c>
      <c r="O126" s="253"/>
      <c r="P126" s="279" t="e">
        <f t="shared" si="4"/>
        <v>#REF!</v>
      </c>
    </row>
    <row r="127" spans="2:16" x14ac:dyDescent="0.25">
      <c r="B127" s="281"/>
      <c r="C127" s="452" t="s">
        <v>309</v>
      </c>
      <c r="D127" s="282"/>
      <c r="E127" s="282"/>
      <c r="F127" s="283"/>
      <c r="G127" s="283"/>
      <c r="H127" s="453" t="e">
        <f t="shared" ref="H127:N127" si="5">SUM(H117:H126)</f>
        <v>#DIV/0!</v>
      </c>
      <c r="I127" s="453" t="e">
        <f t="shared" si="5"/>
        <v>#DIV/0!</v>
      </c>
      <c r="J127" s="453" t="e">
        <f t="shared" si="5"/>
        <v>#DIV/0!</v>
      </c>
      <c r="K127" s="453" t="e">
        <f t="shared" si="5"/>
        <v>#DIV/0!</v>
      </c>
      <c r="L127" s="453" t="e">
        <f t="shared" si="5"/>
        <v>#DIV/0!</v>
      </c>
      <c r="M127" s="453" t="e">
        <f t="shared" si="5"/>
        <v>#DIV/0!</v>
      </c>
      <c r="N127" s="453" t="e">
        <f t="shared" si="5"/>
        <v>#DIV/0!</v>
      </c>
      <c r="O127" s="282"/>
      <c r="P127" s="454"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C1" zoomScale="90" zoomScaleNormal="90" zoomScaleSheetLayoutView="100" zoomScalePageLayoutView="85" workbookViewId="0">
      <pane ySplit="2" topLeftCell="A3" activePane="bottomLeft" state="frozen"/>
      <selection pane="bottomLeft" activeCell="G18" sqref="G18"/>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5">
      <c r="C1" s="66"/>
      <c r="D1" s="66"/>
    </row>
    <row r="2" spans="1:25" ht="29.25" customHeight="1" x14ac:dyDescent="0.35">
      <c r="B2" s="69"/>
      <c r="C2" s="584" t="s">
        <v>353</v>
      </c>
      <c r="D2" s="584"/>
      <c r="E2" s="584"/>
      <c r="F2" s="584"/>
      <c r="G2" s="584"/>
      <c r="H2" s="584"/>
      <c r="I2" s="584"/>
      <c r="J2" s="584"/>
      <c r="K2" s="584"/>
      <c r="L2" s="584"/>
      <c r="M2" s="584"/>
      <c r="N2" s="584"/>
      <c r="O2" s="584"/>
      <c r="P2" s="584"/>
      <c r="Q2" s="584"/>
      <c r="R2" s="584"/>
      <c r="S2" s="584"/>
      <c r="T2" s="584"/>
      <c r="U2" s="584"/>
    </row>
    <row r="3" spans="1:25" ht="8.25" customHeight="1" outlineLevel="1" x14ac:dyDescent="0.35">
      <c r="B3" s="69"/>
      <c r="C3" s="129"/>
      <c r="D3" s="129"/>
      <c r="E3" s="129"/>
      <c r="F3" s="129"/>
      <c r="G3" s="129"/>
      <c r="H3" s="129"/>
      <c r="I3" s="129"/>
      <c r="J3" s="510"/>
      <c r="K3" s="510"/>
      <c r="L3" s="510"/>
      <c r="M3" s="510"/>
      <c r="N3" s="129"/>
      <c r="O3" s="129"/>
      <c r="P3" s="129"/>
      <c r="Q3" s="129"/>
      <c r="R3" s="129"/>
    </row>
    <row r="4" spans="1:25" ht="9" hidden="1" customHeight="1" outlineLevel="1" x14ac:dyDescent="0.25">
      <c r="C4" s="66"/>
      <c r="D4" s="387"/>
      <c r="E4" s="388"/>
      <c r="F4" s="388"/>
      <c r="G4" s="388"/>
      <c r="H4" s="388"/>
      <c r="I4" s="388"/>
      <c r="J4" s="388"/>
      <c r="K4" s="388"/>
      <c r="L4" s="388"/>
      <c r="M4" s="388"/>
      <c r="N4" s="388"/>
      <c r="O4" s="388"/>
      <c r="P4" s="388"/>
      <c r="Q4" s="388"/>
      <c r="R4" s="388"/>
      <c r="S4" s="389"/>
    </row>
    <row r="5" spans="1:25" ht="80.25" customHeight="1" outlineLevel="1" x14ac:dyDescent="0.25">
      <c r="D5" s="368" t="s">
        <v>403</v>
      </c>
      <c r="E5" s="70"/>
      <c r="F5" s="659" t="s">
        <v>503</v>
      </c>
      <c r="G5" s="659"/>
      <c r="H5" s="659"/>
      <c r="I5" s="659"/>
      <c r="J5" s="659"/>
      <c r="K5" s="659"/>
      <c r="L5" s="659"/>
      <c r="M5" s="659"/>
      <c r="N5" s="659"/>
      <c r="O5" s="659"/>
      <c r="P5" s="659"/>
      <c r="Q5" s="659"/>
      <c r="R5" s="659"/>
      <c r="S5" s="659"/>
    </row>
    <row r="6" spans="1:25" ht="14.25" customHeight="1" outlineLevel="1" x14ac:dyDescent="0.25">
      <c r="D6" s="387"/>
      <c r="E6" s="70"/>
      <c r="F6" s="171" t="s">
        <v>496</v>
      </c>
      <c r="G6" s="70"/>
      <c r="H6" s="167"/>
      <c r="I6" s="167"/>
      <c r="J6" s="167"/>
      <c r="K6" s="167"/>
      <c r="L6" s="167"/>
      <c r="M6" s="167"/>
      <c r="N6" s="167"/>
      <c r="O6" s="167"/>
      <c r="P6" s="289"/>
      <c r="Q6" s="167"/>
      <c r="R6" s="167"/>
      <c r="S6" s="70"/>
    </row>
    <row r="7" spans="1:25" ht="6.75" hidden="1" customHeight="1" outlineLevel="1" x14ac:dyDescent="0.25">
      <c r="D7" s="387"/>
      <c r="E7" s="70"/>
      <c r="F7" s="171"/>
      <c r="G7" s="70"/>
      <c r="H7" s="167"/>
      <c r="I7" s="167"/>
      <c r="J7" s="167"/>
      <c r="K7" s="167"/>
      <c r="L7" s="167"/>
      <c r="M7" s="167"/>
      <c r="N7" s="167"/>
      <c r="O7" s="167"/>
      <c r="P7" s="289"/>
      <c r="Q7" s="167"/>
      <c r="R7" s="167"/>
      <c r="S7" s="70"/>
    </row>
    <row r="8" spans="1:25" ht="13.9" outlineLevel="1" x14ac:dyDescent="0.25">
      <c r="A8" s="127"/>
      <c r="D8" s="83"/>
      <c r="F8" s="167" t="s">
        <v>261</v>
      </c>
      <c r="H8" s="167"/>
      <c r="I8" s="167"/>
      <c r="J8" s="167"/>
      <c r="K8" s="167"/>
      <c r="L8" s="167"/>
      <c r="M8" s="167"/>
      <c r="N8" s="167"/>
      <c r="O8" s="167"/>
      <c r="P8" s="168"/>
      <c r="Q8" s="167"/>
      <c r="R8" s="167"/>
    </row>
    <row r="9" spans="1:25" ht="12" customHeight="1" outlineLevel="1" x14ac:dyDescent="0.35">
      <c r="A9" s="127"/>
      <c r="D9" s="83"/>
      <c r="F9" s="167"/>
      <c r="H9" s="167"/>
      <c r="I9" s="167"/>
      <c r="J9" s="167"/>
      <c r="K9" s="167"/>
      <c r="L9" s="167"/>
      <c r="M9" s="167"/>
      <c r="N9" s="167"/>
      <c r="O9" s="167"/>
      <c r="P9" s="168"/>
      <c r="Q9" s="167"/>
      <c r="R9" s="167"/>
      <c r="U9" s="63"/>
    </row>
    <row r="10" spans="1:25" ht="18" outlineLevel="1" x14ac:dyDescent="0.35">
      <c r="A10" s="127"/>
      <c r="D10" s="84" t="s">
        <v>339</v>
      </c>
      <c r="E10" s="63"/>
      <c r="F10" s="639" t="s">
        <v>367</v>
      </c>
      <c r="G10" s="639"/>
      <c r="H10" s="210"/>
      <c r="I10" s="167"/>
      <c r="J10" s="167"/>
      <c r="K10" s="167"/>
      <c r="L10" s="167"/>
      <c r="M10" s="167"/>
      <c r="N10" s="167"/>
      <c r="O10" s="167"/>
      <c r="P10" s="168"/>
      <c r="Q10" s="167"/>
      <c r="R10" s="167"/>
      <c r="U10" s="63"/>
    </row>
    <row r="11" spans="1:25" ht="16.5" customHeight="1" outlineLevel="1" x14ac:dyDescent="0.35">
      <c r="A11" s="127"/>
      <c r="D11" s="63"/>
      <c r="E11" s="63"/>
      <c r="F11" s="656" t="s">
        <v>340</v>
      </c>
      <c r="G11" s="656"/>
      <c r="H11" s="656"/>
      <c r="I11" s="167"/>
      <c r="J11" s="167"/>
      <c r="K11" s="167"/>
      <c r="L11" s="167"/>
      <c r="M11" s="167"/>
      <c r="N11" s="167"/>
      <c r="O11" s="168"/>
      <c r="P11" s="167"/>
      <c r="Q11" s="167"/>
    </row>
    <row r="12" spans="1:25" ht="12.75" customHeight="1" x14ac:dyDescent="0.25">
      <c r="A12" s="127"/>
    </row>
    <row r="13" spans="1:25" ht="9.75" customHeight="1" x14ac:dyDescent="0.25">
      <c r="A13" s="127"/>
    </row>
    <row r="14" spans="1:25" ht="15.6" x14ac:dyDescent="0.25">
      <c r="A14" s="127"/>
      <c r="C14" s="170" t="s">
        <v>491</v>
      </c>
    </row>
    <row r="15" spans="1:25" ht="11.25" customHeight="1" x14ac:dyDescent="0.25">
      <c r="A15" s="127"/>
      <c r="F15" s="530">
        <v>0.99787305892567102</v>
      </c>
      <c r="G15" s="531">
        <f>SUM(D18:G21)-42471513</f>
        <v>-8.8661909103393555E-6</v>
      </c>
      <c r="R15" s="530">
        <v>0.9954538794540897</v>
      </c>
      <c r="S15" s="531">
        <f>SUM(S18:S21)-3856</f>
        <v>4.2110007098017377E-4</v>
      </c>
    </row>
    <row r="16" spans="1:25" ht="15" customHeight="1" x14ac:dyDescent="0.25">
      <c r="A16" s="127"/>
      <c r="C16" s="239" t="s">
        <v>21</v>
      </c>
      <c r="D16" s="647" t="s">
        <v>364</v>
      </c>
      <c r="E16" s="649"/>
      <c r="F16" s="649"/>
      <c r="G16" s="649"/>
      <c r="H16" s="649"/>
      <c r="I16" s="649"/>
      <c r="J16" s="649"/>
      <c r="K16" s="649"/>
      <c r="L16" s="649"/>
      <c r="M16" s="649"/>
      <c r="O16" s="310" t="s">
        <v>21</v>
      </c>
      <c r="P16" s="657" t="s">
        <v>363</v>
      </c>
      <c r="Q16" s="658"/>
      <c r="R16" s="658"/>
      <c r="S16" s="658"/>
      <c r="T16" s="658"/>
      <c r="U16" s="658"/>
      <c r="V16" s="658"/>
      <c r="W16" s="658"/>
      <c r="X16" s="658"/>
      <c r="Y16" s="658"/>
    </row>
    <row r="17" spans="1:25" ht="15" customHeight="1" x14ac:dyDescent="0.25">
      <c r="A17" s="43"/>
      <c r="C17" s="239"/>
      <c r="D17" s="172">
        <v>2011</v>
      </c>
      <c r="E17" s="172">
        <v>2012</v>
      </c>
      <c r="F17" s="172">
        <v>2013</v>
      </c>
      <c r="G17" s="172">
        <v>2014</v>
      </c>
      <c r="H17" s="513">
        <v>2015</v>
      </c>
      <c r="I17" s="513">
        <v>2016</v>
      </c>
      <c r="J17" s="513">
        <v>2017</v>
      </c>
      <c r="K17" s="513">
        <v>2018</v>
      </c>
      <c r="L17" s="513">
        <v>2019</v>
      </c>
      <c r="M17" s="513">
        <v>2020</v>
      </c>
      <c r="O17" s="309"/>
      <c r="P17" s="172">
        <v>2011</v>
      </c>
      <c r="Q17" s="172">
        <v>2012</v>
      </c>
      <c r="R17" s="172">
        <v>2013</v>
      </c>
      <c r="S17" s="172">
        <v>2014</v>
      </c>
      <c r="T17" s="513">
        <v>2015</v>
      </c>
      <c r="U17" s="513">
        <v>2016</v>
      </c>
      <c r="V17" s="513">
        <v>2017</v>
      </c>
      <c r="W17" s="513">
        <v>2018</v>
      </c>
      <c r="X17" s="513">
        <v>2019</v>
      </c>
      <c r="Y17" s="513">
        <v>2020</v>
      </c>
    </row>
    <row r="18" spans="1:25" ht="15" customHeight="1" x14ac:dyDescent="0.25">
      <c r="A18" s="43"/>
      <c r="C18" s="152" t="s">
        <v>22</v>
      </c>
      <c r="D18" s="211">
        <v>5198554</v>
      </c>
      <c r="E18" s="211">
        <f>D18*$F$15</f>
        <v>5187496.9819702832</v>
      </c>
      <c r="F18" s="211">
        <f t="shared" ref="F18:H18" si="0">E18*$F$15</f>
        <v>5176463.4815663733</v>
      </c>
      <c r="G18" s="211">
        <f t="shared" si="0"/>
        <v>5165453.4487676658</v>
      </c>
      <c r="H18" s="211">
        <f t="shared" si="0"/>
        <v>5154466.8336599478</v>
      </c>
      <c r="I18" s="211"/>
      <c r="J18" s="211"/>
      <c r="K18" s="211"/>
      <c r="L18" s="211"/>
      <c r="M18" s="211"/>
      <c r="O18" s="152" t="s">
        <v>22</v>
      </c>
      <c r="P18" s="211">
        <v>1073</v>
      </c>
      <c r="Q18" s="211">
        <f>P18*$R$15</f>
        <v>1068.1220126542382</v>
      </c>
      <c r="R18" s="211">
        <f t="shared" ref="R18:S20" si="1">Q18*$R$15</f>
        <v>1063.2662012269718</v>
      </c>
      <c r="S18" s="211">
        <f t="shared" si="1"/>
        <v>1058.4324649038019</v>
      </c>
      <c r="T18" s="211">
        <f t="shared" ref="T18" si="2">S18*$R$15</f>
        <v>1053.6207033286444</v>
      </c>
      <c r="U18" s="211"/>
      <c r="V18" s="211"/>
      <c r="W18" s="211"/>
      <c r="X18" s="211"/>
      <c r="Y18" s="211"/>
    </row>
    <row r="19" spans="1:25" ht="13.9" x14ac:dyDescent="0.25">
      <c r="A19" s="43"/>
      <c r="C19" s="153" t="s">
        <v>31</v>
      </c>
      <c r="D19" s="154"/>
      <c r="E19" s="211">
        <v>3871433</v>
      </c>
      <c r="F19" s="211">
        <f>E19*$F$15</f>
        <v>3863198.6901357872</v>
      </c>
      <c r="G19" s="211">
        <f>F19*$F$15</f>
        <v>3854981.8941634437</v>
      </c>
      <c r="H19" s="211">
        <f t="shared" ref="H19:H21" si="3">G19*$F$15</f>
        <v>3846782.5748319528</v>
      </c>
      <c r="I19" s="211"/>
      <c r="J19" s="211"/>
      <c r="K19" s="211"/>
      <c r="L19" s="211"/>
      <c r="M19" s="211"/>
      <c r="O19" s="153" t="s">
        <v>31</v>
      </c>
      <c r="P19" s="154"/>
      <c r="Q19" s="211">
        <v>950</v>
      </c>
      <c r="R19" s="211">
        <f t="shared" si="1"/>
        <v>945.68118548138523</v>
      </c>
      <c r="S19" s="211">
        <f t="shared" si="1"/>
        <v>941.38200481418744</v>
      </c>
      <c r="T19" s="211">
        <f t="shared" ref="T19" si="4">S19*$R$15</f>
        <v>937.10236874055147</v>
      </c>
      <c r="U19" s="211"/>
      <c r="V19" s="211"/>
      <c r="W19" s="211"/>
      <c r="X19" s="211"/>
      <c r="Y19" s="211"/>
    </row>
    <row r="20" spans="1:25" ht="15" customHeight="1" x14ac:dyDescent="0.25">
      <c r="A20" s="43"/>
      <c r="C20" s="152" t="s">
        <v>204</v>
      </c>
      <c r="D20" s="154"/>
      <c r="E20" s="154"/>
      <c r="F20" s="211">
        <v>2480321</v>
      </c>
      <c r="G20" s="211">
        <f>F20*$F$15</f>
        <v>2475045.5033875792</v>
      </c>
      <c r="H20" s="211">
        <f t="shared" si="3"/>
        <v>2469781.2274455908</v>
      </c>
      <c r="I20" s="211"/>
      <c r="J20" s="211"/>
      <c r="K20" s="211"/>
      <c r="L20" s="211"/>
      <c r="M20" s="211"/>
      <c r="O20" s="152" t="s">
        <v>204</v>
      </c>
      <c r="P20" s="154"/>
      <c r="Q20" s="154"/>
      <c r="R20" s="211">
        <v>619</v>
      </c>
      <c r="S20" s="211">
        <f t="shared" si="1"/>
        <v>616.1859513820815</v>
      </c>
      <c r="T20" s="211">
        <f t="shared" ref="T20" si="5">S20*$R$15</f>
        <v>613.38469576840214</v>
      </c>
      <c r="U20" s="211"/>
      <c r="V20" s="211"/>
      <c r="W20" s="211"/>
      <c r="X20" s="211"/>
      <c r="Y20" s="211"/>
    </row>
    <row r="21" spans="1:25" ht="15" customHeight="1" x14ac:dyDescent="0.25">
      <c r="A21" s="43"/>
      <c r="C21" s="152" t="s">
        <v>205</v>
      </c>
      <c r="D21" s="154"/>
      <c r="E21" s="154"/>
      <c r="F21" s="154"/>
      <c r="G21" s="211">
        <v>5198565</v>
      </c>
      <c r="H21" s="211">
        <f t="shared" si="3"/>
        <v>5187507.9585739309</v>
      </c>
      <c r="I21" s="211"/>
      <c r="J21" s="211"/>
      <c r="K21" s="211"/>
      <c r="L21" s="211"/>
      <c r="M21" s="211"/>
      <c r="O21" s="152" t="s">
        <v>205</v>
      </c>
      <c r="P21" s="154"/>
      <c r="Q21" s="154"/>
      <c r="R21" s="154"/>
      <c r="S21" s="211">
        <v>1240</v>
      </c>
      <c r="T21" s="211">
        <f t="shared" ref="T21" si="6">S21*$R$15</f>
        <v>1234.3628105230712</v>
      </c>
      <c r="U21" s="211"/>
      <c r="V21" s="211"/>
      <c r="W21" s="211"/>
      <c r="X21" s="211"/>
      <c r="Y21" s="211"/>
    </row>
    <row r="22" spans="1:25" ht="15" customHeight="1" x14ac:dyDescent="0.25">
      <c r="A22" s="43"/>
      <c r="C22" s="1"/>
      <c r="D22" s="1"/>
      <c r="E22" s="1"/>
      <c r="F22" s="1"/>
      <c r="G22" s="1"/>
      <c r="P22" s="69"/>
      <c r="Q22" s="69"/>
      <c r="R22" s="69"/>
      <c r="S22" s="69"/>
      <c r="W22" s="155"/>
    </row>
    <row r="23" spans="1:25" ht="15" customHeight="1" x14ac:dyDescent="0.25">
      <c r="A23" s="43"/>
      <c r="C23" s="239" t="s">
        <v>21</v>
      </c>
      <c r="D23" s="657" t="s">
        <v>43</v>
      </c>
      <c r="E23" s="658"/>
      <c r="F23" s="658"/>
      <c r="G23" s="658"/>
      <c r="H23" s="658"/>
      <c r="I23" s="658"/>
      <c r="J23" s="658"/>
      <c r="K23" s="658"/>
      <c r="L23" s="658"/>
      <c r="M23" s="658"/>
      <c r="O23" s="312" t="s">
        <v>21</v>
      </c>
      <c r="P23" s="647" t="s">
        <v>264</v>
      </c>
      <c r="Q23" s="649"/>
      <c r="R23" s="649"/>
      <c r="S23" s="649"/>
      <c r="T23" s="649"/>
      <c r="U23" s="649"/>
      <c r="V23" s="649"/>
      <c r="W23" s="649"/>
      <c r="X23" s="649"/>
      <c r="Y23" s="649"/>
    </row>
    <row r="24" spans="1:25" ht="15" customHeight="1" x14ac:dyDescent="0.25">
      <c r="A24" s="43"/>
      <c r="C24" s="239"/>
      <c r="D24" s="302">
        <v>2011</v>
      </c>
      <c r="E24" s="302">
        <v>2012</v>
      </c>
      <c r="F24" s="302">
        <v>2013</v>
      </c>
      <c r="G24" s="302">
        <v>2014</v>
      </c>
      <c r="H24" s="513">
        <v>2015</v>
      </c>
      <c r="I24" s="513">
        <v>2016</v>
      </c>
      <c r="J24" s="513">
        <v>2017</v>
      </c>
      <c r="K24" s="513">
        <v>2018</v>
      </c>
      <c r="L24" s="513">
        <v>2019</v>
      </c>
      <c r="M24" s="513">
        <v>2020</v>
      </c>
      <c r="O24" s="311"/>
      <c r="P24" s="302">
        <v>2011</v>
      </c>
      <c r="Q24" s="302">
        <v>2012</v>
      </c>
      <c r="R24" s="302">
        <v>2013</v>
      </c>
      <c r="S24" s="302">
        <v>2014</v>
      </c>
      <c r="T24" s="302">
        <v>2015</v>
      </c>
      <c r="U24" s="302">
        <v>2016</v>
      </c>
      <c r="V24" s="302">
        <v>2017</v>
      </c>
      <c r="W24" s="302">
        <v>2018</v>
      </c>
      <c r="X24" s="302">
        <v>2019</v>
      </c>
      <c r="Y24" s="302">
        <v>2020</v>
      </c>
    </row>
    <row r="25" spans="1:25" ht="16.5" customHeight="1" x14ac:dyDescent="0.25">
      <c r="A25" s="43"/>
      <c r="C25" s="30">
        <v>2011</v>
      </c>
      <c r="D25" s="22"/>
      <c r="E25" s="31">
        <f t="shared" ref="E25:J25" si="7">E18/$D$18</f>
        <v>0.99787305892567113</v>
      </c>
      <c r="F25" s="31">
        <f t="shared" si="7"/>
        <v>0.99575064172967587</v>
      </c>
      <c r="G25" s="31">
        <f t="shared" si="7"/>
        <v>0.99363273878999159</v>
      </c>
      <c r="H25" s="31">
        <f t="shared" si="7"/>
        <v>0.99151934050506119</v>
      </c>
      <c r="I25" s="31">
        <f t="shared" si="7"/>
        <v>0</v>
      </c>
      <c r="J25" s="31">
        <f t="shared" si="7"/>
        <v>0</v>
      </c>
      <c r="K25" s="31">
        <f t="shared" ref="K25:M25" si="8">K18/$D$18</f>
        <v>0</v>
      </c>
      <c r="L25" s="31">
        <f t="shared" si="8"/>
        <v>0</v>
      </c>
      <c r="M25" s="31">
        <f t="shared" si="8"/>
        <v>0</v>
      </c>
      <c r="O25" s="519">
        <v>2011</v>
      </c>
      <c r="P25" s="520"/>
      <c r="Q25" s="522">
        <f>Q18/$P$18</f>
        <v>0.9954538794540897</v>
      </c>
      <c r="R25" s="522">
        <f>R18/$P$18</f>
        <v>0.99092842612019738</v>
      </c>
      <c r="S25" s="522">
        <f>S18/$P$18</f>
        <v>0.98642354604268589</v>
      </c>
      <c r="T25" s="522">
        <f t="shared" ref="T25:X25" si="9">T18/$P$18</f>
        <v>0.98193914569305163</v>
      </c>
      <c r="U25" s="522">
        <f>U18/$P$18</f>
        <v>0</v>
      </c>
      <c r="V25" s="522">
        <f t="shared" si="9"/>
        <v>0</v>
      </c>
      <c r="W25" s="522">
        <f>W18/$P$18</f>
        <v>0</v>
      </c>
      <c r="X25" s="522">
        <f t="shared" si="9"/>
        <v>0</v>
      </c>
      <c r="Y25" s="522">
        <f>Y18/$P$18</f>
        <v>0</v>
      </c>
    </row>
    <row r="26" spans="1:25" ht="16.5" customHeight="1" x14ac:dyDescent="0.25">
      <c r="A26" s="43"/>
      <c r="C26" s="30">
        <v>2012</v>
      </c>
      <c r="D26" s="22"/>
      <c r="E26" s="22"/>
      <c r="F26" s="31">
        <f>F19/$E$19</f>
        <v>0.99787305892567102</v>
      </c>
      <c r="G26" s="31">
        <f>G19/$E$19</f>
        <v>0.99575064172967576</v>
      </c>
      <c r="H26" s="31">
        <f>H19/$E$19</f>
        <v>0.99363273878999137</v>
      </c>
      <c r="I26" s="31">
        <f t="shared" ref="I26:J26" si="10">I19/$E$19</f>
        <v>0</v>
      </c>
      <c r="J26" s="31">
        <f t="shared" si="10"/>
        <v>0</v>
      </c>
      <c r="K26" s="31">
        <f>K19/$E$19</f>
        <v>0</v>
      </c>
      <c r="L26" s="31">
        <f>L19/$E$19</f>
        <v>0</v>
      </c>
      <c r="M26" s="31">
        <f>M19/$E$19</f>
        <v>0</v>
      </c>
      <c r="O26" s="519">
        <v>2012</v>
      </c>
      <c r="P26" s="520"/>
      <c r="Q26" s="523"/>
      <c r="R26" s="522">
        <f>R19/$Q$19</f>
        <v>0.9954538794540897</v>
      </c>
      <c r="S26" s="522">
        <f>S19/$Q$19</f>
        <v>0.99092842612019727</v>
      </c>
      <c r="T26" s="522">
        <f t="shared" ref="T26:X26" si="11">T19/$Q$19</f>
        <v>0.98642354604268578</v>
      </c>
      <c r="U26" s="522">
        <f>U19/$Q$19</f>
        <v>0</v>
      </c>
      <c r="V26" s="522">
        <f t="shared" si="11"/>
        <v>0</v>
      </c>
      <c r="W26" s="522">
        <f>W19/$Q$19</f>
        <v>0</v>
      </c>
      <c r="X26" s="522">
        <f t="shared" si="11"/>
        <v>0</v>
      </c>
      <c r="Y26" s="522">
        <f>Y19/$Q$19</f>
        <v>0</v>
      </c>
    </row>
    <row r="27" spans="1:25" ht="16.5" customHeight="1" x14ac:dyDescent="0.25">
      <c r="A27" s="43"/>
      <c r="C27" s="519">
        <v>2013</v>
      </c>
      <c r="D27" s="520"/>
      <c r="E27" s="520"/>
      <c r="F27" s="521"/>
      <c r="G27" s="522">
        <f>G20/$F$20</f>
        <v>0.99787305892567102</v>
      </c>
      <c r="H27" s="522">
        <f>H20/$F$20</f>
        <v>0.99575064172967565</v>
      </c>
      <c r="I27" s="522">
        <f t="shared" ref="I27:M27" si="12">I20/$F$20</f>
        <v>0</v>
      </c>
      <c r="J27" s="522">
        <f t="shared" si="12"/>
        <v>0</v>
      </c>
      <c r="K27" s="522">
        <f t="shared" si="12"/>
        <v>0</v>
      </c>
      <c r="L27" s="522">
        <f t="shared" si="12"/>
        <v>0</v>
      </c>
      <c r="M27" s="522">
        <f t="shared" si="12"/>
        <v>0</v>
      </c>
      <c r="O27" s="519">
        <v>2013</v>
      </c>
      <c r="P27" s="520"/>
      <c r="Q27" s="520"/>
      <c r="R27" s="521"/>
      <c r="S27" s="522">
        <f>S20/$R$20</f>
        <v>0.9954538794540897</v>
      </c>
      <c r="T27" s="522">
        <f t="shared" ref="T27:Y27" si="13">T20/$R$20</f>
        <v>0.99092842612019727</v>
      </c>
      <c r="U27" s="522">
        <f t="shared" si="13"/>
        <v>0</v>
      </c>
      <c r="V27" s="522">
        <f t="shared" si="13"/>
        <v>0</v>
      </c>
      <c r="W27" s="522">
        <f t="shared" si="13"/>
        <v>0</v>
      </c>
      <c r="X27" s="522">
        <f t="shared" si="13"/>
        <v>0</v>
      </c>
      <c r="Y27" s="522">
        <f t="shared" si="13"/>
        <v>0</v>
      </c>
    </row>
    <row r="28" spans="1:25" ht="16.5" customHeight="1" x14ac:dyDescent="0.25">
      <c r="A28" s="43"/>
      <c r="C28" s="519">
        <v>2014</v>
      </c>
      <c r="D28" s="520"/>
      <c r="E28" s="520"/>
      <c r="F28" s="521"/>
      <c r="G28" s="522"/>
      <c r="H28" s="31">
        <f t="shared" ref="H28:M28" si="14">H21/$G$21</f>
        <v>0.99787305892567102</v>
      </c>
      <c r="I28" s="31">
        <f t="shared" si="14"/>
        <v>0</v>
      </c>
      <c r="J28" s="31">
        <f t="shared" si="14"/>
        <v>0</v>
      </c>
      <c r="K28" s="31">
        <f t="shared" si="14"/>
        <v>0</v>
      </c>
      <c r="L28" s="31">
        <f t="shared" si="14"/>
        <v>0</v>
      </c>
      <c r="M28" s="31">
        <f t="shared" si="14"/>
        <v>0</v>
      </c>
      <c r="O28" s="519">
        <v>2014</v>
      </c>
      <c r="P28" s="520"/>
      <c r="Q28" s="520"/>
      <c r="R28" s="521"/>
      <c r="S28" s="522"/>
      <c r="T28" s="525">
        <f>T21/$S$21</f>
        <v>0.9954538794540897</v>
      </c>
      <c r="U28" s="525">
        <f t="shared" ref="U28:X28" si="15">U21/$S$21</f>
        <v>0</v>
      </c>
      <c r="V28" s="525">
        <f t="shared" si="15"/>
        <v>0</v>
      </c>
      <c r="W28" s="525">
        <f t="shared" si="15"/>
        <v>0</v>
      </c>
      <c r="X28" s="525">
        <f t="shared" si="15"/>
        <v>0</v>
      </c>
      <c r="Y28" s="525">
        <f>Y21/$S$21</f>
        <v>0</v>
      </c>
    </row>
    <row r="29" spans="1:25" ht="9" customHeight="1" x14ac:dyDescent="0.25">
      <c r="A29" s="43"/>
      <c r="C29" s="32"/>
      <c r="D29" s="298"/>
      <c r="E29" s="298"/>
      <c r="F29" s="299"/>
      <c r="G29" s="300"/>
      <c r="O29" s="32"/>
      <c r="P29" s="298"/>
      <c r="Q29" s="298"/>
      <c r="R29" s="299"/>
      <c r="S29" s="300"/>
      <c r="V29" s="155"/>
      <c r="W29" s="155"/>
    </row>
    <row r="30" spans="1:25" ht="9.75" customHeight="1" x14ac:dyDescent="0.25">
      <c r="A30" s="43"/>
      <c r="U30" s="155"/>
      <c r="V30" s="155"/>
      <c r="W30" s="155"/>
    </row>
    <row r="31" spans="1:25" ht="17.45" x14ac:dyDescent="0.25">
      <c r="A31" s="43"/>
      <c r="C31" s="170" t="s">
        <v>492</v>
      </c>
      <c r="E31" s="151"/>
      <c r="F31" s="151"/>
      <c r="G31" s="151"/>
      <c r="H31" s="151"/>
      <c r="I31" s="151"/>
      <c r="J31" s="151"/>
      <c r="K31" s="151"/>
      <c r="L31" s="151"/>
      <c r="M31" s="151"/>
      <c r="N31" s="151"/>
      <c r="O31" s="151"/>
      <c r="P31" s="151"/>
      <c r="Q31" s="151"/>
      <c r="R31" s="151"/>
      <c r="S31" s="151"/>
    </row>
    <row r="32" spans="1:25" ht="8.25" customHeight="1" x14ac:dyDescent="0.25">
      <c r="D32" s="66"/>
      <c r="J32" s="151"/>
      <c r="K32" s="151"/>
      <c r="L32" s="151"/>
      <c r="M32" s="151"/>
    </row>
    <row r="33" spans="1:24" ht="18.75" x14ac:dyDescent="0.25">
      <c r="C33" s="662" t="s">
        <v>21</v>
      </c>
      <c r="D33" s="646" t="s">
        <v>364</v>
      </c>
      <c r="E33" s="648"/>
      <c r="F33" s="648"/>
      <c r="G33" s="648"/>
      <c r="H33" s="648"/>
      <c r="I33" s="661"/>
      <c r="J33" s="151"/>
      <c r="K33" s="151"/>
      <c r="L33" s="151"/>
      <c r="M33" s="151"/>
      <c r="N33" s="156"/>
      <c r="O33" s="664" t="s">
        <v>21</v>
      </c>
      <c r="P33" s="665" t="s">
        <v>363</v>
      </c>
      <c r="Q33" s="666"/>
      <c r="R33" s="666"/>
      <c r="S33" s="666"/>
      <c r="T33" s="666"/>
      <c r="U33" s="666"/>
      <c r="V33" s="667"/>
      <c r="W33" s="156"/>
    </row>
    <row r="34" spans="1:24" ht="14.25" customHeight="1" x14ac:dyDescent="0.25">
      <c r="C34" s="663"/>
      <c r="D34" s="172">
        <v>2015</v>
      </c>
      <c r="E34" s="172">
        <v>2016</v>
      </c>
      <c r="F34" s="172">
        <v>2017</v>
      </c>
      <c r="G34" s="172">
        <v>2018</v>
      </c>
      <c r="H34" s="174">
        <v>2019</v>
      </c>
      <c r="I34" s="172">
        <v>2020</v>
      </c>
      <c r="J34" s="151"/>
      <c r="K34" s="151"/>
      <c r="L34" s="151"/>
      <c r="M34" s="151"/>
      <c r="N34" s="157"/>
      <c r="O34" s="664"/>
      <c r="P34" s="173"/>
      <c r="Q34" s="173">
        <v>2015</v>
      </c>
      <c r="R34" s="173">
        <v>2016</v>
      </c>
      <c r="S34" s="173">
        <v>2017</v>
      </c>
      <c r="T34" s="173">
        <v>2018</v>
      </c>
      <c r="U34" s="173">
        <v>2019</v>
      </c>
      <c r="V34" s="173">
        <v>2020</v>
      </c>
      <c r="W34" s="158"/>
    </row>
    <row r="35" spans="1:24" ht="21.75" customHeight="1" x14ac:dyDescent="0.25">
      <c r="C35" s="159" t="s">
        <v>217</v>
      </c>
      <c r="D35" s="212"/>
      <c r="E35" s="213"/>
      <c r="F35" s="213"/>
      <c r="G35" s="213"/>
      <c r="H35" s="213"/>
      <c r="I35" s="213"/>
      <c r="J35" s="151"/>
      <c r="K35" s="151"/>
      <c r="L35" s="151"/>
      <c r="M35" s="151"/>
      <c r="N35" s="160"/>
      <c r="O35" s="159" t="s">
        <v>217</v>
      </c>
      <c r="P35" s="161"/>
      <c r="Q35" s="214"/>
      <c r="R35" s="214"/>
      <c r="S35" s="214"/>
      <c r="T35" s="214"/>
      <c r="U35" s="214"/>
      <c r="V35" s="214"/>
      <c r="W35" s="162"/>
    </row>
    <row r="36" spans="1:24" ht="21.75" customHeight="1" x14ac:dyDescent="0.25">
      <c r="C36" s="159" t="s">
        <v>218</v>
      </c>
      <c r="D36" s="163"/>
      <c r="E36" s="213"/>
      <c r="F36" s="213"/>
      <c r="G36" s="213"/>
      <c r="H36" s="213"/>
      <c r="I36" s="213"/>
      <c r="J36" s="151"/>
      <c r="K36" s="151"/>
      <c r="L36" s="151"/>
      <c r="M36" s="151"/>
      <c r="N36" s="160"/>
      <c r="O36" s="159" t="s">
        <v>218</v>
      </c>
      <c r="P36" s="161"/>
      <c r="Q36" s="164"/>
      <c r="R36" s="214"/>
      <c r="S36" s="214"/>
      <c r="T36" s="214"/>
      <c r="U36" s="214"/>
      <c r="V36" s="214"/>
      <c r="W36" s="162"/>
    </row>
    <row r="37" spans="1:24" ht="21.75" customHeight="1" x14ac:dyDescent="0.25">
      <c r="C37" s="159" t="s">
        <v>219</v>
      </c>
      <c r="D37" s="163"/>
      <c r="E37" s="163"/>
      <c r="F37" s="213"/>
      <c r="G37" s="213"/>
      <c r="H37" s="213"/>
      <c r="I37" s="213"/>
      <c r="J37" s="151"/>
      <c r="K37" s="151"/>
      <c r="L37" s="151"/>
      <c r="M37" s="151"/>
      <c r="N37" s="160"/>
      <c r="O37" s="159" t="s">
        <v>219</v>
      </c>
      <c r="P37" s="161"/>
      <c r="Q37" s="164"/>
      <c r="R37" s="164"/>
      <c r="S37" s="214"/>
      <c r="T37" s="214"/>
      <c r="U37" s="214"/>
      <c r="V37" s="214"/>
      <c r="W37" s="162"/>
    </row>
    <row r="38" spans="1:24" ht="24" customHeight="1" x14ac:dyDescent="0.25">
      <c r="C38" s="159" t="s">
        <v>220</v>
      </c>
      <c r="D38" s="163"/>
      <c r="E38" s="163"/>
      <c r="F38" s="163"/>
      <c r="G38" s="213"/>
      <c r="H38" s="213"/>
      <c r="I38" s="213"/>
      <c r="J38" s="151"/>
      <c r="K38" s="151"/>
      <c r="L38" s="151"/>
      <c r="M38" s="151"/>
      <c r="N38" s="160"/>
      <c r="O38" s="159" t="s">
        <v>220</v>
      </c>
      <c r="P38" s="161"/>
      <c r="Q38" s="164"/>
      <c r="R38" s="164"/>
      <c r="S38" s="164"/>
      <c r="T38" s="214"/>
      <c r="U38" s="214"/>
      <c r="V38" s="214"/>
      <c r="W38" s="162"/>
    </row>
    <row r="39" spans="1:24" ht="24" customHeight="1" x14ac:dyDescent="0.25">
      <c r="C39" s="159" t="s">
        <v>221</v>
      </c>
      <c r="D39" s="163"/>
      <c r="E39" s="163"/>
      <c r="F39" s="163"/>
      <c r="G39" s="163"/>
      <c r="H39" s="213"/>
      <c r="I39" s="213"/>
      <c r="J39" s="151"/>
      <c r="K39" s="151"/>
      <c r="L39" s="151"/>
      <c r="M39" s="151"/>
      <c r="N39" s="160"/>
      <c r="O39" s="159" t="s">
        <v>221</v>
      </c>
      <c r="P39" s="161"/>
      <c r="Q39" s="164"/>
      <c r="R39" s="164"/>
      <c r="S39" s="164"/>
      <c r="T39" s="164"/>
      <c r="U39" s="214"/>
      <c r="V39" s="214"/>
      <c r="W39" s="162"/>
    </row>
    <row r="40" spans="1:24" ht="24" customHeight="1" x14ac:dyDescent="0.25">
      <c r="C40" s="159" t="s">
        <v>222</v>
      </c>
      <c r="D40" s="163"/>
      <c r="E40" s="163"/>
      <c r="F40" s="163"/>
      <c r="G40" s="163"/>
      <c r="H40" s="163"/>
      <c r="I40" s="213"/>
      <c r="J40" s="151"/>
      <c r="K40" s="151"/>
      <c r="L40" s="151"/>
      <c r="M40" s="151"/>
      <c r="N40" s="160"/>
      <c r="O40" s="159" t="s">
        <v>222</v>
      </c>
      <c r="P40" s="161"/>
      <c r="Q40" s="164"/>
      <c r="R40" s="164"/>
      <c r="S40" s="164"/>
      <c r="T40" s="164"/>
      <c r="U40" s="164"/>
      <c r="V40" s="214"/>
      <c r="W40" s="162"/>
    </row>
    <row r="41" spans="1:24" ht="9.75" customHeight="1" x14ac:dyDescent="0.25">
      <c r="D41" s="83"/>
      <c r="E41" s="83"/>
      <c r="F41" s="83"/>
      <c r="G41" s="83"/>
      <c r="H41" s="83"/>
      <c r="I41" s="83"/>
      <c r="J41" s="151"/>
      <c r="K41" s="151"/>
      <c r="L41" s="151"/>
      <c r="M41" s="151"/>
      <c r="N41" s="83"/>
    </row>
    <row r="42" spans="1:24" ht="14.25" customHeight="1" x14ac:dyDescent="0.2">
      <c r="C42" s="662" t="s">
        <v>21</v>
      </c>
      <c r="D42" s="668" t="s">
        <v>43</v>
      </c>
      <c r="E42" s="669"/>
      <c r="F42" s="669"/>
      <c r="G42" s="669"/>
      <c r="H42" s="669"/>
      <c r="I42" s="670"/>
      <c r="J42" s="151"/>
      <c r="K42" s="151"/>
      <c r="L42" s="151"/>
      <c r="M42" s="151"/>
      <c r="O42" s="664" t="s">
        <v>21</v>
      </c>
      <c r="P42" s="657" t="s">
        <v>264</v>
      </c>
      <c r="Q42" s="658"/>
      <c r="R42" s="658"/>
      <c r="S42" s="658"/>
      <c r="T42" s="658"/>
      <c r="U42" s="658"/>
      <c r="V42" s="658"/>
      <c r="W42" s="158"/>
    </row>
    <row r="43" spans="1:24" ht="14.25" customHeight="1" x14ac:dyDescent="0.2">
      <c r="A43" s="660"/>
      <c r="C43" s="663"/>
      <c r="D43" s="173">
        <v>2015</v>
      </c>
      <c r="E43" s="173">
        <v>2016</v>
      </c>
      <c r="F43" s="173">
        <v>2017</v>
      </c>
      <c r="G43" s="173">
        <v>2018</v>
      </c>
      <c r="H43" s="173">
        <v>2019</v>
      </c>
      <c r="I43" s="173">
        <v>2020</v>
      </c>
      <c r="J43" s="151"/>
      <c r="K43" s="151"/>
      <c r="L43" s="151"/>
      <c r="M43" s="151"/>
      <c r="O43" s="664"/>
      <c r="P43" s="173"/>
      <c r="Q43" s="173">
        <v>2015</v>
      </c>
      <c r="R43" s="173">
        <v>2016</v>
      </c>
      <c r="S43" s="173">
        <v>2017</v>
      </c>
      <c r="T43" s="173">
        <v>2018</v>
      </c>
      <c r="U43" s="173">
        <v>2019</v>
      </c>
      <c r="V43" s="175">
        <v>2020</v>
      </c>
      <c r="W43" s="158"/>
      <c r="X43" s="13"/>
    </row>
    <row r="44" spans="1:24" ht="21" customHeight="1" x14ac:dyDescent="0.2">
      <c r="A44" s="660"/>
      <c r="C44" s="159" t="s">
        <v>217</v>
      </c>
      <c r="D44" s="114"/>
      <c r="E44" s="502" t="e">
        <f>E35/$D$35</f>
        <v>#DIV/0!</v>
      </c>
      <c r="F44" s="502" t="e">
        <f>F35/$D$35</f>
        <v>#DIV/0!</v>
      </c>
      <c r="G44" s="502" t="e">
        <f>G35/$D$35</f>
        <v>#DIV/0!</v>
      </c>
      <c r="H44" s="502" t="e">
        <f>H35/$D$35</f>
        <v>#DIV/0!</v>
      </c>
      <c r="I44" s="502" t="e">
        <f>I35/$D$35</f>
        <v>#DIV/0!</v>
      </c>
      <c r="J44" s="151"/>
      <c r="K44" s="151"/>
      <c r="L44" s="151"/>
      <c r="M44" s="151"/>
      <c r="N44" s="165"/>
      <c r="O44" s="159" t="s">
        <v>217</v>
      </c>
      <c r="P44" s="161"/>
      <c r="Q44" s="114"/>
      <c r="R44" s="502" t="e">
        <f>R35/$Q$35</f>
        <v>#DIV/0!</v>
      </c>
      <c r="S44" s="502" t="e">
        <f>S35/$Q$35</f>
        <v>#DIV/0!</v>
      </c>
      <c r="T44" s="502" t="e">
        <f>T35/$Q$35</f>
        <v>#DIV/0!</v>
      </c>
      <c r="U44" s="502" t="e">
        <f>U35/$Q$35</f>
        <v>#DIV/0!</v>
      </c>
      <c r="V44" s="502" t="e">
        <f>V35/$Q$35</f>
        <v>#DIV/0!</v>
      </c>
      <c r="W44" s="166"/>
      <c r="X44" s="13"/>
    </row>
    <row r="45" spans="1:24" ht="21" customHeight="1" x14ac:dyDescent="0.2">
      <c r="A45" s="660"/>
      <c r="C45" s="159" t="s">
        <v>218</v>
      </c>
      <c r="D45" s="114"/>
      <c r="E45" s="502"/>
      <c r="F45" s="502" t="e">
        <f>F36/$E$36</f>
        <v>#DIV/0!</v>
      </c>
      <c r="G45" s="502" t="e">
        <f>G36/$E$36</f>
        <v>#DIV/0!</v>
      </c>
      <c r="H45" s="502" t="e">
        <f>H36/$E$36</f>
        <v>#DIV/0!</v>
      </c>
      <c r="I45" s="502" t="e">
        <f>I36/$E$36</f>
        <v>#DIV/0!</v>
      </c>
      <c r="J45" s="151"/>
      <c r="K45" s="151"/>
      <c r="L45" s="151"/>
      <c r="M45" s="151"/>
      <c r="O45" s="159" t="s">
        <v>218</v>
      </c>
      <c r="P45" s="161"/>
      <c r="Q45" s="114"/>
      <c r="R45" s="502"/>
      <c r="S45" s="502" t="e">
        <f>S36/$R$36</f>
        <v>#DIV/0!</v>
      </c>
      <c r="T45" s="502" t="e">
        <f>T36/$R$36</f>
        <v>#DIV/0!</v>
      </c>
      <c r="U45" s="502" t="e">
        <f>U36/$R$36</f>
        <v>#DIV/0!</v>
      </c>
      <c r="V45" s="502" t="e">
        <f>V36/$R$36</f>
        <v>#DIV/0!</v>
      </c>
      <c r="W45" s="158"/>
      <c r="X45" s="13"/>
    </row>
    <row r="46" spans="1:24" ht="21" customHeight="1" x14ac:dyDescent="0.2">
      <c r="A46" s="660"/>
      <c r="C46" s="159" t="s">
        <v>219</v>
      </c>
      <c r="D46" s="114"/>
      <c r="E46" s="502"/>
      <c r="F46" s="502"/>
      <c r="G46" s="502" t="e">
        <f>G37/$F$37</f>
        <v>#DIV/0!</v>
      </c>
      <c r="H46" s="502" t="e">
        <f>H37/$F$37</f>
        <v>#DIV/0!</v>
      </c>
      <c r="I46" s="502" t="e">
        <f>I37/$F$37</f>
        <v>#DIV/0!</v>
      </c>
      <c r="J46" s="518"/>
      <c r="K46" s="518"/>
      <c r="L46" s="518"/>
      <c r="M46" s="518"/>
      <c r="O46" s="159" t="s">
        <v>219</v>
      </c>
      <c r="P46" s="161"/>
      <c r="Q46" s="114"/>
      <c r="R46" s="502"/>
      <c r="S46" s="502"/>
      <c r="T46" s="502" t="e">
        <f>T37/$S$37</f>
        <v>#DIV/0!</v>
      </c>
      <c r="U46" s="502" t="e">
        <f>U37/$S$37</f>
        <v>#DIV/0!</v>
      </c>
      <c r="V46" s="502" t="e">
        <f>V37/$S$37</f>
        <v>#DIV/0!</v>
      </c>
      <c r="W46" s="166"/>
      <c r="X46" s="13"/>
    </row>
    <row r="47" spans="1:24" ht="21" customHeight="1" x14ac:dyDescent="0.2">
      <c r="C47" s="159" t="s">
        <v>220</v>
      </c>
      <c r="D47" s="114"/>
      <c r="E47" s="502"/>
      <c r="F47" s="502"/>
      <c r="G47" s="502"/>
      <c r="H47" s="502" t="e">
        <f>H38/$G$38</f>
        <v>#DIV/0!</v>
      </c>
      <c r="I47" s="502" t="e">
        <f>I38/$G$38</f>
        <v>#DIV/0!</v>
      </c>
      <c r="J47" s="518"/>
      <c r="K47" s="518"/>
      <c r="L47" s="518"/>
      <c r="M47" s="518"/>
      <c r="O47" s="159" t="s">
        <v>220</v>
      </c>
      <c r="P47" s="161"/>
      <c r="Q47" s="114"/>
      <c r="R47" s="502"/>
      <c r="S47" s="502"/>
      <c r="T47" s="502"/>
      <c r="U47" s="502" t="e">
        <f>U38/$T$38</f>
        <v>#DIV/0!</v>
      </c>
      <c r="V47" s="502" t="e">
        <f>V38/$T$38</f>
        <v>#DIV/0!</v>
      </c>
      <c r="W47" s="158"/>
    </row>
    <row r="48" spans="1:24" ht="21" customHeight="1" x14ac:dyDescent="0.2">
      <c r="C48" s="159" t="s">
        <v>221</v>
      </c>
      <c r="D48" s="114"/>
      <c r="E48" s="502"/>
      <c r="F48" s="502"/>
      <c r="G48" s="502"/>
      <c r="H48" s="502"/>
      <c r="I48" s="502" t="e">
        <f>I39/H39</f>
        <v>#DIV/0!</v>
      </c>
      <c r="J48" s="518"/>
      <c r="K48" s="518"/>
      <c r="L48" s="518"/>
      <c r="M48" s="518"/>
      <c r="O48" s="159" t="s">
        <v>221</v>
      </c>
      <c r="P48" s="161"/>
      <c r="Q48" s="114"/>
      <c r="R48" s="502"/>
      <c r="S48" s="502"/>
      <c r="T48" s="502"/>
      <c r="U48" s="502"/>
      <c r="V48" s="502" t="e">
        <f>V39/U39</f>
        <v>#DIV/0!</v>
      </c>
      <c r="W48" s="158"/>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4" activePane="bottomLeft" state="frozen"/>
      <selection pane="bottomLeft" activeCell="I119" sqref="I119"/>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3">
      <c r="E1" s="2"/>
      <c r="G1" s="2"/>
      <c r="I1" s="2"/>
      <c r="J1" s="2"/>
      <c r="K1" s="2"/>
      <c r="L1" s="2"/>
      <c r="M1" s="2"/>
      <c r="N1" s="2"/>
      <c r="O1" s="2"/>
      <c r="P1" s="2"/>
      <c r="Q1" s="2"/>
      <c r="R1" s="2"/>
      <c r="S1" s="2"/>
      <c r="T1" s="2"/>
      <c r="U1" s="2"/>
    </row>
    <row r="3" spans="1:21" ht="20.45" x14ac:dyDescent="0.3">
      <c r="A3" s="2"/>
      <c r="B3" s="671" t="s">
        <v>208</v>
      </c>
      <c r="C3" s="671"/>
      <c r="D3" s="671"/>
      <c r="E3" s="671"/>
      <c r="F3" s="671"/>
      <c r="G3" s="671"/>
      <c r="H3" s="671"/>
      <c r="I3" s="671"/>
      <c r="J3" s="671"/>
      <c r="K3" s="671"/>
      <c r="L3" s="671"/>
      <c r="M3" s="671"/>
      <c r="N3" s="671"/>
      <c r="O3" s="671"/>
      <c r="P3" s="671"/>
      <c r="Q3" s="671"/>
      <c r="R3" s="2"/>
      <c r="S3" s="2"/>
      <c r="T3" s="3"/>
      <c r="U3" s="2"/>
    </row>
    <row r="4" spans="1:21" ht="14.25" customHeight="1" outlineLevel="1" x14ac:dyDescent="0.35">
      <c r="B4" s="61"/>
      <c r="C4" s="393"/>
      <c r="D4" s="393"/>
      <c r="E4" s="394"/>
      <c r="F4" s="394"/>
      <c r="G4" s="394"/>
      <c r="H4" s="394"/>
      <c r="I4" s="394"/>
      <c r="J4" s="394"/>
      <c r="K4" s="394"/>
      <c r="L4" s="394"/>
      <c r="M4" s="394"/>
      <c r="N4" s="394"/>
      <c r="O4" s="394"/>
      <c r="P4" s="394"/>
      <c r="Q4" s="394"/>
      <c r="T4" s="3"/>
    </row>
    <row r="5" spans="1:21" s="23" customFormat="1" ht="18" outlineLevel="1" x14ac:dyDescent="0.35">
      <c r="A5" s="65"/>
      <c r="B5" s="200"/>
      <c r="C5" s="368" t="s">
        <v>403</v>
      </c>
      <c r="D5" s="371" t="s">
        <v>502</v>
      </c>
      <c r="E5" s="394"/>
      <c r="F5" s="394"/>
      <c r="G5" s="394"/>
      <c r="H5" s="394"/>
      <c r="I5" s="395"/>
      <c r="J5" s="395"/>
      <c r="K5" s="395"/>
      <c r="L5" s="395"/>
      <c r="M5" s="395"/>
      <c r="N5" s="394"/>
      <c r="O5" s="394"/>
      <c r="P5" s="47"/>
      <c r="Q5" s="47"/>
    </row>
    <row r="6" spans="1:21" s="23" customFormat="1" ht="18.75" customHeight="1" outlineLevel="1" x14ac:dyDescent="0.35">
      <c r="B6" s="200"/>
      <c r="C6" s="390"/>
      <c r="D6" s="371" t="s">
        <v>360</v>
      </c>
      <c r="E6" s="390"/>
      <c r="F6" s="390"/>
      <c r="G6" s="390"/>
      <c r="H6" s="390"/>
      <c r="I6" s="395"/>
      <c r="J6" s="395"/>
      <c r="K6" s="395"/>
      <c r="L6" s="395"/>
      <c r="M6" s="395"/>
      <c r="N6" s="390"/>
      <c r="O6" s="390"/>
      <c r="P6" s="47"/>
      <c r="Q6" s="47"/>
    </row>
    <row r="7" spans="1:21" s="23" customFormat="1" ht="49.5" customHeight="1" outlineLevel="1" x14ac:dyDescent="0.35">
      <c r="B7" s="200"/>
      <c r="C7" s="390"/>
      <c r="D7" s="654" t="s">
        <v>377</v>
      </c>
      <c r="E7" s="654"/>
      <c r="F7" s="654"/>
      <c r="G7" s="654"/>
      <c r="H7" s="654"/>
      <c r="I7" s="654"/>
      <c r="J7" s="654"/>
      <c r="K7" s="654"/>
      <c r="L7" s="654"/>
      <c r="M7" s="654"/>
      <c r="N7" s="654"/>
      <c r="O7" s="654"/>
      <c r="P7" s="654"/>
      <c r="Q7" s="654"/>
    </row>
    <row r="8" spans="1:21" s="23" customFormat="1" ht="12" customHeight="1" outlineLevel="1" x14ac:dyDescent="0.35">
      <c r="B8" s="200"/>
      <c r="C8" s="390"/>
      <c r="D8" s="371"/>
      <c r="E8" s="390"/>
      <c r="F8" s="390"/>
      <c r="G8" s="390"/>
      <c r="H8" s="390"/>
      <c r="I8" s="395"/>
      <c r="J8" s="395"/>
      <c r="K8" s="395"/>
      <c r="L8" s="395"/>
      <c r="M8" s="395"/>
      <c r="N8" s="390"/>
      <c r="O8" s="390"/>
      <c r="P8" s="47"/>
      <c r="Q8" s="47"/>
    </row>
    <row r="9" spans="1:21" s="23" customFormat="1" ht="18.75" customHeight="1" outlineLevel="1" x14ac:dyDescent="0.35">
      <c r="B9" s="200"/>
      <c r="C9" s="84" t="s">
        <v>339</v>
      </c>
      <c r="D9" s="217" t="s">
        <v>367</v>
      </c>
      <c r="E9" s="217"/>
      <c r="F9" s="217"/>
      <c r="G9" s="216"/>
      <c r="H9" s="390"/>
      <c r="I9" s="188"/>
      <c r="J9" s="188"/>
      <c r="K9" s="188"/>
      <c r="L9" s="188"/>
      <c r="M9" s="188"/>
      <c r="N9" s="216"/>
      <c r="O9" s="216"/>
      <c r="Q9" s="82"/>
    </row>
    <row r="10" spans="1:21" s="23" customFormat="1" ht="18.75" customHeight="1" outlineLevel="1" x14ac:dyDescent="0.35">
      <c r="B10" s="200"/>
      <c r="C10" s="240"/>
      <c r="D10" s="313" t="s">
        <v>340</v>
      </c>
      <c r="E10" s="240"/>
      <c r="F10" s="216"/>
      <c r="G10" s="216"/>
      <c r="H10" s="390"/>
      <c r="I10" s="188"/>
      <c r="J10" s="188"/>
      <c r="K10" s="188"/>
      <c r="L10" s="188"/>
      <c r="M10" s="188"/>
      <c r="N10" s="216"/>
      <c r="O10" s="216"/>
    </row>
    <row r="11" spans="1:21" s="23" customFormat="1" ht="6.75" customHeight="1" outlineLevel="1" x14ac:dyDescent="0.35">
      <c r="B11" s="240"/>
      <c r="C11" s="240"/>
      <c r="D11" s="313"/>
      <c r="E11" s="240"/>
      <c r="F11" s="240"/>
      <c r="G11" s="240"/>
      <c r="H11" s="390"/>
      <c r="I11" s="188"/>
      <c r="J11" s="188"/>
      <c r="K11" s="188"/>
      <c r="L11" s="188"/>
      <c r="M11" s="188"/>
      <c r="N11" s="240"/>
      <c r="O11" s="240"/>
    </row>
    <row r="12" spans="1:21" ht="8.25" customHeight="1" x14ac:dyDescent="0.35">
      <c r="B12" s="61"/>
      <c r="C12" s="61"/>
      <c r="D12" s="199"/>
      <c r="E12" s="62"/>
      <c r="F12" s="62"/>
      <c r="G12" s="62"/>
      <c r="H12" s="394"/>
      <c r="I12" s="189"/>
      <c r="J12" s="189"/>
      <c r="K12" s="189"/>
      <c r="L12" s="189"/>
      <c r="M12" s="189"/>
      <c r="N12" s="62"/>
      <c r="O12" s="62"/>
      <c r="P12" s="62"/>
      <c r="Q12" s="62"/>
      <c r="T12" s="3"/>
    </row>
    <row r="13" spans="1:21" s="305" customFormat="1" ht="17.25" customHeight="1" x14ac:dyDescent="0.3">
      <c r="B13" s="672" t="s">
        <v>494</v>
      </c>
      <c r="C13" s="672"/>
      <c r="D13" s="306"/>
      <c r="E13" s="307" t="s">
        <v>495</v>
      </c>
      <c r="F13" s="307"/>
      <c r="G13" s="307"/>
      <c r="H13" s="190"/>
      <c r="I13" s="307"/>
      <c r="J13" s="308"/>
      <c r="K13" s="308"/>
      <c r="L13" s="308"/>
      <c r="M13" s="308"/>
      <c r="N13" s="308"/>
      <c r="O13" s="308"/>
      <c r="P13" s="308"/>
      <c r="Q13" s="308"/>
    </row>
    <row r="14" spans="1:21" s="3" customFormat="1" ht="11.25" customHeight="1" x14ac:dyDescent="0.3">
      <c r="B14" s="56"/>
      <c r="E14" s="17"/>
      <c r="F14" s="17"/>
      <c r="G14" s="2"/>
      <c r="H14" s="47"/>
      <c r="I14" s="2"/>
      <c r="J14" s="2"/>
      <c r="K14" s="2"/>
      <c r="L14" s="2"/>
      <c r="M14" s="2"/>
      <c r="N14" s="2"/>
      <c r="O14" s="2"/>
      <c r="P14" s="2"/>
      <c r="Q14" s="2"/>
      <c r="S14" s="26"/>
      <c r="T14" s="26"/>
    </row>
    <row r="15" spans="1:21" s="3" customFormat="1" ht="52.9" x14ac:dyDescent="0.3">
      <c r="B15" s="222" t="s">
        <v>86</v>
      </c>
      <c r="C15" s="223" t="s">
        <v>368</v>
      </c>
      <c r="D15" s="191"/>
      <c r="E15" s="178" t="s">
        <v>85</v>
      </c>
      <c r="F15" s="178" t="s">
        <v>376</v>
      </c>
      <c r="G15" s="178" t="s">
        <v>86</v>
      </c>
      <c r="H15" s="178" t="s">
        <v>87</v>
      </c>
      <c r="I15" s="178" t="str">
        <f>'1.  LRAMVA Summary'!C21</f>
        <v>Residential</v>
      </c>
      <c r="J15" s="178" t="str">
        <f>'1.  LRAMVA Summary'!D21</f>
        <v>General Service &lt;50 kW</v>
      </c>
      <c r="K15" s="178" t="str">
        <f>'1.  LRAMVA Summary'!E21</f>
        <v>General Service 50 - 999 kW</v>
      </c>
      <c r="L15" s="178" t="str">
        <f>'1.  LRAMVA Summary'!F21</f>
        <v>General Service 1,000 - 4,999 kW</v>
      </c>
      <c r="M15" s="178" t="str">
        <f>'1.  LRAMVA Summary'!G21</f>
        <v>Sentinel Lighting</v>
      </c>
      <c r="N15" s="178" t="str">
        <f>'1.  LRAMVA Summary'!H21</f>
        <v>Street Lighting</v>
      </c>
      <c r="O15" s="178" t="str">
        <f>'1.  LRAMVA Summary'!I21</f>
        <v>Unmetered Scattered Load</v>
      </c>
      <c r="P15" s="178" t="s">
        <v>514</v>
      </c>
      <c r="Q15" s="178" t="str">
        <f>'1.  LRAMVA Summary'!K21</f>
        <v>Total</v>
      </c>
      <c r="S15" s="26"/>
      <c r="T15" s="26"/>
    </row>
    <row r="16" spans="1:21" s="3" customFormat="1" ht="13.9" x14ac:dyDescent="0.3">
      <c r="B16" s="220" t="s">
        <v>67</v>
      </c>
      <c r="C16" s="220">
        <v>1.47E-2</v>
      </c>
      <c r="D16" s="192"/>
      <c r="E16" s="180">
        <v>40544</v>
      </c>
      <c r="F16" s="226">
        <v>2011</v>
      </c>
      <c r="G16" s="181" t="s">
        <v>88</v>
      </c>
      <c r="H16" s="473">
        <f t="shared" ref="H16:H18" si="0">C$16/12</f>
        <v>1.225E-3</v>
      </c>
      <c r="I16" s="183">
        <f>SUM('1.  LRAMVA Summary'!C$22:C$23)*(MONTH($E16)-1)/12*$H16</f>
        <v>0</v>
      </c>
      <c r="J16" s="183">
        <f>SUM('1.  LRAMVA Summary'!D$22:D$23)*(MONTH($E16)-1)/12*$H16</f>
        <v>0</v>
      </c>
      <c r="K16" s="183">
        <f>SUM('1.  LRAMVA Summary'!E$22:E$23)*(MONTH($E16)-1)/12*$H16</f>
        <v>0</v>
      </c>
      <c r="L16" s="183">
        <f>SUM('1.  LRAMVA Summary'!F$22:F$23)*(MONTH($E16)-1)/12*$H16</f>
        <v>0</v>
      </c>
      <c r="M16" s="183">
        <f>SUM('1.  LRAMVA Summary'!G$22:G$23)*(MONTH($E16)-1)/12*$H16</f>
        <v>0</v>
      </c>
      <c r="N16" s="183">
        <f>SUM('1.  LRAMVA Summary'!H$22:H$23)*(MONTH($E16)-1)/12*$H16</f>
        <v>0</v>
      </c>
      <c r="O16" s="183">
        <f>SUM('1.  LRAMVA Summary'!I$22:I$23)*(MONTH($E16)-1)/12*$H16</f>
        <v>0</v>
      </c>
      <c r="P16" s="559">
        <f>SUM('1.  LRAMVA Summary'!J$22:J$23)*(MONTH($E16)-1)/12*$H16</f>
        <v>0</v>
      </c>
      <c r="Q16" s="182">
        <f>SUM(I16:P16)</f>
        <v>0</v>
      </c>
    </row>
    <row r="17" spans="2:17" s="3" customFormat="1" ht="13.9" x14ac:dyDescent="0.3">
      <c r="B17" s="179" t="s">
        <v>68</v>
      </c>
      <c r="C17" s="179">
        <v>1.47E-2</v>
      </c>
      <c r="D17" s="192"/>
      <c r="E17" s="180">
        <v>40575</v>
      </c>
      <c r="F17" s="226">
        <v>2011</v>
      </c>
      <c r="G17" s="181" t="s">
        <v>88</v>
      </c>
      <c r="H17" s="473">
        <f t="shared" si="0"/>
        <v>1.225E-3</v>
      </c>
      <c r="I17" s="183">
        <f>SUM('1.  LRAMVA Summary'!C$22:C$23)*(MONTH($E17)-1)/12*$H17</f>
        <v>0</v>
      </c>
      <c r="J17" s="183">
        <f>SUM('1.  LRAMVA Summary'!D$22:D$23)*(MONTH($E17)-1)/12*$H17</f>
        <v>0</v>
      </c>
      <c r="K17" s="183">
        <f>SUM('1.  LRAMVA Summary'!E$22:E$23)*(MONTH($E17)-1)/12*$H17</f>
        <v>0</v>
      </c>
      <c r="L17" s="183">
        <f>SUM('1.  LRAMVA Summary'!F$22:F$23)*(MONTH($E17)-1)/12*$H17</f>
        <v>0</v>
      </c>
      <c r="M17" s="183">
        <f>SUM('1.  LRAMVA Summary'!G$22:G$23)*(MONTH($E17)-1)/12*$H17</f>
        <v>0</v>
      </c>
      <c r="N17" s="183">
        <f>SUM('1.  LRAMVA Summary'!H$22:H$23)*(MONTH($E17)-1)/12*$H17</f>
        <v>0</v>
      </c>
      <c r="O17" s="183">
        <f>SUM('1.  LRAMVA Summary'!I$22:I$23)*(MONTH($E17)-1)/12*$H17</f>
        <v>0</v>
      </c>
      <c r="P17" s="559">
        <f>SUM('1.  LRAMVA Summary'!J$22:J$23)*(MONTH($E17)-1)/12*$H17</f>
        <v>0</v>
      </c>
      <c r="Q17" s="182">
        <f>SUM(I17:P17)</f>
        <v>0</v>
      </c>
    </row>
    <row r="18" spans="2:17" s="3" customFormat="1" ht="13.9" x14ac:dyDescent="0.3">
      <c r="B18" s="179" t="s">
        <v>69</v>
      </c>
      <c r="C18" s="179">
        <v>1.47E-2</v>
      </c>
      <c r="D18" s="192"/>
      <c r="E18" s="180">
        <v>40603</v>
      </c>
      <c r="F18" s="226">
        <v>2011</v>
      </c>
      <c r="G18" s="181" t="s">
        <v>88</v>
      </c>
      <c r="H18" s="473">
        <f t="shared" si="0"/>
        <v>1.225E-3</v>
      </c>
      <c r="I18" s="183">
        <f>SUM('1.  LRAMVA Summary'!C$22:C$23)*(MONTH($E18)-1)/12*$H18</f>
        <v>0</v>
      </c>
      <c r="J18" s="183">
        <f>SUM('1.  LRAMVA Summary'!D$22:D$23)*(MONTH($E18)-1)/12*$H18</f>
        <v>0</v>
      </c>
      <c r="K18" s="183">
        <f>SUM('1.  LRAMVA Summary'!E$22:E$23)*(MONTH($E18)-1)/12*$H18</f>
        <v>0</v>
      </c>
      <c r="L18" s="183">
        <f>SUM('1.  LRAMVA Summary'!F$22:F$23)*(MONTH($E18)-1)/12*$H18</f>
        <v>0</v>
      </c>
      <c r="M18" s="183">
        <f>SUM('1.  LRAMVA Summary'!G$22:G$23)*(MONTH($E18)-1)/12*$H18</f>
        <v>0</v>
      </c>
      <c r="N18" s="183">
        <f>SUM('1.  LRAMVA Summary'!H$22:H$23)*(MONTH($E18)-1)/12*$H18</f>
        <v>0</v>
      </c>
      <c r="O18" s="183">
        <f>SUM('1.  LRAMVA Summary'!I$22:I$23)*(MONTH($E18)-1)/12*$H18</f>
        <v>0</v>
      </c>
      <c r="P18" s="559">
        <f>SUM('1.  LRAMVA Summary'!J$22:J$23)*(MONTH($E18)-1)/12*$H18</f>
        <v>0</v>
      </c>
      <c r="Q18" s="182">
        <f t="shared" ref="Q18:Q27" si="1">SUM(I18:P18)</f>
        <v>0</v>
      </c>
    </row>
    <row r="19" spans="2:17" s="3" customFormat="1" ht="13.9" x14ac:dyDescent="0.3">
      <c r="B19" s="179" t="s">
        <v>70</v>
      </c>
      <c r="C19" s="179">
        <v>1.47E-2</v>
      </c>
      <c r="D19" s="192"/>
      <c r="E19" s="184">
        <v>40634</v>
      </c>
      <c r="F19" s="226">
        <v>2011</v>
      </c>
      <c r="G19" s="185" t="s">
        <v>89</v>
      </c>
      <c r="H19" s="473">
        <f>C$17/12</f>
        <v>1.225E-3</v>
      </c>
      <c r="I19" s="186">
        <f>SUM('1.  LRAMVA Summary'!C$22:C$23)*(MONTH($E19)-1)/12*$H19</f>
        <v>0</v>
      </c>
      <c r="J19" s="186">
        <f>SUM('1.  LRAMVA Summary'!D$22:D$23)*(MONTH($E19)-1)/12*$H19</f>
        <v>0</v>
      </c>
      <c r="K19" s="186">
        <f>SUM('1.  LRAMVA Summary'!E$22:E$23)*(MONTH($E19)-1)/12*$H19</f>
        <v>0</v>
      </c>
      <c r="L19" s="186">
        <f>SUM('1.  LRAMVA Summary'!F$22:F$23)*(MONTH($E19)-1)/12*$H19</f>
        <v>0</v>
      </c>
      <c r="M19" s="186">
        <f>SUM('1.  LRAMVA Summary'!G$22:G$23)*(MONTH($E19)-1)/12*$H19</f>
        <v>0</v>
      </c>
      <c r="N19" s="186">
        <f>SUM('1.  LRAMVA Summary'!H$22:H$23)*(MONTH($E19)-1)/12*$H19</f>
        <v>0</v>
      </c>
      <c r="O19" s="186">
        <f>SUM('1.  LRAMVA Summary'!I$22:I$23)*(MONTH($E19)-1)/12*$H19</f>
        <v>0</v>
      </c>
      <c r="P19" s="559">
        <f>SUM('1.  LRAMVA Summary'!J$22:J$23)*(MONTH($E19)-1)/12*$H19</f>
        <v>0</v>
      </c>
      <c r="Q19" s="187">
        <f t="shared" si="1"/>
        <v>0</v>
      </c>
    </row>
    <row r="20" spans="2:17" s="3" customFormat="1" ht="13.9" x14ac:dyDescent="0.3">
      <c r="B20" s="179" t="s">
        <v>71</v>
      </c>
      <c r="C20" s="179">
        <v>1.47E-2</v>
      </c>
      <c r="D20" s="192"/>
      <c r="E20" s="184">
        <v>40664</v>
      </c>
      <c r="F20" s="226">
        <v>2011</v>
      </c>
      <c r="G20" s="185" t="s">
        <v>89</v>
      </c>
      <c r="H20" s="473">
        <f t="shared" ref="H20:H21" si="2">C$17/12</f>
        <v>1.225E-3</v>
      </c>
      <c r="I20" s="186">
        <f>SUM('1.  LRAMVA Summary'!C$22:C$23)*(MONTH($E20)-1)/12*$H20</f>
        <v>0</v>
      </c>
      <c r="J20" s="186">
        <f>SUM('1.  LRAMVA Summary'!D$22:D$23)*(MONTH($E20)-1)/12*$H20</f>
        <v>0</v>
      </c>
      <c r="K20" s="186">
        <f>SUM('1.  LRAMVA Summary'!E$22:E$23)*(MONTH($E20)-1)/12*$H20</f>
        <v>0</v>
      </c>
      <c r="L20" s="186">
        <f>SUM('1.  LRAMVA Summary'!F$22:F$23)*(MONTH($E20)-1)/12*$H20</f>
        <v>0</v>
      </c>
      <c r="M20" s="186">
        <f>SUM('1.  LRAMVA Summary'!G$22:G$23)*(MONTH($E20)-1)/12*$H20</f>
        <v>0</v>
      </c>
      <c r="N20" s="186">
        <f>SUM('1.  LRAMVA Summary'!H$22:H$23)*(MONTH($E20)-1)/12*$H20</f>
        <v>0</v>
      </c>
      <c r="O20" s="186">
        <f>SUM('1.  LRAMVA Summary'!I$22:I$23)*(MONTH($E20)-1)/12*$H20</f>
        <v>0</v>
      </c>
      <c r="P20" s="559">
        <f>SUM('1.  LRAMVA Summary'!J$22:J$23)*(MONTH($E20)-1)/12*$H20</f>
        <v>0</v>
      </c>
      <c r="Q20" s="187">
        <f t="shared" si="1"/>
        <v>0</v>
      </c>
    </row>
    <row r="21" spans="2:17" s="3" customFormat="1" ht="13.9" x14ac:dyDescent="0.3">
      <c r="B21" s="179" t="s">
        <v>72</v>
      </c>
      <c r="C21" s="179">
        <v>1.47E-2</v>
      </c>
      <c r="D21" s="192"/>
      <c r="E21" s="184">
        <v>40695</v>
      </c>
      <c r="F21" s="226">
        <v>2011</v>
      </c>
      <c r="G21" s="185" t="s">
        <v>89</v>
      </c>
      <c r="H21" s="473">
        <f t="shared" si="2"/>
        <v>1.225E-3</v>
      </c>
      <c r="I21" s="186">
        <f>SUM('1.  LRAMVA Summary'!C$22:C$23)*(MONTH($E21)-1)/12*$H21</f>
        <v>0</v>
      </c>
      <c r="J21" s="186">
        <f>SUM('1.  LRAMVA Summary'!D$22:D$23)*(MONTH($E21)-1)/12*$H21</f>
        <v>0</v>
      </c>
      <c r="K21" s="186">
        <f>SUM('1.  LRAMVA Summary'!E$22:E$23)*(MONTH($E21)-1)/12*$H21</f>
        <v>0</v>
      </c>
      <c r="L21" s="186">
        <f>SUM('1.  LRAMVA Summary'!F$22:F$23)*(MONTH($E21)-1)/12*$H21</f>
        <v>0</v>
      </c>
      <c r="M21" s="186">
        <f>SUM('1.  LRAMVA Summary'!G$22:G$23)*(MONTH($E21)-1)/12*$H21</f>
        <v>0</v>
      </c>
      <c r="N21" s="186">
        <f>SUM('1.  LRAMVA Summary'!H$22:H$23)*(MONTH($E21)-1)/12*$H21</f>
        <v>0</v>
      </c>
      <c r="O21" s="186">
        <f>SUM('1.  LRAMVA Summary'!I$22:I$23)*(MONTH($E21)-1)/12*$H21</f>
        <v>0</v>
      </c>
      <c r="P21" s="559">
        <f>SUM('1.  LRAMVA Summary'!J$22:J$23)*(MONTH($E21)-1)/12*$H21</f>
        <v>0</v>
      </c>
      <c r="Q21" s="187">
        <f t="shared" si="1"/>
        <v>0</v>
      </c>
    </row>
    <row r="22" spans="2:17" s="3" customFormat="1" ht="13.9" x14ac:dyDescent="0.3">
      <c r="B22" s="179" t="s">
        <v>73</v>
      </c>
      <c r="C22" s="179">
        <v>1.47E-2</v>
      </c>
      <c r="D22" s="192"/>
      <c r="E22" s="184">
        <v>40725</v>
      </c>
      <c r="F22" s="226">
        <v>2011</v>
      </c>
      <c r="G22" s="185" t="s">
        <v>91</v>
      </c>
      <c r="H22" s="473">
        <f>C$18/12</f>
        <v>1.225E-3</v>
      </c>
      <c r="I22" s="186">
        <f>SUM('1.  LRAMVA Summary'!C$22:C$23)*(MONTH($E22)-1)/12*$H22</f>
        <v>0</v>
      </c>
      <c r="J22" s="186">
        <f>SUM('1.  LRAMVA Summary'!D$22:D$23)*(MONTH($E22)-1)/12*$H22</f>
        <v>0</v>
      </c>
      <c r="K22" s="186">
        <f>SUM('1.  LRAMVA Summary'!E$22:E$23)*(MONTH($E22)-1)/12*$H22</f>
        <v>0</v>
      </c>
      <c r="L22" s="186">
        <f>SUM('1.  LRAMVA Summary'!F$22:F$23)*(MONTH($E22)-1)/12*$H22</f>
        <v>0</v>
      </c>
      <c r="M22" s="186">
        <f>SUM('1.  LRAMVA Summary'!G$22:G$23)*(MONTH($E22)-1)/12*$H22</f>
        <v>0</v>
      </c>
      <c r="N22" s="186">
        <f>SUM('1.  LRAMVA Summary'!H$22:H$23)*(MONTH($E22)-1)/12*$H22</f>
        <v>0</v>
      </c>
      <c r="O22" s="186">
        <f>SUM('1.  LRAMVA Summary'!I$22:I$23)*(MONTH($E22)-1)/12*$H22</f>
        <v>0</v>
      </c>
      <c r="P22" s="559">
        <f>SUM('1.  LRAMVA Summary'!J$22:J$23)*(MONTH($E22)-1)/12*$H22</f>
        <v>0</v>
      </c>
      <c r="Q22" s="187">
        <f t="shared" si="1"/>
        <v>0</v>
      </c>
    </row>
    <row r="23" spans="2:17" s="3" customFormat="1" ht="13.9" x14ac:dyDescent="0.3">
      <c r="B23" s="179" t="s">
        <v>74</v>
      </c>
      <c r="C23" s="179">
        <v>1.47E-2</v>
      </c>
      <c r="D23" s="192"/>
      <c r="E23" s="184">
        <v>40756</v>
      </c>
      <c r="F23" s="226">
        <v>2011</v>
      </c>
      <c r="G23" s="185" t="s">
        <v>91</v>
      </c>
      <c r="H23" s="473">
        <f t="shared" ref="H23:H24" si="3">C$18/12</f>
        <v>1.225E-3</v>
      </c>
      <c r="I23" s="186">
        <f>SUM('1.  LRAMVA Summary'!C$22:C$23)*(MONTH($E23)-1)/12*$H23</f>
        <v>0</v>
      </c>
      <c r="J23" s="186">
        <f>SUM('1.  LRAMVA Summary'!D$22:D$23)*(MONTH($E23)-1)/12*$H23</f>
        <v>0</v>
      </c>
      <c r="K23" s="186">
        <f>SUM('1.  LRAMVA Summary'!E$22:E$23)*(MONTH($E23)-1)/12*$H23</f>
        <v>0</v>
      </c>
      <c r="L23" s="186">
        <f>SUM('1.  LRAMVA Summary'!F$22:F$23)*(MONTH($E23)-1)/12*$H23</f>
        <v>0</v>
      </c>
      <c r="M23" s="186">
        <f>SUM('1.  LRAMVA Summary'!G$22:G$23)*(MONTH($E23)-1)/12*$H23</f>
        <v>0</v>
      </c>
      <c r="N23" s="186">
        <f>SUM('1.  LRAMVA Summary'!H$22:H$23)*(MONTH($E23)-1)/12*$H23</f>
        <v>0</v>
      </c>
      <c r="O23" s="186">
        <f>SUM('1.  LRAMVA Summary'!I$22:I$23)*(MONTH($E23)-1)/12*$H23</f>
        <v>0</v>
      </c>
      <c r="P23" s="559">
        <f>SUM('1.  LRAMVA Summary'!J$22:J$23)*(MONTH($E23)-1)/12*$H23</f>
        <v>0</v>
      </c>
      <c r="Q23" s="187">
        <f t="shared" si="1"/>
        <v>0</v>
      </c>
    </row>
    <row r="24" spans="2:17" s="3" customFormat="1" ht="13.9" x14ac:dyDescent="0.3">
      <c r="B24" s="179" t="s">
        <v>75</v>
      </c>
      <c r="C24" s="179">
        <v>1.47E-2</v>
      </c>
      <c r="D24" s="192"/>
      <c r="E24" s="184">
        <v>40787</v>
      </c>
      <c r="F24" s="226">
        <v>2011</v>
      </c>
      <c r="G24" s="185" t="s">
        <v>91</v>
      </c>
      <c r="H24" s="473">
        <f t="shared" si="3"/>
        <v>1.225E-3</v>
      </c>
      <c r="I24" s="186">
        <f>SUM('1.  LRAMVA Summary'!C$22:C$23)*(MONTH($E24)-1)/12*$H24</f>
        <v>0</v>
      </c>
      <c r="J24" s="186">
        <f>SUM('1.  LRAMVA Summary'!D$22:D$23)*(MONTH($E24)-1)/12*$H24</f>
        <v>0</v>
      </c>
      <c r="K24" s="186">
        <f>SUM('1.  LRAMVA Summary'!E$22:E$23)*(MONTH($E24)-1)/12*$H24</f>
        <v>0</v>
      </c>
      <c r="L24" s="186">
        <f>SUM('1.  LRAMVA Summary'!F$22:F$23)*(MONTH($E24)-1)/12*$H24</f>
        <v>0</v>
      </c>
      <c r="M24" s="186">
        <f>SUM('1.  LRAMVA Summary'!G$22:G$23)*(MONTH($E24)-1)/12*$H24</f>
        <v>0</v>
      </c>
      <c r="N24" s="186">
        <f>SUM('1.  LRAMVA Summary'!H$22:H$23)*(MONTH($E24)-1)/12*$H24</f>
        <v>0</v>
      </c>
      <c r="O24" s="186">
        <f>SUM('1.  LRAMVA Summary'!I$22:I$23)*(MONTH($E24)-1)/12*$H24</f>
        <v>0</v>
      </c>
      <c r="P24" s="559">
        <f>SUM('1.  LRAMVA Summary'!J$22:J$23)*(MONTH($E24)-1)/12*$H24</f>
        <v>0</v>
      </c>
      <c r="Q24" s="187">
        <f t="shared" si="1"/>
        <v>0</v>
      </c>
    </row>
    <row r="25" spans="2:17" s="3" customFormat="1" ht="13.9" x14ac:dyDescent="0.3">
      <c r="B25" s="179" t="s">
        <v>76</v>
      </c>
      <c r="C25" s="179">
        <v>1.47E-2</v>
      </c>
      <c r="D25" s="192"/>
      <c r="E25" s="184">
        <v>40817</v>
      </c>
      <c r="F25" s="226">
        <v>2011</v>
      </c>
      <c r="G25" s="185" t="s">
        <v>92</v>
      </c>
      <c r="H25" s="473">
        <f>C$19/12</f>
        <v>1.225E-3</v>
      </c>
      <c r="I25" s="186">
        <f>SUM('1.  LRAMVA Summary'!C$22:C$23)*(MONTH($E25)-1)/12*$H25</f>
        <v>0</v>
      </c>
      <c r="J25" s="186">
        <f>SUM('1.  LRAMVA Summary'!D$22:D$23)*(MONTH($E25)-1)/12*$H25</f>
        <v>0</v>
      </c>
      <c r="K25" s="186">
        <f>SUM('1.  LRAMVA Summary'!E$22:E$23)*(MONTH($E25)-1)/12*$H25</f>
        <v>0</v>
      </c>
      <c r="L25" s="186">
        <f>SUM('1.  LRAMVA Summary'!F$22:F$23)*(MONTH($E25)-1)/12*$H25</f>
        <v>0</v>
      </c>
      <c r="M25" s="186">
        <f>SUM('1.  LRAMVA Summary'!G$22:G$23)*(MONTH($E25)-1)/12*$H25</f>
        <v>0</v>
      </c>
      <c r="N25" s="186">
        <f>SUM('1.  LRAMVA Summary'!H$22:H$23)*(MONTH($E25)-1)/12*$H25</f>
        <v>0</v>
      </c>
      <c r="O25" s="186">
        <f>SUM('1.  LRAMVA Summary'!I$22:I$23)*(MONTH($E25)-1)/12*$H25</f>
        <v>0</v>
      </c>
      <c r="P25" s="559">
        <f>SUM('1.  LRAMVA Summary'!J$22:J$23)*(MONTH($E25)-1)/12*$H25</f>
        <v>0</v>
      </c>
      <c r="Q25" s="187">
        <f t="shared" si="1"/>
        <v>0</v>
      </c>
    </row>
    <row r="26" spans="2:17" s="3" customFormat="1" ht="13.9" x14ac:dyDescent="0.3">
      <c r="B26" s="179" t="s">
        <v>77</v>
      </c>
      <c r="C26" s="179">
        <v>1.47E-2</v>
      </c>
      <c r="D26" s="192"/>
      <c r="E26" s="184">
        <v>40848</v>
      </c>
      <c r="F26" s="226">
        <v>2011</v>
      </c>
      <c r="G26" s="185" t="s">
        <v>92</v>
      </c>
      <c r="H26" s="473">
        <f t="shared" ref="H26:H27" si="4">C$19/12</f>
        <v>1.225E-3</v>
      </c>
      <c r="I26" s="186">
        <f>SUM('1.  LRAMVA Summary'!C$22:C$23)*(MONTH($E26)-1)/12*$H26</f>
        <v>0</v>
      </c>
      <c r="J26" s="186">
        <f>SUM('1.  LRAMVA Summary'!D$22:D$23)*(MONTH($E26)-1)/12*$H26</f>
        <v>0</v>
      </c>
      <c r="K26" s="186">
        <f>SUM('1.  LRAMVA Summary'!E$22:E$23)*(MONTH($E26)-1)/12*$H26</f>
        <v>0</v>
      </c>
      <c r="L26" s="186">
        <f>SUM('1.  LRAMVA Summary'!F$22:F$23)*(MONTH($E26)-1)/12*$H26</f>
        <v>0</v>
      </c>
      <c r="M26" s="186">
        <f>SUM('1.  LRAMVA Summary'!G$22:G$23)*(MONTH($E26)-1)/12*$H26</f>
        <v>0</v>
      </c>
      <c r="N26" s="186">
        <f>SUM('1.  LRAMVA Summary'!H$22:H$23)*(MONTH($E26)-1)/12*$H26</f>
        <v>0</v>
      </c>
      <c r="O26" s="186">
        <f>SUM('1.  LRAMVA Summary'!I$22:I$23)*(MONTH($E26)-1)/12*$H26</f>
        <v>0</v>
      </c>
      <c r="P26" s="559">
        <f>SUM('1.  LRAMVA Summary'!J$22:J$23)*(MONTH($E26)-1)/12*$H26</f>
        <v>0</v>
      </c>
      <c r="Q26" s="187">
        <f t="shared" si="1"/>
        <v>0</v>
      </c>
    </row>
    <row r="27" spans="2:17" s="3" customFormat="1" ht="13.9" x14ac:dyDescent="0.3">
      <c r="B27" s="179" t="s">
        <v>78</v>
      </c>
      <c r="C27" s="179">
        <v>1.47E-2</v>
      </c>
      <c r="D27" s="192"/>
      <c r="E27" s="184">
        <v>40878</v>
      </c>
      <c r="F27" s="226">
        <v>2011</v>
      </c>
      <c r="G27" s="185" t="s">
        <v>92</v>
      </c>
      <c r="H27" s="473">
        <f t="shared" si="4"/>
        <v>1.225E-3</v>
      </c>
      <c r="I27" s="186">
        <f>SUM('1.  LRAMVA Summary'!C$22:C$23)*(MONTH($E27)-1)/12*$H27</f>
        <v>0</v>
      </c>
      <c r="J27" s="186">
        <f>SUM('1.  LRAMVA Summary'!D$22:D$23)*(MONTH($E27)-1)/12*$H27</f>
        <v>0</v>
      </c>
      <c r="K27" s="186">
        <f>SUM('1.  LRAMVA Summary'!E$22:E$23)*(MONTH($E27)-1)/12*$H27</f>
        <v>0</v>
      </c>
      <c r="L27" s="186">
        <f>SUM('1.  LRAMVA Summary'!F$22:F$23)*(MONTH($E27)-1)/12*$H27</f>
        <v>0</v>
      </c>
      <c r="M27" s="186">
        <f>SUM('1.  LRAMVA Summary'!G$22:G$23)*(MONTH($E27)-1)/12*$H27</f>
        <v>0</v>
      </c>
      <c r="N27" s="186">
        <f>SUM('1.  LRAMVA Summary'!H$22:H$23)*(MONTH($E27)-1)/12*$H27</f>
        <v>0</v>
      </c>
      <c r="O27" s="186">
        <f>SUM('1.  LRAMVA Summary'!I$22:I$23)*(MONTH($E27)-1)/12*$H27</f>
        <v>0</v>
      </c>
      <c r="P27" s="559">
        <f>SUM('1.  LRAMVA Summary'!J$22:J$23)*(MONTH($E27)-1)/12*$H27</f>
        <v>0</v>
      </c>
      <c r="Q27" s="187">
        <f t="shared" si="1"/>
        <v>0</v>
      </c>
    </row>
    <row r="28" spans="2:17" s="3" customFormat="1" ht="14.45" thickBot="1" x14ac:dyDescent="0.35">
      <c r="B28" s="179" t="s">
        <v>79</v>
      </c>
      <c r="C28" s="179">
        <v>1.47E-2</v>
      </c>
      <c r="D28" s="192"/>
      <c r="E28" s="196" t="s">
        <v>384</v>
      </c>
      <c r="F28" s="196"/>
      <c r="G28" s="197"/>
      <c r="H28" s="474"/>
      <c r="I28" s="198">
        <f>SUM(I16:I27)</f>
        <v>0</v>
      </c>
      <c r="J28" s="198">
        <f t="shared" ref="J28:P28" si="5">SUM(J16:J27)</f>
        <v>0</v>
      </c>
      <c r="K28" s="198">
        <f t="shared" si="5"/>
        <v>0</v>
      </c>
      <c r="L28" s="198">
        <f t="shared" si="5"/>
        <v>0</v>
      </c>
      <c r="M28" s="198">
        <f t="shared" si="5"/>
        <v>0</v>
      </c>
      <c r="N28" s="198">
        <f t="shared" si="5"/>
        <v>0</v>
      </c>
      <c r="O28" s="198">
        <f t="shared" si="5"/>
        <v>0</v>
      </c>
      <c r="P28" s="560">
        <f t="shared" si="5"/>
        <v>0</v>
      </c>
      <c r="Q28" s="198">
        <f>SUM(Q16:Q27)</f>
        <v>0</v>
      </c>
    </row>
    <row r="29" spans="2:17" s="3" customFormat="1" ht="14.45" thickTop="1" x14ac:dyDescent="0.3">
      <c r="B29" s="179" t="s">
        <v>80</v>
      </c>
      <c r="C29" s="179">
        <v>1.47E-2</v>
      </c>
      <c r="D29" s="192"/>
      <c r="E29" s="227" t="s">
        <v>90</v>
      </c>
      <c r="F29" s="227"/>
      <c r="G29" s="228"/>
      <c r="H29" s="475"/>
      <c r="I29" s="229"/>
      <c r="J29" s="229"/>
      <c r="K29" s="229"/>
      <c r="L29" s="229"/>
      <c r="M29" s="229"/>
      <c r="N29" s="229"/>
      <c r="O29" s="229"/>
      <c r="P29" s="229"/>
      <c r="Q29" s="230"/>
    </row>
    <row r="30" spans="2:17" s="3" customFormat="1" ht="13.9" x14ac:dyDescent="0.3">
      <c r="B30" s="179" t="s">
        <v>81</v>
      </c>
      <c r="C30" s="179">
        <v>1.47E-2</v>
      </c>
      <c r="D30" s="192"/>
      <c r="E30" s="193" t="s">
        <v>391</v>
      </c>
      <c r="F30" s="193"/>
      <c r="G30" s="194"/>
      <c r="H30" s="476"/>
      <c r="I30" s="195">
        <f>I28+I29</f>
        <v>0</v>
      </c>
      <c r="J30" s="195">
        <f t="shared" ref="J30:M30" si="6">J28+J29</f>
        <v>0</v>
      </c>
      <c r="K30" s="195">
        <f t="shared" si="6"/>
        <v>0</v>
      </c>
      <c r="L30" s="195">
        <f t="shared" si="6"/>
        <v>0</v>
      </c>
      <c r="M30" s="195">
        <f t="shared" si="6"/>
        <v>0</v>
      </c>
      <c r="N30" s="195">
        <f>N28+N29</f>
        <v>0</v>
      </c>
      <c r="O30" s="195">
        <f>O28+O29</f>
        <v>0</v>
      </c>
      <c r="P30" s="558">
        <f>P28+P29</f>
        <v>0</v>
      </c>
      <c r="Q30" s="195">
        <f>Q28+Q29</f>
        <v>0</v>
      </c>
    </row>
    <row r="31" spans="2:17" s="3" customFormat="1" ht="13.9" x14ac:dyDescent="0.3">
      <c r="B31" s="179" t="s">
        <v>82</v>
      </c>
      <c r="C31" s="179">
        <v>1.47E-2</v>
      </c>
      <c r="D31" s="192"/>
      <c r="E31" s="184">
        <v>40909</v>
      </c>
      <c r="F31" s="184" t="s">
        <v>371</v>
      </c>
      <c r="G31" s="185" t="s">
        <v>88</v>
      </c>
      <c r="H31" s="477">
        <f t="shared" ref="H31:H33" si="7">C$20/12</f>
        <v>1.225E-3</v>
      </c>
      <c r="I31" s="186">
        <f>(SUM('1.  LRAMVA Summary'!C$22:C$24)+SUM('1.  LRAMVA Summary'!C$25:C$26)*(MONTH($E31)-1)/12)*$H31</f>
        <v>0</v>
      </c>
      <c r="J31" s="186">
        <f>(SUM('1.  LRAMVA Summary'!D$22:D$24)+SUM('1.  LRAMVA Summary'!D$25:D$26)*(MONTH($E31)-1)/12)*$H31</f>
        <v>0</v>
      </c>
      <c r="K31" s="186">
        <f>(SUM('1.  LRAMVA Summary'!E$22:E$24)+SUM('1.  LRAMVA Summary'!E$25:E$26)*(MONTH($E31)-1)/12)*$H31</f>
        <v>0</v>
      </c>
      <c r="L31" s="186">
        <f>(SUM('1.  LRAMVA Summary'!F$22:F$24)+SUM('1.  LRAMVA Summary'!F$25:F$26)*(MONTH($E31)-1)/12)*$H31</f>
        <v>0</v>
      </c>
      <c r="M31" s="186">
        <f>(SUM('1.  LRAMVA Summary'!G$22:G$24)+SUM('1.  LRAMVA Summary'!G$25:G$26)*(MONTH($E31)-1)/12)*$H31</f>
        <v>0</v>
      </c>
      <c r="N31" s="186">
        <f>(SUM('1.  LRAMVA Summary'!H$22:H$24)+SUM('1.  LRAMVA Summary'!H$25:H$26)*(MONTH($E31)-1)/12)*$H31</f>
        <v>0</v>
      </c>
      <c r="O31" s="186">
        <f>(SUM('1.  LRAMVA Summary'!I$22:I$24)+SUM('1.  LRAMVA Summary'!I$25:I$26)*(MONTH($E31)-1)/12)*$H31</f>
        <v>0</v>
      </c>
      <c r="P31" s="559">
        <f>(SUM('1.  LRAMVA Summary'!J$22:J$24)+SUM('1.  LRAMVA Summary'!J$25:J$26)*(MONTH($E31)-1)/12)*$H31</f>
        <v>0</v>
      </c>
      <c r="Q31" s="187">
        <f t="shared" ref="Q31:Q42" si="8">SUM(I31:P31)</f>
        <v>0</v>
      </c>
    </row>
    <row r="32" spans="2:17" s="3" customFormat="1" ht="13.9" x14ac:dyDescent="0.3">
      <c r="B32" s="179" t="s">
        <v>83</v>
      </c>
      <c r="C32" s="179">
        <v>1.47E-2</v>
      </c>
      <c r="D32" s="192"/>
      <c r="E32" s="184">
        <v>40940</v>
      </c>
      <c r="F32" s="184" t="s">
        <v>371</v>
      </c>
      <c r="G32" s="185" t="s">
        <v>88</v>
      </c>
      <c r="H32" s="477">
        <f t="shared" si="7"/>
        <v>1.225E-3</v>
      </c>
      <c r="I32" s="186">
        <f>(SUM('1.  LRAMVA Summary'!C$22:C$24)+SUM('1.  LRAMVA Summary'!C$25:C$26)*(MONTH($E32)-1)/12)*$H32</f>
        <v>0</v>
      </c>
      <c r="J32" s="186">
        <f>(SUM('1.  LRAMVA Summary'!D$22:D$24)+SUM('1.  LRAMVA Summary'!D$25:D$26)*(MONTH($E32)-1)/12)*$H32</f>
        <v>0</v>
      </c>
      <c r="K32" s="186">
        <f>(SUM('1.  LRAMVA Summary'!E$22:E$24)+SUM('1.  LRAMVA Summary'!E$25:E$26)*(MONTH($E32)-1)/12)*$H32</f>
        <v>0</v>
      </c>
      <c r="L32" s="186">
        <f>(SUM('1.  LRAMVA Summary'!F$22:F$24)+SUM('1.  LRAMVA Summary'!F$25:F$26)*(MONTH($E32)-1)/12)*$H32</f>
        <v>0</v>
      </c>
      <c r="M32" s="186">
        <f>(SUM('1.  LRAMVA Summary'!G$22:G$24)+SUM('1.  LRAMVA Summary'!G$25:G$26)*(MONTH($E32)-1)/12)*$H32</f>
        <v>0</v>
      </c>
      <c r="N32" s="186">
        <f>(SUM('1.  LRAMVA Summary'!H$22:H$24)+SUM('1.  LRAMVA Summary'!H$25:H$26)*(MONTH($E32)-1)/12)*$H32</f>
        <v>0</v>
      </c>
      <c r="O32" s="186">
        <f>(SUM('1.  LRAMVA Summary'!I$22:I$24)+SUM('1.  LRAMVA Summary'!I$25:I$26)*(MONTH($E32)-1)/12)*$H32</f>
        <v>0</v>
      </c>
      <c r="P32" s="559">
        <f>(SUM('1.  LRAMVA Summary'!J$22:J$24)+SUM('1.  LRAMVA Summary'!J$25:J$26)*(MONTH($E32)-1)/12)*$H32</f>
        <v>0</v>
      </c>
      <c r="Q32" s="187">
        <f t="shared" si="8"/>
        <v>0</v>
      </c>
    </row>
    <row r="33" spans="2:17" s="3" customFormat="1" ht="13.9" x14ac:dyDescent="0.3">
      <c r="B33" s="179" t="s">
        <v>84</v>
      </c>
      <c r="C33" s="179">
        <v>1.0999999999999999E-2</v>
      </c>
      <c r="D33" s="192"/>
      <c r="E33" s="184">
        <v>40969</v>
      </c>
      <c r="F33" s="184" t="s">
        <v>371</v>
      </c>
      <c r="G33" s="185" t="s">
        <v>88</v>
      </c>
      <c r="H33" s="477">
        <f t="shared" si="7"/>
        <v>1.225E-3</v>
      </c>
      <c r="I33" s="186">
        <f>(SUM('1.  LRAMVA Summary'!C$22:C$24)+SUM('1.  LRAMVA Summary'!C$25:C$26)*(MONTH($E33)-1)/12)*$H33</f>
        <v>0</v>
      </c>
      <c r="J33" s="186">
        <f>(SUM('1.  LRAMVA Summary'!D$22:D$24)+SUM('1.  LRAMVA Summary'!D$25:D$26)*(MONTH($E33)-1)/12)*$H33</f>
        <v>0</v>
      </c>
      <c r="K33" s="186">
        <f>(SUM('1.  LRAMVA Summary'!E$22:E$24)+SUM('1.  LRAMVA Summary'!E$25:E$26)*(MONTH($E33)-1)/12)*$H33</f>
        <v>0</v>
      </c>
      <c r="L33" s="186">
        <f>(SUM('1.  LRAMVA Summary'!F$22:F$24)+SUM('1.  LRAMVA Summary'!F$25:F$26)*(MONTH($E33)-1)/12)*$H33</f>
        <v>0</v>
      </c>
      <c r="M33" s="186">
        <f>(SUM('1.  LRAMVA Summary'!G$22:G$24)+SUM('1.  LRAMVA Summary'!G$25:G$26)*(MONTH($E33)-1)/12)*$H33</f>
        <v>0</v>
      </c>
      <c r="N33" s="186">
        <f>(SUM('1.  LRAMVA Summary'!H$22:H$24)+SUM('1.  LRAMVA Summary'!H$25:H$26)*(MONTH($E33)-1)/12)*$H33</f>
        <v>0</v>
      </c>
      <c r="O33" s="186">
        <f>(SUM('1.  LRAMVA Summary'!I$22:I$24)+SUM('1.  LRAMVA Summary'!I$25:I$26)*(MONTH($E33)-1)/12)*$H33</f>
        <v>0</v>
      </c>
      <c r="P33" s="559">
        <f>(SUM('1.  LRAMVA Summary'!J$22:J$24)+SUM('1.  LRAMVA Summary'!J$25:J$26)*(MONTH($E33)-1)/12)*$H33</f>
        <v>0</v>
      </c>
      <c r="Q33" s="187">
        <f t="shared" si="8"/>
        <v>0</v>
      </c>
    </row>
    <row r="34" spans="2:17" s="3" customFormat="1" ht="13.9" x14ac:dyDescent="0.3">
      <c r="B34" s="179" t="s">
        <v>369</v>
      </c>
      <c r="C34" s="179">
        <v>1.0999999999999999E-2</v>
      </c>
      <c r="D34" s="192"/>
      <c r="E34" s="184">
        <v>41000</v>
      </c>
      <c r="F34" s="184" t="s">
        <v>371</v>
      </c>
      <c r="G34" s="185" t="s">
        <v>89</v>
      </c>
      <c r="H34" s="478">
        <f>C$21/12</f>
        <v>1.225E-3</v>
      </c>
      <c r="I34" s="186">
        <f>(SUM('1.  LRAMVA Summary'!C$22:C$24)+SUM('1.  LRAMVA Summary'!C$25:C$26)*(MONTH($E34)-1)/12)*$H34</f>
        <v>0</v>
      </c>
      <c r="J34" s="186">
        <f>(SUM('1.  LRAMVA Summary'!D$22:D$24)+SUM('1.  LRAMVA Summary'!D$25:D$26)*(MONTH($E34)-1)/12)*$H34</f>
        <v>0</v>
      </c>
      <c r="K34" s="186">
        <f>(SUM('1.  LRAMVA Summary'!E$22:E$24)+SUM('1.  LRAMVA Summary'!E$25:E$26)*(MONTH($E34)-1)/12)*$H34</f>
        <v>0</v>
      </c>
      <c r="L34" s="186">
        <f>(SUM('1.  LRAMVA Summary'!F$22:F$24)+SUM('1.  LRAMVA Summary'!F$25:F$26)*(MONTH($E34)-1)/12)*$H34</f>
        <v>0</v>
      </c>
      <c r="M34" s="186">
        <f>(SUM('1.  LRAMVA Summary'!G$22:G$24)+SUM('1.  LRAMVA Summary'!G$25:G$26)*(MONTH($E34)-1)/12)*$H34</f>
        <v>0</v>
      </c>
      <c r="N34" s="186">
        <f>(SUM('1.  LRAMVA Summary'!H$22:H$24)+SUM('1.  LRAMVA Summary'!H$25:H$26)*(MONTH($E34)-1)/12)*$H34</f>
        <v>0</v>
      </c>
      <c r="O34" s="186">
        <f>(SUM('1.  LRAMVA Summary'!I$22:I$24)+SUM('1.  LRAMVA Summary'!I$25:I$26)*(MONTH($E34)-1)/12)*$H34</f>
        <v>0</v>
      </c>
      <c r="P34" s="559">
        <f>(SUM('1.  LRAMVA Summary'!J$22:J$24)+SUM('1.  LRAMVA Summary'!J$25:J$26)*(MONTH($E34)-1)/12)*$H34</f>
        <v>0</v>
      </c>
      <c r="Q34" s="187">
        <f t="shared" si="8"/>
        <v>0</v>
      </c>
    </row>
    <row r="35" spans="2:17" s="3" customFormat="1" ht="13.9" x14ac:dyDescent="0.3">
      <c r="B35" s="179" t="s">
        <v>370</v>
      </c>
      <c r="C35" s="179">
        <v>1.0999999999999999E-2</v>
      </c>
      <c r="D35" s="192"/>
      <c r="E35" s="184">
        <v>41030</v>
      </c>
      <c r="F35" s="184" t="s">
        <v>371</v>
      </c>
      <c r="G35" s="185" t="s">
        <v>89</v>
      </c>
      <c r="H35" s="477">
        <f>C$21/12</f>
        <v>1.225E-3</v>
      </c>
      <c r="I35" s="186">
        <f>(SUM('1.  LRAMVA Summary'!C$22:C$24)+SUM('1.  LRAMVA Summary'!C$25:C$26)*(MONTH($E35)-1)/12)*$H35</f>
        <v>0</v>
      </c>
      <c r="J35" s="186">
        <f>(SUM('1.  LRAMVA Summary'!D$22:D$24)+SUM('1.  LRAMVA Summary'!D$25:D$26)*(MONTH($E35)-1)/12)*$H35</f>
        <v>0</v>
      </c>
      <c r="K35" s="186">
        <f>(SUM('1.  LRAMVA Summary'!E$22:E$24)+SUM('1.  LRAMVA Summary'!E$25:E$26)*(MONTH($E35)-1)/12)*$H35</f>
        <v>0</v>
      </c>
      <c r="L35" s="186">
        <f>(SUM('1.  LRAMVA Summary'!F$22:F$24)+SUM('1.  LRAMVA Summary'!F$25:F$26)*(MONTH($E35)-1)/12)*$H35</f>
        <v>0</v>
      </c>
      <c r="M35" s="186">
        <f>(SUM('1.  LRAMVA Summary'!G$22:G$24)+SUM('1.  LRAMVA Summary'!G$25:G$26)*(MONTH($E35)-1)/12)*$H35</f>
        <v>0</v>
      </c>
      <c r="N35" s="186">
        <f>(SUM('1.  LRAMVA Summary'!H$22:H$24)+SUM('1.  LRAMVA Summary'!H$25:H$26)*(MONTH($E35)-1)/12)*$H35</f>
        <v>0</v>
      </c>
      <c r="O35" s="186">
        <f>(SUM('1.  LRAMVA Summary'!I$22:I$24)+SUM('1.  LRAMVA Summary'!I$25:I$26)*(MONTH($E35)-1)/12)*$H35</f>
        <v>0</v>
      </c>
      <c r="P35" s="559">
        <f>(SUM('1.  LRAMVA Summary'!J$22:J$24)+SUM('1.  LRAMVA Summary'!J$25:J$26)*(MONTH($E35)-1)/12)*$H35</f>
        <v>0</v>
      </c>
      <c r="Q35" s="187">
        <f t="shared" si="8"/>
        <v>0</v>
      </c>
    </row>
    <row r="36" spans="2:17" s="3" customFormat="1" ht="13.9" x14ac:dyDescent="0.3">
      <c r="B36" s="179" t="s">
        <v>120</v>
      </c>
      <c r="C36" s="179">
        <v>1.0999999999999999E-2</v>
      </c>
      <c r="D36" s="192"/>
      <c r="E36" s="184">
        <v>41061</v>
      </c>
      <c r="F36" s="184" t="s">
        <v>371</v>
      </c>
      <c r="G36" s="185" t="s">
        <v>89</v>
      </c>
      <c r="H36" s="477">
        <f>C$21/12</f>
        <v>1.225E-3</v>
      </c>
      <c r="I36" s="186">
        <f>(SUM('1.  LRAMVA Summary'!C$22:C$24)+SUM('1.  LRAMVA Summary'!C$25:C$26)*(MONTH($E36)-1)/12)*$H36</f>
        <v>0</v>
      </c>
      <c r="J36" s="186">
        <f>(SUM('1.  LRAMVA Summary'!D$22:D$24)+SUM('1.  LRAMVA Summary'!D$25:D$26)*(MONTH($E36)-1)/12)*$H36</f>
        <v>0</v>
      </c>
      <c r="K36" s="186">
        <f>(SUM('1.  LRAMVA Summary'!E$22:E$24)+SUM('1.  LRAMVA Summary'!E$25:E$26)*(MONTH($E36)-1)/12)*$H36</f>
        <v>0</v>
      </c>
      <c r="L36" s="186">
        <f>(SUM('1.  LRAMVA Summary'!F$22:F$24)+SUM('1.  LRAMVA Summary'!F$25:F$26)*(MONTH($E36)-1)/12)*$H36</f>
        <v>0</v>
      </c>
      <c r="M36" s="186">
        <f>(SUM('1.  LRAMVA Summary'!G$22:G$24)+SUM('1.  LRAMVA Summary'!G$25:G$26)*(MONTH($E36)-1)/12)*$H36</f>
        <v>0</v>
      </c>
      <c r="N36" s="186">
        <f>(SUM('1.  LRAMVA Summary'!H$22:H$24)+SUM('1.  LRAMVA Summary'!H$25:H$26)*(MONTH($E36)-1)/12)*$H36</f>
        <v>0</v>
      </c>
      <c r="O36" s="186">
        <f>(SUM('1.  LRAMVA Summary'!I$22:I$24)+SUM('1.  LRAMVA Summary'!I$25:I$26)*(MONTH($E36)-1)/12)*$H36</f>
        <v>0</v>
      </c>
      <c r="P36" s="559">
        <f>(SUM('1.  LRAMVA Summary'!J$22:J$24)+SUM('1.  LRAMVA Summary'!J$25:J$26)*(MONTH($E36)-1)/12)*$H36</f>
        <v>0</v>
      </c>
      <c r="Q36" s="187">
        <f t="shared" si="8"/>
        <v>0</v>
      </c>
    </row>
    <row r="37" spans="2:17" s="3" customFormat="1" ht="13.9" x14ac:dyDescent="0.3">
      <c r="B37" s="179" t="s">
        <v>121</v>
      </c>
      <c r="C37" s="179">
        <v>1.0999999999999999E-2</v>
      </c>
      <c r="D37" s="192"/>
      <c r="E37" s="184">
        <v>41091</v>
      </c>
      <c r="F37" s="184" t="s">
        <v>371</v>
      </c>
      <c r="G37" s="185" t="s">
        <v>91</v>
      </c>
      <c r="H37" s="478">
        <f>C$22/12</f>
        <v>1.225E-3</v>
      </c>
      <c r="I37" s="186">
        <f>(SUM('1.  LRAMVA Summary'!C$22:C$24)+SUM('1.  LRAMVA Summary'!C$25:C$26)*(MONTH($E37)-1)/12)*$H37</f>
        <v>0</v>
      </c>
      <c r="J37" s="186">
        <f>(SUM('1.  LRAMVA Summary'!D$22:D$24)+SUM('1.  LRAMVA Summary'!D$25:D$26)*(MONTH($E37)-1)/12)*$H37</f>
        <v>0</v>
      </c>
      <c r="K37" s="186">
        <f>(SUM('1.  LRAMVA Summary'!E$22:E$24)+SUM('1.  LRAMVA Summary'!E$25:E$26)*(MONTH($E37)-1)/12)*$H37</f>
        <v>0</v>
      </c>
      <c r="L37" s="186">
        <f>(SUM('1.  LRAMVA Summary'!F$22:F$24)+SUM('1.  LRAMVA Summary'!F$25:F$26)*(MONTH($E37)-1)/12)*$H37</f>
        <v>0</v>
      </c>
      <c r="M37" s="186">
        <f>(SUM('1.  LRAMVA Summary'!G$22:G$24)+SUM('1.  LRAMVA Summary'!G$25:G$26)*(MONTH($E37)-1)/12)*$H37</f>
        <v>0</v>
      </c>
      <c r="N37" s="186">
        <f>(SUM('1.  LRAMVA Summary'!H$22:H$24)+SUM('1.  LRAMVA Summary'!H$25:H$26)*(MONTH($E37)-1)/12)*$H37</f>
        <v>0</v>
      </c>
      <c r="O37" s="186">
        <f>(SUM('1.  LRAMVA Summary'!I$22:I$24)+SUM('1.  LRAMVA Summary'!I$25:I$26)*(MONTH($E37)-1)/12)*$H37</f>
        <v>0</v>
      </c>
      <c r="P37" s="559">
        <f>(SUM('1.  LRAMVA Summary'!J$22:J$24)+SUM('1.  LRAMVA Summary'!J$25:J$26)*(MONTH($E37)-1)/12)*$H37</f>
        <v>0</v>
      </c>
      <c r="Q37" s="187">
        <f t="shared" si="8"/>
        <v>0</v>
      </c>
    </row>
    <row r="38" spans="2:17" s="3" customFormat="1" ht="13.9" x14ac:dyDescent="0.3">
      <c r="B38" s="179" t="s">
        <v>122</v>
      </c>
      <c r="C38" s="179">
        <v>1.0999999999999999E-2</v>
      </c>
      <c r="D38" s="192"/>
      <c r="E38" s="184">
        <v>41122</v>
      </c>
      <c r="F38" s="184" t="s">
        <v>371</v>
      </c>
      <c r="G38" s="185" t="s">
        <v>91</v>
      </c>
      <c r="H38" s="477">
        <f>C$22/12</f>
        <v>1.225E-3</v>
      </c>
      <c r="I38" s="186">
        <f>(SUM('1.  LRAMVA Summary'!C$22:C$24)+SUM('1.  LRAMVA Summary'!C$25:C$26)*(MONTH($E38)-1)/12)*$H38</f>
        <v>0</v>
      </c>
      <c r="J38" s="186">
        <f>(SUM('1.  LRAMVA Summary'!D$22:D$24)+SUM('1.  LRAMVA Summary'!D$25:D$26)*(MONTH($E38)-1)/12)*$H38</f>
        <v>0</v>
      </c>
      <c r="K38" s="186">
        <f>(SUM('1.  LRAMVA Summary'!E$22:E$24)+SUM('1.  LRAMVA Summary'!E$25:E$26)*(MONTH($E38)-1)/12)*$H38</f>
        <v>0</v>
      </c>
      <c r="L38" s="186">
        <f>(SUM('1.  LRAMVA Summary'!F$22:F$24)+SUM('1.  LRAMVA Summary'!F$25:F$26)*(MONTH($E38)-1)/12)*$H38</f>
        <v>0</v>
      </c>
      <c r="M38" s="186">
        <f>(SUM('1.  LRAMVA Summary'!G$22:G$24)+SUM('1.  LRAMVA Summary'!G$25:G$26)*(MONTH($E38)-1)/12)*$H38</f>
        <v>0</v>
      </c>
      <c r="N38" s="186">
        <f>(SUM('1.  LRAMVA Summary'!H$22:H$24)+SUM('1.  LRAMVA Summary'!H$25:H$26)*(MONTH($E38)-1)/12)*$H38</f>
        <v>0</v>
      </c>
      <c r="O38" s="186">
        <f>(SUM('1.  LRAMVA Summary'!I$22:I$24)+SUM('1.  LRAMVA Summary'!I$25:I$26)*(MONTH($E38)-1)/12)*$H38</f>
        <v>0</v>
      </c>
      <c r="P38" s="559">
        <f>(SUM('1.  LRAMVA Summary'!J$22:J$24)+SUM('1.  LRAMVA Summary'!J$25:J$26)*(MONTH($E38)-1)/12)*$H38</f>
        <v>0</v>
      </c>
      <c r="Q38" s="187">
        <f t="shared" si="8"/>
        <v>0</v>
      </c>
    </row>
    <row r="39" spans="2:17" s="3" customFormat="1" ht="13.9" x14ac:dyDescent="0.3">
      <c r="B39" s="179" t="s">
        <v>123</v>
      </c>
      <c r="C39" s="224">
        <v>1.0999999999999999E-2</v>
      </c>
      <c r="D39" s="192"/>
      <c r="E39" s="184">
        <v>41153</v>
      </c>
      <c r="F39" s="184" t="s">
        <v>371</v>
      </c>
      <c r="G39" s="185" t="s">
        <v>91</v>
      </c>
      <c r="H39" s="477">
        <f>C$22/12</f>
        <v>1.225E-3</v>
      </c>
      <c r="I39" s="186">
        <f>(SUM('1.  LRAMVA Summary'!C$22:C$24)+SUM('1.  LRAMVA Summary'!C$25:C$26)*(MONTH($E39)-1)/12)*$H39</f>
        <v>0</v>
      </c>
      <c r="J39" s="186">
        <f>(SUM('1.  LRAMVA Summary'!D$22:D$24)+SUM('1.  LRAMVA Summary'!D$25:D$26)*(MONTH($E39)-1)/12)*$H39</f>
        <v>0</v>
      </c>
      <c r="K39" s="186">
        <f>(SUM('1.  LRAMVA Summary'!E$22:E$24)+SUM('1.  LRAMVA Summary'!E$25:E$26)*(MONTH($E39)-1)/12)*$H39</f>
        <v>0</v>
      </c>
      <c r="L39" s="186">
        <f>(SUM('1.  LRAMVA Summary'!F$22:F$24)+SUM('1.  LRAMVA Summary'!F$25:F$26)*(MONTH($E39)-1)/12)*$H39</f>
        <v>0</v>
      </c>
      <c r="M39" s="186">
        <f>(SUM('1.  LRAMVA Summary'!G$22:G$24)+SUM('1.  LRAMVA Summary'!G$25:G$26)*(MONTH($E39)-1)/12)*$H39</f>
        <v>0</v>
      </c>
      <c r="N39" s="186">
        <f>(SUM('1.  LRAMVA Summary'!H$22:H$24)+SUM('1.  LRAMVA Summary'!H$25:H$26)*(MONTH($E39)-1)/12)*$H39</f>
        <v>0</v>
      </c>
      <c r="O39" s="186">
        <f>(SUM('1.  LRAMVA Summary'!I$22:I$24)+SUM('1.  LRAMVA Summary'!I$25:I$26)*(MONTH($E39)-1)/12)*$H39</f>
        <v>0</v>
      </c>
      <c r="P39" s="559">
        <f>(SUM('1.  LRAMVA Summary'!J$22:J$24)+SUM('1.  LRAMVA Summary'!J$25:J$26)*(MONTH($E39)-1)/12)*$H39</f>
        <v>0</v>
      </c>
      <c r="Q39" s="187">
        <f t="shared" si="8"/>
        <v>0</v>
      </c>
    </row>
    <row r="40" spans="2:17" s="3" customFormat="1" ht="13.9" x14ac:dyDescent="0.3">
      <c r="B40" s="179" t="s">
        <v>124</v>
      </c>
      <c r="C40" s="224">
        <v>1.0999999999999999E-2</v>
      </c>
      <c r="D40" s="192"/>
      <c r="E40" s="184">
        <v>41183</v>
      </c>
      <c r="F40" s="184" t="s">
        <v>371</v>
      </c>
      <c r="G40" s="185" t="s">
        <v>92</v>
      </c>
      <c r="H40" s="478">
        <f>C$23/12</f>
        <v>1.225E-3</v>
      </c>
      <c r="I40" s="186">
        <f>(SUM('1.  LRAMVA Summary'!C$22:C$24)+SUM('1.  LRAMVA Summary'!C$25:C$26)*(MONTH($E40)-1)/12)*$H40</f>
        <v>0</v>
      </c>
      <c r="J40" s="186">
        <f>(SUM('1.  LRAMVA Summary'!D$22:D$24)+SUM('1.  LRAMVA Summary'!D$25:D$26)*(MONTH($E40)-1)/12)*$H40</f>
        <v>0</v>
      </c>
      <c r="K40" s="186">
        <f>(SUM('1.  LRAMVA Summary'!E$22:E$24)+SUM('1.  LRAMVA Summary'!E$25:E$26)*(MONTH($E40)-1)/12)*$H40</f>
        <v>0</v>
      </c>
      <c r="L40" s="186">
        <f>(SUM('1.  LRAMVA Summary'!F$22:F$24)+SUM('1.  LRAMVA Summary'!F$25:F$26)*(MONTH($E40)-1)/12)*$H40</f>
        <v>0</v>
      </c>
      <c r="M40" s="186">
        <f>(SUM('1.  LRAMVA Summary'!G$22:G$24)+SUM('1.  LRAMVA Summary'!G$25:G$26)*(MONTH($E40)-1)/12)*$H40</f>
        <v>0</v>
      </c>
      <c r="N40" s="186">
        <f>(SUM('1.  LRAMVA Summary'!H$22:H$24)+SUM('1.  LRAMVA Summary'!H$25:H$26)*(MONTH($E40)-1)/12)*$H40</f>
        <v>0</v>
      </c>
      <c r="O40" s="186">
        <f>(SUM('1.  LRAMVA Summary'!I$22:I$24)+SUM('1.  LRAMVA Summary'!I$25:I$26)*(MONTH($E40)-1)/12)*$H40</f>
        <v>0</v>
      </c>
      <c r="P40" s="559">
        <f>(SUM('1.  LRAMVA Summary'!J$22:J$24)+SUM('1.  LRAMVA Summary'!J$25:J$26)*(MONTH($E40)-1)/12)*$H40</f>
        <v>0</v>
      </c>
      <c r="Q40" s="187">
        <f t="shared" si="8"/>
        <v>0</v>
      </c>
    </row>
    <row r="41" spans="2:17" s="3" customFormat="1" ht="12.75" x14ac:dyDescent="0.2">
      <c r="B41" s="179" t="s">
        <v>125</v>
      </c>
      <c r="C41" s="224">
        <v>1.0999999999999999E-2</v>
      </c>
      <c r="D41" s="192"/>
      <c r="E41" s="184">
        <v>41214</v>
      </c>
      <c r="F41" s="184" t="s">
        <v>371</v>
      </c>
      <c r="G41" s="185" t="s">
        <v>92</v>
      </c>
      <c r="H41" s="477">
        <f>C$23/12</f>
        <v>1.225E-3</v>
      </c>
      <c r="I41" s="186">
        <f>(SUM('1.  LRAMVA Summary'!C$22:C$24)+SUM('1.  LRAMVA Summary'!C$25:C$26)*(MONTH($E41)-1)/12)*$H41</f>
        <v>0</v>
      </c>
      <c r="J41" s="186">
        <f>(SUM('1.  LRAMVA Summary'!D$22:D$24)+SUM('1.  LRAMVA Summary'!D$25:D$26)*(MONTH($E41)-1)/12)*$H41</f>
        <v>0</v>
      </c>
      <c r="K41" s="186">
        <f>(SUM('1.  LRAMVA Summary'!E$22:E$24)+SUM('1.  LRAMVA Summary'!E$25:E$26)*(MONTH($E41)-1)/12)*$H41</f>
        <v>0</v>
      </c>
      <c r="L41" s="186">
        <f>(SUM('1.  LRAMVA Summary'!F$22:F$24)+SUM('1.  LRAMVA Summary'!F$25:F$26)*(MONTH($E41)-1)/12)*$H41</f>
        <v>0</v>
      </c>
      <c r="M41" s="186">
        <f>(SUM('1.  LRAMVA Summary'!G$22:G$24)+SUM('1.  LRAMVA Summary'!G$25:G$26)*(MONTH($E41)-1)/12)*$H41</f>
        <v>0</v>
      </c>
      <c r="N41" s="186">
        <f>(SUM('1.  LRAMVA Summary'!H$22:H$24)+SUM('1.  LRAMVA Summary'!H$25:H$26)*(MONTH($E41)-1)/12)*$H41</f>
        <v>0</v>
      </c>
      <c r="O41" s="186">
        <f>(SUM('1.  LRAMVA Summary'!I$22:I$24)+SUM('1.  LRAMVA Summary'!I$25:I$26)*(MONTH($E41)-1)/12)*$H41</f>
        <v>0</v>
      </c>
      <c r="P41" s="559">
        <f>(SUM('1.  LRAMVA Summary'!J$22:J$24)+SUM('1.  LRAMVA Summary'!J$25:J$26)*(MONTH($E41)-1)/12)*$H41</f>
        <v>0</v>
      </c>
      <c r="Q41" s="187">
        <f t="shared" si="8"/>
        <v>0</v>
      </c>
    </row>
    <row r="42" spans="2:17" s="3" customFormat="1" ht="12.75" x14ac:dyDescent="0.2">
      <c r="B42" s="179" t="s">
        <v>126</v>
      </c>
      <c r="C42" s="224"/>
      <c r="D42" s="192"/>
      <c r="E42" s="184">
        <v>41244</v>
      </c>
      <c r="F42" s="184" t="s">
        <v>371</v>
      </c>
      <c r="G42" s="185" t="s">
        <v>92</v>
      </c>
      <c r="H42" s="477">
        <f>C$23/12</f>
        <v>1.225E-3</v>
      </c>
      <c r="I42" s="186">
        <f>(SUM('1.  LRAMVA Summary'!C$22:C$24)+SUM('1.  LRAMVA Summary'!C$25:C$26)*(MONTH($E42)-1)/12)*$H42</f>
        <v>0</v>
      </c>
      <c r="J42" s="186">
        <f>(SUM('1.  LRAMVA Summary'!D$22:D$24)+SUM('1.  LRAMVA Summary'!D$25:D$26)*(MONTH($E42)-1)/12)*$H42</f>
        <v>0</v>
      </c>
      <c r="K42" s="186">
        <f>(SUM('1.  LRAMVA Summary'!E$22:E$24)+SUM('1.  LRAMVA Summary'!E$25:E$26)*(MONTH($E42)-1)/12)*$H42</f>
        <v>0</v>
      </c>
      <c r="L42" s="186">
        <f>(SUM('1.  LRAMVA Summary'!F$22:F$24)+SUM('1.  LRAMVA Summary'!F$25:F$26)*(MONTH($E42)-1)/12)*$H42</f>
        <v>0</v>
      </c>
      <c r="M42" s="186">
        <f>(SUM('1.  LRAMVA Summary'!G$22:G$24)+SUM('1.  LRAMVA Summary'!G$25:G$26)*(MONTH($E42)-1)/12)*$H42</f>
        <v>0</v>
      </c>
      <c r="N42" s="186">
        <f>(SUM('1.  LRAMVA Summary'!H$22:H$24)+SUM('1.  LRAMVA Summary'!H$25:H$26)*(MONTH($E42)-1)/12)*$H42</f>
        <v>0</v>
      </c>
      <c r="O42" s="186">
        <f>(SUM('1.  LRAMVA Summary'!I$22:I$24)+SUM('1.  LRAMVA Summary'!I$25:I$26)*(MONTH($E42)-1)/12)*$H42</f>
        <v>0</v>
      </c>
      <c r="P42" s="559">
        <f>(SUM('1.  LRAMVA Summary'!J$22:J$24)+SUM('1.  LRAMVA Summary'!J$25:J$26)*(MONTH($E42)-1)/12)*$H42</f>
        <v>0</v>
      </c>
      <c r="Q42" s="187">
        <f t="shared" si="8"/>
        <v>0</v>
      </c>
    </row>
    <row r="43" spans="2:17" s="3" customFormat="1" ht="13.5" thickBot="1" x14ac:dyDescent="0.25">
      <c r="B43" s="179" t="s">
        <v>127</v>
      </c>
      <c r="C43" s="224"/>
      <c r="D43" s="192"/>
      <c r="E43" s="196" t="s">
        <v>385</v>
      </c>
      <c r="F43" s="196"/>
      <c r="G43" s="197"/>
      <c r="H43" s="479"/>
      <c r="I43" s="198">
        <f>SUM(I30:I42)</f>
        <v>0</v>
      </c>
      <c r="J43" s="198">
        <f t="shared" ref="J43:P43" si="9">SUM(J30:J42)</f>
        <v>0</v>
      </c>
      <c r="K43" s="198">
        <f t="shared" si="9"/>
        <v>0</v>
      </c>
      <c r="L43" s="198">
        <f t="shared" si="9"/>
        <v>0</v>
      </c>
      <c r="M43" s="198">
        <f t="shared" si="9"/>
        <v>0</v>
      </c>
      <c r="N43" s="198">
        <f t="shared" si="9"/>
        <v>0</v>
      </c>
      <c r="O43" s="198">
        <f t="shared" si="9"/>
        <v>0</v>
      </c>
      <c r="P43" s="560">
        <f t="shared" si="9"/>
        <v>0</v>
      </c>
      <c r="Q43" s="198">
        <f>SUM(Q30:Q42)</f>
        <v>0</v>
      </c>
    </row>
    <row r="44" spans="2:17" s="3" customFormat="1" ht="13.5" thickTop="1" x14ac:dyDescent="0.2">
      <c r="B44" s="179" t="s">
        <v>128</v>
      </c>
      <c r="C44" s="224"/>
      <c r="D44" s="192"/>
      <c r="E44" s="227" t="s">
        <v>90</v>
      </c>
      <c r="F44" s="227"/>
      <c r="G44" s="228"/>
      <c r="H44" s="475"/>
      <c r="I44" s="229"/>
      <c r="J44" s="229"/>
      <c r="K44" s="229"/>
      <c r="L44" s="229"/>
      <c r="M44" s="229"/>
      <c r="N44" s="229"/>
      <c r="O44" s="229"/>
      <c r="P44" s="229"/>
      <c r="Q44" s="230"/>
    </row>
    <row r="45" spans="2:17" s="3" customFormat="1" ht="12.75" x14ac:dyDescent="0.2">
      <c r="B45" s="179" t="s">
        <v>129</v>
      </c>
      <c r="C45" s="224"/>
      <c r="D45" s="192"/>
      <c r="E45" s="193" t="s">
        <v>392</v>
      </c>
      <c r="F45" s="193"/>
      <c r="G45" s="194"/>
      <c r="H45" s="476"/>
      <c r="I45" s="195">
        <f t="shared" ref="I45:O45" si="10">I43+I44</f>
        <v>0</v>
      </c>
      <c r="J45" s="195">
        <f t="shared" si="10"/>
        <v>0</v>
      </c>
      <c r="K45" s="195">
        <f t="shared" si="10"/>
        <v>0</v>
      </c>
      <c r="L45" s="195">
        <f t="shared" si="10"/>
        <v>0</v>
      </c>
      <c r="M45" s="195">
        <f t="shared" si="10"/>
        <v>0</v>
      </c>
      <c r="N45" s="195">
        <f t="shared" si="10"/>
        <v>0</v>
      </c>
      <c r="O45" s="195">
        <f t="shared" si="10"/>
        <v>0</v>
      </c>
      <c r="P45" s="558">
        <f t="shared" ref="P45" si="11">P43+P44</f>
        <v>0</v>
      </c>
      <c r="Q45" s="195">
        <f>Q43+Q44</f>
        <v>0</v>
      </c>
    </row>
    <row r="46" spans="2:17" s="3" customFormat="1" ht="12.75" x14ac:dyDescent="0.2">
      <c r="B46" s="179" t="s">
        <v>130</v>
      </c>
      <c r="C46" s="224"/>
      <c r="D46" s="192"/>
      <c r="E46" s="184">
        <v>41275</v>
      </c>
      <c r="F46" s="184" t="s">
        <v>372</v>
      </c>
      <c r="G46" s="185" t="s">
        <v>88</v>
      </c>
      <c r="H46" s="478">
        <f>C$24/12</f>
        <v>1.225E-3</v>
      </c>
      <c r="I46" s="186">
        <f>(SUM('1.  LRAMVA Summary'!C$22:C$27)+SUM('1.  LRAMVA Summary'!C$28:C$29)*(MONTH($E46)-1)/12)*$H46</f>
        <v>0</v>
      </c>
      <c r="J46" s="186">
        <f>(SUM('1.  LRAMVA Summary'!D$22:D$27)+SUM('1.  LRAMVA Summary'!D$28:D$29)*(MONTH($E46)-1)/12)*$H46</f>
        <v>0</v>
      </c>
      <c r="K46" s="186">
        <f>(SUM('1.  LRAMVA Summary'!E$22:E$27)+SUM('1.  LRAMVA Summary'!E$28:E$29)*(MONTH($E46)-1)/12)*$H46</f>
        <v>0</v>
      </c>
      <c r="L46" s="186">
        <f>(SUM('1.  LRAMVA Summary'!F$22:F$27)+SUM('1.  LRAMVA Summary'!F$28:F$29)*(MONTH($E46)-1)/12)*$H46</f>
        <v>0</v>
      </c>
      <c r="M46" s="186">
        <f>(SUM('1.  LRAMVA Summary'!G$22:G$27)+SUM('1.  LRAMVA Summary'!G$28:G$29)*(MONTH($E46)-1)/12)*$H46</f>
        <v>0</v>
      </c>
      <c r="N46" s="186">
        <f>(SUM('1.  LRAMVA Summary'!H$22:H$27)+SUM('1.  LRAMVA Summary'!H$28:H$29)*(MONTH($E46)-1)/12)*$H46</f>
        <v>0</v>
      </c>
      <c r="O46" s="186">
        <f>(SUM('1.  LRAMVA Summary'!I$22:I$27)+SUM('1.  LRAMVA Summary'!I$28:I$29)*(MONTH($E46)-1)/12)*$H46</f>
        <v>0</v>
      </c>
      <c r="P46" s="559">
        <f>(SUM('1.  LRAMVA Summary'!J$22:J$27)+SUM('1.  LRAMVA Summary'!J$28:J$29)*(MONTH($E46)-1)/12)*$H46</f>
        <v>0</v>
      </c>
      <c r="Q46" s="187">
        <f t="shared" ref="Q46:Q57" si="12">SUM(I46:P46)</f>
        <v>0</v>
      </c>
    </row>
    <row r="47" spans="2:17" s="3" customFormat="1" ht="12.75" x14ac:dyDescent="0.2">
      <c r="B47" s="179" t="s">
        <v>131</v>
      </c>
      <c r="C47" s="224"/>
      <c r="D47" s="192"/>
      <c r="E47" s="184">
        <v>41306</v>
      </c>
      <c r="F47" s="184" t="s">
        <v>372</v>
      </c>
      <c r="G47" s="185" t="s">
        <v>88</v>
      </c>
      <c r="H47" s="477">
        <f t="shared" ref="H47:H48" si="13">C$24/12</f>
        <v>1.225E-3</v>
      </c>
      <c r="I47" s="186">
        <f>(SUM('1.  LRAMVA Summary'!C$22:C$27)+SUM('1.  LRAMVA Summary'!C$28:C$29)*(MONTH($E47)-1)/12)*$H47</f>
        <v>-2.6357602096493546</v>
      </c>
      <c r="J47" s="186">
        <f>(SUM('1.  LRAMVA Summary'!D$22:D$27)+SUM('1.  LRAMVA Summary'!D$28:D$29)*(MONTH($E47)-1)/12)*$H47</f>
        <v>0.65557152024398213</v>
      </c>
      <c r="K47" s="186">
        <f>(SUM('1.  LRAMVA Summary'!E$22:E$27)+SUM('1.  LRAMVA Summary'!E$28:E$29)*(MONTH($E47)-1)/12)*$H47</f>
        <v>5.5494047530652448</v>
      </c>
      <c r="L47" s="186">
        <f>(SUM('1.  LRAMVA Summary'!F$22:F$27)+SUM('1.  LRAMVA Summary'!F$28:F$29)*(MONTH($E47)-1)/12)*$H47</f>
        <v>2.2797018611111119E-2</v>
      </c>
      <c r="M47" s="186">
        <f>(SUM('1.  LRAMVA Summary'!G$22:G$27)+SUM('1.  LRAMVA Summary'!G$28:G$29)*(MONTH($E47)-1)/12)*$H47</f>
        <v>-7.4928043750000003E-3</v>
      </c>
      <c r="N47" s="186">
        <f>(SUM('1.  LRAMVA Summary'!H$22:H$27)+SUM('1.  LRAMVA Summary'!H$28:H$29)*(MONTH($E47)-1)/12)*$H47</f>
        <v>-8.0375380555555542E-2</v>
      </c>
      <c r="O47" s="186">
        <f>(SUM('1.  LRAMVA Summary'!I$22:I$27)+SUM('1.  LRAMVA Summary'!I$28:I$29)*(MONTH($E47)-1)/12)*$H47</f>
        <v>-0.13135853130901204</v>
      </c>
      <c r="P47" s="559">
        <f>(SUM('1.  LRAMVA Summary'!J$22:J$27)+SUM('1.  LRAMVA Summary'!J$28:J$29)*(MONTH($E47)-1)/12)*$H47</f>
        <v>-8.3510699999999979E-2</v>
      </c>
      <c r="Q47" s="187">
        <f t="shared" si="12"/>
        <v>3.2892756660314157</v>
      </c>
    </row>
    <row r="48" spans="2:17" s="3" customFormat="1" ht="12.75" x14ac:dyDescent="0.2">
      <c r="B48" s="179" t="s">
        <v>132</v>
      </c>
      <c r="C48" s="224"/>
      <c r="D48" s="192"/>
      <c r="E48" s="184">
        <v>41334</v>
      </c>
      <c r="F48" s="184" t="s">
        <v>372</v>
      </c>
      <c r="G48" s="185" t="s">
        <v>88</v>
      </c>
      <c r="H48" s="477">
        <f t="shared" si="13"/>
        <v>1.225E-3</v>
      </c>
      <c r="I48" s="186">
        <f>(SUM('1.  LRAMVA Summary'!C$22:C$27)+SUM('1.  LRAMVA Summary'!C$28:C$29)*(MONTH($E48)-1)/12)*$H48</f>
        <v>-5.2715204192987093</v>
      </c>
      <c r="J48" s="186">
        <f>(SUM('1.  LRAMVA Summary'!D$22:D$27)+SUM('1.  LRAMVA Summary'!D$28:D$29)*(MONTH($E48)-1)/12)*$H48</f>
        <v>1.3111430404879643</v>
      </c>
      <c r="K48" s="186">
        <f>(SUM('1.  LRAMVA Summary'!E$22:E$27)+SUM('1.  LRAMVA Summary'!E$28:E$29)*(MONTH($E48)-1)/12)*$H48</f>
        <v>11.09880950613049</v>
      </c>
      <c r="L48" s="186">
        <f>(SUM('1.  LRAMVA Summary'!F$22:F$27)+SUM('1.  LRAMVA Summary'!F$28:F$29)*(MONTH($E48)-1)/12)*$H48</f>
        <v>4.5594037222222238E-2</v>
      </c>
      <c r="M48" s="186">
        <f>(SUM('1.  LRAMVA Summary'!G$22:G$27)+SUM('1.  LRAMVA Summary'!G$28:G$29)*(MONTH($E48)-1)/12)*$H48</f>
        <v>-1.4985608750000001E-2</v>
      </c>
      <c r="N48" s="186">
        <f>(SUM('1.  LRAMVA Summary'!H$22:H$27)+SUM('1.  LRAMVA Summary'!H$28:H$29)*(MONTH($E48)-1)/12)*$H48</f>
        <v>-0.16075076111111108</v>
      </c>
      <c r="O48" s="186">
        <f>(SUM('1.  LRAMVA Summary'!I$22:I$27)+SUM('1.  LRAMVA Summary'!I$28:I$29)*(MONTH($E48)-1)/12)*$H48</f>
        <v>-0.26271706261802408</v>
      </c>
      <c r="P48" s="559">
        <f>(SUM('1.  LRAMVA Summary'!J$22:J$27)+SUM('1.  LRAMVA Summary'!J$28:J$29)*(MONTH($E48)-1)/12)*$H48</f>
        <v>-0.16702139999999996</v>
      </c>
      <c r="Q48" s="187">
        <f t="shared" si="12"/>
        <v>6.5785513320628315</v>
      </c>
    </row>
    <row r="49" spans="1:21" s="3" customFormat="1" ht="12.75" x14ac:dyDescent="0.2">
      <c r="B49" s="179" t="s">
        <v>133</v>
      </c>
      <c r="C49" s="224"/>
      <c r="D49" s="192"/>
      <c r="E49" s="184">
        <v>41365</v>
      </c>
      <c r="F49" s="184" t="s">
        <v>372</v>
      </c>
      <c r="G49" s="185" t="s">
        <v>89</v>
      </c>
      <c r="H49" s="478">
        <f>C$25/12</f>
        <v>1.225E-3</v>
      </c>
      <c r="I49" s="186">
        <f>(SUM('1.  LRAMVA Summary'!C$22:C$27)+SUM('1.  LRAMVA Summary'!C$28:C$29)*(MONTH($E49)-1)/12)*$H49</f>
        <v>-7.9072806289480626</v>
      </c>
      <c r="J49" s="186">
        <f>(SUM('1.  LRAMVA Summary'!D$22:D$27)+SUM('1.  LRAMVA Summary'!D$28:D$29)*(MONTH($E49)-1)/12)*$H49</f>
        <v>1.9667145607319463</v>
      </c>
      <c r="K49" s="186">
        <f>(SUM('1.  LRAMVA Summary'!E$22:E$27)+SUM('1.  LRAMVA Summary'!E$28:E$29)*(MONTH($E49)-1)/12)*$H49</f>
        <v>16.648214259195733</v>
      </c>
      <c r="L49" s="186">
        <f>(SUM('1.  LRAMVA Summary'!F$22:F$27)+SUM('1.  LRAMVA Summary'!F$28:F$29)*(MONTH($E49)-1)/12)*$H49</f>
        <v>6.8391055833333353E-2</v>
      </c>
      <c r="M49" s="186">
        <f>(SUM('1.  LRAMVA Summary'!G$22:G$27)+SUM('1.  LRAMVA Summary'!G$28:G$29)*(MONTH($E49)-1)/12)*$H49</f>
        <v>-2.2478413124999999E-2</v>
      </c>
      <c r="N49" s="186">
        <f>(SUM('1.  LRAMVA Summary'!H$22:H$27)+SUM('1.  LRAMVA Summary'!H$28:H$29)*(MONTH($E49)-1)/12)*$H49</f>
        <v>-0.24112614166666663</v>
      </c>
      <c r="O49" s="186">
        <f>(SUM('1.  LRAMVA Summary'!I$22:I$27)+SUM('1.  LRAMVA Summary'!I$28:I$29)*(MONTH($E49)-1)/12)*$H49</f>
        <v>-0.39407559392703617</v>
      </c>
      <c r="P49" s="559">
        <f>(SUM('1.  LRAMVA Summary'!J$22:J$27)+SUM('1.  LRAMVA Summary'!J$28:J$29)*(MONTH($E49)-1)/12)*$H49</f>
        <v>-0.25053209999999992</v>
      </c>
      <c r="Q49" s="187">
        <f t="shared" si="12"/>
        <v>9.8678269980942463</v>
      </c>
    </row>
    <row r="50" spans="1:21" s="3" customFormat="1" ht="12.75" x14ac:dyDescent="0.2">
      <c r="B50" s="179" t="s">
        <v>134</v>
      </c>
      <c r="C50" s="224"/>
      <c r="D50" s="192"/>
      <c r="E50" s="184">
        <v>41395</v>
      </c>
      <c r="F50" s="184" t="s">
        <v>372</v>
      </c>
      <c r="G50" s="185" t="s">
        <v>89</v>
      </c>
      <c r="H50" s="477">
        <f t="shared" ref="H50:H51" si="14">C$25/12</f>
        <v>1.225E-3</v>
      </c>
      <c r="I50" s="186">
        <f>(SUM('1.  LRAMVA Summary'!C$22:C$27)+SUM('1.  LRAMVA Summary'!C$28:C$29)*(MONTH($E50)-1)/12)*$H50</f>
        <v>-10.543040838597419</v>
      </c>
      <c r="J50" s="186">
        <f>(SUM('1.  LRAMVA Summary'!D$22:D$27)+SUM('1.  LRAMVA Summary'!D$28:D$29)*(MONTH($E50)-1)/12)*$H50</f>
        <v>2.6222860809759285</v>
      </c>
      <c r="K50" s="186">
        <f>(SUM('1.  LRAMVA Summary'!E$22:E$27)+SUM('1.  LRAMVA Summary'!E$28:E$29)*(MONTH($E50)-1)/12)*$H50</f>
        <v>22.197619012260979</v>
      </c>
      <c r="L50" s="186">
        <f>(SUM('1.  LRAMVA Summary'!F$22:F$27)+SUM('1.  LRAMVA Summary'!F$28:F$29)*(MONTH($E50)-1)/12)*$H50</f>
        <v>9.1188074444444475E-2</v>
      </c>
      <c r="M50" s="186">
        <f>(SUM('1.  LRAMVA Summary'!G$22:G$27)+SUM('1.  LRAMVA Summary'!G$28:G$29)*(MONTH($E50)-1)/12)*$H50</f>
        <v>-2.9971217500000001E-2</v>
      </c>
      <c r="N50" s="186">
        <f>(SUM('1.  LRAMVA Summary'!H$22:H$27)+SUM('1.  LRAMVA Summary'!H$28:H$29)*(MONTH($E50)-1)/12)*$H50</f>
        <v>-0.32150152222222217</v>
      </c>
      <c r="O50" s="186">
        <f>(SUM('1.  LRAMVA Summary'!I$22:I$27)+SUM('1.  LRAMVA Summary'!I$28:I$29)*(MONTH($E50)-1)/12)*$H50</f>
        <v>-0.52543412523604816</v>
      </c>
      <c r="P50" s="559">
        <f>(SUM('1.  LRAMVA Summary'!J$22:J$27)+SUM('1.  LRAMVA Summary'!J$28:J$29)*(MONTH($E50)-1)/12)*$H50</f>
        <v>-0.33404279999999992</v>
      </c>
      <c r="Q50" s="187">
        <f t="shared" si="12"/>
        <v>13.157102664125663</v>
      </c>
    </row>
    <row r="51" spans="1:21" s="3" customFormat="1" ht="12.75" x14ac:dyDescent="0.2">
      <c r="B51" s="179" t="s">
        <v>135</v>
      </c>
      <c r="C51" s="224"/>
      <c r="D51" s="192"/>
      <c r="E51" s="184">
        <v>41426</v>
      </c>
      <c r="F51" s="184" t="s">
        <v>372</v>
      </c>
      <c r="G51" s="185" t="s">
        <v>89</v>
      </c>
      <c r="H51" s="477">
        <f t="shared" si="14"/>
        <v>1.225E-3</v>
      </c>
      <c r="I51" s="186">
        <f>(SUM('1.  LRAMVA Summary'!C$22:C$27)+SUM('1.  LRAMVA Summary'!C$28:C$29)*(MONTH($E51)-1)/12)*$H51</f>
        <v>-13.178801048246774</v>
      </c>
      <c r="J51" s="186">
        <f>(SUM('1.  LRAMVA Summary'!D$22:D$27)+SUM('1.  LRAMVA Summary'!D$28:D$29)*(MONTH($E51)-1)/12)*$H51</f>
        <v>3.2778576012199103</v>
      </c>
      <c r="K51" s="186">
        <f>(SUM('1.  LRAMVA Summary'!E$22:E$27)+SUM('1.  LRAMVA Summary'!E$28:E$29)*(MONTH($E51)-1)/12)*$H51</f>
        <v>27.747023765326226</v>
      </c>
      <c r="L51" s="186">
        <f>(SUM('1.  LRAMVA Summary'!F$22:F$27)+SUM('1.  LRAMVA Summary'!F$28:F$29)*(MONTH($E51)-1)/12)*$H51</f>
        <v>0.11398509305555558</v>
      </c>
      <c r="M51" s="186">
        <f>(SUM('1.  LRAMVA Summary'!G$22:G$27)+SUM('1.  LRAMVA Summary'!G$28:G$29)*(MONTH($E51)-1)/12)*$H51</f>
        <v>-3.7464021875000003E-2</v>
      </c>
      <c r="N51" s="186">
        <f>(SUM('1.  LRAMVA Summary'!H$22:H$27)+SUM('1.  LRAMVA Summary'!H$28:H$29)*(MONTH($E51)-1)/12)*$H51</f>
        <v>-0.40187690277777771</v>
      </c>
      <c r="O51" s="186">
        <f>(SUM('1.  LRAMVA Summary'!I$22:I$27)+SUM('1.  LRAMVA Summary'!I$28:I$29)*(MONTH($E51)-1)/12)*$H51</f>
        <v>-0.65679265654506025</v>
      </c>
      <c r="P51" s="559">
        <f>(SUM('1.  LRAMVA Summary'!J$22:J$27)+SUM('1.  LRAMVA Summary'!J$28:J$29)*(MONTH($E51)-1)/12)*$H51</f>
        <v>-0.41755349999999991</v>
      </c>
      <c r="Q51" s="187">
        <f t="shared" si="12"/>
        <v>16.446378330157078</v>
      </c>
    </row>
    <row r="52" spans="1:21" s="3" customFormat="1" ht="12.75" x14ac:dyDescent="0.2">
      <c r="B52" s="179" t="s">
        <v>136</v>
      </c>
      <c r="C52" s="224"/>
      <c r="D52" s="192"/>
      <c r="E52" s="184">
        <v>41456</v>
      </c>
      <c r="F52" s="184" t="s">
        <v>372</v>
      </c>
      <c r="G52" s="185" t="s">
        <v>91</v>
      </c>
      <c r="H52" s="478">
        <f>C$26/12</f>
        <v>1.225E-3</v>
      </c>
      <c r="I52" s="186">
        <f>(SUM('1.  LRAMVA Summary'!C$22:C$27)+SUM('1.  LRAMVA Summary'!C$28:C$29)*(MONTH($E52)-1)/12)*$H52</f>
        <v>-15.814561257896125</v>
      </c>
      <c r="J52" s="186">
        <f>(SUM('1.  LRAMVA Summary'!D$22:D$27)+SUM('1.  LRAMVA Summary'!D$28:D$29)*(MONTH($E52)-1)/12)*$H52</f>
        <v>3.9334291214638926</v>
      </c>
      <c r="K52" s="186">
        <f>(SUM('1.  LRAMVA Summary'!E$22:E$27)+SUM('1.  LRAMVA Summary'!E$28:E$29)*(MONTH($E52)-1)/12)*$H52</f>
        <v>33.296428518391465</v>
      </c>
      <c r="L52" s="186">
        <f>(SUM('1.  LRAMVA Summary'!F$22:F$27)+SUM('1.  LRAMVA Summary'!F$28:F$29)*(MONTH($E52)-1)/12)*$H52</f>
        <v>0.13678211166666671</v>
      </c>
      <c r="M52" s="186">
        <f>(SUM('1.  LRAMVA Summary'!G$22:G$27)+SUM('1.  LRAMVA Summary'!G$28:G$29)*(MONTH($E52)-1)/12)*$H52</f>
        <v>-4.4956826249999998E-2</v>
      </c>
      <c r="N52" s="186">
        <f>(SUM('1.  LRAMVA Summary'!H$22:H$27)+SUM('1.  LRAMVA Summary'!H$28:H$29)*(MONTH($E52)-1)/12)*$H52</f>
        <v>-0.48225228333333325</v>
      </c>
      <c r="O52" s="186">
        <f>(SUM('1.  LRAMVA Summary'!I$22:I$27)+SUM('1.  LRAMVA Summary'!I$28:I$29)*(MONTH($E52)-1)/12)*$H52</f>
        <v>-0.78815118785407234</v>
      </c>
      <c r="P52" s="559">
        <f>(SUM('1.  LRAMVA Summary'!J$22:J$27)+SUM('1.  LRAMVA Summary'!J$28:J$29)*(MONTH($E52)-1)/12)*$H52</f>
        <v>-0.50106419999999985</v>
      </c>
      <c r="Q52" s="187">
        <f t="shared" si="12"/>
        <v>19.735653996188493</v>
      </c>
    </row>
    <row r="53" spans="1:21" s="3" customFormat="1" ht="12.75" x14ac:dyDescent="0.2">
      <c r="B53" s="179" t="s">
        <v>138</v>
      </c>
      <c r="C53" s="224"/>
      <c r="D53" s="192"/>
      <c r="E53" s="184">
        <v>41487</v>
      </c>
      <c r="F53" s="184" t="s">
        <v>372</v>
      </c>
      <c r="G53" s="185" t="s">
        <v>91</v>
      </c>
      <c r="H53" s="477">
        <f t="shared" ref="H53:H54" si="15">C$26/12</f>
        <v>1.225E-3</v>
      </c>
      <c r="I53" s="186">
        <f>(SUM('1.  LRAMVA Summary'!C$22:C$27)+SUM('1.  LRAMVA Summary'!C$28:C$29)*(MONTH($E53)-1)/12)*$H53</f>
        <v>-18.450321467545482</v>
      </c>
      <c r="J53" s="186">
        <f>(SUM('1.  LRAMVA Summary'!D$22:D$27)+SUM('1.  LRAMVA Summary'!D$28:D$29)*(MONTH($E53)-1)/12)*$H53</f>
        <v>4.5890006417078748</v>
      </c>
      <c r="K53" s="186">
        <f>(SUM('1.  LRAMVA Summary'!E$22:E$27)+SUM('1.  LRAMVA Summary'!E$28:E$29)*(MONTH($E53)-1)/12)*$H53</f>
        <v>38.845833271456719</v>
      </c>
      <c r="L53" s="186">
        <f>(SUM('1.  LRAMVA Summary'!F$22:F$27)+SUM('1.  LRAMVA Summary'!F$28:F$29)*(MONTH($E53)-1)/12)*$H53</f>
        <v>0.15957913027777784</v>
      </c>
      <c r="M53" s="186">
        <f>(SUM('1.  LRAMVA Summary'!G$22:G$27)+SUM('1.  LRAMVA Summary'!G$28:G$29)*(MONTH($E53)-1)/12)*$H53</f>
        <v>-5.2449630624999993E-2</v>
      </c>
      <c r="N53" s="186">
        <f>(SUM('1.  LRAMVA Summary'!H$22:H$27)+SUM('1.  LRAMVA Summary'!H$28:H$29)*(MONTH($E53)-1)/12)*$H53</f>
        <v>-0.56262766388888885</v>
      </c>
      <c r="O53" s="186">
        <f>(SUM('1.  LRAMVA Summary'!I$22:I$27)+SUM('1.  LRAMVA Summary'!I$28:I$29)*(MONTH($E53)-1)/12)*$H53</f>
        <v>-0.91950971916308444</v>
      </c>
      <c r="P53" s="559">
        <f>(SUM('1.  LRAMVA Summary'!J$22:J$27)+SUM('1.  LRAMVA Summary'!J$28:J$29)*(MONTH($E53)-1)/12)*$H53</f>
        <v>-0.5845748999999999</v>
      </c>
      <c r="Q53" s="187">
        <f t="shared" si="12"/>
        <v>23.024929662219915</v>
      </c>
    </row>
    <row r="54" spans="1:21" s="3" customFormat="1" ht="12.75" x14ac:dyDescent="0.2">
      <c r="B54" s="179" t="s">
        <v>137</v>
      </c>
      <c r="C54" s="224"/>
      <c r="D54" s="192"/>
      <c r="E54" s="184">
        <v>41518</v>
      </c>
      <c r="F54" s="184" t="s">
        <v>372</v>
      </c>
      <c r="G54" s="185" t="s">
        <v>91</v>
      </c>
      <c r="H54" s="477">
        <f t="shared" si="15"/>
        <v>1.225E-3</v>
      </c>
      <c r="I54" s="186">
        <f>(SUM('1.  LRAMVA Summary'!C$22:C$27)+SUM('1.  LRAMVA Summary'!C$28:C$29)*(MONTH($E54)-1)/12)*$H54</f>
        <v>-21.086081677194837</v>
      </c>
      <c r="J54" s="186">
        <f>(SUM('1.  LRAMVA Summary'!D$22:D$27)+SUM('1.  LRAMVA Summary'!D$28:D$29)*(MONTH($E54)-1)/12)*$H54</f>
        <v>5.244572161951857</v>
      </c>
      <c r="K54" s="186">
        <f>(SUM('1.  LRAMVA Summary'!E$22:E$27)+SUM('1.  LRAMVA Summary'!E$28:E$29)*(MONTH($E54)-1)/12)*$H54</f>
        <v>44.395238024521959</v>
      </c>
      <c r="L54" s="186">
        <f>(SUM('1.  LRAMVA Summary'!F$22:F$27)+SUM('1.  LRAMVA Summary'!F$28:F$29)*(MONTH($E54)-1)/12)*$H54</f>
        <v>0.18237614888888895</v>
      </c>
      <c r="M54" s="186">
        <f>(SUM('1.  LRAMVA Summary'!G$22:G$27)+SUM('1.  LRAMVA Summary'!G$28:G$29)*(MONTH($E54)-1)/12)*$H54</f>
        <v>-5.9942435000000002E-2</v>
      </c>
      <c r="N54" s="186">
        <f>(SUM('1.  LRAMVA Summary'!H$22:H$27)+SUM('1.  LRAMVA Summary'!H$28:H$29)*(MONTH($E54)-1)/12)*$H54</f>
        <v>-0.64300304444444434</v>
      </c>
      <c r="O54" s="186">
        <f>(SUM('1.  LRAMVA Summary'!I$22:I$27)+SUM('1.  LRAMVA Summary'!I$28:I$29)*(MONTH($E54)-1)/12)*$H54</f>
        <v>-1.0508682504720963</v>
      </c>
      <c r="P54" s="559">
        <f>(SUM('1.  LRAMVA Summary'!J$22:J$27)+SUM('1.  LRAMVA Summary'!J$28:J$29)*(MONTH($E54)-1)/12)*$H54</f>
        <v>-0.66808559999999984</v>
      </c>
      <c r="Q54" s="187">
        <f t="shared" si="12"/>
        <v>26.314205328251326</v>
      </c>
    </row>
    <row r="55" spans="1:21" s="3" customFormat="1" ht="12.75" x14ac:dyDescent="0.2">
      <c r="B55" s="221" t="s">
        <v>139</v>
      </c>
      <c r="C55" s="225"/>
      <c r="D55" s="192"/>
      <c r="E55" s="184">
        <v>41548</v>
      </c>
      <c r="F55" s="184" t="s">
        <v>372</v>
      </c>
      <c r="G55" s="185" t="s">
        <v>92</v>
      </c>
      <c r="H55" s="478">
        <f>C$27/12</f>
        <v>1.225E-3</v>
      </c>
      <c r="I55" s="186">
        <f>(SUM('1.  LRAMVA Summary'!C$22:C$27)+SUM('1.  LRAMVA Summary'!C$28:C$29)*(MONTH($E55)-1)/12)*$H55</f>
        <v>-23.721841886844192</v>
      </c>
      <c r="J55" s="186">
        <f>(SUM('1.  LRAMVA Summary'!D$22:D$27)+SUM('1.  LRAMVA Summary'!D$28:D$29)*(MONTH($E55)-1)/12)*$H55</f>
        <v>5.9001436821958384</v>
      </c>
      <c r="K55" s="186">
        <f>(SUM('1.  LRAMVA Summary'!E$22:E$27)+SUM('1.  LRAMVA Summary'!E$28:E$29)*(MONTH($E55)-1)/12)*$H55</f>
        <v>49.944642777587212</v>
      </c>
      <c r="L55" s="186">
        <f>(SUM('1.  LRAMVA Summary'!F$22:F$27)+SUM('1.  LRAMVA Summary'!F$28:F$29)*(MONTH($E55)-1)/12)*$H55</f>
        <v>0.20517316750000009</v>
      </c>
      <c r="M55" s="186">
        <f>(SUM('1.  LRAMVA Summary'!G$22:G$27)+SUM('1.  LRAMVA Summary'!G$28:G$29)*(MONTH($E55)-1)/12)*$H55</f>
        <v>-6.7435239374999997E-2</v>
      </c>
      <c r="N55" s="186">
        <f>(SUM('1.  LRAMVA Summary'!H$22:H$27)+SUM('1.  LRAMVA Summary'!H$28:H$29)*(MONTH($E55)-1)/12)*$H55</f>
        <v>-0.72337842499999983</v>
      </c>
      <c r="O55" s="186">
        <f>(SUM('1.  LRAMVA Summary'!I$22:I$27)+SUM('1.  LRAMVA Summary'!I$28:I$29)*(MONTH($E55)-1)/12)*$H55</f>
        <v>-1.1822267817811085</v>
      </c>
      <c r="P55" s="559">
        <f>(SUM('1.  LRAMVA Summary'!J$22:J$27)+SUM('1.  LRAMVA Summary'!J$28:J$29)*(MONTH($E55)-1)/12)*$H55</f>
        <v>-0.75159629999999988</v>
      </c>
      <c r="Q55" s="187">
        <f t="shared" si="12"/>
        <v>29.603480994282755</v>
      </c>
    </row>
    <row r="56" spans="1:21" s="3" customFormat="1" ht="12.75" x14ac:dyDescent="0.2">
      <c r="D56" s="192"/>
      <c r="E56" s="184">
        <v>41579</v>
      </c>
      <c r="F56" s="184" t="s">
        <v>372</v>
      </c>
      <c r="G56" s="185" t="s">
        <v>92</v>
      </c>
      <c r="H56" s="477">
        <f t="shared" ref="H56:H57" si="16">C$27/12</f>
        <v>1.225E-3</v>
      </c>
      <c r="I56" s="186">
        <f>(SUM('1.  LRAMVA Summary'!C$22:C$27)+SUM('1.  LRAMVA Summary'!C$28:C$29)*(MONTH($E56)-1)/12)*$H56</f>
        <v>-26.357602096493547</v>
      </c>
      <c r="J56" s="186">
        <f>(SUM('1.  LRAMVA Summary'!D$22:D$27)+SUM('1.  LRAMVA Summary'!D$28:D$29)*(MONTH($E56)-1)/12)*$H56</f>
        <v>6.5557152024398206</v>
      </c>
      <c r="K56" s="186">
        <f>(SUM('1.  LRAMVA Summary'!E$22:E$27)+SUM('1.  LRAMVA Summary'!E$28:E$29)*(MONTH($E56)-1)/12)*$H56</f>
        <v>55.494047530652452</v>
      </c>
      <c r="L56" s="186">
        <f>(SUM('1.  LRAMVA Summary'!F$22:F$27)+SUM('1.  LRAMVA Summary'!F$28:F$29)*(MONTH($E56)-1)/12)*$H56</f>
        <v>0.22797018611111117</v>
      </c>
      <c r="M56" s="186">
        <f>(SUM('1.  LRAMVA Summary'!G$22:G$27)+SUM('1.  LRAMVA Summary'!G$28:G$29)*(MONTH($E56)-1)/12)*$H56</f>
        <v>-7.4928043750000006E-2</v>
      </c>
      <c r="N56" s="186">
        <f>(SUM('1.  LRAMVA Summary'!H$22:H$27)+SUM('1.  LRAMVA Summary'!H$28:H$29)*(MONTH($E56)-1)/12)*$H56</f>
        <v>-0.80375380555555542</v>
      </c>
      <c r="O56" s="186">
        <f>(SUM('1.  LRAMVA Summary'!I$22:I$27)+SUM('1.  LRAMVA Summary'!I$28:I$29)*(MONTH($E56)-1)/12)*$H56</f>
        <v>-1.3135853130901205</v>
      </c>
      <c r="P56" s="559">
        <f>(SUM('1.  LRAMVA Summary'!J$22:J$27)+SUM('1.  LRAMVA Summary'!J$28:J$29)*(MONTH($E56)-1)/12)*$H56</f>
        <v>-0.83510699999999982</v>
      </c>
      <c r="Q56" s="187">
        <f t="shared" si="12"/>
        <v>32.892756660314156</v>
      </c>
    </row>
    <row r="57" spans="1:21" s="3" customFormat="1" ht="14.25" x14ac:dyDescent="0.2">
      <c r="B57" s="231" t="s">
        <v>375</v>
      </c>
      <c r="C57" s="4"/>
      <c r="D57" s="192"/>
      <c r="E57" s="184">
        <v>41609</v>
      </c>
      <c r="F57" s="184" t="s">
        <v>372</v>
      </c>
      <c r="G57" s="185" t="s">
        <v>92</v>
      </c>
      <c r="H57" s="477">
        <f t="shared" si="16"/>
        <v>1.225E-3</v>
      </c>
      <c r="I57" s="186">
        <f>(SUM('1.  LRAMVA Summary'!C$22:C$27)+SUM('1.  LRAMVA Summary'!C$28:C$29)*(MONTH($E57)-1)/12)*$H57</f>
        <v>-28.993362306142899</v>
      </c>
      <c r="J57" s="186">
        <f>(SUM('1.  LRAMVA Summary'!D$22:D$27)+SUM('1.  LRAMVA Summary'!D$28:D$29)*(MONTH($E57)-1)/12)*$H57</f>
        <v>7.2112867226838029</v>
      </c>
      <c r="K57" s="186">
        <f>(SUM('1.  LRAMVA Summary'!E$22:E$27)+SUM('1.  LRAMVA Summary'!E$28:E$29)*(MONTH($E57)-1)/12)*$H57</f>
        <v>61.043452283717691</v>
      </c>
      <c r="L57" s="186">
        <f>(SUM('1.  LRAMVA Summary'!F$22:F$27)+SUM('1.  LRAMVA Summary'!F$28:F$29)*(MONTH($E57)-1)/12)*$H57</f>
        <v>0.25076720472222236</v>
      </c>
      <c r="M57" s="186">
        <f>(SUM('1.  LRAMVA Summary'!G$22:G$27)+SUM('1.  LRAMVA Summary'!G$28:G$29)*(MONTH($E57)-1)/12)*$H57</f>
        <v>-8.2420848125000001E-2</v>
      </c>
      <c r="N57" s="186">
        <f>(SUM('1.  LRAMVA Summary'!H$22:H$27)+SUM('1.  LRAMVA Summary'!H$28:H$29)*(MONTH($E57)-1)/12)*$H57</f>
        <v>-0.88412918611111113</v>
      </c>
      <c r="O57" s="186">
        <f>(SUM('1.  LRAMVA Summary'!I$22:I$27)+SUM('1.  LRAMVA Summary'!I$28:I$29)*(MONTH($E57)-1)/12)*$H57</f>
        <v>-1.4449438443991325</v>
      </c>
      <c r="P57" s="559">
        <f>(SUM('1.  LRAMVA Summary'!J$22:J$27)+SUM('1.  LRAMVA Summary'!J$28:J$29)*(MONTH($E57)-1)/12)*$H57</f>
        <v>-0.91861769999999976</v>
      </c>
      <c r="Q57" s="187">
        <f t="shared" si="12"/>
        <v>36.182032326345578</v>
      </c>
    </row>
    <row r="58" spans="1:21" s="3" customFormat="1" ht="13.5" thickBot="1" x14ac:dyDescent="0.25">
      <c r="B58" s="4"/>
      <c r="C58" s="4"/>
      <c r="D58" s="192"/>
      <c r="E58" s="196" t="s">
        <v>386</v>
      </c>
      <c r="F58" s="196"/>
      <c r="G58" s="197"/>
      <c r="H58" s="474"/>
      <c r="I58" s="198">
        <f>SUM(I45:I57)</f>
        <v>-173.96017383685739</v>
      </c>
      <c r="J58" s="198">
        <f t="shared" ref="J58:P58" si="17">SUM(J45:J57)</f>
        <v>43.267720336102819</v>
      </c>
      <c r="K58" s="198">
        <f t="shared" si="17"/>
        <v>366.26071370230613</v>
      </c>
      <c r="L58" s="198">
        <f t="shared" si="17"/>
        <v>1.5046032283333339</v>
      </c>
      <c r="M58" s="198">
        <f t="shared" si="17"/>
        <v>-0.49452508875000001</v>
      </c>
      <c r="N58" s="198">
        <f t="shared" si="17"/>
        <v>-5.3047751166666659</v>
      </c>
      <c r="O58" s="198">
        <f t="shared" si="17"/>
        <v>-8.6696630663947953</v>
      </c>
      <c r="P58" s="560">
        <f t="shared" si="17"/>
        <v>-5.511706199999999</v>
      </c>
      <c r="Q58" s="198">
        <f>SUM(Q45:Q57)</f>
        <v>217.09219395807344</v>
      </c>
    </row>
    <row r="59" spans="1:21" s="3" customFormat="1" ht="13.5" thickTop="1" x14ac:dyDescent="0.2">
      <c r="D59" s="192"/>
      <c r="E59" s="227" t="s">
        <v>90</v>
      </c>
      <c r="F59" s="227"/>
      <c r="G59" s="228"/>
      <c r="H59" s="475"/>
      <c r="I59" s="229"/>
      <c r="J59" s="229"/>
      <c r="K59" s="229"/>
      <c r="L59" s="229"/>
      <c r="M59" s="229"/>
      <c r="N59" s="229"/>
      <c r="O59" s="229"/>
      <c r="P59" s="229"/>
      <c r="Q59" s="230"/>
    </row>
    <row r="60" spans="1:21" s="3" customFormat="1" ht="12.75" x14ac:dyDescent="0.2">
      <c r="D60" s="192"/>
      <c r="E60" s="193" t="s">
        <v>393</v>
      </c>
      <c r="F60" s="193"/>
      <c r="G60" s="194"/>
      <c r="H60" s="476"/>
      <c r="I60" s="195">
        <f t="shared" ref="I60:Q60" si="18">I58+I59</f>
        <v>-173.96017383685739</v>
      </c>
      <c r="J60" s="195">
        <f t="shared" si="18"/>
        <v>43.267720336102819</v>
      </c>
      <c r="K60" s="195">
        <f t="shared" si="18"/>
        <v>366.26071370230613</v>
      </c>
      <c r="L60" s="195">
        <f t="shared" si="18"/>
        <v>1.5046032283333339</v>
      </c>
      <c r="M60" s="195">
        <f t="shared" si="18"/>
        <v>-0.49452508875000001</v>
      </c>
      <c r="N60" s="195">
        <f t="shared" si="18"/>
        <v>-5.3047751166666659</v>
      </c>
      <c r="O60" s="195">
        <f t="shared" si="18"/>
        <v>-8.6696630663947953</v>
      </c>
      <c r="P60" s="558">
        <f t="shared" ref="P60" si="19">P58+P59</f>
        <v>-5.511706199999999</v>
      </c>
      <c r="Q60" s="195">
        <f t="shared" si="18"/>
        <v>217.09219395807344</v>
      </c>
    </row>
    <row r="61" spans="1:21" s="3" customFormat="1" ht="12.75" x14ac:dyDescent="0.2">
      <c r="D61" s="192"/>
      <c r="E61" s="184">
        <v>41640</v>
      </c>
      <c r="F61" s="184" t="s">
        <v>373</v>
      </c>
      <c r="G61" s="185" t="s">
        <v>88</v>
      </c>
      <c r="H61" s="478">
        <f>C$28/12</f>
        <v>1.225E-3</v>
      </c>
      <c r="I61" s="186">
        <f>(SUM('1.  LRAMVA Summary'!C$22:C$30)+SUM('1.  LRAMVA Summary'!C$31:C$32)*(MONTH($E61)-1)/12)*$H61</f>
        <v>-31.629122515792254</v>
      </c>
      <c r="J61" s="186">
        <f>(SUM('1.  LRAMVA Summary'!D$22:D$30)+SUM('1.  LRAMVA Summary'!D$31:D$32)*(MONTH($E61)-1)/12)*$H61</f>
        <v>7.8668582429277851</v>
      </c>
      <c r="K61" s="186">
        <f>(SUM('1.  LRAMVA Summary'!E$22:E$30)+SUM('1.  LRAMVA Summary'!E$31:E$32)*(MONTH($E61)-1)/12)*$H61</f>
        <v>66.592857036782945</v>
      </c>
      <c r="L61" s="186">
        <f>(SUM('1.  LRAMVA Summary'!F$22:F$30)+SUM('1.  LRAMVA Summary'!F$31:F$32)*(MONTH($E61)-1)/12)*$H61</f>
        <v>0.27356422333333341</v>
      </c>
      <c r="M61" s="186">
        <f>(SUM('1.  LRAMVA Summary'!G$22:G$30)+SUM('1.  LRAMVA Summary'!G$31:G$32)*(MONTH($E61)-1)/12)*$H61</f>
        <v>-8.9913652499999996E-2</v>
      </c>
      <c r="N61" s="186">
        <f>(SUM('1.  LRAMVA Summary'!H$22:H$30)+SUM('1.  LRAMVA Summary'!H$31:H$32)*(MONTH($E61)-1)/12)*$H61</f>
        <v>-0.96450456666666651</v>
      </c>
      <c r="O61" s="186">
        <f>(SUM('1.  LRAMVA Summary'!I$22:I$30)+SUM('1.  LRAMVA Summary'!I$31:I$32)*(MONTH($E61)-1)/12)*$H61</f>
        <v>-1.5763023757081447</v>
      </c>
      <c r="P61" s="559">
        <f>(SUM('1.  LRAMVA Summary'!J$22:J$30)+SUM('1.  LRAMVA Summary'!J$31:J$32)*(MONTH($E61)-1)/12)*$H61</f>
        <v>-1.0021283999999997</v>
      </c>
      <c r="Q61" s="187">
        <f t="shared" ref="Q61:Q72" si="20">SUM(I61:P61)</f>
        <v>39.471307992376993</v>
      </c>
    </row>
    <row r="62" spans="1:21" s="3" customFormat="1" ht="12.75" x14ac:dyDescent="0.2">
      <c r="A62" s="14"/>
      <c r="E62" s="184">
        <v>41671</v>
      </c>
      <c r="F62" s="184" t="s">
        <v>373</v>
      </c>
      <c r="G62" s="185" t="s">
        <v>88</v>
      </c>
      <c r="H62" s="477">
        <f t="shared" ref="H62:H63" si="21">C$28/12</f>
        <v>1.225E-3</v>
      </c>
      <c r="I62" s="186">
        <f>(SUM('1.  LRAMVA Summary'!C$22:C$30)+SUM('1.  LRAMVA Summary'!C$31:C$32)*(MONTH($E62)-1)/12)*$H62</f>
        <v>-31.02326716724837</v>
      </c>
      <c r="J62" s="186">
        <f>(SUM('1.  LRAMVA Summary'!D$22:D$30)+SUM('1.  LRAMVA Summary'!D$31:D$32)*(MONTH($E62)-1)/12)*$H62</f>
        <v>10.143439230393547</v>
      </c>
      <c r="K62" s="186">
        <f>(SUM('1.  LRAMVA Summary'!E$22:E$30)+SUM('1.  LRAMVA Summary'!E$31:E$32)*(MONTH($E62)-1)/12)*$H62</f>
        <v>73.458177141879162</v>
      </c>
      <c r="L62" s="186">
        <f>(SUM('1.  LRAMVA Summary'!F$22:F$30)+SUM('1.  LRAMVA Summary'!F$31:F$32)*(MONTH($E62)-1)/12)*$H62</f>
        <v>0.43928160992340981</v>
      </c>
      <c r="M62" s="186">
        <f>(SUM('1.  LRAMVA Summary'!G$22:G$30)+SUM('1.  LRAMVA Summary'!G$31:G$32)*(MONTH($E62)-1)/12)*$H62</f>
        <v>-9.7760216458333341E-2</v>
      </c>
      <c r="N62" s="186">
        <f>(SUM('1.  LRAMVA Summary'!H$22:H$30)+SUM('1.  LRAMVA Summary'!H$31:H$32)*(MONTH($E62)-1)/12)*$H62</f>
        <v>-1.0486746569444443</v>
      </c>
      <c r="O62" s="186">
        <f>(SUM('1.  LRAMVA Summary'!I$22:I$30)+SUM('1.  LRAMVA Summary'!I$31:I$32)*(MONTH($E62)-1)/12)*$H62</f>
        <v>-1.6965515888488296</v>
      </c>
      <c r="P62" s="559">
        <f>(SUM('1.  LRAMVA Summary'!J$22:J$30)+SUM('1.  LRAMVA Summary'!J$31:J$32)*(MONTH($E62)-1)/12)*$H62</f>
        <v>-1.053388493779071</v>
      </c>
      <c r="Q62" s="187">
        <f t="shared" si="20"/>
        <v>49.121255858917081</v>
      </c>
    </row>
    <row r="63" spans="1:21" x14ac:dyDescent="0.25">
      <c r="A63" s="2"/>
      <c r="C63" s="2"/>
      <c r="E63" s="184">
        <v>41699</v>
      </c>
      <c r="F63" s="184" t="s">
        <v>373</v>
      </c>
      <c r="G63" s="185" t="s">
        <v>88</v>
      </c>
      <c r="H63" s="477">
        <f t="shared" si="21"/>
        <v>1.225E-3</v>
      </c>
      <c r="I63" s="186">
        <f>(SUM('1.  LRAMVA Summary'!C$22:C$30)+SUM('1.  LRAMVA Summary'!C$31:C$32)*(MONTH($E63)-1)/12)*$H63</f>
        <v>-30.417411818704483</v>
      </c>
      <c r="J63" s="186">
        <f>(SUM('1.  LRAMVA Summary'!D$22:D$30)+SUM('1.  LRAMVA Summary'!D$31:D$32)*(MONTH($E63)-1)/12)*$H63</f>
        <v>12.42002021785931</v>
      </c>
      <c r="K63" s="186">
        <f>(SUM('1.  LRAMVA Summary'!E$22:E$30)+SUM('1.  LRAMVA Summary'!E$31:E$32)*(MONTH($E63)-1)/12)*$H63</f>
        <v>80.323497246975364</v>
      </c>
      <c r="L63" s="186">
        <f>(SUM('1.  LRAMVA Summary'!F$22:F$30)+SUM('1.  LRAMVA Summary'!F$31:F$32)*(MONTH($E63)-1)/12)*$H63</f>
        <v>0.6049989965134861</v>
      </c>
      <c r="M63" s="186">
        <f>(SUM('1.  LRAMVA Summary'!G$22:G$30)+SUM('1.  LRAMVA Summary'!G$31:G$32)*(MONTH($E63)-1)/12)*$H63</f>
        <v>-0.10560678041666666</v>
      </c>
      <c r="N63" s="186">
        <f>(SUM('1.  LRAMVA Summary'!H$22:H$30)+SUM('1.  LRAMVA Summary'!H$31:H$32)*(MONTH($E63)-1)/12)*$H63</f>
        <v>-1.1328447472222221</v>
      </c>
      <c r="O63" s="186">
        <f>(SUM('1.  LRAMVA Summary'!I$22:I$30)+SUM('1.  LRAMVA Summary'!I$31:I$32)*(MONTH($E63)-1)/12)*$H63</f>
        <v>-1.8168008019895143</v>
      </c>
      <c r="P63" s="559">
        <f>(SUM('1.  LRAMVA Summary'!J$22:J$30)+SUM('1.  LRAMVA Summary'!J$31:J$32)*(MONTH($E63)-1)/12)*$H63</f>
        <v>-1.104648587558142</v>
      </c>
      <c r="Q63" s="187">
        <f t="shared" si="20"/>
        <v>58.771203725457127</v>
      </c>
      <c r="R63" s="2"/>
      <c r="S63" s="2"/>
      <c r="T63" s="2"/>
      <c r="U63" s="2"/>
    </row>
    <row r="64" spans="1:21" x14ac:dyDescent="0.25">
      <c r="A64" s="2"/>
      <c r="C64" s="2"/>
      <c r="E64" s="184">
        <v>41730</v>
      </c>
      <c r="F64" s="184" t="s">
        <v>373</v>
      </c>
      <c r="G64" s="185" t="s">
        <v>89</v>
      </c>
      <c r="H64" s="478">
        <f>C$29/12</f>
        <v>1.225E-3</v>
      </c>
      <c r="I64" s="186">
        <f>(SUM('1.  LRAMVA Summary'!C$22:C$30)+SUM('1.  LRAMVA Summary'!C$31:C$32)*(MONTH($E64)-1)/12)*$H64</f>
        <v>-29.8115564701606</v>
      </c>
      <c r="J64" s="186">
        <f>(SUM('1.  LRAMVA Summary'!D$22:D$30)+SUM('1.  LRAMVA Summary'!D$31:D$32)*(MONTH($E64)-1)/12)*$H64</f>
        <v>14.696601205325074</v>
      </c>
      <c r="K64" s="186">
        <f>(SUM('1.  LRAMVA Summary'!E$22:E$30)+SUM('1.  LRAMVA Summary'!E$31:E$32)*(MONTH($E64)-1)/12)*$H64</f>
        <v>87.188817352071595</v>
      </c>
      <c r="L64" s="186">
        <f>(SUM('1.  LRAMVA Summary'!F$22:F$30)+SUM('1.  LRAMVA Summary'!F$31:F$32)*(MONTH($E64)-1)/12)*$H64</f>
        <v>0.77071638310356239</v>
      </c>
      <c r="M64" s="186">
        <f>(SUM('1.  LRAMVA Summary'!G$22:G$30)+SUM('1.  LRAMVA Summary'!G$31:G$32)*(MONTH($E64)-1)/12)*$H64</f>
        <v>-0.113453344375</v>
      </c>
      <c r="N64" s="186">
        <f>(SUM('1.  LRAMVA Summary'!H$22:H$30)+SUM('1.  LRAMVA Summary'!H$31:H$32)*(MONTH($E64)-1)/12)*$H64</f>
        <v>-1.2170148374999998</v>
      </c>
      <c r="O64" s="186">
        <f>(SUM('1.  LRAMVA Summary'!I$22:I$30)+SUM('1.  LRAMVA Summary'!I$31:I$32)*(MONTH($E64)-1)/12)*$H64</f>
        <v>-1.937050015130199</v>
      </c>
      <c r="P64" s="559">
        <f>(SUM('1.  LRAMVA Summary'!J$22:J$30)+SUM('1.  LRAMVA Summary'!J$31:J$32)*(MONTH($E64)-1)/12)*$H64</f>
        <v>-1.155908681337213</v>
      </c>
      <c r="Q64" s="187">
        <f t="shared" si="20"/>
        <v>68.421151591997216</v>
      </c>
      <c r="R64" s="2"/>
      <c r="S64" s="2"/>
      <c r="T64" s="2"/>
      <c r="U64" s="2"/>
    </row>
    <row r="65" spans="1:21" x14ac:dyDescent="0.25">
      <c r="A65" s="2"/>
      <c r="C65" s="2"/>
      <c r="E65" s="184">
        <v>41760</v>
      </c>
      <c r="F65" s="184" t="s">
        <v>373</v>
      </c>
      <c r="G65" s="185" t="s">
        <v>89</v>
      </c>
      <c r="H65" s="477">
        <f t="shared" ref="H65:H66" si="22">C$29/12</f>
        <v>1.225E-3</v>
      </c>
      <c r="I65" s="186">
        <f>(SUM('1.  LRAMVA Summary'!C$22:C$30)+SUM('1.  LRAMVA Summary'!C$31:C$32)*(MONTH($E65)-1)/12)*$H65</f>
        <v>-29.205701121616713</v>
      </c>
      <c r="J65" s="186">
        <f>(SUM('1.  LRAMVA Summary'!D$22:D$30)+SUM('1.  LRAMVA Summary'!D$31:D$32)*(MONTH($E65)-1)/12)*$H65</f>
        <v>16.973182192790834</v>
      </c>
      <c r="K65" s="186">
        <f>(SUM('1.  LRAMVA Summary'!E$22:E$30)+SUM('1.  LRAMVA Summary'!E$31:E$32)*(MONTH($E65)-1)/12)*$H65</f>
        <v>94.054137457167812</v>
      </c>
      <c r="L65" s="186">
        <f>(SUM('1.  LRAMVA Summary'!F$22:F$30)+SUM('1.  LRAMVA Summary'!F$31:F$32)*(MONTH($E65)-1)/12)*$H65</f>
        <v>0.93643376969363878</v>
      </c>
      <c r="M65" s="186">
        <f>(SUM('1.  LRAMVA Summary'!G$22:G$30)+SUM('1.  LRAMVA Summary'!G$31:G$32)*(MONTH($E65)-1)/12)*$H65</f>
        <v>-0.12129990833333332</v>
      </c>
      <c r="N65" s="186">
        <f>(SUM('1.  LRAMVA Summary'!H$22:H$30)+SUM('1.  LRAMVA Summary'!H$31:H$32)*(MONTH($E65)-1)/12)*$H65</f>
        <v>-1.3011849277777776</v>
      </c>
      <c r="O65" s="186">
        <f>(SUM('1.  LRAMVA Summary'!I$22:I$30)+SUM('1.  LRAMVA Summary'!I$31:I$32)*(MONTH($E65)-1)/12)*$H65</f>
        <v>-2.057299228270884</v>
      </c>
      <c r="P65" s="559">
        <f>(SUM('1.  LRAMVA Summary'!J$22:J$30)+SUM('1.  LRAMVA Summary'!J$31:J$32)*(MONTH($E65)-1)/12)*$H65</f>
        <v>-1.2071687751162843</v>
      </c>
      <c r="Q65" s="187">
        <f t="shared" si="20"/>
        <v>78.07109945853729</v>
      </c>
      <c r="R65" s="2"/>
      <c r="S65" s="2"/>
      <c r="T65" s="2"/>
      <c r="U65" s="2"/>
    </row>
    <row r="66" spans="1:21" s="3" customFormat="1" ht="12.75" x14ac:dyDescent="0.2">
      <c r="B66" s="56"/>
      <c r="E66" s="184">
        <v>41791</v>
      </c>
      <c r="F66" s="184" t="s">
        <v>373</v>
      </c>
      <c r="G66" s="185" t="s">
        <v>89</v>
      </c>
      <c r="H66" s="477">
        <f t="shared" si="22"/>
        <v>1.225E-3</v>
      </c>
      <c r="I66" s="186">
        <f>(SUM('1.  LRAMVA Summary'!C$22:C$30)+SUM('1.  LRAMVA Summary'!C$31:C$32)*(MONTH($E66)-1)/12)*$H66</f>
        <v>-28.599845773072829</v>
      </c>
      <c r="J66" s="186">
        <f>(SUM('1.  LRAMVA Summary'!D$22:D$30)+SUM('1.  LRAMVA Summary'!D$31:D$32)*(MONTH($E66)-1)/12)*$H66</f>
        <v>19.249763180256597</v>
      </c>
      <c r="K66" s="186">
        <f>(SUM('1.  LRAMVA Summary'!E$22:E$30)+SUM('1.  LRAMVA Summary'!E$31:E$32)*(MONTH($E66)-1)/12)*$H66</f>
        <v>100.91945756226401</v>
      </c>
      <c r="L66" s="186">
        <f>(SUM('1.  LRAMVA Summary'!F$22:F$30)+SUM('1.  LRAMVA Summary'!F$31:F$32)*(MONTH($E66)-1)/12)*$H66</f>
        <v>1.102151156283715</v>
      </c>
      <c r="M66" s="186">
        <f>(SUM('1.  LRAMVA Summary'!G$22:G$30)+SUM('1.  LRAMVA Summary'!G$31:G$32)*(MONTH($E66)-1)/12)*$H66</f>
        <v>-0.12914647229166665</v>
      </c>
      <c r="N66" s="186">
        <f>(SUM('1.  LRAMVA Summary'!H$22:H$30)+SUM('1.  LRAMVA Summary'!H$31:H$32)*(MONTH($E66)-1)/12)*$H66</f>
        <v>-1.3853550180555554</v>
      </c>
      <c r="O66" s="186">
        <f>(SUM('1.  LRAMVA Summary'!I$22:I$30)+SUM('1.  LRAMVA Summary'!I$31:I$32)*(MONTH($E66)-1)/12)*$H66</f>
        <v>-2.1775484414115684</v>
      </c>
      <c r="P66" s="559">
        <f>(SUM('1.  LRAMVA Summary'!J$22:J$30)+SUM('1.  LRAMVA Summary'!J$31:J$32)*(MONTH($E66)-1)/12)*$H66</f>
        <v>-1.2584288688953553</v>
      </c>
      <c r="Q66" s="187">
        <f t="shared" si="20"/>
        <v>87.72104732507735</v>
      </c>
    </row>
    <row r="67" spans="1:21" s="3" customFormat="1" ht="12.75" x14ac:dyDescent="0.2">
      <c r="B67" s="56"/>
      <c r="E67" s="184">
        <v>41821</v>
      </c>
      <c r="F67" s="184" t="s">
        <v>373</v>
      </c>
      <c r="G67" s="185" t="s">
        <v>91</v>
      </c>
      <c r="H67" s="478">
        <f>C$30/12</f>
        <v>1.225E-3</v>
      </c>
      <c r="I67" s="186">
        <f>(SUM('1.  LRAMVA Summary'!C$22:C$30)+SUM('1.  LRAMVA Summary'!C$31:C$32)*(MONTH($E67)-1)/12)*$H67</f>
        <v>-27.993990424528942</v>
      </c>
      <c r="J67" s="186">
        <f>(SUM('1.  LRAMVA Summary'!D$22:D$30)+SUM('1.  LRAMVA Summary'!D$31:D$32)*(MONTH($E67)-1)/12)*$H67</f>
        <v>21.52634416772236</v>
      </c>
      <c r="K67" s="186">
        <f>(SUM('1.  LRAMVA Summary'!E$22:E$30)+SUM('1.  LRAMVA Summary'!E$31:E$32)*(MONTH($E67)-1)/12)*$H67</f>
        <v>107.78477766736023</v>
      </c>
      <c r="L67" s="186">
        <f>(SUM('1.  LRAMVA Summary'!F$22:F$30)+SUM('1.  LRAMVA Summary'!F$31:F$32)*(MONTH($E67)-1)/12)*$H67</f>
        <v>1.2678685428737912</v>
      </c>
      <c r="M67" s="186">
        <f>(SUM('1.  LRAMVA Summary'!G$22:G$30)+SUM('1.  LRAMVA Summary'!G$31:G$32)*(MONTH($E67)-1)/12)*$H67</f>
        <v>-0.13699303625000001</v>
      </c>
      <c r="N67" s="186">
        <f>(SUM('1.  LRAMVA Summary'!H$22:H$30)+SUM('1.  LRAMVA Summary'!H$31:H$32)*(MONTH($E67)-1)/12)*$H67</f>
        <v>-1.4695251083333332</v>
      </c>
      <c r="O67" s="186">
        <f>(SUM('1.  LRAMVA Summary'!I$22:I$30)+SUM('1.  LRAMVA Summary'!I$31:I$32)*(MONTH($E67)-1)/12)*$H67</f>
        <v>-2.2977976545522534</v>
      </c>
      <c r="P67" s="559">
        <f>(SUM('1.  LRAMVA Summary'!J$22:J$30)+SUM('1.  LRAMVA Summary'!J$31:J$32)*(MONTH($E67)-1)/12)*$H67</f>
        <v>-1.3096889626744266</v>
      </c>
      <c r="Q67" s="187">
        <f t="shared" si="20"/>
        <v>97.370995191617425</v>
      </c>
    </row>
    <row r="68" spans="1:21" s="3" customFormat="1" ht="12.75" x14ac:dyDescent="0.2">
      <c r="B68" s="56"/>
      <c r="E68" s="184">
        <v>41852</v>
      </c>
      <c r="F68" s="184" t="s">
        <v>373</v>
      </c>
      <c r="G68" s="185" t="s">
        <v>91</v>
      </c>
      <c r="H68" s="477">
        <f t="shared" ref="H68:H69" si="23">C$30/12</f>
        <v>1.225E-3</v>
      </c>
      <c r="I68" s="186">
        <f>(SUM('1.  LRAMVA Summary'!C$22:C$30)+SUM('1.  LRAMVA Summary'!C$31:C$32)*(MONTH($E68)-1)/12)*$H68</f>
        <v>-27.388135075985058</v>
      </c>
      <c r="J68" s="186">
        <f>(SUM('1.  LRAMVA Summary'!D$22:D$30)+SUM('1.  LRAMVA Summary'!D$31:D$32)*(MONTH($E68)-1)/12)*$H68</f>
        <v>23.802925155188117</v>
      </c>
      <c r="K68" s="186">
        <f>(SUM('1.  LRAMVA Summary'!E$22:E$30)+SUM('1.  LRAMVA Summary'!E$31:E$32)*(MONTH($E68)-1)/12)*$H68</f>
        <v>114.65009777245646</v>
      </c>
      <c r="L68" s="186">
        <f>(SUM('1.  LRAMVA Summary'!F$22:F$30)+SUM('1.  LRAMVA Summary'!F$31:F$32)*(MONTH($E68)-1)/12)*$H68</f>
        <v>1.4335859294638678</v>
      </c>
      <c r="M68" s="186">
        <f>(SUM('1.  LRAMVA Summary'!G$22:G$30)+SUM('1.  LRAMVA Summary'!G$31:G$32)*(MONTH($E68)-1)/12)*$H68</f>
        <v>-0.14483960020833334</v>
      </c>
      <c r="N68" s="186">
        <f>(SUM('1.  LRAMVA Summary'!H$22:H$30)+SUM('1.  LRAMVA Summary'!H$31:H$32)*(MONTH($E68)-1)/12)*$H68</f>
        <v>-1.5536951986111109</v>
      </c>
      <c r="O68" s="186">
        <f>(SUM('1.  LRAMVA Summary'!I$22:I$30)+SUM('1.  LRAMVA Summary'!I$31:I$32)*(MONTH($E68)-1)/12)*$H68</f>
        <v>-2.4180468676929383</v>
      </c>
      <c r="P68" s="559">
        <f>(SUM('1.  LRAMVA Summary'!J$22:J$30)+SUM('1.  LRAMVA Summary'!J$31:J$32)*(MONTH($E68)-1)/12)*$H68</f>
        <v>-1.3609490564534976</v>
      </c>
      <c r="Q68" s="187">
        <f t="shared" si="20"/>
        <v>107.02094305815753</v>
      </c>
    </row>
    <row r="69" spans="1:21" s="3" customFormat="1" ht="12.75" x14ac:dyDescent="0.2">
      <c r="B69" s="56"/>
      <c r="E69" s="184">
        <v>41883</v>
      </c>
      <c r="F69" s="184" t="s">
        <v>373</v>
      </c>
      <c r="G69" s="185" t="s">
        <v>91</v>
      </c>
      <c r="H69" s="477">
        <f t="shared" si="23"/>
        <v>1.225E-3</v>
      </c>
      <c r="I69" s="186">
        <f>(SUM('1.  LRAMVA Summary'!C$22:C$30)+SUM('1.  LRAMVA Summary'!C$31:C$32)*(MONTH($E69)-1)/12)*$H69</f>
        <v>-26.782279727441171</v>
      </c>
      <c r="J69" s="186">
        <f>(SUM('1.  LRAMVA Summary'!D$22:D$30)+SUM('1.  LRAMVA Summary'!D$31:D$32)*(MONTH($E69)-1)/12)*$H69</f>
        <v>26.079506142653884</v>
      </c>
      <c r="K69" s="186">
        <f>(SUM('1.  LRAMVA Summary'!E$22:E$30)+SUM('1.  LRAMVA Summary'!E$31:E$32)*(MONTH($E69)-1)/12)*$H69</f>
        <v>121.51541787755266</v>
      </c>
      <c r="L69" s="186">
        <f>(SUM('1.  LRAMVA Summary'!F$22:F$30)+SUM('1.  LRAMVA Summary'!F$31:F$32)*(MONTH($E69)-1)/12)*$H69</f>
        <v>1.5993033160539443</v>
      </c>
      <c r="M69" s="186">
        <f>(SUM('1.  LRAMVA Summary'!G$22:G$30)+SUM('1.  LRAMVA Summary'!G$31:G$32)*(MONTH($E69)-1)/12)*$H69</f>
        <v>-0.15268616416666664</v>
      </c>
      <c r="N69" s="186">
        <f>(SUM('1.  LRAMVA Summary'!H$22:H$30)+SUM('1.  LRAMVA Summary'!H$31:H$32)*(MONTH($E69)-1)/12)*$H69</f>
        <v>-1.6378652888888889</v>
      </c>
      <c r="O69" s="186">
        <f>(SUM('1.  LRAMVA Summary'!I$22:I$30)+SUM('1.  LRAMVA Summary'!I$31:I$32)*(MONTH($E69)-1)/12)*$H69</f>
        <v>-2.5382960808336232</v>
      </c>
      <c r="P69" s="559">
        <f>(SUM('1.  LRAMVA Summary'!J$22:J$30)+SUM('1.  LRAMVA Summary'!J$31:J$32)*(MONTH($E69)-1)/12)*$H69</f>
        <v>-1.4122091502325687</v>
      </c>
      <c r="Q69" s="187">
        <f t="shared" si="20"/>
        <v>116.67089092469759</v>
      </c>
    </row>
    <row r="70" spans="1:21" s="3" customFormat="1" ht="12.75" x14ac:dyDescent="0.2">
      <c r="B70" s="56"/>
      <c r="E70" s="184">
        <v>41913</v>
      </c>
      <c r="F70" s="184" t="s">
        <v>373</v>
      </c>
      <c r="G70" s="185" t="s">
        <v>92</v>
      </c>
      <c r="H70" s="478">
        <f>C$31/12</f>
        <v>1.225E-3</v>
      </c>
      <c r="I70" s="186">
        <f>(SUM('1.  LRAMVA Summary'!C$22:C$30)+SUM('1.  LRAMVA Summary'!C$31:C$32)*(MONTH($E70)-1)/12)*$H70</f>
        <v>-26.176424378897284</v>
      </c>
      <c r="J70" s="186">
        <f>(SUM('1.  LRAMVA Summary'!D$22:D$30)+SUM('1.  LRAMVA Summary'!D$31:D$32)*(MONTH($E70)-1)/12)*$H70</f>
        <v>28.356087130119644</v>
      </c>
      <c r="K70" s="186">
        <f>(SUM('1.  LRAMVA Summary'!E$22:E$30)+SUM('1.  LRAMVA Summary'!E$31:E$32)*(MONTH($E70)-1)/12)*$H70</f>
        <v>128.3807379826489</v>
      </c>
      <c r="L70" s="186">
        <f>(SUM('1.  LRAMVA Summary'!F$22:F$30)+SUM('1.  LRAMVA Summary'!F$31:F$32)*(MONTH($E70)-1)/12)*$H70</f>
        <v>1.7650207026440201</v>
      </c>
      <c r="M70" s="186">
        <f>(SUM('1.  LRAMVA Summary'!G$22:G$30)+SUM('1.  LRAMVA Summary'!G$31:G$32)*(MONTH($E70)-1)/12)*$H70</f>
        <v>-0.160532728125</v>
      </c>
      <c r="N70" s="186">
        <f>(SUM('1.  LRAMVA Summary'!H$22:H$30)+SUM('1.  LRAMVA Summary'!H$31:H$32)*(MONTH($E70)-1)/12)*$H70</f>
        <v>-1.7220353791666665</v>
      </c>
      <c r="O70" s="186">
        <f>(SUM('1.  LRAMVA Summary'!I$22:I$30)+SUM('1.  LRAMVA Summary'!I$31:I$32)*(MONTH($E70)-1)/12)*$H70</f>
        <v>-2.6585452939743082</v>
      </c>
      <c r="P70" s="559">
        <f>(SUM('1.  LRAMVA Summary'!J$22:J$30)+SUM('1.  LRAMVA Summary'!J$31:J$32)*(MONTH($E70)-1)/12)*$H70</f>
        <v>-1.4634692440116399</v>
      </c>
      <c r="Q70" s="187">
        <f t="shared" si="20"/>
        <v>126.32083879123768</v>
      </c>
    </row>
    <row r="71" spans="1:21" s="3" customFormat="1" ht="12.75" x14ac:dyDescent="0.2">
      <c r="B71" s="56"/>
      <c r="E71" s="184">
        <v>41944</v>
      </c>
      <c r="F71" s="184" t="s">
        <v>373</v>
      </c>
      <c r="G71" s="185" t="s">
        <v>92</v>
      </c>
      <c r="H71" s="477">
        <f t="shared" ref="H71:H72" si="24">C$31/12</f>
        <v>1.225E-3</v>
      </c>
      <c r="I71" s="186">
        <f>(SUM('1.  LRAMVA Summary'!C$22:C$30)+SUM('1.  LRAMVA Summary'!C$31:C$32)*(MONTH($E71)-1)/12)*$H71</f>
        <v>-25.570569030353401</v>
      </c>
      <c r="J71" s="186">
        <f>(SUM('1.  LRAMVA Summary'!D$22:D$30)+SUM('1.  LRAMVA Summary'!D$31:D$32)*(MONTH($E71)-1)/12)*$H71</f>
        <v>30.632668117585411</v>
      </c>
      <c r="K71" s="186">
        <f>(SUM('1.  LRAMVA Summary'!E$22:E$30)+SUM('1.  LRAMVA Summary'!E$31:E$32)*(MONTH($E71)-1)/12)*$H71</f>
        <v>135.2460580877451</v>
      </c>
      <c r="L71" s="186">
        <f>(SUM('1.  LRAMVA Summary'!F$22:F$30)+SUM('1.  LRAMVA Summary'!F$31:F$32)*(MONTH($E71)-1)/12)*$H71</f>
        <v>1.9307380892340966</v>
      </c>
      <c r="M71" s="186">
        <f>(SUM('1.  LRAMVA Summary'!G$22:G$30)+SUM('1.  LRAMVA Summary'!G$31:G$32)*(MONTH($E71)-1)/12)*$H71</f>
        <v>-0.16837929208333333</v>
      </c>
      <c r="N71" s="186">
        <f>(SUM('1.  LRAMVA Summary'!H$22:H$30)+SUM('1.  LRAMVA Summary'!H$31:H$32)*(MONTH($E71)-1)/12)*$H71</f>
        <v>-1.8062054694444443</v>
      </c>
      <c r="O71" s="186">
        <f>(SUM('1.  LRAMVA Summary'!I$22:I$30)+SUM('1.  LRAMVA Summary'!I$31:I$32)*(MONTH($E71)-1)/12)*$H71</f>
        <v>-2.7787945071149927</v>
      </c>
      <c r="P71" s="559">
        <f>(SUM('1.  LRAMVA Summary'!J$22:J$30)+SUM('1.  LRAMVA Summary'!J$31:J$32)*(MONTH($E71)-1)/12)*$H71</f>
        <v>-1.514729337790711</v>
      </c>
      <c r="Q71" s="187">
        <f t="shared" si="20"/>
        <v>135.97078665777775</v>
      </c>
    </row>
    <row r="72" spans="1:21" s="3" customFormat="1" ht="12.75" x14ac:dyDescent="0.2">
      <c r="B72" s="56"/>
      <c r="E72" s="184">
        <v>41974</v>
      </c>
      <c r="F72" s="184" t="s">
        <v>373</v>
      </c>
      <c r="G72" s="185" t="s">
        <v>92</v>
      </c>
      <c r="H72" s="477">
        <f t="shared" si="24"/>
        <v>1.225E-3</v>
      </c>
      <c r="I72" s="186">
        <f>(SUM('1.  LRAMVA Summary'!C$22:C$30)+SUM('1.  LRAMVA Summary'!C$31:C$32)*(MONTH($E72)-1)/12)*$H72</f>
        <v>-24.964713681809513</v>
      </c>
      <c r="J72" s="186">
        <f>(SUM('1.  LRAMVA Summary'!D$22:D$30)+SUM('1.  LRAMVA Summary'!D$31:D$32)*(MONTH($E72)-1)/12)*$H72</f>
        <v>32.909249105051174</v>
      </c>
      <c r="K72" s="186">
        <f>(SUM('1.  LRAMVA Summary'!E$22:E$30)+SUM('1.  LRAMVA Summary'!E$31:E$32)*(MONTH($E72)-1)/12)*$H72</f>
        <v>142.1113781928413</v>
      </c>
      <c r="L72" s="186">
        <f>(SUM('1.  LRAMVA Summary'!F$22:F$30)+SUM('1.  LRAMVA Summary'!F$31:F$32)*(MONTH($E72)-1)/12)*$H72</f>
        <v>2.0964554758241727</v>
      </c>
      <c r="M72" s="186">
        <f>(SUM('1.  LRAMVA Summary'!G$22:G$30)+SUM('1.  LRAMVA Summary'!G$31:G$32)*(MONTH($E72)-1)/12)*$H72</f>
        <v>-0.17622585604166666</v>
      </c>
      <c r="N72" s="186">
        <f>(SUM('1.  LRAMVA Summary'!H$22:H$30)+SUM('1.  LRAMVA Summary'!H$31:H$32)*(MONTH($E72)-1)/12)*$H72</f>
        <v>-1.890375559722222</v>
      </c>
      <c r="O72" s="186">
        <f>(SUM('1.  LRAMVA Summary'!I$22:I$30)+SUM('1.  LRAMVA Summary'!I$31:I$32)*(MONTH($E72)-1)/12)*$H72</f>
        <v>-2.8990437202556776</v>
      </c>
      <c r="P72" s="559">
        <f>(SUM('1.  LRAMVA Summary'!J$22:J$30)+SUM('1.  LRAMVA Summary'!J$31:J$32)*(MONTH($E72)-1)/12)*$H72</f>
        <v>-1.565989431569782</v>
      </c>
      <c r="Q72" s="187">
        <f t="shared" si="20"/>
        <v>145.62073452431775</v>
      </c>
    </row>
    <row r="73" spans="1:21" s="3" customFormat="1" ht="13.5" thickBot="1" x14ac:dyDescent="0.25">
      <c r="B73" s="56"/>
      <c r="E73" s="196" t="s">
        <v>399</v>
      </c>
      <c r="F73" s="196"/>
      <c r="G73" s="197"/>
      <c r="H73" s="474"/>
      <c r="I73" s="198">
        <f>SUM(I60:I72)</f>
        <v>-513.52319102246804</v>
      </c>
      <c r="J73" s="198">
        <f t="shared" ref="J73" si="25">SUM(J60:J72)</f>
        <v>287.92436442397656</v>
      </c>
      <c r="K73" s="198">
        <f t="shared" ref="K73" si="26">SUM(K60:K72)</f>
        <v>1618.4861250800518</v>
      </c>
      <c r="L73" s="198">
        <f t="shared" ref="L73" si="27">SUM(L60:L72)</f>
        <v>15.724721423278371</v>
      </c>
      <c r="M73" s="198">
        <f t="shared" ref="M73" si="28">SUM(M60:M72)</f>
        <v>-2.0913621400000002</v>
      </c>
      <c r="N73" s="198">
        <f t="shared" ref="N73" si="29">SUM(N60:N72)</f>
        <v>-22.434055874999995</v>
      </c>
      <c r="O73" s="198">
        <f t="shared" ref="O73" si="30">SUM(O60:O72)</f>
        <v>-35.521739642177728</v>
      </c>
      <c r="P73" s="560">
        <f t="shared" ref="P73" si="31">SUM(P60:P72)</f>
        <v>-20.920413189418692</v>
      </c>
      <c r="Q73" s="198">
        <f>SUM(Q60:Q72)</f>
        <v>1327.6444490582421</v>
      </c>
    </row>
    <row r="74" spans="1:21" s="3" customFormat="1" ht="13.5" thickTop="1" x14ac:dyDescent="0.2">
      <c r="B74" s="56"/>
      <c r="E74" s="227" t="s">
        <v>90</v>
      </c>
      <c r="F74" s="227"/>
      <c r="G74" s="228"/>
      <c r="H74" s="475"/>
      <c r="I74" s="229"/>
      <c r="J74" s="229"/>
      <c r="K74" s="229"/>
      <c r="L74" s="229"/>
      <c r="M74" s="229"/>
      <c r="N74" s="229"/>
      <c r="O74" s="229"/>
      <c r="P74" s="229"/>
      <c r="Q74" s="230"/>
    </row>
    <row r="75" spans="1:21" s="3" customFormat="1" ht="12.75" x14ac:dyDescent="0.2">
      <c r="B75" s="56"/>
      <c r="E75" s="193" t="s">
        <v>394</v>
      </c>
      <c r="F75" s="193"/>
      <c r="G75" s="194"/>
      <c r="H75" s="476"/>
      <c r="I75" s="195">
        <f t="shared" ref="I75:Q75" si="32">I73+I74</f>
        <v>-513.52319102246804</v>
      </c>
      <c r="J75" s="195">
        <f t="shared" si="32"/>
        <v>287.92436442397656</v>
      </c>
      <c r="K75" s="195">
        <f t="shared" si="32"/>
        <v>1618.4861250800518</v>
      </c>
      <c r="L75" s="195">
        <f t="shared" si="32"/>
        <v>15.724721423278371</v>
      </c>
      <c r="M75" s="195">
        <f t="shared" si="32"/>
        <v>-2.0913621400000002</v>
      </c>
      <c r="N75" s="195">
        <f t="shared" si="32"/>
        <v>-22.434055874999995</v>
      </c>
      <c r="O75" s="195">
        <f t="shared" si="32"/>
        <v>-35.521739642177728</v>
      </c>
      <c r="P75" s="558">
        <f t="shared" ref="P75" si="33">P73+P74</f>
        <v>-20.920413189418692</v>
      </c>
      <c r="Q75" s="195">
        <f t="shared" si="32"/>
        <v>1327.6444490582421</v>
      </c>
    </row>
    <row r="76" spans="1:21" s="3" customFormat="1" ht="12.75" x14ac:dyDescent="0.2">
      <c r="B76" s="56"/>
      <c r="E76" s="184">
        <v>42005</v>
      </c>
      <c r="F76" s="184" t="s">
        <v>374</v>
      </c>
      <c r="G76" s="185" t="s">
        <v>88</v>
      </c>
      <c r="H76" s="477">
        <f>C$32/12</f>
        <v>1.225E-3</v>
      </c>
      <c r="I76" s="186">
        <f>(SUM('1.  LRAMVA Summary'!C$22:C$33)+SUM('1.  LRAMVA Summary'!C$34:C$35)*(MONTH($E76)-1)/12)*$H76</f>
        <v>-24.358858333265619</v>
      </c>
      <c r="J76" s="186">
        <f>(SUM('1.  LRAMVA Summary'!D$22:D$33)+SUM('1.  LRAMVA Summary'!D$34:D$35)*(MONTH($E76)-1)/12)*$H76</f>
        <v>35.18583009251693</v>
      </c>
      <c r="K76" s="186">
        <f>(SUM('1.  LRAMVA Summary'!E$22:E$33)+SUM('1.  LRAMVA Summary'!E$34:E$35)*(MONTH($E76)-1)/12)*$H76</f>
        <v>148.97669829793753</v>
      </c>
      <c r="L76" s="186">
        <f>(SUM('1.  LRAMVA Summary'!F$22:F$33)+SUM('1.  LRAMVA Summary'!F$34:F$35)*(MONTH($E76)-1)/12)*$H76</f>
        <v>2.262172862414249</v>
      </c>
      <c r="M76" s="186">
        <f>(SUM('1.  LRAMVA Summary'!G$22:G$33)+SUM('1.  LRAMVA Summary'!G$34:G$35)*(MONTH($E76)-1)/12)*$H76</f>
        <v>-0.18407241999999999</v>
      </c>
      <c r="N76" s="186">
        <f>(SUM('1.  LRAMVA Summary'!H$22:H$33)+SUM('1.  LRAMVA Summary'!H$34:H$35)*(MONTH($E76)-1)/12)*$H76</f>
        <v>-1.9745456499999996</v>
      </c>
      <c r="O76" s="186">
        <f>(SUM('1.  LRAMVA Summary'!I$22:I$33)+SUM('1.  LRAMVA Summary'!I$34:I$35)*(MONTH($E76)-1)/12)*$H76</f>
        <v>-3.0192929333963625</v>
      </c>
      <c r="P76" s="559">
        <f>(SUM('1.  LRAMVA Summary'!J$22:J$33)+SUM('1.  LRAMVA Summary'!J$34:J$35)*(MONTH($E76)-1)/12)*$H76</f>
        <v>-1.6172495253488528</v>
      </c>
      <c r="Q76" s="187">
        <f>SUM(I76:P76)</f>
        <v>155.27068239085784</v>
      </c>
    </row>
    <row r="77" spans="1:21" s="15" customFormat="1" ht="12.75" x14ac:dyDescent="0.2">
      <c r="B77" s="218"/>
      <c r="E77" s="184">
        <v>42036</v>
      </c>
      <c r="F77" s="184" t="s">
        <v>374</v>
      </c>
      <c r="G77" s="185" t="s">
        <v>88</v>
      </c>
      <c r="H77" s="477">
        <v>1.225E-3</v>
      </c>
      <c r="I77" s="186">
        <f>(SUM('1.  LRAMVA Summary'!C$22:C$33)+SUM('1.  LRAMVA Summary'!C$34:C$35)*(MONTH($E77)-1)/12)*$H77</f>
        <v>-20.648174099015581</v>
      </c>
      <c r="J77" s="186">
        <f>(SUM('1.  LRAMVA Summary'!D$22:D$33)+SUM('1.  LRAMVA Summary'!D$34:D$35)*(MONTH($E77)-1)/12)*$H77</f>
        <v>39.367558998634188</v>
      </c>
      <c r="K77" s="186">
        <f>(SUM('1.  LRAMVA Summary'!E$22:E$33)+SUM('1.  LRAMVA Summary'!E$34:E$35)*(MONTH($E77)-1)/12)*$H77</f>
        <v>157.48008202167017</v>
      </c>
      <c r="L77" s="186">
        <f>(SUM('1.  LRAMVA Summary'!F$22:F$33)+SUM('1.  LRAMVA Summary'!F$34:F$35)*(MONTH($E77)-1)/12)*$H77</f>
        <v>2.5117910910937633</v>
      </c>
      <c r="M77" s="186">
        <f>(SUM('1.  LRAMVA Summary'!G$22:G$33)+SUM('1.  LRAMVA Summary'!G$34:G$35)*(MONTH($E77)-1)/12)*$H77</f>
        <v>-0.19202357854166666</v>
      </c>
      <c r="N77" s="186">
        <f>(SUM('1.  LRAMVA Summary'!H$22:H$33)+SUM('1.  LRAMVA Summary'!H$34:H$35)*(MONTH($E77)-1)/12)*$H77</f>
        <v>-2.0598376088888886</v>
      </c>
      <c r="O77" s="186">
        <f>(SUM('1.  LRAMVA Summary'!I$22:I$33)+SUM('1.  LRAMVA Summary'!I$34:I$35)*(MONTH($E77)-1)/12)*$H77</f>
        <v>-3.1411291919896658</v>
      </c>
      <c r="P77" s="559">
        <f>(SUM('1.  LRAMVA Summary'!J$22:J$33)+SUM('1.  LRAMVA Summary'!J$34:J$35)*(MONTH($E77)-1)/12)*$H77</f>
        <v>-1.6695859631052232</v>
      </c>
      <c r="Q77" s="187">
        <f>SUM(I77:P77)</f>
        <v>171.64868166985707</v>
      </c>
    </row>
    <row r="78" spans="1:21" s="3" customFormat="1" ht="12.75" x14ac:dyDescent="0.2">
      <c r="B78" s="56"/>
      <c r="E78" s="184">
        <v>42064</v>
      </c>
      <c r="F78" s="184" t="s">
        <v>374</v>
      </c>
      <c r="G78" s="185" t="s">
        <v>88</v>
      </c>
      <c r="H78" s="477">
        <v>1.225E-3</v>
      </c>
      <c r="I78" s="186">
        <f>(SUM('1.  LRAMVA Summary'!C$22:C$33)+SUM('1.  LRAMVA Summary'!C$34:C$35)*(MONTH($E78)-1)/12)*$H78</f>
        <v>-16.937489864765542</v>
      </c>
      <c r="J78" s="186">
        <f>(SUM('1.  LRAMVA Summary'!D$22:D$33)+SUM('1.  LRAMVA Summary'!D$34:D$35)*(MONTH($E78)-1)/12)*$H78</f>
        <v>43.549287904751445</v>
      </c>
      <c r="K78" s="186">
        <f>(SUM('1.  LRAMVA Summary'!E$22:E$33)+SUM('1.  LRAMVA Summary'!E$34:E$35)*(MONTH($E78)-1)/12)*$H78</f>
        <v>165.98346574540281</v>
      </c>
      <c r="L78" s="186">
        <f>(SUM('1.  LRAMVA Summary'!F$22:F$33)+SUM('1.  LRAMVA Summary'!F$34:F$35)*(MONTH($E78)-1)/12)*$H78</f>
        <v>2.7614093197732776</v>
      </c>
      <c r="M78" s="186">
        <f>(SUM('1.  LRAMVA Summary'!G$22:G$33)+SUM('1.  LRAMVA Summary'!G$34:G$35)*(MONTH($E78)-1)/12)*$H78</f>
        <v>-0.1999747370833333</v>
      </c>
      <c r="N78" s="186">
        <f>(SUM('1.  LRAMVA Summary'!H$22:H$33)+SUM('1.  LRAMVA Summary'!H$34:H$35)*(MONTH($E78)-1)/12)*$H78</f>
        <v>-2.1451295677777775</v>
      </c>
      <c r="O78" s="186">
        <f>(SUM('1.  LRAMVA Summary'!I$22:I$33)+SUM('1.  LRAMVA Summary'!I$34:I$35)*(MONTH($E78)-1)/12)*$H78</f>
        <v>-3.2629654505829682</v>
      </c>
      <c r="P78" s="559">
        <f>(SUM('1.  LRAMVA Summary'!J$22:J$33)+SUM('1.  LRAMVA Summary'!J$34:J$35)*(MONTH($E78)-1)/12)*$H78</f>
        <v>-1.7219224008615936</v>
      </c>
      <c r="Q78" s="187">
        <f>SUM(I78:P78)</f>
        <v>188.0266809488563</v>
      </c>
    </row>
    <row r="79" spans="1:21" s="3" customFormat="1" ht="12.75" x14ac:dyDescent="0.2">
      <c r="B79" s="56"/>
      <c r="E79" s="184">
        <v>42095</v>
      </c>
      <c r="F79" s="184" t="s">
        <v>374</v>
      </c>
      <c r="G79" s="185" t="s">
        <v>89</v>
      </c>
      <c r="H79" s="477">
        <f>C$33/12</f>
        <v>9.1666666666666665E-4</v>
      </c>
      <c r="I79" s="186">
        <f>(SUM('1.  LRAMVA Summary'!C$22:C$33)+SUM('1.  LRAMVA Summary'!C$34:C$35)*(MONTH($E79)-1)/12)*$H79</f>
        <v>-9.8976096554877913</v>
      </c>
      <c r="J79" s="186">
        <f>(SUM('1.  LRAMVA Summary'!D$22:D$33)+SUM('1.  LRAMVA Summary'!D$34:D$35)*(MONTH($E79)-1)/12)*$H79</f>
        <v>35.71708740949358</v>
      </c>
      <c r="K79" s="186">
        <f>(SUM('1.  LRAMVA Summary'!E$22:E$33)+SUM('1.  LRAMVA Summary'!E$34:E$35)*(MONTH($E79)-1)/12)*$H79</f>
        <v>130.56839075921704</v>
      </c>
      <c r="L79" s="186">
        <f>(SUM('1.  LRAMVA Summary'!F$22:F$33)+SUM('1.  LRAMVA Summary'!F$34:F$35)*(MONTH($E79)-1)/12)*$H79</f>
        <v>2.2531498661891645</v>
      </c>
      <c r="M79" s="186">
        <f>(SUM('1.  LRAMVA Summary'!G$22:G$33)+SUM('1.  LRAMVA Summary'!G$34:G$35)*(MONTH($E79)-1)/12)*$H79</f>
        <v>-0.15559080624999999</v>
      </c>
      <c r="N79" s="186">
        <f>(SUM('1.  LRAMVA Summary'!H$22:H$33)+SUM('1.  LRAMVA Summary'!H$34:H$35)*(MONTH($E79)-1)/12)*$H79</f>
        <v>-1.6690229111111108</v>
      </c>
      <c r="O79" s="186">
        <f>(SUM('1.  LRAMVA Summary'!I$22:I$33)+SUM('1.  LRAMVA Summary'!I$34:I$35)*(MONTH($E79)-1)/12)*$H79</f>
        <v>-2.5328448163904071</v>
      </c>
      <c r="P79" s="559">
        <f>(SUM('1.  LRAMVA Summary'!J$22:J$33)+SUM('1.  LRAMVA Summary'!J$34:J$35)*(MONTH($E79)-1)/12)*$H79</f>
        <v>-1.3276766819590207</v>
      </c>
      <c r="Q79" s="187">
        <f>SUM(I79:P79)</f>
        <v>152.95588316370149</v>
      </c>
    </row>
    <row r="80" spans="1:21" s="3" customFormat="1" ht="12.75" x14ac:dyDescent="0.2">
      <c r="B80" s="56"/>
      <c r="E80" s="184">
        <v>42125</v>
      </c>
      <c r="F80" s="184" t="s">
        <v>374</v>
      </c>
      <c r="G80" s="185" t="s">
        <v>89</v>
      </c>
      <c r="H80" s="477">
        <v>9.1666666666666665E-4</v>
      </c>
      <c r="I80" s="186">
        <f>(SUM('1.  LRAMVA Summary'!C$22:C$33)+SUM('1.  LRAMVA Summary'!C$34:C$35)*(MONTH($E80)-1)/12)*$H80</f>
        <v>-7.1209071672734767</v>
      </c>
      <c r="J80" s="186">
        <f>(SUM('1.  LRAMVA Summary'!D$22:D$33)+SUM('1.  LRAMVA Summary'!D$34:D$35)*(MONTH($E80)-1)/12)*$H80</f>
        <v>38.846272305227579</v>
      </c>
      <c r="K80" s="186">
        <f>(SUM('1.  LRAMVA Summary'!E$22:E$33)+SUM('1.  LRAMVA Summary'!E$34:E$35)*(MONTH($E80)-1)/12)*$H80</f>
        <v>136.93146701507138</v>
      </c>
      <c r="L80" s="186">
        <f>(SUM('1.  LRAMVA Summary'!F$22:F$33)+SUM('1.  LRAMVA Summary'!F$34:F$35)*(MONTH($E80)-1)/12)*$H80</f>
        <v>2.4399390169017261</v>
      </c>
      <c r="M80" s="186">
        <f>(SUM('1.  LRAMVA Summary'!G$22:G$33)+SUM('1.  LRAMVA Summary'!G$34:G$35)*(MONTH($E80)-1)/12)*$H80</f>
        <v>-0.16154065277777777</v>
      </c>
      <c r="N80" s="186">
        <f>(SUM('1.  LRAMVA Summary'!H$22:H$33)+SUM('1.  LRAMVA Summary'!H$34:H$35)*(MONTH($E80)-1)/12)*$H80</f>
        <v>-1.7328468259259258</v>
      </c>
      <c r="O80" s="186">
        <f>(SUM('1.  LRAMVA Summary'!I$22:I$33)+SUM('1.  LRAMVA Summary'!I$34:I$35)*(MONTH($E80)-1)/12)*$H80</f>
        <v>-2.6240148058139674</v>
      </c>
      <c r="P80" s="559">
        <f>(SUM('1.  LRAMVA Summary'!J$22:J$33)+SUM('1.  LRAMVA Summary'!J$34:J$35)*(MONTH($E80)-1)/12)*$H80</f>
        <v>-1.3668400027290937</v>
      </c>
      <c r="Q80" s="187">
        <f t="shared" ref="Q80:Q87" si="34">SUM(I80:P80)</f>
        <v>165.21152888268043</v>
      </c>
    </row>
    <row r="81" spans="2:17" s="3" customFormat="1" ht="12.75" x14ac:dyDescent="0.2">
      <c r="B81" s="56"/>
      <c r="E81" s="184">
        <v>42156</v>
      </c>
      <c r="F81" s="184" t="s">
        <v>374</v>
      </c>
      <c r="G81" s="185" t="s">
        <v>89</v>
      </c>
      <c r="H81" s="477">
        <v>9.1666666666666665E-4</v>
      </c>
      <c r="I81" s="186">
        <f>(SUM('1.  LRAMVA Summary'!C$22:C$33)+SUM('1.  LRAMVA Summary'!C$34:C$35)*(MONTH($E81)-1)/12)*$H81</f>
        <v>-4.3442046790591631</v>
      </c>
      <c r="J81" s="186">
        <f>(SUM('1.  LRAMVA Summary'!D$22:D$33)+SUM('1.  LRAMVA Summary'!D$34:D$35)*(MONTH($E81)-1)/12)*$H81</f>
        <v>41.975457200961579</v>
      </c>
      <c r="K81" s="186">
        <f>(SUM('1.  LRAMVA Summary'!E$22:E$33)+SUM('1.  LRAMVA Summary'!E$34:E$35)*(MONTH($E81)-1)/12)*$H81</f>
        <v>143.29454327092574</v>
      </c>
      <c r="L81" s="186">
        <f>(SUM('1.  LRAMVA Summary'!F$22:F$33)+SUM('1.  LRAMVA Summary'!F$34:F$35)*(MONTH($E81)-1)/12)*$H81</f>
        <v>2.6267281676142877</v>
      </c>
      <c r="M81" s="186">
        <f>(SUM('1.  LRAMVA Summary'!G$22:G$33)+SUM('1.  LRAMVA Summary'!G$34:G$35)*(MONTH($E81)-1)/12)*$H81</f>
        <v>-0.16749049930555554</v>
      </c>
      <c r="N81" s="186">
        <f>(SUM('1.  LRAMVA Summary'!H$22:H$33)+SUM('1.  LRAMVA Summary'!H$34:H$35)*(MONTH($E81)-1)/12)*$H81</f>
        <v>-1.7966707407407405</v>
      </c>
      <c r="O81" s="186">
        <f>(SUM('1.  LRAMVA Summary'!I$22:I$33)+SUM('1.  LRAMVA Summary'!I$34:I$35)*(MONTH($E81)-1)/12)*$H81</f>
        <v>-2.7151847952375276</v>
      </c>
      <c r="P81" s="559">
        <f>(SUM('1.  LRAMVA Summary'!J$22:J$33)+SUM('1.  LRAMVA Summary'!J$34:J$35)*(MONTH($E81)-1)/12)*$H81</f>
        <v>-1.4060033234991667</v>
      </c>
      <c r="Q81" s="187">
        <f t="shared" si="34"/>
        <v>177.46717460165945</v>
      </c>
    </row>
    <row r="82" spans="2:17" s="3" customFormat="1" ht="12.75" x14ac:dyDescent="0.2">
      <c r="B82" s="56"/>
      <c r="E82" s="184">
        <v>42186</v>
      </c>
      <c r="F82" s="184" t="s">
        <v>374</v>
      </c>
      <c r="G82" s="185" t="s">
        <v>91</v>
      </c>
      <c r="H82" s="477">
        <f>$C$34/12</f>
        <v>9.1666666666666665E-4</v>
      </c>
      <c r="I82" s="186">
        <f>(SUM('1.  LRAMVA Summary'!C$22:C$33)+SUM('1.  LRAMVA Summary'!C$34:C$35)*(MONTH($E82)-1)/12)*$H82</f>
        <v>-1.5675021908448463</v>
      </c>
      <c r="J82" s="186">
        <f>(SUM('1.  LRAMVA Summary'!D$22:D$33)+SUM('1.  LRAMVA Summary'!D$34:D$35)*(MONTH($E82)-1)/12)*$H82</f>
        <v>45.104642096695585</v>
      </c>
      <c r="K82" s="186">
        <f>(SUM('1.  LRAMVA Summary'!E$22:E$33)+SUM('1.  LRAMVA Summary'!E$34:E$35)*(MONTH($E82)-1)/12)*$H82</f>
        <v>149.65761952678011</v>
      </c>
      <c r="L82" s="186">
        <f>(SUM('1.  LRAMVA Summary'!F$22:F$33)+SUM('1.  LRAMVA Summary'!F$34:F$35)*(MONTH($E82)-1)/12)*$H82</f>
        <v>2.8135173183268494</v>
      </c>
      <c r="M82" s="186">
        <f>(SUM('1.  LRAMVA Summary'!G$22:G$33)+SUM('1.  LRAMVA Summary'!G$34:G$35)*(MONTH($E82)-1)/12)*$H82</f>
        <v>-0.17344034583333334</v>
      </c>
      <c r="N82" s="186">
        <f>(SUM('1.  LRAMVA Summary'!H$22:H$33)+SUM('1.  LRAMVA Summary'!H$34:H$35)*(MONTH($E82)-1)/12)*$H82</f>
        <v>-1.8604946555555555</v>
      </c>
      <c r="O82" s="186">
        <f>(SUM('1.  LRAMVA Summary'!I$22:I$33)+SUM('1.  LRAMVA Summary'!I$34:I$35)*(MONTH($E82)-1)/12)*$H82</f>
        <v>-2.8063547846610875</v>
      </c>
      <c r="P82" s="559">
        <f>(SUM('1.  LRAMVA Summary'!J$22:J$33)+SUM('1.  LRAMVA Summary'!J$34:J$35)*(MONTH($E82)-1)/12)*$H82</f>
        <v>-1.4451666442692397</v>
      </c>
      <c r="Q82" s="187">
        <f t="shared" si="34"/>
        <v>189.72282032063848</v>
      </c>
    </row>
    <row r="83" spans="2:17" s="3" customFormat="1" ht="12.75" x14ac:dyDescent="0.2">
      <c r="B83" s="56"/>
      <c r="E83" s="184">
        <v>42217</v>
      </c>
      <c r="F83" s="184" t="s">
        <v>374</v>
      </c>
      <c r="G83" s="185" t="s">
        <v>91</v>
      </c>
      <c r="H83" s="477">
        <f t="shared" ref="H83:H84" si="35">$C$34/12</f>
        <v>9.1666666666666665E-4</v>
      </c>
      <c r="I83" s="186">
        <f>(SUM('1.  LRAMVA Summary'!C$22:C$33)+SUM('1.  LRAMVA Summary'!C$34:C$35)*(MONTH($E83)-1)/12)*$H83</f>
        <v>1.2092002973694687</v>
      </c>
      <c r="J83" s="186">
        <f>(SUM('1.  LRAMVA Summary'!D$22:D$33)+SUM('1.  LRAMVA Summary'!D$34:D$35)*(MONTH($E83)-1)/12)*$H83</f>
        <v>48.233826992429577</v>
      </c>
      <c r="K83" s="186">
        <f>(SUM('1.  LRAMVA Summary'!E$22:E$33)+SUM('1.  LRAMVA Summary'!E$34:E$35)*(MONTH($E83)-1)/12)*$H83</f>
        <v>156.0206957826345</v>
      </c>
      <c r="L83" s="186">
        <f>(SUM('1.  LRAMVA Summary'!F$22:F$33)+SUM('1.  LRAMVA Summary'!F$34:F$35)*(MONTH($E83)-1)/12)*$H83</f>
        <v>3.0003064690394119</v>
      </c>
      <c r="M83" s="186">
        <f>(SUM('1.  LRAMVA Summary'!G$22:G$33)+SUM('1.  LRAMVA Summary'!G$34:G$35)*(MONTH($E83)-1)/12)*$H83</f>
        <v>-0.17939019236111109</v>
      </c>
      <c r="N83" s="186">
        <f>(SUM('1.  LRAMVA Summary'!H$22:H$33)+SUM('1.  LRAMVA Summary'!H$34:H$35)*(MONTH($E83)-1)/12)*$H83</f>
        <v>-1.9243185703703702</v>
      </c>
      <c r="O83" s="186">
        <f>(SUM('1.  LRAMVA Summary'!I$22:I$33)+SUM('1.  LRAMVA Summary'!I$34:I$35)*(MONTH($E83)-1)/12)*$H83</f>
        <v>-2.8975247740846477</v>
      </c>
      <c r="P83" s="559">
        <f>(SUM('1.  LRAMVA Summary'!J$22:J$33)+SUM('1.  LRAMVA Summary'!J$34:J$35)*(MONTH($E83)-1)/12)*$H83</f>
        <v>-1.4843299650393129</v>
      </c>
      <c r="Q83" s="187">
        <f t="shared" si="34"/>
        <v>201.97846603961753</v>
      </c>
    </row>
    <row r="84" spans="2:17" s="3" customFormat="1" ht="12.75" x14ac:dyDescent="0.2">
      <c r="B84" s="56"/>
      <c r="E84" s="184">
        <v>42248</v>
      </c>
      <c r="F84" s="184" t="s">
        <v>374</v>
      </c>
      <c r="G84" s="185" t="s">
        <v>91</v>
      </c>
      <c r="H84" s="477">
        <f t="shared" si="35"/>
        <v>9.1666666666666665E-4</v>
      </c>
      <c r="I84" s="186">
        <f>(SUM('1.  LRAMVA Summary'!C$22:C$33)+SUM('1.  LRAMVA Summary'!C$34:C$35)*(MONTH($E84)-1)/12)*$H84</f>
        <v>3.9859027855837836</v>
      </c>
      <c r="J84" s="186">
        <f>(SUM('1.  LRAMVA Summary'!D$22:D$33)+SUM('1.  LRAMVA Summary'!D$34:D$35)*(MONTH($E84)-1)/12)*$H84</f>
        <v>51.363011888163577</v>
      </c>
      <c r="K84" s="186">
        <f>(SUM('1.  LRAMVA Summary'!E$22:E$33)+SUM('1.  LRAMVA Summary'!E$34:E$35)*(MONTH($E84)-1)/12)*$H84</f>
        <v>162.38377203848884</v>
      </c>
      <c r="L84" s="186">
        <f>(SUM('1.  LRAMVA Summary'!F$22:F$33)+SUM('1.  LRAMVA Summary'!F$34:F$35)*(MONTH($E84)-1)/12)*$H84</f>
        <v>3.1870956197519731</v>
      </c>
      <c r="M84" s="186">
        <f>(SUM('1.  LRAMVA Summary'!G$22:G$33)+SUM('1.  LRAMVA Summary'!G$34:G$35)*(MONTH($E84)-1)/12)*$H84</f>
        <v>-0.18534003888888889</v>
      </c>
      <c r="N84" s="186">
        <f>(SUM('1.  LRAMVA Summary'!H$22:H$33)+SUM('1.  LRAMVA Summary'!H$34:H$35)*(MONTH($E84)-1)/12)*$H84</f>
        <v>-1.988142485185185</v>
      </c>
      <c r="O84" s="186">
        <f>(SUM('1.  LRAMVA Summary'!I$22:I$33)+SUM('1.  LRAMVA Summary'!I$34:I$35)*(MONTH($E84)-1)/12)*$H84</f>
        <v>-2.988694763508208</v>
      </c>
      <c r="P84" s="559">
        <f>(SUM('1.  LRAMVA Summary'!J$22:J$33)+SUM('1.  LRAMVA Summary'!J$34:J$35)*(MONTH($E84)-1)/12)*$H84</f>
        <v>-1.5234932858093859</v>
      </c>
      <c r="Q84" s="187">
        <f t="shared" si="34"/>
        <v>214.2341117585965</v>
      </c>
    </row>
    <row r="85" spans="2:17" s="3" customFormat="1" ht="12.75" x14ac:dyDescent="0.2">
      <c r="B85" s="56"/>
      <c r="E85" s="184">
        <v>42278</v>
      </c>
      <c r="F85" s="184" t="s">
        <v>374</v>
      </c>
      <c r="G85" s="185" t="s">
        <v>92</v>
      </c>
      <c r="H85" s="477">
        <f>$C$35/12</f>
        <v>9.1666666666666665E-4</v>
      </c>
      <c r="I85" s="186">
        <f>(SUM('1.  LRAMVA Summary'!C$22:C$33)+SUM('1.  LRAMVA Summary'!C$34:C$35)*(MONTH($E85)-1)/12)*$H85</f>
        <v>6.7626052737980986</v>
      </c>
      <c r="J85" s="186">
        <f>(SUM('1.  LRAMVA Summary'!D$22:D$33)+SUM('1.  LRAMVA Summary'!D$34:D$35)*(MONTH($E85)-1)/12)*$H85</f>
        <v>54.492196783897576</v>
      </c>
      <c r="K85" s="186">
        <f>(SUM('1.  LRAMVA Summary'!E$22:E$33)+SUM('1.  LRAMVA Summary'!E$34:E$35)*(MONTH($E85)-1)/12)*$H85</f>
        <v>168.74684829434321</v>
      </c>
      <c r="L85" s="186">
        <f>(SUM('1.  LRAMVA Summary'!F$22:F$33)+SUM('1.  LRAMVA Summary'!F$34:F$35)*(MONTH($E85)-1)/12)*$H85</f>
        <v>3.3738847704645343</v>
      </c>
      <c r="M85" s="186">
        <f>(SUM('1.  LRAMVA Summary'!G$22:G$33)+SUM('1.  LRAMVA Summary'!G$34:G$35)*(MONTH($E85)-1)/12)*$H85</f>
        <v>-0.19128988541666664</v>
      </c>
      <c r="N85" s="186">
        <f>(SUM('1.  LRAMVA Summary'!H$22:H$33)+SUM('1.  LRAMVA Summary'!H$34:H$35)*(MONTH($E85)-1)/12)*$H85</f>
        <v>-2.0519663999999995</v>
      </c>
      <c r="O85" s="186">
        <f>(SUM('1.  LRAMVA Summary'!I$22:I$33)+SUM('1.  LRAMVA Summary'!I$34:I$35)*(MONTH($E85)-1)/12)*$H85</f>
        <v>-3.0798647529317678</v>
      </c>
      <c r="P85" s="559">
        <f>(SUM('1.  LRAMVA Summary'!J$22:J$33)+SUM('1.  LRAMVA Summary'!J$34:J$35)*(MONTH($E85)-1)/12)*$H85</f>
        <v>-1.5626566065794589</v>
      </c>
      <c r="Q85" s="187">
        <f t="shared" si="34"/>
        <v>226.48975747757555</v>
      </c>
    </row>
    <row r="86" spans="2:17" s="3" customFormat="1" ht="12.75" x14ac:dyDescent="0.2">
      <c r="B86" s="56"/>
      <c r="E86" s="184">
        <v>42309</v>
      </c>
      <c r="F86" s="184" t="s">
        <v>374</v>
      </c>
      <c r="G86" s="185" t="s">
        <v>92</v>
      </c>
      <c r="H86" s="477">
        <f t="shared" ref="H86:H87" si="36">$C$35/12</f>
        <v>9.1666666666666665E-4</v>
      </c>
      <c r="I86" s="186">
        <f>(SUM('1.  LRAMVA Summary'!C$22:C$33)+SUM('1.  LRAMVA Summary'!C$34:C$35)*(MONTH($E86)-1)/12)*$H86</f>
        <v>9.5393077620124096</v>
      </c>
      <c r="J86" s="186">
        <f>(SUM('1.  LRAMVA Summary'!D$22:D$33)+SUM('1.  LRAMVA Summary'!D$34:D$35)*(MONTH($E86)-1)/12)*$H86</f>
        <v>57.621381679631575</v>
      </c>
      <c r="K86" s="186">
        <f>(SUM('1.  LRAMVA Summary'!E$22:E$33)+SUM('1.  LRAMVA Summary'!E$34:E$35)*(MONTH($E86)-1)/12)*$H86</f>
        <v>175.10992455019758</v>
      </c>
      <c r="L86" s="186">
        <f>(SUM('1.  LRAMVA Summary'!F$22:F$33)+SUM('1.  LRAMVA Summary'!F$34:F$35)*(MONTH($E86)-1)/12)*$H86</f>
        <v>3.5606739211770964</v>
      </c>
      <c r="M86" s="186">
        <f>(SUM('1.  LRAMVA Summary'!G$22:G$33)+SUM('1.  LRAMVA Summary'!G$34:G$35)*(MONTH($E86)-1)/12)*$H86</f>
        <v>-0.19723973194444444</v>
      </c>
      <c r="N86" s="186">
        <f>(SUM('1.  LRAMVA Summary'!H$22:H$33)+SUM('1.  LRAMVA Summary'!H$34:H$35)*(MONTH($E86)-1)/12)*$H86</f>
        <v>-2.1157903148148147</v>
      </c>
      <c r="O86" s="186">
        <f>(SUM('1.  LRAMVA Summary'!I$22:I$33)+SUM('1.  LRAMVA Summary'!I$34:I$35)*(MONTH($E86)-1)/12)*$H86</f>
        <v>-3.171034742355328</v>
      </c>
      <c r="P86" s="559">
        <f>(SUM('1.  LRAMVA Summary'!J$22:J$33)+SUM('1.  LRAMVA Summary'!J$34:J$35)*(MONTH($E86)-1)/12)*$H86</f>
        <v>-1.6018199273495319</v>
      </c>
      <c r="Q86" s="187">
        <f t="shared" si="34"/>
        <v>238.74540319655455</v>
      </c>
    </row>
    <row r="87" spans="2:17" s="3" customFormat="1" ht="12.75" x14ac:dyDescent="0.2">
      <c r="B87" s="56"/>
      <c r="E87" s="184">
        <v>42339</v>
      </c>
      <c r="F87" s="184" t="s">
        <v>374</v>
      </c>
      <c r="G87" s="185" t="s">
        <v>92</v>
      </c>
      <c r="H87" s="477">
        <f t="shared" si="36"/>
        <v>9.1666666666666665E-4</v>
      </c>
      <c r="I87" s="186">
        <f>(SUM('1.  LRAMVA Summary'!C$22:C$33)+SUM('1.  LRAMVA Summary'!C$34:C$35)*(MONTH($E87)-1)/12)*$H87</f>
        <v>12.316010250226732</v>
      </c>
      <c r="J87" s="186">
        <f>(SUM('1.  LRAMVA Summary'!D$22:D$33)+SUM('1.  LRAMVA Summary'!D$34:D$35)*(MONTH($E87)-1)/12)*$H87</f>
        <v>60.750566575365575</v>
      </c>
      <c r="K87" s="186">
        <f>(SUM('1.  LRAMVA Summary'!E$22:E$33)+SUM('1.  LRAMVA Summary'!E$34:E$35)*(MONTH($E87)-1)/12)*$H87</f>
        <v>181.47300080605194</v>
      </c>
      <c r="L87" s="186">
        <f>(SUM('1.  LRAMVA Summary'!F$22:F$33)+SUM('1.  LRAMVA Summary'!F$34:F$35)*(MONTH($E87)-1)/12)*$H87</f>
        <v>3.7474630718896584</v>
      </c>
      <c r="M87" s="186">
        <f>(SUM('1.  LRAMVA Summary'!G$22:G$33)+SUM('1.  LRAMVA Summary'!G$34:G$35)*(MONTH($E87)-1)/12)*$H87</f>
        <v>-0.20318957847222222</v>
      </c>
      <c r="N87" s="186">
        <f>(SUM('1.  LRAMVA Summary'!H$22:H$33)+SUM('1.  LRAMVA Summary'!H$34:H$35)*(MONTH($E87)-1)/12)*$H87</f>
        <v>-2.1796142296296295</v>
      </c>
      <c r="O87" s="186">
        <f>(SUM('1.  LRAMVA Summary'!I$22:I$33)+SUM('1.  LRAMVA Summary'!I$34:I$35)*(MONTH($E87)-1)/12)*$H87</f>
        <v>-3.2622047317788878</v>
      </c>
      <c r="P87" s="559">
        <f>(SUM('1.  LRAMVA Summary'!J$22:J$33)+SUM('1.  LRAMVA Summary'!J$34:J$35)*(MONTH($E87)-1)/12)*$H87</f>
        <v>-1.6409832481196049</v>
      </c>
      <c r="Q87" s="187">
        <f t="shared" si="34"/>
        <v>251.00104891553357</v>
      </c>
    </row>
    <row r="88" spans="2:17" s="3" customFormat="1" ht="13.5" thickBot="1" x14ac:dyDescent="0.25">
      <c r="B88" s="56"/>
      <c r="E88" s="196" t="s">
        <v>400</v>
      </c>
      <c r="F88" s="196"/>
      <c r="G88" s="197"/>
      <c r="H88" s="474"/>
      <c r="I88" s="198">
        <f>SUM(I75:I87)</f>
        <v>-564.58491064318969</v>
      </c>
      <c r="J88" s="198">
        <f>SUM(J75:J87)</f>
        <v>840.13148435174537</v>
      </c>
      <c r="K88" s="198">
        <f t="shared" ref="K88:P88" si="37">SUM(K75:K87)</f>
        <v>3495.1126331887731</v>
      </c>
      <c r="L88" s="198">
        <f t="shared" si="37"/>
        <v>50.262852917914373</v>
      </c>
      <c r="M88" s="198">
        <f t="shared" si="37"/>
        <v>-4.2819446068750002</v>
      </c>
      <c r="N88" s="198">
        <f t="shared" si="37"/>
        <v>-45.932435834999986</v>
      </c>
      <c r="O88" s="198">
        <f t="shared" si="37"/>
        <v>-71.022850184908563</v>
      </c>
      <c r="P88" s="560">
        <f t="shared" si="37"/>
        <v>-39.288140764088176</v>
      </c>
      <c r="Q88" s="198">
        <f>SUM(Q75:Q87)</f>
        <v>3660.3966884243705</v>
      </c>
    </row>
    <row r="89" spans="2:17" s="3" customFormat="1" ht="13.5" thickTop="1" x14ac:dyDescent="0.2">
      <c r="B89" s="56"/>
      <c r="E89" s="227" t="s">
        <v>90</v>
      </c>
      <c r="F89" s="227"/>
      <c r="G89" s="228"/>
      <c r="H89" s="475"/>
      <c r="I89" s="229"/>
      <c r="J89" s="229"/>
      <c r="K89" s="229"/>
      <c r="L89" s="229"/>
      <c r="M89" s="229"/>
      <c r="N89" s="229"/>
      <c r="O89" s="229"/>
      <c r="P89" s="229"/>
      <c r="Q89" s="230"/>
    </row>
    <row r="90" spans="2:17" s="3" customFormat="1" ht="12.75" x14ac:dyDescent="0.2">
      <c r="B90" s="56"/>
      <c r="E90" s="193" t="s">
        <v>395</v>
      </c>
      <c r="F90" s="193"/>
      <c r="G90" s="194"/>
      <c r="H90" s="476"/>
      <c r="I90" s="195">
        <f>I88+I89</f>
        <v>-564.58491064318969</v>
      </c>
      <c r="J90" s="195">
        <f t="shared" ref="J90" si="38">J88+J89</f>
        <v>840.13148435174537</v>
      </c>
      <c r="K90" s="195">
        <f t="shared" ref="K90" si="39">K88+K89</f>
        <v>3495.1126331887731</v>
      </c>
      <c r="L90" s="195">
        <f t="shared" ref="L90" si="40">L88+L89</f>
        <v>50.262852917914373</v>
      </c>
      <c r="M90" s="195">
        <f t="shared" ref="M90" si="41">M88+M89</f>
        <v>-4.2819446068750002</v>
      </c>
      <c r="N90" s="195">
        <f t="shared" ref="N90" si="42">N88+N89</f>
        <v>-45.932435834999986</v>
      </c>
      <c r="O90" s="195">
        <f t="shared" ref="O90" si="43">O88+O89</f>
        <v>-71.022850184908563</v>
      </c>
      <c r="P90" s="195">
        <f t="shared" ref="P90" si="44">P88+P89</f>
        <v>-39.288140764088176</v>
      </c>
      <c r="Q90" s="195">
        <f t="shared" ref="Q90" si="45">Q88+Q89</f>
        <v>3660.3966884243705</v>
      </c>
    </row>
    <row r="91" spans="2:17" s="3" customFormat="1" ht="12.75" x14ac:dyDescent="0.2">
      <c r="B91" s="56"/>
      <c r="E91" s="184">
        <v>42370</v>
      </c>
      <c r="F91" s="184" t="s">
        <v>379</v>
      </c>
      <c r="G91" s="185" t="s">
        <v>88</v>
      </c>
      <c r="H91" s="477">
        <f>$C$36/12</f>
        <v>9.1666666666666665E-4</v>
      </c>
      <c r="I91" s="186">
        <f>(SUM('1.  LRAMVA Summary'!C$22:C$36))*$H91</f>
        <v>15.092712738441044</v>
      </c>
      <c r="J91" s="186">
        <f>(SUM('1.  LRAMVA Summary'!D$22:D$36))*$H91</f>
        <v>63.879751471099581</v>
      </c>
      <c r="K91" s="186">
        <f>(SUM('1.  LRAMVA Summary'!E$22:E$36))*$H91</f>
        <v>187.83607706190628</v>
      </c>
      <c r="L91" s="186">
        <f>(SUM('1.  LRAMVA Summary'!F$22:F$36))*$H91</f>
        <v>3.9342522226022201</v>
      </c>
      <c r="M91" s="186">
        <f>(SUM('1.  LRAMVA Summary'!G$22:G$36))*$H91</f>
        <v>-0.20913942499999999</v>
      </c>
      <c r="N91" s="186">
        <f>(SUM('1.  LRAMVA Summary'!H$22:H$36))*$H91</f>
        <v>-2.2434381444444438</v>
      </c>
      <c r="O91" s="186">
        <f>(SUM('1.  LRAMVA Summary'!I$22:I$36))*$H91</f>
        <v>-3.3533747212024476</v>
      </c>
      <c r="P91" s="186">
        <f>(SUM('1.  LRAMVA Summary'!J$22:J$36))*$H91</f>
        <v>-1.6801465688896779</v>
      </c>
      <c r="Q91" s="187">
        <f>SUM(I91:P91)</f>
        <v>263.25669463451254</v>
      </c>
    </row>
    <row r="92" spans="2:17" s="3" customFormat="1" ht="12.75" x14ac:dyDescent="0.2">
      <c r="B92" s="56"/>
      <c r="E92" s="184">
        <v>42401</v>
      </c>
      <c r="F92" s="184" t="s">
        <v>379</v>
      </c>
      <c r="G92" s="185" t="s">
        <v>88</v>
      </c>
      <c r="H92" s="477">
        <f t="shared" ref="H92:H93" si="46">$C$36/12</f>
        <v>9.1666666666666665E-4</v>
      </c>
      <c r="I92" s="186">
        <f>(SUM('1.  LRAMVA Summary'!C$22:C$36))*$H92</f>
        <v>15.092712738441044</v>
      </c>
      <c r="J92" s="186">
        <f>(SUM('1.  LRAMVA Summary'!D$22:D$36))*$H92</f>
        <v>63.879751471099581</v>
      </c>
      <c r="K92" s="186">
        <f>(SUM('1.  LRAMVA Summary'!E$22:E$36))*$H92</f>
        <v>187.83607706190628</v>
      </c>
      <c r="L92" s="186">
        <f>(SUM('1.  LRAMVA Summary'!F$22:F$36))*$H92</f>
        <v>3.9342522226022201</v>
      </c>
      <c r="M92" s="186">
        <f>(SUM('1.  LRAMVA Summary'!G$22:G$36))*$H92</f>
        <v>-0.20913942499999999</v>
      </c>
      <c r="N92" s="186">
        <f>(SUM('1.  LRAMVA Summary'!H$22:H$36))*$H92</f>
        <v>-2.2434381444444438</v>
      </c>
      <c r="O92" s="186">
        <f>(SUM('1.  LRAMVA Summary'!I$22:I$36))*$H92</f>
        <v>-3.3533747212024476</v>
      </c>
      <c r="P92" s="186">
        <f>(SUM('1.  LRAMVA Summary'!J$22:J$36))*$H92</f>
        <v>-1.6801465688896779</v>
      </c>
      <c r="Q92" s="187">
        <f t="shared" ref="Q92:Q102" si="47">SUM(I92:P92)</f>
        <v>263.25669463451254</v>
      </c>
    </row>
    <row r="93" spans="2:17" s="3" customFormat="1" ht="12.75" x14ac:dyDescent="0.2">
      <c r="B93" s="56"/>
      <c r="E93" s="184">
        <v>42430</v>
      </c>
      <c r="F93" s="184" t="s">
        <v>379</v>
      </c>
      <c r="G93" s="185" t="s">
        <v>88</v>
      </c>
      <c r="H93" s="477">
        <f t="shared" si="46"/>
        <v>9.1666666666666665E-4</v>
      </c>
      <c r="I93" s="186">
        <f>(SUM('1.  LRAMVA Summary'!C$22:C$36))*$H93</f>
        <v>15.092712738441044</v>
      </c>
      <c r="J93" s="186">
        <f>(SUM('1.  LRAMVA Summary'!D$22:D$36))*$H93</f>
        <v>63.879751471099581</v>
      </c>
      <c r="K93" s="186">
        <f>(SUM('1.  LRAMVA Summary'!E$22:E$36))*$H93</f>
        <v>187.83607706190628</v>
      </c>
      <c r="L93" s="186">
        <f>(SUM('1.  LRAMVA Summary'!F$22:F$36))*$H93</f>
        <v>3.9342522226022201</v>
      </c>
      <c r="M93" s="186">
        <f>(SUM('1.  LRAMVA Summary'!G$22:G$36))*$H93</f>
        <v>-0.20913942499999999</v>
      </c>
      <c r="N93" s="186">
        <f>(SUM('1.  LRAMVA Summary'!H$22:H$36))*$H93</f>
        <v>-2.2434381444444438</v>
      </c>
      <c r="O93" s="186">
        <f>(SUM('1.  LRAMVA Summary'!I$22:I$36))*$H93</f>
        <v>-3.3533747212024476</v>
      </c>
      <c r="P93" s="186">
        <f>(SUM('1.  LRAMVA Summary'!J$22:J$36))*$H93</f>
        <v>-1.6801465688896779</v>
      </c>
      <c r="Q93" s="187">
        <f t="shared" si="47"/>
        <v>263.25669463451254</v>
      </c>
    </row>
    <row r="94" spans="2:17" s="16" customFormat="1" ht="12.75" x14ac:dyDescent="0.2">
      <c r="B94" s="219"/>
      <c r="D94" s="3"/>
      <c r="E94" s="184">
        <v>42461</v>
      </c>
      <c r="F94" s="184" t="s">
        <v>379</v>
      </c>
      <c r="G94" s="185" t="s">
        <v>89</v>
      </c>
      <c r="H94" s="477">
        <f>$C$37/12</f>
        <v>9.1666666666666665E-4</v>
      </c>
      <c r="I94" s="186">
        <f>(SUM('1.  LRAMVA Summary'!C$22:C$36))*$H94</f>
        <v>15.092712738441044</v>
      </c>
      <c r="J94" s="186">
        <f>(SUM('1.  LRAMVA Summary'!D$22:D$36))*$H94</f>
        <v>63.879751471099581</v>
      </c>
      <c r="K94" s="186">
        <f>(SUM('1.  LRAMVA Summary'!E$22:E$36))*$H94</f>
        <v>187.83607706190628</v>
      </c>
      <c r="L94" s="186">
        <f>(SUM('1.  LRAMVA Summary'!F$22:F$36))*$H94</f>
        <v>3.9342522226022201</v>
      </c>
      <c r="M94" s="186">
        <f>(SUM('1.  LRAMVA Summary'!G$22:G$36))*$H94</f>
        <v>-0.20913942499999999</v>
      </c>
      <c r="N94" s="186">
        <f>(SUM('1.  LRAMVA Summary'!H$22:H$36))*$H94</f>
        <v>-2.2434381444444438</v>
      </c>
      <c r="O94" s="186">
        <f>(SUM('1.  LRAMVA Summary'!I$22:I$36))*$H94</f>
        <v>-3.3533747212024476</v>
      </c>
      <c r="P94" s="186">
        <f>(SUM('1.  LRAMVA Summary'!J$22:J$36))*$H94</f>
        <v>-1.6801465688896779</v>
      </c>
      <c r="Q94" s="187">
        <f t="shared" si="47"/>
        <v>263.25669463451254</v>
      </c>
    </row>
    <row r="95" spans="2:17" s="3" customFormat="1" ht="12.75" x14ac:dyDescent="0.2">
      <c r="B95" s="56"/>
      <c r="E95" s="184">
        <v>42491</v>
      </c>
      <c r="F95" s="184" t="s">
        <v>379</v>
      </c>
      <c r="G95" s="185" t="s">
        <v>89</v>
      </c>
      <c r="H95" s="477">
        <f t="shared" ref="H95:H96" si="48">$C$37/12</f>
        <v>9.1666666666666665E-4</v>
      </c>
      <c r="I95" s="186">
        <f>(SUM('1.  LRAMVA Summary'!C$22:C$36))*$H95</f>
        <v>15.092712738441044</v>
      </c>
      <c r="J95" s="186">
        <f>(SUM('1.  LRAMVA Summary'!D$22:D$36))*$H95</f>
        <v>63.879751471099581</v>
      </c>
      <c r="K95" s="186">
        <f>(SUM('1.  LRAMVA Summary'!E$22:E$36))*$H95</f>
        <v>187.83607706190628</v>
      </c>
      <c r="L95" s="186">
        <f>(SUM('1.  LRAMVA Summary'!F$22:F$36))*$H95</f>
        <v>3.9342522226022201</v>
      </c>
      <c r="M95" s="186">
        <f>(SUM('1.  LRAMVA Summary'!G$22:G$36))*$H95</f>
        <v>-0.20913942499999999</v>
      </c>
      <c r="N95" s="186">
        <f>(SUM('1.  LRAMVA Summary'!H$22:H$36))*$H95</f>
        <v>-2.2434381444444438</v>
      </c>
      <c r="O95" s="186">
        <f>(SUM('1.  LRAMVA Summary'!I$22:I$36))*$H95</f>
        <v>-3.3533747212024476</v>
      </c>
      <c r="P95" s="186">
        <f>(SUM('1.  LRAMVA Summary'!J$22:J$36))*$H95</f>
        <v>-1.6801465688896779</v>
      </c>
      <c r="Q95" s="187">
        <f t="shared" si="47"/>
        <v>263.25669463451254</v>
      </c>
    </row>
    <row r="96" spans="2:17" s="15" customFormat="1" ht="12.75" x14ac:dyDescent="0.2">
      <c r="B96" s="218"/>
      <c r="D96" s="3"/>
      <c r="E96" s="184">
        <v>42522</v>
      </c>
      <c r="F96" s="184" t="s">
        <v>379</v>
      </c>
      <c r="G96" s="185" t="s">
        <v>89</v>
      </c>
      <c r="H96" s="477">
        <f t="shared" si="48"/>
        <v>9.1666666666666665E-4</v>
      </c>
      <c r="I96" s="186">
        <f>(SUM('1.  LRAMVA Summary'!C$22:C$36))*$H96</f>
        <v>15.092712738441044</v>
      </c>
      <c r="J96" s="186">
        <f>(SUM('1.  LRAMVA Summary'!D$22:D$36))*$H96</f>
        <v>63.879751471099581</v>
      </c>
      <c r="K96" s="186">
        <f>(SUM('1.  LRAMVA Summary'!E$22:E$36))*$H96</f>
        <v>187.83607706190628</v>
      </c>
      <c r="L96" s="186">
        <f>(SUM('1.  LRAMVA Summary'!F$22:F$36))*$H96</f>
        <v>3.9342522226022201</v>
      </c>
      <c r="M96" s="186">
        <f>(SUM('1.  LRAMVA Summary'!G$22:G$36))*$H96</f>
        <v>-0.20913942499999999</v>
      </c>
      <c r="N96" s="186">
        <f>(SUM('1.  LRAMVA Summary'!H$22:H$36))*$H96</f>
        <v>-2.2434381444444438</v>
      </c>
      <c r="O96" s="186">
        <f>(SUM('1.  LRAMVA Summary'!I$22:I$36))*$H96</f>
        <v>-3.3533747212024476</v>
      </c>
      <c r="P96" s="186">
        <f>(SUM('1.  LRAMVA Summary'!J$22:J$36))*$H96</f>
        <v>-1.6801465688896779</v>
      </c>
      <c r="Q96" s="187">
        <f t="shared" si="47"/>
        <v>263.25669463451254</v>
      </c>
    </row>
    <row r="97" spans="2:17" s="3" customFormat="1" ht="12.75" x14ac:dyDescent="0.2">
      <c r="B97" s="56"/>
      <c r="E97" s="184">
        <v>42552</v>
      </c>
      <c r="F97" s="184" t="s">
        <v>379</v>
      </c>
      <c r="G97" s="185" t="s">
        <v>91</v>
      </c>
      <c r="H97" s="477">
        <f>$C$38/12</f>
        <v>9.1666666666666665E-4</v>
      </c>
      <c r="I97" s="186">
        <f>(SUM('1.  LRAMVA Summary'!C$22:C$36))*$H97</f>
        <v>15.092712738441044</v>
      </c>
      <c r="J97" s="186">
        <f>(SUM('1.  LRAMVA Summary'!D$22:D$36))*$H97</f>
        <v>63.879751471099581</v>
      </c>
      <c r="K97" s="186">
        <f>(SUM('1.  LRAMVA Summary'!E$22:E$36))*$H97</f>
        <v>187.83607706190628</v>
      </c>
      <c r="L97" s="186">
        <f>(SUM('1.  LRAMVA Summary'!F$22:F$36))*$H97</f>
        <v>3.9342522226022201</v>
      </c>
      <c r="M97" s="186">
        <f>(SUM('1.  LRAMVA Summary'!G$22:G$36))*$H97</f>
        <v>-0.20913942499999999</v>
      </c>
      <c r="N97" s="186">
        <f>(SUM('1.  LRAMVA Summary'!H$22:H$36))*$H97</f>
        <v>-2.2434381444444438</v>
      </c>
      <c r="O97" s="186">
        <f>(SUM('1.  LRAMVA Summary'!I$22:I$36))*$H97</f>
        <v>-3.3533747212024476</v>
      </c>
      <c r="P97" s="186">
        <f>(SUM('1.  LRAMVA Summary'!J$22:J$36))*$H97</f>
        <v>-1.6801465688896779</v>
      </c>
      <c r="Q97" s="187">
        <f t="shared" si="47"/>
        <v>263.25669463451254</v>
      </c>
    </row>
    <row r="98" spans="2:17" s="3" customFormat="1" ht="12.75" x14ac:dyDescent="0.2">
      <c r="B98" s="56"/>
      <c r="E98" s="184">
        <v>42583</v>
      </c>
      <c r="F98" s="184" t="s">
        <v>379</v>
      </c>
      <c r="G98" s="185" t="s">
        <v>91</v>
      </c>
      <c r="H98" s="477">
        <f t="shared" ref="H98:H99" si="49">$C$38/12</f>
        <v>9.1666666666666665E-4</v>
      </c>
      <c r="I98" s="186">
        <f>(SUM('1.  LRAMVA Summary'!C$22:C$36))*$H98</f>
        <v>15.092712738441044</v>
      </c>
      <c r="J98" s="186">
        <f>(SUM('1.  LRAMVA Summary'!D$22:D$36))*$H98</f>
        <v>63.879751471099581</v>
      </c>
      <c r="K98" s="186">
        <f>(SUM('1.  LRAMVA Summary'!E$22:E$36))*$H98</f>
        <v>187.83607706190628</v>
      </c>
      <c r="L98" s="186">
        <f>(SUM('1.  LRAMVA Summary'!F$22:F$36))*$H98</f>
        <v>3.9342522226022201</v>
      </c>
      <c r="M98" s="186">
        <f>(SUM('1.  LRAMVA Summary'!G$22:G$36))*$H98</f>
        <v>-0.20913942499999999</v>
      </c>
      <c r="N98" s="186">
        <f>(SUM('1.  LRAMVA Summary'!H$22:H$36))*$H98</f>
        <v>-2.2434381444444438</v>
      </c>
      <c r="O98" s="186">
        <f>(SUM('1.  LRAMVA Summary'!I$22:I$36))*$H98</f>
        <v>-3.3533747212024476</v>
      </c>
      <c r="P98" s="186">
        <f>(SUM('1.  LRAMVA Summary'!J$22:J$36))*$H98</f>
        <v>-1.6801465688896779</v>
      </c>
      <c r="Q98" s="187">
        <f t="shared" si="47"/>
        <v>263.25669463451254</v>
      </c>
    </row>
    <row r="99" spans="2:17" s="3" customFormat="1" ht="12.75" x14ac:dyDescent="0.2">
      <c r="B99" s="56"/>
      <c r="E99" s="184">
        <v>42614</v>
      </c>
      <c r="F99" s="184" t="s">
        <v>379</v>
      </c>
      <c r="G99" s="185" t="s">
        <v>91</v>
      </c>
      <c r="H99" s="477">
        <f t="shared" si="49"/>
        <v>9.1666666666666665E-4</v>
      </c>
      <c r="I99" s="186">
        <f>(SUM('1.  LRAMVA Summary'!C$22:C$36))*$H99</f>
        <v>15.092712738441044</v>
      </c>
      <c r="J99" s="186">
        <f>(SUM('1.  LRAMVA Summary'!D$22:D$36))*$H99</f>
        <v>63.879751471099581</v>
      </c>
      <c r="K99" s="186">
        <f>(SUM('1.  LRAMVA Summary'!E$22:E$36))*$H99</f>
        <v>187.83607706190628</v>
      </c>
      <c r="L99" s="186">
        <f>(SUM('1.  LRAMVA Summary'!F$22:F$36))*$H99</f>
        <v>3.9342522226022201</v>
      </c>
      <c r="M99" s="186">
        <f>(SUM('1.  LRAMVA Summary'!G$22:G$36))*$H99</f>
        <v>-0.20913942499999999</v>
      </c>
      <c r="N99" s="186">
        <f>(SUM('1.  LRAMVA Summary'!H$22:H$36))*$H99</f>
        <v>-2.2434381444444438</v>
      </c>
      <c r="O99" s="186">
        <f>(SUM('1.  LRAMVA Summary'!I$22:I$36))*$H99</f>
        <v>-3.3533747212024476</v>
      </c>
      <c r="P99" s="186">
        <f>(SUM('1.  LRAMVA Summary'!J$22:J$36))*$H99</f>
        <v>-1.6801465688896779</v>
      </c>
      <c r="Q99" s="187">
        <f t="shared" si="47"/>
        <v>263.25669463451254</v>
      </c>
    </row>
    <row r="100" spans="2:17" s="3" customFormat="1" ht="12.75" x14ac:dyDescent="0.2">
      <c r="B100" s="56"/>
      <c r="E100" s="184">
        <v>42644</v>
      </c>
      <c r="F100" s="184" t="s">
        <v>379</v>
      </c>
      <c r="G100" s="185" t="s">
        <v>92</v>
      </c>
      <c r="H100" s="473">
        <f>$C$39/12</f>
        <v>9.1666666666666665E-4</v>
      </c>
      <c r="I100" s="186">
        <f>(SUM('1.  LRAMVA Summary'!C$22:C$36))*$H100</f>
        <v>15.092712738441044</v>
      </c>
      <c r="J100" s="186">
        <f>(SUM('1.  LRAMVA Summary'!D$22:D$36))*$H100</f>
        <v>63.879751471099581</v>
      </c>
      <c r="K100" s="186">
        <f>(SUM('1.  LRAMVA Summary'!E$22:E$36))*$H100</f>
        <v>187.83607706190628</v>
      </c>
      <c r="L100" s="186">
        <f>(SUM('1.  LRAMVA Summary'!F$22:F$36))*$H100</f>
        <v>3.9342522226022201</v>
      </c>
      <c r="M100" s="186">
        <f>(SUM('1.  LRAMVA Summary'!G$22:G$36))*$H100</f>
        <v>-0.20913942499999999</v>
      </c>
      <c r="N100" s="186">
        <f>(SUM('1.  LRAMVA Summary'!H$22:H$36))*$H100</f>
        <v>-2.2434381444444438</v>
      </c>
      <c r="O100" s="186">
        <f>(SUM('1.  LRAMVA Summary'!I$22:I$36))*$H100</f>
        <v>-3.3533747212024476</v>
      </c>
      <c r="P100" s="186">
        <f>(SUM('1.  LRAMVA Summary'!J$22:J$36))*$H100</f>
        <v>-1.6801465688896779</v>
      </c>
      <c r="Q100" s="187">
        <f t="shared" si="47"/>
        <v>263.25669463451254</v>
      </c>
    </row>
    <row r="101" spans="2:17" s="3" customFormat="1" ht="12.75" x14ac:dyDescent="0.2">
      <c r="B101" s="56"/>
      <c r="E101" s="184">
        <v>42675</v>
      </c>
      <c r="F101" s="184" t="s">
        <v>379</v>
      </c>
      <c r="G101" s="185" t="s">
        <v>92</v>
      </c>
      <c r="H101" s="473">
        <f t="shared" ref="H101:H102" si="50">$C$39/12</f>
        <v>9.1666666666666665E-4</v>
      </c>
      <c r="I101" s="186">
        <f>(SUM('1.  LRAMVA Summary'!C$22:C$36))*$H101</f>
        <v>15.092712738441044</v>
      </c>
      <c r="J101" s="186">
        <f>(SUM('1.  LRAMVA Summary'!D$22:D$36))*$H101</f>
        <v>63.879751471099581</v>
      </c>
      <c r="K101" s="186">
        <f>(SUM('1.  LRAMVA Summary'!E$22:E$36))*$H101</f>
        <v>187.83607706190628</v>
      </c>
      <c r="L101" s="186">
        <f>(SUM('1.  LRAMVA Summary'!F$22:F$36))*$H101</f>
        <v>3.9342522226022201</v>
      </c>
      <c r="M101" s="186">
        <f>(SUM('1.  LRAMVA Summary'!G$22:G$36))*$H101</f>
        <v>-0.20913942499999999</v>
      </c>
      <c r="N101" s="186">
        <f>(SUM('1.  LRAMVA Summary'!H$22:H$36))*$H101</f>
        <v>-2.2434381444444438</v>
      </c>
      <c r="O101" s="186">
        <f>(SUM('1.  LRAMVA Summary'!I$22:I$36))*$H101</f>
        <v>-3.3533747212024476</v>
      </c>
      <c r="P101" s="186">
        <f>(SUM('1.  LRAMVA Summary'!J$22:J$36))*$H101</f>
        <v>-1.6801465688896779</v>
      </c>
      <c r="Q101" s="187">
        <f t="shared" si="47"/>
        <v>263.25669463451254</v>
      </c>
    </row>
    <row r="102" spans="2:17" s="3" customFormat="1" ht="12.75" x14ac:dyDescent="0.2">
      <c r="B102" s="56"/>
      <c r="E102" s="184">
        <v>42705</v>
      </c>
      <c r="F102" s="184" t="s">
        <v>379</v>
      </c>
      <c r="G102" s="185" t="s">
        <v>92</v>
      </c>
      <c r="H102" s="473">
        <f t="shared" si="50"/>
        <v>9.1666666666666665E-4</v>
      </c>
      <c r="I102" s="186">
        <f>(SUM('1.  LRAMVA Summary'!C$22:C$36))*$H102</f>
        <v>15.092712738441044</v>
      </c>
      <c r="J102" s="186">
        <f>(SUM('1.  LRAMVA Summary'!D$22:D$36))*$H102</f>
        <v>63.879751471099581</v>
      </c>
      <c r="K102" s="186">
        <f>(SUM('1.  LRAMVA Summary'!E$22:E$36))*$H102</f>
        <v>187.83607706190628</v>
      </c>
      <c r="L102" s="186">
        <f>(SUM('1.  LRAMVA Summary'!F$22:F$36))*$H102</f>
        <v>3.9342522226022201</v>
      </c>
      <c r="M102" s="186">
        <f>(SUM('1.  LRAMVA Summary'!G$22:G$36))*$H102</f>
        <v>-0.20913942499999999</v>
      </c>
      <c r="N102" s="186">
        <f>(SUM('1.  LRAMVA Summary'!H$22:H$36))*$H102</f>
        <v>-2.2434381444444438</v>
      </c>
      <c r="O102" s="186">
        <f>(SUM('1.  LRAMVA Summary'!I$22:I$36))*$H102</f>
        <v>-3.3533747212024476</v>
      </c>
      <c r="P102" s="186">
        <f>(SUM('1.  LRAMVA Summary'!J$22:J$36))*$H102</f>
        <v>-1.6801465688896779</v>
      </c>
      <c r="Q102" s="187">
        <f t="shared" si="47"/>
        <v>263.25669463451254</v>
      </c>
    </row>
    <row r="103" spans="2:17" s="3" customFormat="1" ht="13.5" thickBot="1" x14ac:dyDescent="0.25">
      <c r="B103" s="56"/>
      <c r="E103" s="196" t="s">
        <v>401</v>
      </c>
      <c r="F103" s="196"/>
      <c r="G103" s="197"/>
      <c r="H103" s="474"/>
      <c r="I103" s="198">
        <f>SUM(I90:I102)</f>
        <v>-383.47235778189724</v>
      </c>
      <c r="J103" s="198">
        <f>SUM(J90:J102)</f>
        <v>1606.6885020049401</v>
      </c>
      <c r="K103" s="198">
        <f t="shared" ref="K103:P103" si="51">SUM(K90:K102)</f>
        <v>5749.1455579316507</v>
      </c>
      <c r="L103" s="198">
        <f t="shared" si="51"/>
        <v>97.473879589141049</v>
      </c>
      <c r="M103" s="198">
        <f t="shared" si="51"/>
        <v>-6.7916177068750008</v>
      </c>
      <c r="N103" s="198">
        <f t="shared" si="51"/>
        <v>-72.853693568333327</v>
      </c>
      <c r="O103" s="198">
        <f t="shared" si="51"/>
        <v>-111.26334683933787</v>
      </c>
      <c r="P103" s="198">
        <f t="shared" si="51"/>
        <v>-59.449899590764282</v>
      </c>
      <c r="Q103" s="198">
        <f>SUM(Q90:Q102)</f>
        <v>6819.4770240385187</v>
      </c>
    </row>
    <row r="104" spans="2:17" s="3" customFormat="1" ht="13.5" thickTop="1" x14ac:dyDescent="0.2">
      <c r="B104" s="56"/>
      <c r="E104" s="227" t="s">
        <v>90</v>
      </c>
      <c r="F104" s="227"/>
      <c r="G104" s="228"/>
      <c r="H104" s="475"/>
      <c r="I104" s="229"/>
      <c r="J104" s="229"/>
      <c r="K104" s="229"/>
      <c r="L104" s="229"/>
      <c r="M104" s="229"/>
      <c r="N104" s="229"/>
      <c r="O104" s="229"/>
      <c r="P104" s="229"/>
      <c r="Q104" s="230"/>
    </row>
    <row r="105" spans="2:17" s="3" customFormat="1" ht="12.75" x14ac:dyDescent="0.2">
      <c r="B105" s="56"/>
      <c r="E105" s="193" t="s">
        <v>396</v>
      </c>
      <c r="F105" s="193"/>
      <c r="G105" s="194"/>
      <c r="H105" s="476"/>
      <c r="I105" s="195">
        <f>I103+I104</f>
        <v>-383.47235778189724</v>
      </c>
      <c r="J105" s="195">
        <f t="shared" ref="J105" si="52">J103+J104</f>
        <v>1606.6885020049401</v>
      </c>
      <c r="K105" s="195">
        <f t="shared" ref="K105" si="53">K103+K104</f>
        <v>5749.1455579316507</v>
      </c>
      <c r="L105" s="195">
        <f t="shared" ref="L105" si="54">L103+L104</f>
        <v>97.473879589141049</v>
      </c>
      <c r="M105" s="195">
        <f t="shared" ref="M105" si="55">M103+M104</f>
        <v>-6.7916177068750008</v>
      </c>
      <c r="N105" s="195">
        <f t="shared" ref="N105" si="56">N103+N104</f>
        <v>-72.853693568333327</v>
      </c>
      <c r="O105" s="195">
        <f t="shared" ref="O105" si="57">O103+O104</f>
        <v>-111.26334683933787</v>
      </c>
      <c r="P105" s="195">
        <f t="shared" ref="P105" si="58">P103+P104</f>
        <v>-59.449899590764282</v>
      </c>
      <c r="Q105" s="195">
        <f t="shared" ref="Q105" si="59">Q103+Q104</f>
        <v>6819.4770240385187</v>
      </c>
    </row>
    <row r="106" spans="2:17" s="3" customFormat="1" ht="12.75" x14ac:dyDescent="0.2">
      <c r="B106" s="56"/>
      <c r="E106" s="184">
        <v>42736</v>
      </c>
      <c r="F106" s="184" t="s">
        <v>380</v>
      </c>
      <c r="G106" s="185" t="s">
        <v>88</v>
      </c>
      <c r="H106" s="480">
        <f>$C$40/12</f>
        <v>9.1666666666666665E-4</v>
      </c>
      <c r="I106" s="186">
        <f>(SUM('1.  LRAMVA Summary'!C$22:C$36))*$H106</f>
        <v>15.092712738441044</v>
      </c>
      <c r="J106" s="186">
        <f>(SUM('1.  LRAMVA Summary'!D$22:D$36))*$H106</f>
        <v>63.879751471099581</v>
      </c>
      <c r="K106" s="186">
        <f>(SUM('1.  LRAMVA Summary'!E$22:E$36))*$H106</f>
        <v>187.83607706190628</v>
      </c>
      <c r="L106" s="186">
        <f>(SUM('1.  LRAMVA Summary'!F$22:F$36))*$H106</f>
        <v>3.9342522226022201</v>
      </c>
      <c r="M106" s="186">
        <f>(SUM('1.  LRAMVA Summary'!G$22:G$36))*$H106</f>
        <v>-0.20913942499999999</v>
      </c>
      <c r="N106" s="186">
        <f>(SUM('1.  LRAMVA Summary'!H$22:H$36))*$H106</f>
        <v>-2.2434381444444438</v>
      </c>
      <c r="O106" s="186">
        <f>(SUM('1.  LRAMVA Summary'!I$22:I$36))*$H106</f>
        <v>-3.3533747212024476</v>
      </c>
      <c r="P106" s="186">
        <f>(SUM('1.  LRAMVA Summary'!J$22:J$36))*$H106</f>
        <v>-1.6801465688896779</v>
      </c>
      <c r="Q106" s="187">
        <f>SUM(I106:P106)</f>
        <v>263.25669463451254</v>
      </c>
    </row>
    <row r="107" spans="2:17" s="3" customFormat="1" ht="12.75" x14ac:dyDescent="0.2">
      <c r="B107" s="56"/>
      <c r="E107" s="184">
        <v>42767</v>
      </c>
      <c r="F107" s="184" t="s">
        <v>380</v>
      </c>
      <c r="G107" s="185" t="s">
        <v>88</v>
      </c>
      <c r="H107" s="480">
        <f t="shared" ref="H107:H108" si="60">$C$40/12</f>
        <v>9.1666666666666665E-4</v>
      </c>
      <c r="I107" s="186">
        <f>(SUM('1.  LRAMVA Summary'!C$22:C$36))*$H107</f>
        <v>15.092712738441044</v>
      </c>
      <c r="J107" s="186">
        <f>(SUM('1.  LRAMVA Summary'!D$22:D$36))*$H107</f>
        <v>63.879751471099581</v>
      </c>
      <c r="K107" s="186">
        <f>(SUM('1.  LRAMVA Summary'!E$22:E$36))*$H107</f>
        <v>187.83607706190628</v>
      </c>
      <c r="L107" s="186">
        <f>(SUM('1.  LRAMVA Summary'!F$22:F$36))*$H107</f>
        <v>3.9342522226022201</v>
      </c>
      <c r="M107" s="186">
        <f>(SUM('1.  LRAMVA Summary'!G$22:G$36))*$H107</f>
        <v>-0.20913942499999999</v>
      </c>
      <c r="N107" s="186">
        <f>(SUM('1.  LRAMVA Summary'!H$22:H$36))*$H107</f>
        <v>-2.2434381444444438</v>
      </c>
      <c r="O107" s="186">
        <f>(SUM('1.  LRAMVA Summary'!I$22:I$36))*$H107</f>
        <v>-3.3533747212024476</v>
      </c>
      <c r="P107" s="186">
        <f>(SUM('1.  LRAMVA Summary'!J$22:J$36))*$H107</f>
        <v>-1.6801465688896779</v>
      </c>
      <c r="Q107" s="187">
        <f t="shared" ref="Q107:Q117" si="61">SUM(I107:P107)</f>
        <v>263.25669463451254</v>
      </c>
    </row>
    <row r="108" spans="2:17" s="3" customFormat="1" ht="12.75" x14ac:dyDescent="0.2">
      <c r="B108" s="56"/>
      <c r="E108" s="184">
        <v>42795</v>
      </c>
      <c r="F108" s="184" t="s">
        <v>380</v>
      </c>
      <c r="G108" s="185" t="s">
        <v>88</v>
      </c>
      <c r="H108" s="480">
        <f t="shared" si="60"/>
        <v>9.1666666666666665E-4</v>
      </c>
      <c r="I108" s="186">
        <f>(SUM('1.  LRAMVA Summary'!C$22:C$36))*$H108</f>
        <v>15.092712738441044</v>
      </c>
      <c r="J108" s="186">
        <f>(SUM('1.  LRAMVA Summary'!D$22:D$36))*$H108</f>
        <v>63.879751471099581</v>
      </c>
      <c r="K108" s="186">
        <f>(SUM('1.  LRAMVA Summary'!E$22:E$36))*$H108</f>
        <v>187.83607706190628</v>
      </c>
      <c r="L108" s="186">
        <f>(SUM('1.  LRAMVA Summary'!F$22:F$36))*$H108</f>
        <v>3.9342522226022201</v>
      </c>
      <c r="M108" s="186">
        <f>(SUM('1.  LRAMVA Summary'!G$22:G$36))*$H108</f>
        <v>-0.20913942499999999</v>
      </c>
      <c r="N108" s="186">
        <f>(SUM('1.  LRAMVA Summary'!H$22:H$36))*$H108</f>
        <v>-2.2434381444444438</v>
      </c>
      <c r="O108" s="186">
        <f>(SUM('1.  LRAMVA Summary'!I$22:I$36))*$H108</f>
        <v>-3.3533747212024476</v>
      </c>
      <c r="P108" s="186">
        <f>(SUM('1.  LRAMVA Summary'!J$22:J$36))*$H108</f>
        <v>-1.6801465688896779</v>
      </c>
      <c r="Q108" s="187">
        <f t="shared" si="61"/>
        <v>263.25669463451254</v>
      </c>
    </row>
    <row r="109" spans="2:17" s="16" customFormat="1" ht="12.75" x14ac:dyDescent="0.2">
      <c r="B109" s="219"/>
      <c r="E109" s="184">
        <v>42826</v>
      </c>
      <c r="F109" s="184" t="s">
        <v>380</v>
      </c>
      <c r="G109" s="185" t="s">
        <v>89</v>
      </c>
      <c r="H109" s="480">
        <f>$C$41/12</f>
        <v>9.1666666666666665E-4</v>
      </c>
      <c r="I109" s="186">
        <f>(SUM('1.  LRAMVA Summary'!C$22:C$36))*$H109</f>
        <v>15.092712738441044</v>
      </c>
      <c r="J109" s="186">
        <f>(SUM('1.  LRAMVA Summary'!D$22:D$36))*$H109</f>
        <v>63.879751471099581</v>
      </c>
      <c r="K109" s="186">
        <f>(SUM('1.  LRAMVA Summary'!E$22:E$36))*$H109</f>
        <v>187.83607706190628</v>
      </c>
      <c r="L109" s="186">
        <f>(SUM('1.  LRAMVA Summary'!F$22:F$36))*$H109</f>
        <v>3.9342522226022201</v>
      </c>
      <c r="M109" s="186">
        <f>(SUM('1.  LRAMVA Summary'!G$22:G$36))*$H109</f>
        <v>-0.20913942499999999</v>
      </c>
      <c r="N109" s="186">
        <f>(SUM('1.  LRAMVA Summary'!H$22:H$36))*$H109</f>
        <v>-2.2434381444444438</v>
      </c>
      <c r="O109" s="186">
        <f>(SUM('1.  LRAMVA Summary'!I$22:I$36))*$H109</f>
        <v>-3.3533747212024476</v>
      </c>
      <c r="P109" s="186">
        <f>(SUM('1.  LRAMVA Summary'!J$22:J$36))*$H109</f>
        <v>-1.6801465688896779</v>
      </c>
      <c r="Q109" s="187">
        <f t="shared" si="61"/>
        <v>263.25669463451254</v>
      </c>
    </row>
    <row r="110" spans="2:17" s="3" customFormat="1" ht="13.9" hidden="1" x14ac:dyDescent="0.3">
      <c r="B110" s="56"/>
      <c r="E110" s="184">
        <v>42856</v>
      </c>
      <c r="F110" s="184" t="s">
        <v>380</v>
      </c>
      <c r="G110" s="185" t="s">
        <v>89</v>
      </c>
      <c r="H110" s="480">
        <f t="shared" ref="H110:H111" si="62">$C$41/12</f>
        <v>9.1666666666666665E-4</v>
      </c>
      <c r="I110" s="186" t="e">
        <f>(SUM('1.  LRAMVA Summary'!C$22:C$36)+SUM('1.  LRAMVA Summary'!#REF!)*(MONTH($E110)-1)/12)*$H110</f>
        <v>#REF!</v>
      </c>
      <c r="J110" s="186" t="e">
        <f>(SUM('1.  LRAMVA Summary'!D$22:D$36)+SUM('1.  LRAMVA Summary'!#REF!)*(MONTH($E110)-1)/12)*$H110</f>
        <v>#REF!</v>
      </c>
      <c r="K110" s="186" t="e">
        <f>(SUM('1.  LRAMVA Summary'!E$22:E$36)+SUM('1.  LRAMVA Summary'!#REF!)*(MONTH($E110)-1)/12)*$H110</f>
        <v>#REF!</v>
      </c>
      <c r="L110" s="186" t="e">
        <f>(SUM('1.  LRAMVA Summary'!F$22:F$36)+SUM('1.  LRAMVA Summary'!#REF!)*(MONTH($E110)-1)/12)*$H110</f>
        <v>#REF!</v>
      </c>
      <c r="M110" s="186" t="e">
        <f>(SUM('1.  LRAMVA Summary'!G$22:G$36)+SUM('1.  LRAMVA Summary'!#REF!)*(MONTH($E110)-1)/12)*$H110</f>
        <v>#REF!</v>
      </c>
      <c r="N110" s="186" t="e">
        <f>(SUM('1.  LRAMVA Summary'!H$22:H$36)+SUM('1.  LRAMVA Summary'!#REF!)*(MONTH($E110)-1)/12)*$H110</f>
        <v>#REF!</v>
      </c>
      <c r="O110" s="186" t="e">
        <f>(SUM('1.  LRAMVA Summary'!I$22:I$36)+SUM('1.  LRAMVA Summary'!#REF!)*(MONTH($E110)-1)/12)*$H110</f>
        <v>#REF!</v>
      </c>
      <c r="P110" s="186"/>
      <c r="Q110" s="187" t="e">
        <f t="shared" si="61"/>
        <v>#REF!</v>
      </c>
    </row>
    <row r="111" spans="2:17" s="15" customFormat="1" ht="13.9" hidden="1" x14ac:dyDescent="0.3">
      <c r="B111" s="218"/>
      <c r="E111" s="184">
        <v>42887</v>
      </c>
      <c r="F111" s="184" t="s">
        <v>380</v>
      </c>
      <c r="G111" s="185" t="s">
        <v>89</v>
      </c>
      <c r="H111" s="480">
        <f t="shared" si="62"/>
        <v>9.1666666666666665E-4</v>
      </c>
      <c r="I111" s="186" t="e">
        <f>(SUM('1.  LRAMVA Summary'!C$22:C$36)+SUM('1.  LRAMVA Summary'!#REF!)*(MONTH($E111)-1)/12)*$H111</f>
        <v>#REF!</v>
      </c>
      <c r="J111" s="186" t="e">
        <f>(SUM('1.  LRAMVA Summary'!D$22:D$36)+SUM('1.  LRAMVA Summary'!#REF!)*(MONTH($E111)-1)/12)*$H111</f>
        <v>#REF!</v>
      </c>
      <c r="K111" s="186" t="e">
        <f>(SUM('1.  LRAMVA Summary'!E$22:E$36)+SUM('1.  LRAMVA Summary'!#REF!)*(MONTH($E111)-1)/12)*$H111</f>
        <v>#REF!</v>
      </c>
      <c r="L111" s="186" t="e">
        <f>(SUM('1.  LRAMVA Summary'!F$22:F$36)+SUM('1.  LRAMVA Summary'!#REF!)*(MONTH($E111)-1)/12)*$H111</f>
        <v>#REF!</v>
      </c>
      <c r="M111" s="186" t="e">
        <f>(SUM('1.  LRAMVA Summary'!G$22:G$36)+SUM('1.  LRAMVA Summary'!#REF!)*(MONTH($E111)-1)/12)*$H111</f>
        <v>#REF!</v>
      </c>
      <c r="N111" s="186" t="e">
        <f>(SUM('1.  LRAMVA Summary'!H$22:H$36)+SUM('1.  LRAMVA Summary'!#REF!)*(MONTH($E111)-1)/12)*$H111</f>
        <v>#REF!</v>
      </c>
      <c r="O111" s="186" t="e">
        <f>(SUM('1.  LRAMVA Summary'!I$22:I$36)+SUM('1.  LRAMVA Summary'!#REF!)*(MONTH($E111)-1)/12)*$H111</f>
        <v>#REF!</v>
      </c>
      <c r="P111" s="186"/>
      <c r="Q111" s="187" t="e">
        <f t="shared" si="61"/>
        <v>#REF!</v>
      </c>
    </row>
    <row r="112" spans="2:17" s="3" customFormat="1" ht="13.9" hidden="1" x14ac:dyDescent="0.3">
      <c r="B112" s="56"/>
      <c r="E112" s="184">
        <v>42917</v>
      </c>
      <c r="F112" s="184" t="s">
        <v>380</v>
      </c>
      <c r="G112" s="185" t="s">
        <v>91</v>
      </c>
      <c r="H112" s="480">
        <f>$C$42/12</f>
        <v>0</v>
      </c>
      <c r="I112" s="186" t="e">
        <f>(SUM('1.  LRAMVA Summary'!C$22:C$36)+SUM('1.  LRAMVA Summary'!#REF!)*(MONTH($E112)-1)/12)*$H112</f>
        <v>#REF!</v>
      </c>
      <c r="J112" s="186" t="e">
        <f>(SUM('1.  LRAMVA Summary'!D$22:D$36)+SUM('1.  LRAMVA Summary'!#REF!)*(MONTH($E112)-1)/12)*$H112</f>
        <v>#REF!</v>
      </c>
      <c r="K112" s="186" t="e">
        <f>(SUM('1.  LRAMVA Summary'!E$22:E$36)+SUM('1.  LRAMVA Summary'!#REF!)*(MONTH($E112)-1)/12)*$H112</f>
        <v>#REF!</v>
      </c>
      <c r="L112" s="186" t="e">
        <f>(SUM('1.  LRAMVA Summary'!F$22:F$36)+SUM('1.  LRAMVA Summary'!#REF!)*(MONTH($E112)-1)/12)*$H112</f>
        <v>#REF!</v>
      </c>
      <c r="M112" s="186" t="e">
        <f>(SUM('1.  LRAMVA Summary'!G$22:G$36)+SUM('1.  LRAMVA Summary'!#REF!)*(MONTH($E112)-1)/12)*$H112</f>
        <v>#REF!</v>
      </c>
      <c r="N112" s="186" t="e">
        <f>(SUM('1.  LRAMVA Summary'!H$22:H$36)+SUM('1.  LRAMVA Summary'!#REF!)*(MONTH($E112)-1)/12)*$H112</f>
        <v>#REF!</v>
      </c>
      <c r="O112" s="186" t="e">
        <f>(SUM('1.  LRAMVA Summary'!I$22:I$36)+SUM('1.  LRAMVA Summary'!#REF!)*(MONTH($E112)-1)/12)*$H112</f>
        <v>#REF!</v>
      </c>
      <c r="P112" s="186"/>
      <c r="Q112" s="187" t="e">
        <f t="shared" si="61"/>
        <v>#REF!</v>
      </c>
    </row>
    <row r="113" spans="2:17" s="3" customFormat="1" ht="13.9" hidden="1" x14ac:dyDescent="0.3">
      <c r="B113" s="56"/>
      <c r="E113" s="184">
        <v>42948</v>
      </c>
      <c r="F113" s="184" t="s">
        <v>380</v>
      </c>
      <c r="G113" s="185" t="s">
        <v>91</v>
      </c>
      <c r="H113" s="480">
        <f t="shared" ref="H113:H114" si="63">$C$42/12</f>
        <v>0</v>
      </c>
      <c r="I113" s="186" t="e">
        <f>(SUM('1.  LRAMVA Summary'!C$22:C$36)+SUM('1.  LRAMVA Summary'!#REF!)*(MONTH($E113)-1)/12)*$H113</f>
        <v>#REF!</v>
      </c>
      <c r="J113" s="186" t="e">
        <f>(SUM('1.  LRAMVA Summary'!D$22:D$36)+SUM('1.  LRAMVA Summary'!#REF!)*(MONTH($E113)-1)/12)*$H113</f>
        <v>#REF!</v>
      </c>
      <c r="K113" s="186" t="e">
        <f>(SUM('1.  LRAMVA Summary'!E$22:E$36)+SUM('1.  LRAMVA Summary'!#REF!)*(MONTH($E113)-1)/12)*$H113</f>
        <v>#REF!</v>
      </c>
      <c r="L113" s="186" t="e">
        <f>(SUM('1.  LRAMVA Summary'!F$22:F$36)+SUM('1.  LRAMVA Summary'!#REF!)*(MONTH($E113)-1)/12)*$H113</f>
        <v>#REF!</v>
      </c>
      <c r="M113" s="186" t="e">
        <f>(SUM('1.  LRAMVA Summary'!G$22:G$36)+SUM('1.  LRAMVA Summary'!#REF!)*(MONTH($E113)-1)/12)*$H113</f>
        <v>#REF!</v>
      </c>
      <c r="N113" s="186" t="e">
        <f>(SUM('1.  LRAMVA Summary'!H$22:H$36)+SUM('1.  LRAMVA Summary'!#REF!)*(MONTH($E113)-1)/12)*$H113</f>
        <v>#REF!</v>
      </c>
      <c r="O113" s="186" t="e">
        <f>(SUM('1.  LRAMVA Summary'!I$22:I$36)+SUM('1.  LRAMVA Summary'!#REF!)*(MONTH($E113)-1)/12)*$H113</f>
        <v>#REF!</v>
      </c>
      <c r="P113" s="186"/>
      <c r="Q113" s="187" t="e">
        <f t="shared" si="61"/>
        <v>#REF!</v>
      </c>
    </row>
    <row r="114" spans="2:17" s="3" customFormat="1" ht="13.9" hidden="1" x14ac:dyDescent="0.3">
      <c r="B114" s="56"/>
      <c r="E114" s="184">
        <v>42979</v>
      </c>
      <c r="F114" s="184" t="s">
        <v>380</v>
      </c>
      <c r="G114" s="185" t="s">
        <v>91</v>
      </c>
      <c r="H114" s="480">
        <f t="shared" si="63"/>
        <v>0</v>
      </c>
      <c r="I114" s="186" t="e">
        <f>(SUM('1.  LRAMVA Summary'!C$22:C$36)+SUM('1.  LRAMVA Summary'!#REF!)*(MONTH($E114)-1)/12)*$H114</f>
        <v>#REF!</v>
      </c>
      <c r="J114" s="186" t="e">
        <f>(SUM('1.  LRAMVA Summary'!D$22:D$36)+SUM('1.  LRAMVA Summary'!#REF!)*(MONTH($E114)-1)/12)*$H114</f>
        <v>#REF!</v>
      </c>
      <c r="K114" s="186" t="e">
        <f>(SUM('1.  LRAMVA Summary'!E$22:E$36)+SUM('1.  LRAMVA Summary'!#REF!)*(MONTH($E114)-1)/12)*$H114</f>
        <v>#REF!</v>
      </c>
      <c r="L114" s="186" t="e">
        <f>(SUM('1.  LRAMVA Summary'!F$22:F$36)+SUM('1.  LRAMVA Summary'!#REF!)*(MONTH($E114)-1)/12)*$H114</f>
        <v>#REF!</v>
      </c>
      <c r="M114" s="186" t="e">
        <f>(SUM('1.  LRAMVA Summary'!G$22:G$36)+SUM('1.  LRAMVA Summary'!#REF!)*(MONTH($E114)-1)/12)*$H114</f>
        <v>#REF!</v>
      </c>
      <c r="N114" s="186" t="e">
        <f>(SUM('1.  LRAMVA Summary'!H$22:H$36)+SUM('1.  LRAMVA Summary'!#REF!)*(MONTH($E114)-1)/12)*$H114</f>
        <v>#REF!</v>
      </c>
      <c r="O114" s="186" t="e">
        <f>(SUM('1.  LRAMVA Summary'!I$22:I$36)+SUM('1.  LRAMVA Summary'!#REF!)*(MONTH($E114)-1)/12)*$H114</f>
        <v>#REF!</v>
      </c>
      <c r="P114" s="186"/>
      <c r="Q114" s="187" t="e">
        <f t="shared" si="61"/>
        <v>#REF!</v>
      </c>
    </row>
    <row r="115" spans="2:17" s="3" customFormat="1" ht="13.9" hidden="1" x14ac:dyDescent="0.3">
      <c r="B115" s="56"/>
      <c r="E115" s="184">
        <v>43009</v>
      </c>
      <c r="F115" s="184" t="s">
        <v>380</v>
      </c>
      <c r="G115" s="185" t="s">
        <v>92</v>
      </c>
      <c r="H115" s="480">
        <f>$C$43/12</f>
        <v>0</v>
      </c>
      <c r="I115" s="186" t="e">
        <f>(SUM('1.  LRAMVA Summary'!C$22:C$36)+SUM('1.  LRAMVA Summary'!#REF!)*(MONTH($E115)-1)/12)*$H115</f>
        <v>#REF!</v>
      </c>
      <c r="J115" s="186" t="e">
        <f>(SUM('1.  LRAMVA Summary'!D$22:D$36)+SUM('1.  LRAMVA Summary'!#REF!)*(MONTH($E115)-1)/12)*$H115</f>
        <v>#REF!</v>
      </c>
      <c r="K115" s="186" t="e">
        <f>(SUM('1.  LRAMVA Summary'!E$22:E$36)+SUM('1.  LRAMVA Summary'!#REF!)*(MONTH($E115)-1)/12)*$H115</f>
        <v>#REF!</v>
      </c>
      <c r="L115" s="186" t="e">
        <f>(SUM('1.  LRAMVA Summary'!F$22:F$36)+SUM('1.  LRAMVA Summary'!#REF!)*(MONTH($E115)-1)/12)*$H115</f>
        <v>#REF!</v>
      </c>
      <c r="M115" s="186" t="e">
        <f>(SUM('1.  LRAMVA Summary'!G$22:G$36)+SUM('1.  LRAMVA Summary'!#REF!)*(MONTH($E115)-1)/12)*$H115</f>
        <v>#REF!</v>
      </c>
      <c r="N115" s="186" t="e">
        <f>(SUM('1.  LRAMVA Summary'!H$22:H$36)+SUM('1.  LRAMVA Summary'!#REF!)*(MONTH($E115)-1)/12)*$H115</f>
        <v>#REF!</v>
      </c>
      <c r="O115" s="186" t="e">
        <f>(SUM('1.  LRAMVA Summary'!I$22:I$36)+SUM('1.  LRAMVA Summary'!#REF!)*(MONTH($E115)-1)/12)*$H115</f>
        <v>#REF!</v>
      </c>
      <c r="P115" s="186"/>
      <c r="Q115" s="187" t="e">
        <f t="shared" si="61"/>
        <v>#REF!</v>
      </c>
    </row>
    <row r="116" spans="2:17" s="3" customFormat="1" ht="13.9" hidden="1" x14ac:dyDescent="0.3">
      <c r="B116" s="56"/>
      <c r="E116" s="184">
        <v>43040</v>
      </c>
      <c r="F116" s="184" t="s">
        <v>380</v>
      </c>
      <c r="G116" s="185" t="s">
        <v>92</v>
      </c>
      <c r="H116" s="480">
        <f t="shared" ref="H116:H117" si="64">$C$43/12</f>
        <v>0</v>
      </c>
      <c r="I116" s="186" t="e">
        <f>(SUM('1.  LRAMVA Summary'!C$22:C$36)+SUM('1.  LRAMVA Summary'!#REF!)*(MONTH($E116)-1)/12)*$H116</f>
        <v>#REF!</v>
      </c>
      <c r="J116" s="186" t="e">
        <f>(SUM('1.  LRAMVA Summary'!D$22:D$36)+SUM('1.  LRAMVA Summary'!#REF!)*(MONTH($E116)-1)/12)*$H116</f>
        <v>#REF!</v>
      </c>
      <c r="K116" s="186" t="e">
        <f>(SUM('1.  LRAMVA Summary'!E$22:E$36)+SUM('1.  LRAMVA Summary'!#REF!)*(MONTH($E116)-1)/12)*$H116</f>
        <v>#REF!</v>
      </c>
      <c r="L116" s="186" t="e">
        <f>(SUM('1.  LRAMVA Summary'!F$22:F$36)+SUM('1.  LRAMVA Summary'!#REF!)*(MONTH($E116)-1)/12)*$H116</f>
        <v>#REF!</v>
      </c>
      <c r="M116" s="186" t="e">
        <f>(SUM('1.  LRAMVA Summary'!G$22:G$36)+SUM('1.  LRAMVA Summary'!#REF!)*(MONTH($E116)-1)/12)*$H116</f>
        <v>#REF!</v>
      </c>
      <c r="N116" s="186" t="e">
        <f>(SUM('1.  LRAMVA Summary'!H$22:H$36)+SUM('1.  LRAMVA Summary'!#REF!)*(MONTH($E116)-1)/12)*$H116</f>
        <v>#REF!</v>
      </c>
      <c r="O116" s="186" t="e">
        <f>(SUM('1.  LRAMVA Summary'!I$22:I$36)+SUM('1.  LRAMVA Summary'!#REF!)*(MONTH($E116)-1)/12)*$H116</f>
        <v>#REF!</v>
      </c>
      <c r="P116" s="186"/>
      <c r="Q116" s="187" t="e">
        <f t="shared" si="61"/>
        <v>#REF!</v>
      </c>
    </row>
    <row r="117" spans="2:17" s="3" customFormat="1" ht="13.9" hidden="1" x14ac:dyDescent="0.3">
      <c r="B117" s="56"/>
      <c r="E117" s="184">
        <v>43070</v>
      </c>
      <c r="F117" s="184" t="s">
        <v>380</v>
      </c>
      <c r="G117" s="185" t="s">
        <v>92</v>
      </c>
      <c r="H117" s="480">
        <f t="shared" si="64"/>
        <v>0</v>
      </c>
      <c r="I117" s="186" t="e">
        <f>(SUM('1.  LRAMVA Summary'!C$22:C$36)+SUM('1.  LRAMVA Summary'!#REF!)*(MONTH($E117)-1)/12)*$H117</f>
        <v>#REF!</v>
      </c>
      <c r="J117" s="186" t="e">
        <f>(SUM('1.  LRAMVA Summary'!D$22:D$36)+SUM('1.  LRAMVA Summary'!#REF!)*(MONTH($E117)-1)/12)*$H117</f>
        <v>#REF!</v>
      </c>
      <c r="K117" s="186" t="e">
        <f>(SUM('1.  LRAMVA Summary'!E$22:E$36)+SUM('1.  LRAMVA Summary'!#REF!)*(MONTH($E117)-1)/12)*$H117</f>
        <v>#REF!</v>
      </c>
      <c r="L117" s="186" t="e">
        <f>(SUM('1.  LRAMVA Summary'!F$22:F$36)+SUM('1.  LRAMVA Summary'!#REF!)*(MONTH($E117)-1)/12)*$H117</f>
        <v>#REF!</v>
      </c>
      <c r="M117" s="186" t="e">
        <f>(SUM('1.  LRAMVA Summary'!G$22:G$36)+SUM('1.  LRAMVA Summary'!#REF!)*(MONTH($E117)-1)/12)*$H117</f>
        <v>#REF!</v>
      </c>
      <c r="N117" s="186" t="e">
        <f>(SUM('1.  LRAMVA Summary'!H$22:H$36)+SUM('1.  LRAMVA Summary'!#REF!)*(MONTH($E117)-1)/12)*$H117</f>
        <v>#REF!</v>
      </c>
      <c r="O117" s="186" t="e">
        <f>(SUM('1.  LRAMVA Summary'!I$22:I$36)+SUM('1.  LRAMVA Summary'!#REF!)*(MONTH($E117)-1)/12)*$H117</f>
        <v>#REF!</v>
      </c>
      <c r="P117" s="186"/>
      <c r="Q117" s="187" t="e">
        <f t="shared" si="61"/>
        <v>#REF!</v>
      </c>
    </row>
    <row r="118" spans="2:17" s="3" customFormat="1" ht="13.5" thickBot="1" x14ac:dyDescent="0.25">
      <c r="B118" s="56"/>
      <c r="E118" s="196" t="s">
        <v>387</v>
      </c>
      <c r="F118" s="196"/>
      <c r="G118" s="197"/>
      <c r="H118" s="474"/>
      <c r="I118" s="198">
        <f>SUM(I105:I109)</f>
        <v>-323.1015068281331</v>
      </c>
      <c r="J118" s="198">
        <f t="shared" ref="J118:Q118" si="65">SUM(J105:J109)</f>
        <v>1862.2075078893383</v>
      </c>
      <c r="K118" s="198">
        <f t="shared" si="65"/>
        <v>6500.4898661792768</v>
      </c>
      <c r="L118" s="198">
        <f t="shared" si="65"/>
        <v>113.21088847954995</v>
      </c>
      <c r="M118" s="198">
        <f t="shared" si="65"/>
        <v>-7.628175406875001</v>
      </c>
      <c r="N118" s="198">
        <f t="shared" si="65"/>
        <v>-81.827446146111086</v>
      </c>
      <c r="O118" s="198">
        <f t="shared" si="65"/>
        <v>-124.67684572414764</v>
      </c>
      <c r="P118" s="198">
        <f t="shared" si="65"/>
        <v>-66.170485866322991</v>
      </c>
      <c r="Q118" s="198">
        <f t="shared" si="65"/>
        <v>7872.503802576568</v>
      </c>
    </row>
    <row r="119" spans="2:17" s="3" customFormat="1" ht="13.5" thickTop="1" x14ac:dyDescent="0.2">
      <c r="B119" s="56"/>
      <c r="E119" s="227" t="s">
        <v>90</v>
      </c>
      <c r="F119" s="227"/>
      <c r="G119" s="228"/>
      <c r="H119" s="475"/>
      <c r="I119" s="229"/>
      <c r="J119" s="229"/>
      <c r="K119" s="229"/>
      <c r="L119" s="229"/>
      <c r="M119" s="229"/>
      <c r="N119" s="229"/>
      <c r="O119" s="229"/>
      <c r="P119" s="229"/>
      <c r="Q119" s="230"/>
    </row>
    <row r="120" spans="2:17" s="3" customFormat="1" ht="13.9" hidden="1" customHeight="1" x14ac:dyDescent="0.3">
      <c r="B120" s="56"/>
      <c r="E120" s="193" t="s">
        <v>397</v>
      </c>
      <c r="F120" s="193"/>
      <c r="G120" s="194"/>
      <c r="H120" s="476"/>
      <c r="I120" s="195">
        <f>I118+I119</f>
        <v>-323.1015068281331</v>
      </c>
      <c r="J120" s="195">
        <f t="shared" ref="J120" si="66">J118+J119</f>
        <v>1862.2075078893383</v>
      </c>
      <c r="K120" s="195">
        <f t="shared" ref="K120" si="67">K118+K119</f>
        <v>6500.4898661792768</v>
      </c>
      <c r="L120" s="195">
        <f t="shared" ref="L120" si="68">L118+L119</f>
        <v>113.21088847954995</v>
      </c>
      <c r="M120" s="195">
        <f t="shared" ref="M120" si="69">M118+M119</f>
        <v>-7.628175406875001</v>
      </c>
      <c r="N120" s="195">
        <f t="shared" ref="N120" si="70">N118+N119</f>
        <v>-81.827446146111086</v>
      </c>
      <c r="O120" s="195">
        <f t="shared" ref="O120" si="71">O118+O119</f>
        <v>-124.67684572414764</v>
      </c>
      <c r="P120" s="195">
        <f t="shared" ref="P120" si="72">P118+P119</f>
        <v>-66.170485866322991</v>
      </c>
      <c r="Q120" s="195">
        <f t="shared" ref="Q120" si="73">Q118+Q119</f>
        <v>7872.503802576568</v>
      </c>
    </row>
    <row r="121" spans="2:17" s="3" customFormat="1" ht="13.9" hidden="1" customHeight="1" x14ac:dyDescent="0.3">
      <c r="B121" s="56"/>
      <c r="E121" s="184">
        <v>43101</v>
      </c>
      <c r="F121" s="184" t="s">
        <v>381</v>
      </c>
      <c r="G121" s="185" t="s">
        <v>88</v>
      </c>
      <c r="H121" s="480">
        <f>$C$44/12</f>
        <v>0</v>
      </c>
      <c r="I121" s="186" t="e">
        <f>(SUM('1.  LRAMVA Summary'!C$22:C$36)+SUM('1.  LRAMVA Summary'!#REF!)*(MONTH($E121)-1)/12)*$H121</f>
        <v>#REF!</v>
      </c>
      <c r="J121" s="186" t="e">
        <f>(SUM('1.  LRAMVA Summary'!D$22:D$36)+SUM('1.  LRAMVA Summary'!#REF!)*(MONTH($E121)-1)/12)*$H121</f>
        <v>#REF!</v>
      </c>
      <c r="K121" s="186" t="e">
        <f>(SUM('1.  LRAMVA Summary'!E$22:E$36)+SUM('1.  LRAMVA Summary'!#REF!)*(MONTH($E121)-1)/12)*$H121</f>
        <v>#REF!</v>
      </c>
      <c r="L121" s="186" t="e">
        <f>(SUM('1.  LRAMVA Summary'!F$22:F$36)+SUM('1.  LRAMVA Summary'!#REF!)*(MONTH($E121)-1)/12)*$H121</f>
        <v>#REF!</v>
      </c>
      <c r="M121" s="186" t="e">
        <f>(SUM('1.  LRAMVA Summary'!G$22:G$36)+SUM('1.  LRAMVA Summary'!#REF!)*(MONTH($E121)-1)/12)*$H121</f>
        <v>#REF!</v>
      </c>
      <c r="N121" s="186" t="e">
        <f>(SUM('1.  LRAMVA Summary'!H$22:H$36)+SUM('1.  LRAMVA Summary'!#REF!)*(MONTH($E121)-1)/12)*$H121</f>
        <v>#REF!</v>
      </c>
      <c r="O121" s="186" t="e">
        <f>(SUM('1.  LRAMVA Summary'!I$22:I$36)+SUM('1.  LRAMVA Summary'!#REF!)*(MONTH($E121)-1)/12)*$H121</f>
        <v>#REF!</v>
      </c>
      <c r="P121" s="186"/>
      <c r="Q121" s="187" t="e">
        <f>SUM(I121:P121)</f>
        <v>#REF!</v>
      </c>
    </row>
    <row r="122" spans="2:17" s="3" customFormat="1" ht="13.9" hidden="1" customHeight="1" x14ac:dyDescent="0.3">
      <c r="B122" s="56"/>
      <c r="E122" s="184">
        <v>43132</v>
      </c>
      <c r="F122" s="184" t="s">
        <v>381</v>
      </c>
      <c r="G122" s="185" t="s">
        <v>88</v>
      </c>
      <c r="H122" s="480">
        <f t="shared" ref="H122:H123" si="74">$C$44/12</f>
        <v>0</v>
      </c>
      <c r="I122" s="186" t="e">
        <f>(SUM('1.  LRAMVA Summary'!C$22:C$36)+SUM('1.  LRAMVA Summary'!#REF!)*(MONTH($E122)-1)/12)*$H122</f>
        <v>#REF!</v>
      </c>
      <c r="J122" s="186" t="e">
        <f>(SUM('1.  LRAMVA Summary'!D$22:D$36)+SUM('1.  LRAMVA Summary'!#REF!)*(MONTH($E122)-1)/12)*$H122</f>
        <v>#REF!</v>
      </c>
      <c r="K122" s="186" t="e">
        <f>(SUM('1.  LRAMVA Summary'!E$22:E$36)+SUM('1.  LRAMVA Summary'!#REF!)*(MONTH($E122)-1)/12)*$H122</f>
        <v>#REF!</v>
      </c>
      <c r="L122" s="186" t="e">
        <f>(SUM('1.  LRAMVA Summary'!F$22:F$36)+SUM('1.  LRAMVA Summary'!#REF!)*(MONTH($E122)-1)/12)*$H122</f>
        <v>#REF!</v>
      </c>
      <c r="M122" s="186" t="e">
        <f>(SUM('1.  LRAMVA Summary'!G$22:G$36)+SUM('1.  LRAMVA Summary'!#REF!)*(MONTH($E122)-1)/12)*$H122</f>
        <v>#REF!</v>
      </c>
      <c r="N122" s="186" t="e">
        <f>(SUM('1.  LRAMVA Summary'!H$22:H$36)+SUM('1.  LRAMVA Summary'!#REF!)*(MONTH($E122)-1)/12)*$H122</f>
        <v>#REF!</v>
      </c>
      <c r="O122" s="186" t="e">
        <f>(SUM('1.  LRAMVA Summary'!I$22:I$36)+SUM('1.  LRAMVA Summary'!#REF!)*(MONTH($E122)-1)/12)*$H122</f>
        <v>#REF!</v>
      </c>
      <c r="P122" s="186"/>
      <c r="Q122" s="187" t="e">
        <f t="shared" ref="Q122:Q132" si="75">SUM(I122:P122)</f>
        <v>#REF!</v>
      </c>
    </row>
    <row r="123" spans="2:17" s="3" customFormat="1" ht="13.9" hidden="1" customHeight="1" x14ac:dyDescent="0.3">
      <c r="B123" s="56"/>
      <c r="E123" s="184">
        <v>43160</v>
      </c>
      <c r="F123" s="184" t="s">
        <v>381</v>
      </c>
      <c r="G123" s="185" t="s">
        <v>88</v>
      </c>
      <c r="H123" s="480">
        <f t="shared" si="74"/>
        <v>0</v>
      </c>
      <c r="I123" s="186" t="e">
        <f>(SUM('1.  LRAMVA Summary'!C$22:C$36)+SUM('1.  LRAMVA Summary'!#REF!)*(MONTH($E123)-1)/12)*$H123</f>
        <v>#REF!</v>
      </c>
      <c r="J123" s="186" t="e">
        <f>(SUM('1.  LRAMVA Summary'!D$22:D$36)+SUM('1.  LRAMVA Summary'!#REF!)*(MONTH($E123)-1)/12)*$H123</f>
        <v>#REF!</v>
      </c>
      <c r="K123" s="186" t="e">
        <f>(SUM('1.  LRAMVA Summary'!E$22:E$36)+SUM('1.  LRAMVA Summary'!#REF!)*(MONTH($E123)-1)/12)*$H123</f>
        <v>#REF!</v>
      </c>
      <c r="L123" s="186" t="e">
        <f>(SUM('1.  LRAMVA Summary'!F$22:F$36)+SUM('1.  LRAMVA Summary'!#REF!)*(MONTH($E123)-1)/12)*$H123</f>
        <v>#REF!</v>
      </c>
      <c r="M123" s="186" t="e">
        <f>(SUM('1.  LRAMVA Summary'!G$22:G$36)+SUM('1.  LRAMVA Summary'!#REF!)*(MONTH($E123)-1)/12)*$H123</f>
        <v>#REF!</v>
      </c>
      <c r="N123" s="186" t="e">
        <f>(SUM('1.  LRAMVA Summary'!H$22:H$36)+SUM('1.  LRAMVA Summary'!#REF!)*(MONTH($E123)-1)/12)*$H123</f>
        <v>#REF!</v>
      </c>
      <c r="O123" s="186" t="e">
        <f>(SUM('1.  LRAMVA Summary'!I$22:I$36)+SUM('1.  LRAMVA Summary'!#REF!)*(MONTH($E123)-1)/12)*$H123</f>
        <v>#REF!</v>
      </c>
      <c r="P123" s="186"/>
      <c r="Q123" s="187" t="e">
        <f t="shared" si="75"/>
        <v>#REF!</v>
      </c>
    </row>
    <row r="124" spans="2:17" s="16" customFormat="1" ht="13.9" hidden="1" customHeight="1" x14ac:dyDescent="0.3">
      <c r="B124" s="219"/>
      <c r="E124" s="184">
        <v>43191</v>
      </c>
      <c r="F124" s="184" t="s">
        <v>381</v>
      </c>
      <c r="G124" s="185" t="s">
        <v>89</v>
      </c>
      <c r="H124" s="480">
        <f>$C$45/12</f>
        <v>0</v>
      </c>
      <c r="I124" s="186" t="e">
        <f>(SUM('1.  LRAMVA Summary'!C$22:C$36)+SUM('1.  LRAMVA Summary'!#REF!)*(MONTH($E124)-1)/12)*$H124</f>
        <v>#REF!</v>
      </c>
      <c r="J124" s="186" t="e">
        <f>(SUM('1.  LRAMVA Summary'!D$22:D$36)+SUM('1.  LRAMVA Summary'!#REF!)*(MONTH($E124)-1)/12)*$H124</f>
        <v>#REF!</v>
      </c>
      <c r="K124" s="186" t="e">
        <f>(SUM('1.  LRAMVA Summary'!E$22:E$36)+SUM('1.  LRAMVA Summary'!#REF!)*(MONTH($E124)-1)/12)*$H124</f>
        <v>#REF!</v>
      </c>
      <c r="L124" s="186" t="e">
        <f>(SUM('1.  LRAMVA Summary'!F$22:F$36)+SUM('1.  LRAMVA Summary'!#REF!)*(MONTH($E124)-1)/12)*$H124</f>
        <v>#REF!</v>
      </c>
      <c r="M124" s="186" t="e">
        <f>(SUM('1.  LRAMVA Summary'!G$22:G$36)+SUM('1.  LRAMVA Summary'!#REF!)*(MONTH($E124)-1)/12)*$H124</f>
        <v>#REF!</v>
      </c>
      <c r="N124" s="186" t="e">
        <f>(SUM('1.  LRAMVA Summary'!H$22:H$36)+SUM('1.  LRAMVA Summary'!#REF!)*(MONTH($E124)-1)/12)*$H124</f>
        <v>#REF!</v>
      </c>
      <c r="O124" s="186" t="e">
        <f>(SUM('1.  LRAMVA Summary'!I$22:I$36)+SUM('1.  LRAMVA Summary'!#REF!)*(MONTH($E124)-1)/12)*$H124</f>
        <v>#REF!</v>
      </c>
      <c r="P124" s="186"/>
      <c r="Q124" s="187" t="e">
        <f t="shared" si="75"/>
        <v>#REF!</v>
      </c>
    </row>
    <row r="125" spans="2:17" s="3" customFormat="1" ht="13.9" hidden="1" customHeight="1" x14ac:dyDescent="0.3">
      <c r="B125" s="56"/>
      <c r="E125" s="184">
        <v>43221</v>
      </c>
      <c r="F125" s="184" t="s">
        <v>381</v>
      </c>
      <c r="G125" s="185" t="s">
        <v>89</v>
      </c>
      <c r="H125" s="480">
        <f t="shared" ref="H125:H126" si="76">$C$45/12</f>
        <v>0</v>
      </c>
      <c r="I125" s="186" t="e">
        <f>(SUM('1.  LRAMVA Summary'!C$22:C$36)+SUM('1.  LRAMVA Summary'!#REF!)*(MONTH($E125)-1)/12)*$H125</f>
        <v>#REF!</v>
      </c>
      <c r="J125" s="186" t="e">
        <f>(SUM('1.  LRAMVA Summary'!D$22:D$36)+SUM('1.  LRAMVA Summary'!#REF!)*(MONTH($E125)-1)/12)*$H125</f>
        <v>#REF!</v>
      </c>
      <c r="K125" s="186" t="e">
        <f>(SUM('1.  LRAMVA Summary'!E$22:E$36)+SUM('1.  LRAMVA Summary'!#REF!)*(MONTH($E125)-1)/12)*$H125</f>
        <v>#REF!</v>
      </c>
      <c r="L125" s="186" t="e">
        <f>(SUM('1.  LRAMVA Summary'!F$22:F$36)+SUM('1.  LRAMVA Summary'!#REF!)*(MONTH($E125)-1)/12)*$H125</f>
        <v>#REF!</v>
      </c>
      <c r="M125" s="186" t="e">
        <f>(SUM('1.  LRAMVA Summary'!G$22:G$36)+SUM('1.  LRAMVA Summary'!#REF!)*(MONTH($E125)-1)/12)*$H125</f>
        <v>#REF!</v>
      </c>
      <c r="N125" s="186" t="e">
        <f>(SUM('1.  LRAMVA Summary'!H$22:H$36)+SUM('1.  LRAMVA Summary'!#REF!)*(MONTH($E125)-1)/12)*$H125</f>
        <v>#REF!</v>
      </c>
      <c r="O125" s="186" t="e">
        <f>(SUM('1.  LRAMVA Summary'!I$22:I$36)+SUM('1.  LRAMVA Summary'!#REF!)*(MONTH($E125)-1)/12)*$H125</f>
        <v>#REF!</v>
      </c>
      <c r="P125" s="186"/>
      <c r="Q125" s="187" t="e">
        <f t="shared" si="75"/>
        <v>#REF!</v>
      </c>
    </row>
    <row r="126" spans="2:17" s="15" customFormat="1" ht="13.9" hidden="1" customHeight="1" x14ac:dyDescent="0.3">
      <c r="B126" s="218"/>
      <c r="E126" s="184">
        <v>43252</v>
      </c>
      <c r="F126" s="184" t="s">
        <v>381</v>
      </c>
      <c r="G126" s="185" t="s">
        <v>89</v>
      </c>
      <c r="H126" s="480">
        <f t="shared" si="76"/>
        <v>0</v>
      </c>
      <c r="I126" s="186" t="e">
        <f>(SUM('1.  LRAMVA Summary'!C$22:C$36)+SUM('1.  LRAMVA Summary'!#REF!)*(MONTH($E126)-1)/12)*$H126</f>
        <v>#REF!</v>
      </c>
      <c r="J126" s="186" t="e">
        <f>(SUM('1.  LRAMVA Summary'!D$22:D$36)+SUM('1.  LRAMVA Summary'!#REF!)*(MONTH($E126)-1)/12)*$H126</f>
        <v>#REF!</v>
      </c>
      <c r="K126" s="186" t="e">
        <f>(SUM('1.  LRAMVA Summary'!E$22:E$36)+SUM('1.  LRAMVA Summary'!#REF!)*(MONTH($E126)-1)/12)*$H126</f>
        <v>#REF!</v>
      </c>
      <c r="L126" s="186" t="e">
        <f>(SUM('1.  LRAMVA Summary'!F$22:F$36)+SUM('1.  LRAMVA Summary'!#REF!)*(MONTH($E126)-1)/12)*$H126</f>
        <v>#REF!</v>
      </c>
      <c r="M126" s="186" t="e">
        <f>(SUM('1.  LRAMVA Summary'!G$22:G$36)+SUM('1.  LRAMVA Summary'!#REF!)*(MONTH($E126)-1)/12)*$H126</f>
        <v>#REF!</v>
      </c>
      <c r="N126" s="186" t="e">
        <f>(SUM('1.  LRAMVA Summary'!H$22:H$36)+SUM('1.  LRAMVA Summary'!#REF!)*(MONTH($E126)-1)/12)*$H126</f>
        <v>#REF!</v>
      </c>
      <c r="O126" s="186" t="e">
        <f>(SUM('1.  LRAMVA Summary'!I$22:I$36)+SUM('1.  LRAMVA Summary'!#REF!)*(MONTH($E126)-1)/12)*$H126</f>
        <v>#REF!</v>
      </c>
      <c r="P126" s="186"/>
      <c r="Q126" s="187" t="e">
        <f t="shared" si="75"/>
        <v>#REF!</v>
      </c>
    </row>
    <row r="127" spans="2:17" s="3" customFormat="1" ht="13.9" hidden="1" customHeight="1" x14ac:dyDescent="0.3">
      <c r="B127" s="56"/>
      <c r="E127" s="184">
        <v>43282</v>
      </c>
      <c r="F127" s="184" t="s">
        <v>381</v>
      </c>
      <c r="G127" s="185" t="s">
        <v>91</v>
      </c>
      <c r="H127" s="480">
        <f>$C$46/12</f>
        <v>0</v>
      </c>
      <c r="I127" s="186" t="e">
        <f>(SUM('1.  LRAMVA Summary'!C$22:C$36)+SUM('1.  LRAMVA Summary'!#REF!)*(MONTH($E127)-1)/12)*$H127</f>
        <v>#REF!</v>
      </c>
      <c r="J127" s="186" t="e">
        <f>(SUM('1.  LRAMVA Summary'!D$22:D$36)+SUM('1.  LRAMVA Summary'!#REF!)*(MONTH($E127)-1)/12)*$H127</f>
        <v>#REF!</v>
      </c>
      <c r="K127" s="186" t="e">
        <f>(SUM('1.  LRAMVA Summary'!E$22:E$36)+SUM('1.  LRAMVA Summary'!#REF!)*(MONTH($E127)-1)/12)*$H127</f>
        <v>#REF!</v>
      </c>
      <c r="L127" s="186" t="e">
        <f>(SUM('1.  LRAMVA Summary'!F$22:F$36)+SUM('1.  LRAMVA Summary'!#REF!)*(MONTH($E127)-1)/12)*$H127</f>
        <v>#REF!</v>
      </c>
      <c r="M127" s="186" t="e">
        <f>(SUM('1.  LRAMVA Summary'!G$22:G$36)+SUM('1.  LRAMVA Summary'!#REF!)*(MONTH($E127)-1)/12)*$H127</f>
        <v>#REF!</v>
      </c>
      <c r="N127" s="186" t="e">
        <f>(SUM('1.  LRAMVA Summary'!H$22:H$36)+SUM('1.  LRAMVA Summary'!#REF!)*(MONTH($E127)-1)/12)*$H127</f>
        <v>#REF!</v>
      </c>
      <c r="O127" s="186" t="e">
        <f>(SUM('1.  LRAMVA Summary'!I$22:I$36)+SUM('1.  LRAMVA Summary'!#REF!)*(MONTH($E127)-1)/12)*$H127</f>
        <v>#REF!</v>
      </c>
      <c r="P127" s="186"/>
      <c r="Q127" s="187" t="e">
        <f t="shared" si="75"/>
        <v>#REF!</v>
      </c>
    </row>
    <row r="128" spans="2:17" s="3" customFormat="1" ht="13.9" hidden="1" customHeight="1" x14ac:dyDescent="0.3">
      <c r="B128" s="56"/>
      <c r="E128" s="184">
        <v>43313</v>
      </c>
      <c r="F128" s="184" t="s">
        <v>381</v>
      </c>
      <c r="G128" s="185" t="s">
        <v>91</v>
      </c>
      <c r="H128" s="480">
        <f t="shared" ref="H128:H129" si="77">$C$46/12</f>
        <v>0</v>
      </c>
      <c r="I128" s="186" t="e">
        <f>(SUM('1.  LRAMVA Summary'!C$22:C$36)+SUM('1.  LRAMVA Summary'!#REF!)*(MONTH($E128)-1)/12)*$H128</f>
        <v>#REF!</v>
      </c>
      <c r="J128" s="186" t="e">
        <f>(SUM('1.  LRAMVA Summary'!D$22:D$36)+SUM('1.  LRAMVA Summary'!#REF!)*(MONTH($E128)-1)/12)*$H128</f>
        <v>#REF!</v>
      </c>
      <c r="K128" s="186" t="e">
        <f>(SUM('1.  LRAMVA Summary'!E$22:E$36)+SUM('1.  LRAMVA Summary'!#REF!)*(MONTH($E128)-1)/12)*$H128</f>
        <v>#REF!</v>
      </c>
      <c r="L128" s="186" t="e">
        <f>(SUM('1.  LRAMVA Summary'!F$22:F$36)+SUM('1.  LRAMVA Summary'!#REF!)*(MONTH($E128)-1)/12)*$H128</f>
        <v>#REF!</v>
      </c>
      <c r="M128" s="186" t="e">
        <f>(SUM('1.  LRAMVA Summary'!G$22:G$36)+SUM('1.  LRAMVA Summary'!#REF!)*(MONTH($E128)-1)/12)*$H128</f>
        <v>#REF!</v>
      </c>
      <c r="N128" s="186" t="e">
        <f>(SUM('1.  LRAMVA Summary'!H$22:H$36)+SUM('1.  LRAMVA Summary'!#REF!)*(MONTH($E128)-1)/12)*$H128</f>
        <v>#REF!</v>
      </c>
      <c r="O128" s="186" t="e">
        <f>(SUM('1.  LRAMVA Summary'!I$22:I$36)+SUM('1.  LRAMVA Summary'!#REF!)*(MONTH($E128)-1)/12)*$H128</f>
        <v>#REF!</v>
      </c>
      <c r="P128" s="186"/>
      <c r="Q128" s="187" t="e">
        <f t="shared" si="75"/>
        <v>#REF!</v>
      </c>
    </row>
    <row r="129" spans="2:17" s="3" customFormat="1" ht="13.9" hidden="1" customHeight="1" x14ac:dyDescent="0.3">
      <c r="B129" s="56"/>
      <c r="E129" s="184">
        <v>43344</v>
      </c>
      <c r="F129" s="184" t="s">
        <v>381</v>
      </c>
      <c r="G129" s="185" t="s">
        <v>91</v>
      </c>
      <c r="H129" s="480">
        <f t="shared" si="77"/>
        <v>0</v>
      </c>
      <c r="I129" s="186" t="e">
        <f>(SUM('1.  LRAMVA Summary'!C$22:C$36)+SUM('1.  LRAMVA Summary'!#REF!)*(MONTH($E129)-1)/12)*$H129</f>
        <v>#REF!</v>
      </c>
      <c r="J129" s="186" t="e">
        <f>(SUM('1.  LRAMVA Summary'!D$22:D$36)+SUM('1.  LRAMVA Summary'!#REF!)*(MONTH($E129)-1)/12)*$H129</f>
        <v>#REF!</v>
      </c>
      <c r="K129" s="186" t="e">
        <f>(SUM('1.  LRAMVA Summary'!E$22:E$36)+SUM('1.  LRAMVA Summary'!#REF!)*(MONTH($E129)-1)/12)*$H129</f>
        <v>#REF!</v>
      </c>
      <c r="L129" s="186" t="e">
        <f>(SUM('1.  LRAMVA Summary'!F$22:F$36)+SUM('1.  LRAMVA Summary'!#REF!)*(MONTH($E129)-1)/12)*$H129</f>
        <v>#REF!</v>
      </c>
      <c r="M129" s="186" t="e">
        <f>(SUM('1.  LRAMVA Summary'!G$22:G$36)+SUM('1.  LRAMVA Summary'!#REF!)*(MONTH($E129)-1)/12)*$H129</f>
        <v>#REF!</v>
      </c>
      <c r="N129" s="186" t="e">
        <f>(SUM('1.  LRAMVA Summary'!H$22:H$36)+SUM('1.  LRAMVA Summary'!#REF!)*(MONTH($E129)-1)/12)*$H129</f>
        <v>#REF!</v>
      </c>
      <c r="O129" s="186" t="e">
        <f>(SUM('1.  LRAMVA Summary'!I$22:I$36)+SUM('1.  LRAMVA Summary'!#REF!)*(MONTH($E129)-1)/12)*$H129</f>
        <v>#REF!</v>
      </c>
      <c r="P129" s="186"/>
      <c r="Q129" s="187" t="e">
        <f t="shared" si="75"/>
        <v>#REF!</v>
      </c>
    </row>
    <row r="130" spans="2:17" s="3" customFormat="1" ht="13.9" hidden="1" customHeight="1" x14ac:dyDescent="0.3">
      <c r="B130" s="56"/>
      <c r="E130" s="184">
        <v>43374</v>
      </c>
      <c r="F130" s="184" t="s">
        <v>381</v>
      </c>
      <c r="G130" s="185" t="s">
        <v>92</v>
      </c>
      <c r="H130" s="480">
        <f>C47/12</f>
        <v>0</v>
      </c>
      <c r="I130" s="186" t="e">
        <f>(SUM('1.  LRAMVA Summary'!C$22:C$36)+SUM('1.  LRAMVA Summary'!#REF!)*(MONTH($E130)-1)/12)*$H130</f>
        <v>#REF!</v>
      </c>
      <c r="J130" s="186" t="e">
        <f>(SUM('1.  LRAMVA Summary'!D$22:D$36)+SUM('1.  LRAMVA Summary'!#REF!)*(MONTH($E130)-1)/12)*$H130</f>
        <v>#REF!</v>
      </c>
      <c r="K130" s="186" t="e">
        <f>(SUM('1.  LRAMVA Summary'!E$22:E$36)+SUM('1.  LRAMVA Summary'!#REF!)*(MONTH($E130)-1)/12)*$H130</f>
        <v>#REF!</v>
      </c>
      <c r="L130" s="186" t="e">
        <f>(SUM('1.  LRAMVA Summary'!F$22:F$36)+SUM('1.  LRAMVA Summary'!#REF!)*(MONTH($E130)-1)/12)*$H130</f>
        <v>#REF!</v>
      </c>
      <c r="M130" s="186" t="e">
        <f>(SUM('1.  LRAMVA Summary'!G$22:G$36)+SUM('1.  LRAMVA Summary'!#REF!)*(MONTH($E130)-1)/12)*$H130</f>
        <v>#REF!</v>
      </c>
      <c r="N130" s="186" t="e">
        <f>(SUM('1.  LRAMVA Summary'!H$22:H$36)+SUM('1.  LRAMVA Summary'!#REF!)*(MONTH($E130)-1)/12)*$H130</f>
        <v>#REF!</v>
      </c>
      <c r="O130" s="186" t="e">
        <f>(SUM('1.  LRAMVA Summary'!I$22:I$36)+SUM('1.  LRAMVA Summary'!#REF!)*(MONTH($E130)-1)/12)*$H130</f>
        <v>#REF!</v>
      </c>
      <c r="P130" s="186"/>
      <c r="Q130" s="187" t="e">
        <f t="shared" si="75"/>
        <v>#REF!</v>
      </c>
    </row>
    <row r="131" spans="2:17" s="3" customFormat="1" ht="13.9" hidden="1" customHeight="1" x14ac:dyDescent="0.3">
      <c r="B131" s="56"/>
      <c r="E131" s="184">
        <v>43405</v>
      </c>
      <c r="F131" s="184" t="s">
        <v>381</v>
      </c>
      <c r="G131" s="185" t="s">
        <v>92</v>
      </c>
      <c r="H131" s="480">
        <f t="shared" ref="H131:H132" si="78">C48/12</f>
        <v>0</v>
      </c>
      <c r="I131" s="186" t="e">
        <f>(SUM('1.  LRAMVA Summary'!C$22:C$36)+SUM('1.  LRAMVA Summary'!#REF!)*(MONTH($E131)-1)/12)*$H131</f>
        <v>#REF!</v>
      </c>
      <c r="J131" s="186" t="e">
        <f>(SUM('1.  LRAMVA Summary'!D$22:D$36)+SUM('1.  LRAMVA Summary'!#REF!)*(MONTH($E131)-1)/12)*$H131</f>
        <v>#REF!</v>
      </c>
      <c r="K131" s="186" t="e">
        <f>(SUM('1.  LRAMVA Summary'!E$22:E$36)+SUM('1.  LRAMVA Summary'!#REF!)*(MONTH($E131)-1)/12)*$H131</f>
        <v>#REF!</v>
      </c>
      <c r="L131" s="186" t="e">
        <f>(SUM('1.  LRAMVA Summary'!F$22:F$36)+SUM('1.  LRAMVA Summary'!#REF!)*(MONTH($E131)-1)/12)*$H131</f>
        <v>#REF!</v>
      </c>
      <c r="M131" s="186" t="e">
        <f>(SUM('1.  LRAMVA Summary'!G$22:G$36)+SUM('1.  LRAMVA Summary'!#REF!)*(MONTH($E131)-1)/12)*$H131</f>
        <v>#REF!</v>
      </c>
      <c r="N131" s="186" t="e">
        <f>(SUM('1.  LRAMVA Summary'!H$22:H$36)+SUM('1.  LRAMVA Summary'!#REF!)*(MONTH($E131)-1)/12)*$H131</f>
        <v>#REF!</v>
      </c>
      <c r="O131" s="186" t="e">
        <f>(SUM('1.  LRAMVA Summary'!I$22:I$36)+SUM('1.  LRAMVA Summary'!#REF!)*(MONTH($E131)-1)/12)*$H131</f>
        <v>#REF!</v>
      </c>
      <c r="P131" s="186"/>
      <c r="Q131" s="187" t="e">
        <f t="shared" si="75"/>
        <v>#REF!</v>
      </c>
    </row>
    <row r="132" spans="2:17" s="3" customFormat="1" ht="13.9" hidden="1" customHeight="1" x14ac:dyDescent="0.3">
      <c r="B132" s="56"/>
      <c r="E132" s="184">
        <v>43435</v>
      </c>
      <c r="F132" s="184" t="s">
        <v>381</v>
      </c>
      <c r="G132" s="185" t="s">
        <v>92</v>
      </c>
      <c r="H132" s="480">
        <f t="shared" si="78"/>
        <v>0</v>
      </c>
      <c r="I132" s="186" t="e">
        <f>(SUM('1.  LRAMVA Summary'!C$22:C$36)+SUM('1.  LRAMVA Summary'!#REF!)*(MONTH($E132)-1)/12)*$H132</f>
        <v>#REF!</v>
      </c>
      <c r="J132" s="186" t="e">
        <f>(SUM('1.  LRAMVA Summary'!D$22:D$36)+SUM('1.  LRAMVA Summary'!#REF!)*(MONTH($E132)-1)/12)*$H132</f>
        <v>#REF!</v>
      </c>
      <c r="K132" s="186" t="e">
        <f>(SUM('1.  LRAMVA Summary'!E$22:E$36)+SUM('1.  LRAMVA Summary'!#REF!)*(MONTH($E132)-1)/12)*$H132</f>
        <v>#REF!</v>
      </c>
      <c r="L132" s="186" t="e">
        <f>(SUM('1.  LRAMVA Summary'!F$22:F$36)+SUM('1.  LRAMVA Summary'!#REF!)*(MONTH($E132)-1)/12)*$H132</f>
        <v>#REF!</v>
      </c>
      <c r="M132" s="186" t="e">
        <f>(SUM('1.  LRAMVA Summary'!G$22:G$36)+SUM('1.  LRAMVA Summary'!#REF!)*(MONTH($E132)-1)/12)*$H132</f>
        <v>#REF!</v>
      </c>
      <c r="N132" s="186" t="e">
        <f>(SUM('1.  LRAMVA Summary'!H$22:H$36)+SUM('1.  LRAMVA Summary'!#REF!)*(MONTH($E132)-1)/12)*$H132</f>
        <v>#REF!</v>
      </c>
      <c r="O132" s="186" t="e">
        <f>(SUM('1.  LRAMVA Summary'!I$22:I$36)+SUM('1.  LRAMVA Summary'!#REF!)*(MONTH($E132)-1)/12)*$H132</f>
        <v>#REF!</v>
      </c>
      <c r="P132" s="186"/>
      <c r="Q132" s="187" t="e">
        <f t="shared" si="75"/>
        <v>#REF!</v>
      </c>
    </row>
    <row r="133" spans="2:17" s="3" customFormat="1" ht="14.45" hidden="1" customHeight="1" thickBot="1" x14ac:dyDescent="0.35">
      <c r="B133" s="56"/>
      <c r="E133" s="196" t="s">
        <v>388</v>
      </c>
      <c r="F133" s="196"/>
      <c r="G133" s="197"/>
      <c r="H133" s="474"/>
      <c r="I133" s="198" t="e">
        <f>SUM(I120:I132)</f>
        <v>#REF!</v>
      </c>
      <c r="J133" s="198" t="e">
        <f>SUM(J120:J132)</f>
        <v>#REF!</v>
      </c>
      <c r="K133" s="198" t="e">
        <f t="shared" ref="K133:P133" si="79">SUM(K120:K132)</f>
        <v>#REF!</v>
      </c>
      <c r="L133" s="198" t="e">
        <f t="shared" si="79"/>
        <v>#REF!</v>
      </c>
      <c r="M133" s="198" t="e">
        <f t="shared" si="79"/>
        <v>#REF!</v>
      </c>
      <c r="N133" s="198" t="e">
        <f t="shared" si="79"/>
        <v>#REF!</v>
      </c>
      <c r="O133" s="198" t="e">
        <f t="shared" si="79"/>
        <v>#REF!</v>
      </c>
      <c r="P133" s="198">
        <f t="shared" si="79"/>
        <v>-66.170485866322991</v>
      </c>
      <c r="Q133" s="198" t="e">
        <f>SUM(Q120:Q132)</f>
        <v>#REF!</v>
      </c>
    </row>
    <row r="134" spans="2:17" s="3" customFormat="1" ht="14.45" hidden="1" customHeight="1" thickTop="1" x14ac:dyDescent="0.3">
      <c r="B134" s="56"/>
      <c r="E134" s="227" t="s">
        <v>90</v>
      </c>
      <c r="F134" s="227"/>
      <c r="G134" s="228"/>
      <c r="H134" s="475"/>
      <c r="I134" s="229"/>
      <c r="J134" s="229"/>
      <c r="K134" s="229"/>
      <c r="L134" s="229"/>
      <c r="M134" s="229"/>
      <c r="N134" s="229"/>
      <c r="O134" s="229"/>
      <c r="P134" s="229"/>
      <c r="Q134" s="230"/>
    </row>
    <row r="135" spans="2:17" s="3" customFormat="1" ht="13.9" hidden="1" customHeight="1" x14ac:dyDescent="0.3">
      <c r="B135" s="56"/>
      <c r="E135" s="193" t="s">
        <v>398</v>
      </c>
      <c r="F135" s="193"/>
      <c r="G135" s="194"/>
      <c r="H135" s="476"/>
      <c r="I135" s="195" t="e">
        <f>I133+I134</f>
        <v>#REF!</v>
      </c>
      <c r="J135" s="195" t="e">
        <f t="shared" ref="J135" si="80">J133+J134</f>
        <v>#REF!</v>
      </c>
      <c r="K135" s="195" t="e">
        <f t="shared" ref="K135" si="81">K133+K134</f>
        <v>#REF!</v>
      </c>
      <c r="L135" s="195" t="e">
        <f t="shared" ref="L135" si="82">L133+L134</f>
        <v>#REF!</v>
      </c>
      <c r="M135" s="195" t="e">
        <f t="shared" ref="M135" si="83">M133+M134</f>
        <v>#REF!</v>
      </c>
      <c r="N135" s="195" t="e">
        <f t="shared" ref="N135" si="84">N133+N134</f>
        <v>#REF!</v>
      </c>
      <c r="O135" s="195" t="e">
        <f t="shared" ref="O135" si="85">O133+O134</f>
        <v>#REF!</v>
      </c>
      <c r="P135" s="195">
        <f t="shared" ref="P135" si="86">P133+P134</f>
        <v>-66.170485866322991</v>
      </c>
      <c r="Q135" s="195" t="e">
        <f>Q133+Q134</f>
        <v>#REF!</v>
      </c>
    </row>
    <row r="136" spans="2:17" s="3" customFormat="1" ht="13.9" hidden="1" customHeight="1" x14ac:dyDescent="0.3">
      <c r="B136" s="56"/>
      <c r="E136" s="184">
        <v>43466</v>
      </c>
      <c r="F136" s="184" t="s">
        <v>382</v>
      </c>
      <c r="G136" s="185" t="s">
        <v>88</v>
      </c>
      <c r="H136" s="480">
        <f>$C$48/12</f>
        <v>0</v>
      </c>
      <c r="I136" s="186" t="e">
        <f>(SUM('1.  LRAMVA Summary'!C$22:C$36)+SUM('1.  LRAMVA Summary'!#REF!)*(MONTH($E136)-1)/12)*$H136</f>
        <v>#REF!</v>
      </c>
      <c r="J136" s="186" t="e">
        <f>(SUM('1.  LRAMVA Summary'!D$22:D$36)+SUM('1.  LRAMVA Summary'!#REF!)*(MONTH($E136)-1)/12)*$H136</f>
        <v>#REF!</v>
      </c>
      <c r="K136" s="186" t="e">
        <f>(SUM('1.  LRAMVA Summary'!E$22:E$36)+SUM('1.  LRAMVA Summary'!#REF!)*(MONTH($E136)-1)/12)*$H136</f>
        <v>#REF!</v>
      </c>
      <c r="L136" s="186" t="e">
        <f>(SUM('1.  LRAMVA Summary'!F$22:F$36)+SUM('1.  LRAMVA Summary'!#REF!)*(MONTH($E136)-1)/12)*$H136</f>
        <v>#REF!</v>
      </c>
      <c r="M136" s="186" t="e">
        <f>(SUM('1.  LRAMVA Summary'!G$22:G$36)+SUM('1.  LRAMVA Summary'!#REF!)*(MONTH($E136)-1)/12)*$H136</f>
        <v>#REF!</v>
      </c>
      <c r="N136" s="186" t="e">
        <f>(SUM('1.  LRAMVA Summary'!H$22:H$36)+SUM('1.  LRAMVA Summary'!#REF!)*(MONTH($E136)-1)/12)*$H136</f>
        <v>#REF!</v>
      </c>
      <c r="O136" s="186" t="e">
        <f>(SUM('1.  LRAMVA Summary'!I$22:I$36)+SUM('1.  LRAMVA Summary'!#REF!)*(MONTH($E136)-1)/12)*$H136</f>
        <v>#REF!</v>
      </c>
      <c r="P136" s="186"/>
      <c r="Q136" s="187" t="e">
        <f t="shared" ref="Q136:Q147" si="87">SUM(I136:P136)</f>
        <v>#REF!</v>
      </c>
    </row>
    <row r="137" spans="2:17" s="3" customFormat="1" ht="13.9" hidden="1" customHeight="1" x14ac:dyDescent="0.3">
      <c r="B137" s="56"/>
      <c r="E137" s="184">
        <v>43497</v>
      </c>
      <c r="F137" s="184" t="s">
        <v>382</v>
      </c>
      <c r="G137" s="185" t="s">
        <v>88</v>
      </c>
      <c r="H137" s="480">
        <f t="shared" ref="H137:H138" si="88">$C$48/12</f>
        <v>0</v>
      </c>
      <c r="I137" s="186" t="e">
        <f>(SUM('1.  LRAMVA Summary'!C$22:C$36)+SUM('1.  LRAMVA Summary'!#REF!)*(MONTH($E137)-1)/12)*$H137</f>
        <v>#REF!</v>
      </c>
      <c r="J137" s="186" t="e">
        <f>(SUM('1.  LRAMVA Summary'!D$22:D$36)+SUM('1.  LRAMVA Summary'!#REF!)*(MONTH($E137)-1)/12)*$H137</f>
        <v>#REF!</v>
      </c>
      <c r="K137" s="186" t="e">
        <f>(SUM('1.  LRAMVA Summary'!E$22:E$36)+SUM('1.  LRAMVA Summary'!#REF!)*(MONTH($E137)-1)/12)*$H137</f>
        <v>#REF!</v>
      </c>
      <c r="L137" s="186" t="e">
        <f>(SUM('1.  LRAMVA Summary'!F$22:F$36)+SUM('1.  LRAMVA Summary'!#REF!)*(MONTH($E137)-1)/12)*$H137</f>
        <v>#REF!</v>
      </c>
      <c r="M137" s="186" t="e">
        <f>(SUM('1.  LRAMVA Summary'!G$22:G$36)+SUM('1.  LRAMVA Summary'!#REF!)*(MONTH($E137)-1)/12)*$H137</f>
        <v>#REF!</v>
      </c>
      <c r="N137" s="186" t="e">
        <f>(SUM('1.  LRAMVA Summary'!H$22:H$36)+SUM('1.  LRAMVA Summary'!#REF!)*(MONTH($E137)-1)/12)*$H137</f>
        <v>#REF!</v>
      </c>
      <c r="O137" s="186" t="e">
        <f>(SUM('1.  LRAMVA Summary'!I$22:I$36)+SUM('1.  LRAMVA Summary'!#REF!)*(MONTH($E137)-1)/12)*$H137</f>
        <v>#REF!</v>
      </c>
      <c r="P137" s="186"/>
      <c r="Q137" s="187" t="e">
        <f t="shared" si="87"/>
        <v>#REF!</v>
      </c>
    </row>
    <row r="138" spans="2:17" s="3" customFormat="1" ht="13.9" hidden="1" customHeight="1" x14ac:dyDescent="0.3">
      <c r="B138" s="56"/>
      <c r="E138" s="184">
        <v>43525</v>
      </c>
      <c r="F138" s="184" t="s">
        <v>382</v>
      </c>
      <c r="G138" s="185" t="s">
        <v>88</v>
      </c>
      <c r="H138" s="480">
        <f t="shared" si="88"/>
        <v>0</v>
      </c>
      <c r="I138" s="186" t="e">
        <f>(SUM('1.  LRAMVA Summary'!C$22:C$36)+SUM('1.  LRAMVA Summary'!#REF!)*(MONTH($E138)-1)/12)*$H138</f>
        <v>#REF!</v>
      </c>
      <c r="J138" s="186" t="e">
        <f>(SUM('1.  LRAMVA Summary'!D$22:D$36)+SUM('1.  LRAMVA Summary'!#REF!)*(MONTH($E138)-1)/12)*$H138</f>
        <v>#REF!</v>
      </c>
      <c r="K138" s="186" t="e">
        <f>(SUM('1.  LRAMVA Summary'!E$22:E$36)+SUM('1.  LRAMVA Summary'!#REF!)*(MONTH($E138)-1)/12)*$H138</f>
        <v>#REF!</v>
      </c>
      <c r="L138" s="186" t="e">
        <f>(SUM('1.  LRAMVA Summary'!F$22:F$36)+SUM('1.  LRAMVA Summary'!#REF!)*(MONTH($E138)-1)/12)*$H138</f>
        <v>#REF!</v>
      </c>
      <c r="M138" s="186" t="e">
        <f>(SUM('1.  LRAMVA Summary'!G$22:G$36)+SUM('1.  LRAMVA Summary'!#REF!)*(MONTH($E138)-1)/12)*$H138</f>
        <v>#REF!</v>
      </c>
      <c r="N138" s="186" t="e">
        <f>(SUM('1.  LRAMVA Summary'!H$22:H$36)+SUM('1.  LRAMVA Summary'!#REF!)*(MONTH($E138)-1)/12)*$H138</f>
        <v>#REF!</v>
      </c>
      <c r="O138" s="186" t="e">
        <f>(SUM('1.  LRAMVA Summary'!I$22:I$36)+SUM('1.  LRAMVA Summary'!#REF!)*(MONTH($E138)-1)/12)*$H138</f>
        <v>#REF!</v>
      </c>
      <c r="P138" s="186"/>
      <c r="Q138" s="187" t="e">
        <f t="shared" si="87"/>
        <v>#REF!</v>
      </c>
    </row>
    <row r="139" spans="2:17" s="16" customFormat="1" ht="13.9" hidden="1" customHeight="1" x14ac:dyDescent="0.3">
      <c r="B139" s="219"/>
      <c r="E139" s="184">
        <v>43556</v>
      </c>
      <c r="F139" s="184" t="s">
        <v>382</v>
      </c>
      <c r="G139" s="185" t="s">
        <v>89</v>
      </c>
      <c r="H139" s="480">
        <f>$C$49/12</f>
        <v>0</v>
      </c>
      <c r="I139" s="186" t="e">
        <f>(SUM('1.  LRAMVA Summary'!C$22:C$36)+SUM('1.  LRAMVA Summary'!#REF!)*(MONTH($E139)-1)/12)*$H139</f>
        <v>#REF!</v>
      </c>
      <c r="J139" s="186" t="e">
        <f>(SUM('1.  LRAMVA Summary'!D$22:D$36)+SUM('1.  LRAMVA Summary'!#REF!)*(MONTH($E139)-1)/12)*$H139</f>
        <v>#REF!</v>
      </c>
      <c r="K139" s="186" t="e">
        <f>(SUM('1.  LRAMVA Summary'!E$22:E$36)+SUM('1.  LRAMVA Summary'!#REF!)*(MONTH($E139)-1)/12)*$H139</f>
        <v>#REF!</v>
      </c>
      <c r="L139" s="186" t="e">
        <f>(SUM('1.  LRAMVA Summary'!F$22:F$36)+SUM('1.  LRAMVA Summary'!#REF!)*(MONTH($E139)-1)/12)*$H139</f>
        <v>#REF!</v>
      </c>
      <c r="M139" s="186" t="e">
        <f>(SUM('1.  LRAMVA Summary'!G$22:G$36)+SUM('1.  LRAMVA Summary'!#REF!)*(MONTH($E139)-1)/12)*$H139</f>
        <v>#REF!</v>
      </c>
      <c r="N139" s="186" t="e">
        <f>(SUM('1.  LRAMVA Summary'!H$22:H$36)+SUM('1.  LRAMVA Summary'!#REF!)*(MONTH($E139)-1)/12)*$H139</f>
        <v>#REF!</v>
      </c>
      <c r="O139" s="186" t="e">
        <f>(SUM('1.  LRAMVA Summary'!I$22:I$36)+SUM('1.  LRAMVA Summary'!#REF!)*(MONTH($E139)-1)/12)*$H139</f>
        <v>#REF!</v>
      </c>
      <c r="P139" s="186"/>
      <c r="Q139" s="187" t="e">
        <f t="shared" si="87"/>
        <v>#REF!</v>
      </c>
    </row>
    <row r="140" spans="2:17" s="3" customFormat="1" ht="13.9" hidden="1" customHeight="1" x14ac:dyDescent="0.3">
      <c r="B140" s="56"/>
      <c r="E140" s="184">
        <v>43586</v>
      </c>
      <c r="F140" s="184" t="s">
        <v>382</v>
      </c>
      <c r="G140" s="185" t="s">
        <v>89</v>
      </c>
      <c r="H140" s="480">
        <f t="shared" ref="H140:H141" si="89">$C$49/12</f>
        <v>0</v>
      </c>
      <c r="I140" s="186" t="e">
        <f>(SUM('1.  LRAMVA Summary'!C$22:C$36)+SUM('1.  LRAMVA Summary'!#REF!)*(MONTH($E140)-1)/12)*$H140</f>
        <v>#REF!</v>
      </c>
      <c r="J140" s="186" t="e">
        <f>(SUM('1.  LRAMVA Summary'!D$22:D$36)+SUM('1.  LRAMVA Summary'!#REF!)*(MONTH($E140)-1)/12)*$H140</f>
        <v>#REF!</v>
      </c>
      <c r="K140" s="186" t="e">
        <f>(SUM('1.  LRAMVA Summary'!E$22:E$36)+SUM('1.  LRAMVA Summary'!#REF!)*(MONTH($E140)-1)/12)*$H140</f>
        <v>#REF!</v>
      </c>
      <c r="L140" s="186" t="e">
        <f>(SUM('1.  LRAMVA Summary'!F$22:F$36)+SUM('1.  LRAMVA Summary'!#REF!)*(MONTH($E140)-1)/12)*$H140</f>
        <v>#REF!</v>
      </c>
      <c r="M140" s="186" t="e">
        <f>(SUM('1.  LRAMVA Summary'!G$22:G$36)+SUM('1.  LRAMVA Summary'!#REF!)*(MONTH($E140)-1)/12)*$H140</f>
        <v>#REF!</v>
      </c>
      <c r="N140" s="186" t="e">
        <f>(SUM('1.  LRAMVA Summary'!H$22:H$36)+SUM('1.  LRAMVA Summary'!#REF!)*(MONTH($E140)-1)/12)*$H140</f>
        <v>#REF!</v>
      </c>
      <c r="O140" s="186" t="e">
        <f>(SUM('1.  LRAMVA Summary'!I$22:I$36)+SUM('1.  LRAMVA Summary'!#REF!)*(MONTH($E140)-1)/12)*$H140</f>
        <v>#REF!</v>
      </c>
      <c r="P140" s="186"/>
      <c r="Q140" s="187" t="e">
        <f t="shared" si="87"/>
        <v>#REF!</v>
      </c>
    </row>
    <row r="141" spans="2:17" s="3" customFormat="1" ht="13.9" hidden="1" customHeight="1" x14ac:dyDescent="0.3">
      <c r="B141" s="56"/>
      <c r="E141" s="184">
        <v>43617</v>
      </c>
      <c r="F141" s="184" t="s">
        <v>382</v>
      </c>
      <c r="G141" s="185" t="s">
        <v>89</v>
      </c>
      <c r="H141" s="480">
        <f t="shared" si="89"/>
        <v>0</v>
      </c>
      <c r="I141" s="186" t="e">
        <f>(SUM('1.  LRAMVA Summary'!C$22:C$36)+SUM('1.  LRAMVA Summary'!#REF!)*(MONTH($E141)-1)/12)*$H141</f>
        <v>#REF!</v>
      </c>
      <c r="J141" s="186" t="e">
        <f>(SUM('1.  LRAMVA Summary'!D$22:D$36)+SUM('1.  LRAMVA Summary'!#REF!)*(MONTH($E141)-1)/12)*$H141</f>
        <v>#REF!</v>
      </c>
      <c r="K141" s="186" t="e">
        <f>(SUM('1.  LRAMVA Summary'!E$22:E$36)+SUM('1.  LRAMVA Summary'!#REF!)*(MONTH($E141)-1)/12)*$H141</f>
        <v>#REF!</v>
      </c>
      <c r="L141" s="186" t="e">
        <f>(SUM('1.  LRAMVA Summary'!F$22:F$36)+SUM('1.  LRAMVA Summary'!#REF!)*(MONTH($E141)-1)/12)*$H141</f>
        <v>#REF!</v>
      </c>
      <c r="M141" s="186" t="e">
        <f>(SUM('1.  LRAMVA Summary'!G$22:G$36)+SUM('1.  LRAMVA Summary'!#REF!)*(MONTH($E141)-1)/12)*$H141</f>
        <v>#REF!</v>
      </c>
      <c r="N141" s="186" t="e">
        <f>(SUM('1.  LRAMVA Summary'!H$22:H$36)+SUM('1.  LRAMVA Summary'!#REF!)*(MONTH($E141)-1)/12)*$H141</f>
        <v>#REF!</v>
      </c>
      <c r="O141" s="186" t="e">
        <f>(SUM('1.  LRAMVA Summary'!I$22:I$36)+SUM('1.  LRAMVA Summary'!#REF!)*(MONTH($E141)-1)/12)*$H141</f>
        <v>#REF!</v>
      </c>
      <c r="P141" s="186"/>
      <c r="Q141" s="187" t="e">
        <f t="shared" si="87"/>
        <v>#REF!</v>
      </c>
    </row>
    <row r="142" spans="2:17" ht="14.45" hidden="1" customHeight="1" x14ac:dyDescent="0.3">
      <c r="E142" s="184">
        <v>43647</v>
      </c>
      <c r="F142" s="184" t="s">
        <v>382</v>
      </c>
      <c r="G142" s="185" t="s">
        <v>91</v>
      </c>
      <c r="H142" s="480">
        <f>$C$50/12</f>
        <v>0</v>
      </c>
      <c r="I142" s="186" t="e">
        <f>(SUM('1.  LRAMVA Summary'!C$22:C$36)+SUM('1.  LRAMVA Summary'!#REF!)*(MONTH($E142)-1)/12)*$H142</f>
        <v>#REF!</v>
      </c>
      <c r="J142" s="186" t="e">
        <f>(SUM('1.  LRAMVA Summary'!D$22:D$36)+SUM('1.  LRAMVA Summary'!#REF!)*(MONTH($E142)-1)/12)*$H142</f>
        <v>#REF!</v>
      </c>
      <c r="K142" s="186" t="e">
        <f>(SUM('1.  LRAMVA Summary'!E$22:E$36)+SUM('1.  LRAMVA Summary'!#REF!)*(MONTH($E142)-1)/12)*$H142</f>
        <v>#REF!</v>
      </c>
      <c r="L142" s="186" t="e">
        <f>(SUM('1.  LRAMVA Summary'!F$22:F$36)+SUM('1.  LRAMVA Summary'!#REF!)*(MONTH($E142)-1)/12)*$H142</f>
        <v>#REF!</v>
      </c>
      <c r="M142" s="186" t="e">
        <f>(SUM('1.  LRAMVA Summary'!G$22:G$36)+SUM('1.  LRAMVA Summary'!#REF!)*(MONTH($E142)-1)/12)*$H142</f>
        <v>#REF!</v>
      </c>
      <c r="N142" s="186" t="e">
        <f>(SUM('1.  LRAMVA Summary'!H$22:H$36)+SUM('1.  LRAMVA Summary'!#REF!)*(MONTH($E142)-1)/12)*$H142</f>
        <v>#REF!</v>
      </c>
      <c r="O142" s="186" t="e">
        <f>(SUM('1.  LRAMVA Summary'!I$22:I$36)+SUM('1.  LRAMVA Summary'!#REF!)*(MONTH($E142)-1)/12)*$H142</f>
        <v>#REF!</v>
      </c>
      <c r="P142" s="186"/>
      <c r="Q142" s="187" t="e">
        <f t="shared" si="87"/>
        <v>#REF!</v>
      </c>
    </row>
    <row r="143" spans="2:17" ht="14.45" hidden="1" customHeight="1" x14ac:dyDescent="0.3">
      <c r="E143" s="184">
        <v>43678</v>
      </c>
      <c r="F143" s="184" t="s">
        <v>382</v>
      </c>
      <c r="G143" s="185" t="s">
        <v>91</v>
      </c>
      <c r="H143" s="480">
        <f t="shared" ref="H143:H144" si="90">$C$50/12</f>
        <v>0</v>
      </c>
      <c r="I143" s="186" t="e">
        <f>(SUM('1.  LRAMVA Summary'!C$22:C$36)+SUM('1.  LRAMVA Summary'!#REF!)*(MONTH($E143)-1)/12)*$H143</f>
        <v>#REF!</v>
      </c>
      <c r="J143" s="186" t="e">
        <f>(SUM('1.  LRAMVA Summary'!D$22:D$36)+SUM('1.  LRAMVA Summary'!#REF!)*(MONTH($E143)-1)/12)*$H143</f>
        <v>#REF!</v>
      </c>
      <c r="K143" s="186" t="e">
        <f>(SUM('1.  LRAMVA Summary'!E$22:E$36)+SUM('1.  LRAMVA Summary'!#REF!)*(MONTH($E143)-1)/12)*$H143</f>
        <v>#REF!</v>
      </c>
      <c r="L143" s="186" t="e">
        <f>(SUM('1.  LRAMVA Summary'!F$22:F$36)+SUM('1.  LRAMVA Summary'!#REF!)*(MONTH($E143)-1)/12)*$H143</f>
        <v>#REF!</v>
      </c>
      <c r="M143" s="186" t="e">
        <f>(SUM('1.  LRAMVA Summary'!G$22:G$36)+SUM('1.  LRAMVA Summary'!#REF!)*(MONTH($E143)-1)/12)*$H143</f>
        <v>#REF!</v>
      </c>
      <c r="N143" s="186" t="e">
        <f>(SUM('1.  LRAMVA Summary'!H$22:H$36)+SUM('1.  LRAMVA Summary'!#REF!)*(MONTH($E143)-1)/12)*$H143</f>
        <v>#REF!</v>
      </c>
      <c r="O143" s="186" t="e">
        <f>(SUM('1.  LRAMVA Summary'!I$22:I$36)+SUM('1.  LRAMVA Summary'!#REF!)*(MONTH($E143)-1)/12)*$H143</f>
        <v>#REF!</v>
      </c>
      <c r="P143" s="186"/>
      <c r="Q143" s="187" t="e">
        <f t="shared" si="87"/>
        <v>#REF!</v>
      </c>
    </row>
    <row r="144" spans="2:17" ht="14.45" hidden="1" customHeight="1" x14ac:dyDescent="0.3">
      <c r="E144" s="184">
        <v>43709</v>
      </c>
      <c r="F144" s="184" t="s">
        <v>382</v>
      </c>
      <c r="G144" s="185" t="s">
        <v>91</v>
      </c>
      <c r="H144" s="480">
        <f t="shared" si="90"/>
        <v>0</v>
      </c>
      <c r="I144" s="186" t="e">
        <f>(SUM('1.  LRAMVA Summary'!C$22:C$36)+SUM('1.  LRAMVA Summary'!#REF!)*(MONTH($E144)-1)/12)*$H144</f>
        <v>#REF!</v>
      </c>
      <c r="J144" s="186" t="e">
        <f>(SUM('1.  LRAMVA Summary'!D$22:D$36)+SUM('1.  LRAMVA Summary'!#REF!)*(MONTH($E144)-1)/12)*$H144</f>
        <v>#REF!</v>
      </c>
      <c r="K144" s="186" t="e">
        <f>(SUM('1.  LRAMVA Summary'!E$22:E$36)+SUM('1.  LRAMVA Summary'!#REF!)*(MONTH($E144)-1)/12)*$H144</f>
        <v>#REF!</v>
      </c>
      <c r="L144" s="186" t="e">
        <f>(SUM('1.  LRAMVA Summary'!F$22:F$36)+SUM('1.  LRAMVA Summary'!#REF!)*(MONTH($E144)-1)/12)*$H144</f>
        <v>#REF!</v>
      </c>
      <c r="M144" s="186" t="e">
        <f>(SUM('1.  LRAMVA Summary'!G$22:G$36)+SUM('1.  LRAMVA Summary'!#REF!)*(MONTH($E144)-1)/12)*$H144</f>
        <v>#REF!</v>
      </c>
      <c r="N144" s="186" t="e">
        <f>(SUM('1.  LRAMVA Summary'!H$22:H$36)+SUM('1.  LRAMVA Summary'!#REF!)*(MONTH($E144)-1)/12)*$H144</f>
        <v>#REF!</v>
      </c>
      <c r="O144" s="186" t="e">
        <f>(SUM('1.  LRAMVA Summary'!I$22:I$36)+SUM('1.  LRAMVA Summary'!#REF!)*(MONTH($E144)-1)/12)*$H144</f>
        <v>#REF!</v>
      </c>
      <c r="P144" s="186"/>
      <c r="Q144" s="187" t="e">
        <f t="shared" si="87"/>
        <v>#REF!</v>
      </c>
    </row>
    <row r="145" spans="5:17" ht="14.45" hidden="1" customHeight="1" x14ac:dyDescent="0.3">
      <c r="E145" s="184">
        <v>43739</v>
      </c>
      <c r="F145" s="184" t="s">
        <v>382</v>
      </c>
      <c r="G145" s="185" t="s">
        <v>92</v>
      </c>
      <c r="H145" s="480">
        <f>$C$51/12</f>
        <v>0</v>
      </c>
      <c r="I145" s="186" t="e">
        <f>(SUM('1.  LRAMVA Summary'!C$22:C$36)+SUM('1.  LRAMVA Summary'!#REF!)*(MONTH($E145)-1)/12)*$H145</f>
        <v>#REF!</v>
      </c>
      <c r="J145" s="186" t="e">
        <f>(SUM('1.  LRAMVA Summary'!D$22:D$36)+SUM('1.  LRAMVA Summary'!#REF!)*(MONTH($E145)-1)/12)*$H145</f>
        <v>#REF!</v>
      </c>
      <c r="K145" s="186" t="e">
        <f>(SUM('1.  LRAMVA Summary'!E$22:E$36)+SUM('1.  LRAMVA Summary'!#REF!)*(MONTH($E145)-1)/12)*$H145</f>
        <v>#REF!</v>
      </c>
      <c r="L145" s="186" t="e">
        <f>(SUM('1.  LRAMVA Summary'!F$22:F$36)+SUM('1.  LRAMVA Summary'!#REF!)*(MONTH($E145)-1)/12)*$H145</f>
        <v>#REF!</v>
      </c>
      <c r="M145" s="186" t="e">
        <f>(SUM('1.  LRAMVA Summary'!G$22:G$36)+SUM('1.  LRAMVA Summary'!#REF!)*(MONTH($E145)-1)/12)*$H145</f>
        <v>#REF!</v>
      </c>
      <c r="N145" s="186" t="e">
        <f>(SUM('1.  LRAMVA Summary'!H$22:H$36)+SUM('1.  LRAMVA Summary'!#REF!)*(MONTH($E145)-1)/12)*$H145</f>
        <v>#REF!</v>
      </c>
      <c r="O145" s="186" t="e">
        <f>(SUM('1.  LRAMVA Summary'!I$22:I$36)+SUM('1.  LRAMVA Summary'!#REF!)*(MONTH($E145)-1)/12)*$H145</f>
        <v>#REF!</v>
      </c>
      <c r="P145" s="186"/>
      <c r="Q145" s="187" t="e">
        <f t="shared" si="87"/>
        <v>#REF!</v>
      </c>
    </row>
    <row r="146" spans="5:17" ht="14.45" hidden="1" customHeight="1" x14ac:dyDescent="0.3">
      <c r="E146" s="184">
        <v>43770</v>
      </c>
      <c r="F146" s="184" t="s">
        <v>382</v>
      </c>
      <c r="G146" s="185" t="s">
        <v>92</v>
      </c>
      <c r="H146" s="480">
        <f t="shared" ref="H146:H147" si="91">$C$51/12</f>
        <v>0</v>
      </c>
      <c r="I146" s="186" t="e">
        <f>(SUM('1.  LRAMVA Summary'!C$22:C$36)+SUM('1.  LRAMVA Summary'!#REF!)*(MONTH($E146)-1)/12)*$H146</f>
        <v>#REF!</v>
      </c>
      <c r="J146" s="186" t="e">
        <f>(SUM('1.  LRAMVA Summary'!D$22:D$36)+SUM('1.  LRAMVA Summary'!#REF!)*(MONTH($E146)-1)/12)*$H146</f>
        <v>#REF!</v>
      </c>
      <c r="K146" s="186" t="e">
        <f>(SUM('1.  LRAMVA Summary'!E$22:E$36)+SUM('1.  LRAMVA Summary'!#REF!)*(MONTH($E146)-1)/12)*$H146</f>
        <v>#REF!</v>
      </c>
      <c r="L146" s="186" t="e">
        <f>(SUM('1.  LRAMVA Summary'!F$22:F$36)+SUM('1.  LRAMVA Summary'!#REF!)*(MONTH($E146)-1)/12)*$H146</f>
        <v>#REF!</v>
      </c>
      <c r="M146" s="186" t="e">
        <f>(SUM('1.  LRAMVA Summary'!G$22:G$36)+SUM('1.  LRAMVA Summary'!#REF!)*(MONTH($E146)-1)/12)*$H146</f>
        <v>#REF!</v>
      </c>
      <c r="N146" s="186" t="e">
        <f>(SUM('1.  LRAMVA Summary'!H$22:H$36)+SUM('1.  LRAMVA Summary'!#REF!)*(MONTH($E146)-1)/12)*$H146</f>
        <v>#REF!</v>
      </c>
      <c r="O146" s="186" t="e">
        <f>(SUM('1.  LRAMVA Summary'!I$22:I$36)+SUM('1.  LRAMVA Summary'!#REF!)*(MONTH($E146)-1)/12)*$H146</f>
        <v>#REF!</v>
      </c>
      <c r="P146" s="186"/>
      <c r="Q146" s="187" t="e">
        <f t="shared" si="87"/>
        <v>#REF!</v>
      </c>
    </row>
    <row r="147" spans="5:17" ht="14.45" hidden="1" customHeight="1" x14ac:dyDescent="0.3">
      <c r="E147" s="184">
        <v>43800</v>
      </c>
      <c r="F147" s="184" t="s">
        <v>382</v>
      </c>
      <c r="G147" s="185" t="s">
        <v>92</v>
      </c>
      <c r="H147" s="480">
        <f t="shared" si="91"/>
        <v>0</v>
      </c>
      <c r="I147" s="186" t="e">
        <f>(SUM('1.  LRAMVA Summary'!C$22:C$36)+SUM('1.  LRAMVA Summary'!#REF!)*(MONTH($E147)-1)/12)*$H147</f>
        <v>#REF!</v>
      </c>
      <c r="J147" s="186" t="e">
        <f>(SUM('1.  LRAMVA Summary'!D$22:D$36)+SUM('1.  LRAMVA Summary'!#REF!)*(MONTH($E147)-1)/12)*$H147</f>
        <v>#REF!</v>
      </c>
      <c r="K147" s="186" t="e">
        <f>(SUM('1.  LRAMVA Summary'!E$22:E$36)+SUM('1.  LRAMVA Summary'!#REF!)*(MONTH($E147)-1)/12)*$H147</f>
        <v>#REF!</v>
      </c>
      <c r="L147" s="186" t="e">
        <f>(SUM('1.  LRAMVA Summary'!F$22:F$36)+SUM('1.  LRAMVA Summary'!#REF!)*(MONTH($E147)-1)/12)*$H147</f>
        <v>#REF!</v>
      </c>
      <c r="M147" s="186" t="e">
        <f>(SUM('1.  LRAMVA Summary'!G$22:G$36)+SUM('1.  LRAMVA Summary'!#REF!)*(MONTH($E147)-1)/12)*$H147</f>
        <v>#REF!</v>
      </c>
      <c r="N147" s="186" t="e">
        <f>(SUM('1.  LRAMVA Summary'!H$22:H$36)+SUM('1.  LRAMVA Summary'!#REF!)*(MONTH($E147)-1)/12)*$H147</f>
        <v>#REF!</v>
      </c>
      <c r="O147" s="186" t="e">
        <f>(SUM('1.  LRAMVA Summary'!I$22:I$36)+SUM('1.  LRAMVA Summary'!#REF!)*(MONTH($E147)-1)/12)*$H147</f>
        <v>#REF!</v>
      </c>
      <c r="P147" s="186"/>
      <c r="Q147" s="187" t="e">
        <f t="shared" si="87"/>
        <v>#REF!</v>
      </c>
    </row>
    <row r="148" spans="5:17" ht="15" hidden="1" customHeight="1" thickBot="1" x14ac:dyDescent="0.35">
      <c r="E148" s="196" t="s">
        <v>389</v>
      </c>
      <c r="F148" s="196"/>
      <c r="G148" s="197"/>
      <c r="H148" s="474"/>
      <c r="I148" s="198" t="e">
        <f>SUM(I135:I147)</f>
        <v>#REF!</v>
      </c>
      <c r="J148" s="198" t="e">
        <f>SUM(J135:J147)</f>
        <v>#REF!</v>
      </c>
      <c r="K148" s="198" t="e">
        <f t="shared" ref="K148:P148" si="92">SUM(K135:K147)</f>
        <v>#REF!</v>
      </c>
      <c r="L148" s="198" t="e">
        <f t="shared" si="92"/>
        <v>#REF!</v>
      </c>
      <c r="M148" s="198" t="e">
        <f t="shared" si="92"/>
        <v>#REF!</v>
      </c>
      <c r="N148" s="198" t="e">
        <f t="shared" si="92"/>
        <v>#REF!</v>
      </c>
      <c r="O148" s="198" t="e">
        <f t="shared" si="92"/>
        <v>#REF!</v>
      </c>
      <c r="P148" s="198">
        <f t="shared" si="92"/>
        <v>-66.170485866322991</v>
      </c>
      <c r="Q148" s="198" t="e">
        <f>SUM(Q135:Q147)</f>
        <v>#REF!</v>
      </c>
    </row>
    <row r="149" spans="5:17" ht="15" hidden="1" customHeight="1" thickTop="1" x14ac:dyDescent="0.3">
      <c r="E149" s="227" t="s">
        <v>90</v>
      </c>
      <c r="F149" s="227"/>
      <c r="G149" s="228"/>
      <c r="H149" s="475"/>
      <c r="I149" s="229"/>
      <c r="J149" s="229"/>
      <c r="K149" s="229"/>
      <c r="L149" s="229"/>
      <c r="M149" s="229"/>
      <c r="N149" s="229"/>
      <c r="O149" s="229"/>
      <c r="P149" s="229"/>
      <c r="Q149" s="230"/>
    </row>
    <row r="150" spans="5:17" ht="14.45" hidden="1" customHeight="1" x14ac:dyDescent="0.3">
      <c r="E150" s="193" t="s">
        <v>402</v>
      </c>
      <c r="F150" s="193"/>
      <c r="G150" s="194"/>
      <c r="H150" s="476"/>
      <c r="I150" s="195" t="e">
        <f>I148+I149</f>
        <v>#REF!</v>
      </c>
      <c r="J150" s="195" t="e">
        <f t="shared" ref="J150" si="93">J148+J149</f>
        <v>#REF!</v>
      </c>
      <c r="K150" s="195" t="e">
        <f t="shared" ref="K150" si="94">K148+K149</f>
        <v>#REF!</v>
      </c>
      <c r="L150" s="195" t="e">
        <f t="shared" ref="L150" si="95">L148+L149</f>
        <v>#REF!</v>
      </c>
      <c r="M150" s="195" t="e">
        <f t="shared" ref="M150" si="96">M148+M149</f>
        <v>#REF!</v>
      </c>
      <c r="N150" s="195" t="e">
        <f t="shared" ref="N150" si="97">N148+N149</f>
        <v>#REF!</v>
      </c>
      <c r="O150" s="195" t="e">
        <f t="shared" ref="O150" si="98">O148+O149</f>
        <v>#REF!</v>
      </c>
      <c r="P150" s="195">
        <f t="shared" ref="P150" si="99">P148+P149</f>
        <v>-66.170485866322991</v>
      </c>
      <c r="Q150" s="195" t="e">
        <f>Q148+Q149</f>
        <v>#REF!</v>
      </c>
    </row>
    <row r="151" spans="5:17" ht="14.45" hidden="1" customHeight="1" x14ac:dyDescent="0.3">
      <c r="E151" s="184">
        <v>43831</v>
      </c>
      <c r="F151" s="184" t="s">
        <v>383</v>
      </c>
      <c r="G151" s="185" t="s">
        <v>88</v>
      </c>
      <c r="H151" s="480">
        <f>$C$52/12</f>
        <v>0</v>
      </c>
      <c r="I151" s="186">
        <f>(SUM('1.  LRAMVA Summary'!C$22:C$36)*(MONTH($E151)-1)/12)*$H151</f>
        <v>0</v>
      </c>
      <c r="J151" s="186">
        <f>(SUM('1.  LRAMVA Summary'!D$22:D$36)*(MONTH($E151)-1)/12)*$H151</f>
        <v>0</v>
      </c>
      <c r="K151" s="186">
        <f>(SUM('1.  LRAMVA Summary'!E$22:E$36)*(MONTH($E151)-1)/12)*$H151</f>
        <v>0</v>
      </c>
      <c r="L151" s="186">
        <f>(SUM('1.  LRAMVA Summary'!F$22:F$36)*(MONTH($E151)-1)/12)*$H151</f>
        <v>0</v>
      </c>
      <c r="M151" s="186">
        <f>(SUM('1.  LRAMVA Summary'!G$22:G$36)*(MONTH($E151)-1)/12)*$H151</f>
        <v>0</v>
      </c>
      <c r="N151" s="186">
        <f>(SUM('1.  LRAMVA Summary'!H$22:H$36)*(MONTH($E151)-1)/12)*$H151</f>
        <v>0</v>
      </c>
      <c r="O151" s="186">
        <f>(SUM('1.  LRAMVA Summary'!I$22:I$36)*(MONTH($E151)-1)/12)*$H151</f>
        <v>0</v>
      </c>
      <c r="P151" s="186"/>
      <c r="Q151" s="187">
        <f>SUM(I151:P151)</f>
        <v>0</v>
      </c>
    </row>
    <row r="152" spans="5:17" ht="14.45" hidden="1" customHeight="1" x14ac:dyDescent="0.3">
      <c r="E152" s="184">
        <v>43862</v>
      </c>
      <c r="F152" s="184" t="s">
        <v>383</v>
      </c>
      <c r="G152" s="185" t="s">
        <v>88</v>
      </c>
      <c r="H152" s="480">
        <f t="shared" ref="H152:H153" si="100">$C$52/12</f>
        <v>0</v>
      </c>
      <c r="I152" s="186">
        <f>(SUM('1.  LRAMVA Summary'!C$22:C$36)*(MONTH($E152)-1)/12)*$H152</f>
        <v>0</v>
      </c>
      <c r="J152" s="186">
        <f>(SUM('1.  LRAMVA Summary'!D$22:D$36)*(MONTH($E152)-1)/12)*$H152</f>
        <v>0</v>
      </c>
      <c r="K152" s="186">
        <f>(SUM('1.  LRAMVA Summary'!E$22:E$36)*(MONTH($E152)-1)/12)*$H152</f>
        <v>0</v>
      </c>
      <c r="L152" s="186">
        <f>(SUM('1.  LRAMVA Summary'!F$22:F$36)*(MONTH($E152)-1)/12)*$H152</f>
        <v>0</v>
      </c>
      <c r="M152" s="186">
        <f>(SUM('1.  LRAMVA Summary'!G$22:G$36)*(MONTH($E152)-1)/12)*$H152</f>
        <v>0</v>
      </c>
      <c r="N152" s="186">
        <f>(SUM('1.  LRAMVA Summary'!H$22:H$36)*(MONTH($E152)-1)/12)*$H152</f>
        <v>0</v>
      </c>
      <c r="O152" s="186">
        <f>(SUM('1.  LRAMVA Summary'!I$22:I$36)*(MONTH($E152)-1)/12)*$H152</f>
        <v>0</v>
      </c>
      <c r="P152" s="186"/>
      <c r="Q152" s="187">
        <f>SUM(I152:P152)</f>
        <v>0</v>
      </c>
    </row>
    <row r="153" spans="5:17" ht="14.45" hidden="1" customHeight="1" x14ac:dyDescent="0.3">
      <c r="E153" s="184">
        <v>43891</v>
      </c>
      <c r="F153" s="184" t="s">
        <v>383</v>
      </c>
      <c r="G153" s="185" t="s">
        <v>88</v>
      </c>
      <c r="H153" s="480">
        <f t="shared" si="100"/>
        <v>0</v>
      </c>
      <c r="I153" s="186">
        <f>(SUM('1.  LRAMVA Summary'!C$22:C$36)*(MONTH($E153)-1)/12)*$H153</f>
        <v>0</v>
      </c>
      <c r="J153" s="186">
        <f>(SUM('1.  LRAMVA Summary'!D$22:D$36)*(MONTH($E153)-1)/12)*$H153</f>
        <v>0</v>
      </c>
      <c r="K153" s="186">
        <f>(SUM('1.  LRAMVA Summary'!E$22:E$36)*(MONTH($E153)-1)/12)*$H153</f>
        <v>0</v>
      </c>
      <c r="L153" s="186">
        <f>(SUM('1.  LRAMVA Summary'!F$22:F$36)*(MONTH($E153)-1)/12)*$H153</f>
        <v>0</v>
      </c>
      <c r="M153" s="186">
        <f>(SUM('1.  LRAMVA Summary'!G$22:G$36)*(MONTH($E153)-1)/12)*$H153</f>
        <v>0</v>
      </c>
      <c r="N153" s="186">
        <f>(SUM('1.  LRAMVA Summary'!H$22:H$36)*(MONTH($E153)-1)/12)*$H153</f>
        <v>0</v>
      </c>
      <c r="O153" s="186">
        <f>(SUM('1.  LRAMVA Summary'!I$22:I$36)*(MONTH($E153)-1)/12)*$H153</f>
        <v>0</v>
      </c>
      <c r="P153" s="186"/>
      <c r="Q153" s="187">
        <f t="shared" ref="Q153:Q162" si="101">SUM(I153:P153)</f>
        <v>0</v>
      </c>
    </row>
    <row r="154" spans="5:17" ht="14.45" hidden="1" customHeight="1" x14ac:dyDescent="0.3">
      <c r="E154" s="184">
        <v>43922</v>
      </c>
      <c r="F154" s="184" t="s">
        <v>383</v>
      </c>
      <c r="G154" s="185" t="s">
        <v>89</v>
      </c>
      <c r="H154" s="480">
        <f>$C$53/12</f>
        <v>0</v>
      </c>
      <c r="I154" s="186">
        <f>(SUM('1.  LRAMVA Summary'!C$22:C$36)*(MONTH($E154)-1)/12)*$H154</f>
        <v>0</v>
      </c>
      <c r="J154" s="186">
        <f>(SUM('1.  LRAMVA Summary'!D$22:D$36)*(MONTH($E154)-1)/12)*$H154</f>
        <v>0</v>
      </c>
      <c r="K154" s="186">
        <f>(SUM('1.  LRAMVA Summary'!E$22:E$36)*(MONTH($E154)-1)/12)*$H154</f>
        <v>0</v>
      </c>
      <c r="L154" s="186">
        <f>(SUM('1.  LRAMVA Summary'!F$22:F$36)*(MONTH($E154)-1)/12)*$H154</f>
        <v>0</v>
      </c>
      <c r="M154" s="186">
        <f>(SUM('1.  LRAMVA Summary'!G$22:G$36)*(MONTH($E154)-1)/12)*$H154</f>
        <v>0</v>
      </c>
      <c r="N154" s="186">
        <f>(SUM('1.  LRAMVA Summary'!H$22:H$36)*(MONTH($E154)-1)/12)*$H154</f>
        <v>0</v>
      </c>
      <c r="O154" s="186">
        <f>(SUM('1.  LRAMVA Summary'!I$22:I$36)*(MONTH($E154)-1)/12)*$H154</f>
        <v>0</v>
      </c>
      <c r="P154" s="186"/>
      <c r="Q154" s="187">
        <f t="shared" si="101"/>
        <v>0</v>
      </c>
    </row>
    <row r="155" spans="5:17" ht="14.45" hidden="1" customHeight="1" x14ac:dyDescent="0.3">
      <c r="E155" s="184">
        <v>43952</v>
      </c>
      <c r="F155" s="184" t="s">
        <v>383</v>
      </c>
      <c r="G155" s="185" t="s">
        <v>89</v>
      </c>
      <c r="H155" s="480">
        <f t="shared" ref="H155:H156" si="102">$C$53/12</f>
        <v>0</v>
      </c>
      <c r="I155" s="186">
        <f>(SUM('1.  LRAMVA Summary'!C$22:C$36)*(MONTH($E155)-1)/12)*$H155</f>
        <v>0</v>
      </c>
      <c r="J155" s="186">
        <f>(SUM('1.  LRAMVA Summary'!D$22:D$36)*(MONTH($E155)-1)/12)*$H155</f>
        <v>0</v>
      </c>
      <c r="K155" s="186">
        <f>(SUM('1.  LRAMVA Summary'!E$22:E$36)*(MONTH($E155)-1)/12)*$H155</f>
        <v>0</v>
      </c>
      <c r="L155" s="186">
        <f>(SUM('1.  LRAMVA Summary'!F$22:F$36)*(MONTH($E155)-1)/12)*$H155</f>
        <v>0</v>
      </c>
      <c r="M155" s="186">
        <f>(SUM('1.  LRAMVA Summary'!G$22:G$36)*(MONTH($E155)-1)/12)*$H155</f>
        <v>0</v>
      </c>
      <c r="N155" s="186">
        <f>(SUM('1.  LRAMVA Summary'!H$22:H$36)*(MONTH($E155)-1)/12)*$H155</f>
        <v>0</v>
      </c>
      <c r="O155" s="186">
        <f>(SUM('1.  LRAMVA Summary'!I$22:I$36)*(MONTH($E155)-1)/12)*$H155</f>
        <v>0</v>
      </c>
      <c r="P155" s="186"/>
      <c r="Q155" s="187">
        <f t="shared" si="101"/>
        <v>0</v>
      </c>
    </row>
    <row r="156" spans="5:17" ht="14.45" hidden="1" customHeight="1" x14ac:dyDescent="0.3">
      <c r="E156" s="184">
        <v>43983</v>
      </c>
      <c r="F156" s="184" t="s">
        <v>383</v>
      </c>
      <c r="G156" s="185" t="s">
        <v>89</v>
      </c>
      <c r="H156" s="480">
        <f t="shared" si="102"/>
        <v>0</v>
      </c>
      <c r="I156" s="186">
        <f>(SUM('1.  LRAMVA Summary'!C$22:C$36)*(MONTH($E156)-1)/12)*$H156</f>
        <v>0</v>
      </c>
      <c r="J156" s="186">
        <f>(SUM('1.  LRAMVA Summary'!D$22:D$36)*(MONTH($E156)-1)/12)*$H156</f>
        <v>0</v>
      </c>
      <c r="K156" s="186">
        <f>(SUM('1.  LRAMVA Summary'!E$22:E$36)*(MONTH($E156)-1)/12)*$H156</f>
        <v>0</v>
      </c>
      <c r="L156" s="186">
        <f>(SUM('1.  LRAMVA Summary'!F$22:F$36)*(MONTH($E156)-1)/12)*$H156</f>
        <v>0</v>
      </c>
      <c r="M156" s="186">
        <f>(SUM('1.  LRAMVA Summary'!G$22:G$36)*(MONTH($E156)-1)/12)*$H156</f>
        <v>0</v>
      </c>
      <c r="N156" s="186">
        <f>(SUM('1.  LRAMVA Summary'!H$22:H$36)*(MONTH($E156)-1)/12)*$H156</f>
        <v>0</v>
      </c>
      <c r="O156" s="186">
        <f>(SUM('1.  LRAMVA Summary'!I$22:I$36)*(MONTH($E156)-1)/12)*$H156</f>
        <v>0</v>
      </c>
      <c r="P156" s="186"/>
      <c r="Q156" s="187">
        <f t="shared" si="101"/>
        <v>0</v>
      </c>
    </row>
    <row r="157" spans="5:17" ht="14.45" hidden="1" customHeight="1" x14ac:dyDescent="0.3">
      <c r="E157" s="184">
        <v>44013</v>
      </c>
      <c r="F157" s="184" t="s">
        <v>383</v>
      </c>
      <c r="G157" s="185" t="s">
        <v>91</v>
      </c>
      <c r="H157" s="480">
        <f>$C$54/12</f>
        <v>0</v>
      </c>
      <c r="I157" s="186">
        <f>(SUM('1.  LRAMVA Summary'!C$22:C$36)*(MONTH($E157)-1)/12)*$H157</f>
        <v>0</v>
      </c>
      <c r="J157" s="186">
        <f>(SUM('1.  LRAMVA Summary'!D$22:D$36)*(MONTH($E157)-1)/12)*$H157</f>
        <v>0</v>
      </c>
      <c r="K157" s="186">
        <f>(SUM('1.  LRAMVA Summary'!E$22:E$36)*(MONTH($E157)-1)/12)*$H157</f>
        <v>0</v>
      </c>
      <c r="L157" s="186">
        <f>(SUM('1.  LRAMVA Summary'!F$22:F$36)*(MONTH($E157)-1)/12)*$H157</f>
        <v>0</v>
      </c>
      <c r="M157" s="186">
        <f>(SUM('1.  LRAMVA Summary'!G$22:G$36)*(MONTH($E157)-1)/12)*$H157</f>
        <v>0</v>
      </c>
      <c r="N157" s="186">
        <f>(SUM('1.  LRAMVA Summary'!H$22:H$36)*(MONTH($E157)-1)/12)*$H157</f>
        <v>0</v>
      </c>
      <c r="O157" s="186">
        <f>(SUM('1.  LRAMVA Summary'!I$22:I$36)*(MONTH($E157)-1)/12)*$H157</f>
        <v>0</v>
      </c>
      <c r="P157" s="186"/>
      <c r="Q157" s="187">
        <f t="shared" si="101"/>
        <v>0</v>
      </c>
    </row>
    <row r="158" spans="5:17" ht="14.45" hidden="1" customHeight="1" x14ac:dyDescent="0.3">
      <c r="E158" s="184">
        <v>44044</v>
      </c>
      <c r="F158" s="184" t="s">
        <v>383</v>
      </c>
      <c r="G158" s="185" t="s">
        <v>91</v>
      </c>
      <c r="H158" s="480">
        <f t="shared" ref="H158:H159" si="103">$C$54/12</f>
        <v>0</v>
      </c>
      <c r="I158" s="186">
        <f>(SUM('1.  LRAMVA Summary'!C$22:C$36)*(MONTH($E158)-1)/12)*$H158</f>
        <v>0</v>
      </c>
      <c r="J158" s="186">
        <f>(SUM('1.  LRAMVA Summary'!D$22:D$36)*(MONTH($E158)-1)/12)*$H158</f>
        <v>0</v>
      </c>
      <c r="K158" s="186">
        <f>(SUM('1.  LRAMVA Summary'!E$22:E$36)*(MONTH($E158)-1)/12)*$H158</f>
        <v>0</v>
      </c>
      <c r="L158" s="186">
        <f>(SUM('1.  LRAMVA Summary'!F$22:F$36)*(MONTH($E158)-1)/12)*$H158</f>
        <v>0</v>
      </c>
      <c r="M158" s="186">
        <f>(SUM('1.  LRAMVA Summary'!G$22:G$36)*(MONTH($E158)-1)/12)*$H158</f>
        <v>0</v>
      </c>
      <c r="N158" s="186">
        <f>(SUM('1.  LRAMVA Summary'!H$22:H$36)*(MONTH($E158)-1)/12)*$H158</f>
        <v>0</v>
      </c>
      <c r="O158" s="186">
        <f>(SUM('1.  LRAMVA Summary'!I$22:I$36)*(MONTH($E158)-1)/12)*$H158</f>
        <v>0</v>
      </c>
      <c r="P158" s="186"/>
      <c r="Q158" s="187">
        <f t="shared" si="101"/>
        <v>0</v>
      </c>
    </row>
    <row r="159" spans="5:17" ht="14.45" hidden="1" customHeight="1" x14ac:dyDescent="0.3">
      <c r="E159" s="184">
        <v>44075</v>
      </c>
      <c r="F159" s="184" t="s">
        <v>383</v>
      </c>
      <c r="G159" s="185" t="s">
        <v>91</v>
      </c>
      <c r="H159" s="480">
        <f t="shared" si="103"/>
        <v>0</v>
      </c>
      <c r="I159" s="186">
        <f>(SUM('1.  LRAMVA Summary'!C$22:C$36)*(MONTH($E159)-1)/12)*$H159</f>
        <v>0</v>
      </c>
      <c r="J159" s="186">
        <f>(SUM('1.  LRAMVA Summary'!D$22:D$36)*(MONTH($E159)-1)/12)*$H159</f>
        <v>0</v>
      </c>
      <c r="K159" s="186">
        <f>(SUM('1.  LRAMVA Summary'!E$22:E$36)*(MONTH($E159)-1)/12)*$H159</f>
        <v>0</v>
      </c>
      <c r="L159" s="186">
        <f>(SUM('1.  LRAMVA Summary'!F$22:F$36)*(MONTH($E159)-1)/12)*$H159</f>
        <v>0</v>
      </c>
      <c r="M159" s="186">
        <f>(SUM('1.  LRAMVA Summary'!G$22:G$36)*(MONTH($E159)-1)/12)*$H159</f>
        <v>0</v>
      </c>
      <c r="N159" s="186">
        <f>(SUM('1.  LRAMVA Summary'!H$22:H$36)*(MONTH($E159)-1)/12)*$H159</f>
        <v>0</v>
      </c>
      <c r="O159" s="186">
        <f>(SUM('1.  LRAMVA Summary'!I$22:I$36)*(MONTH($E159)-1)/12)*$H159</f>
        <v>0</v>
      </c>
      <c r="P159" s="186"/>
      <c r="Q159" s="187">
        <f t="shared" si="101"/>
        <v>0</v>
      </c>
    </row>
    <row r="160" spans="5:17" ht="14.45" hidden="1" customHeight="1" x14ac:dyDescent="0.3">
      <c r="E160" s="184">
        <v>44105</v>
      </c>
      <c r="F160" s="184" t="s">
        <v>383</v>
      </c>
      <c r="G160" s="185" t="s">
        <v>92</v>
      </c>
      <c r="H160" s="480">
        <f>$C$55/12</f>
        <v>0</v>
      </c>
      <c r="I160" s="186">
        <f>(SUM('1.  LRAMVA Summary'!C$22:C$36)*(MONTH($E160)-1)/12)*$H160</f>
        <v>0</v>
      </c>
      <c r="J160" s="186">
        <f>(SUM('1.  LRAMVA Summary'!D$22:D$36)*(MONTH($E160)-1)/12)*$H160</f>
        <v>0</v>
      </c>
      <c r="K160" s="186">
        <f>(SUM('1.  LRAMVA Summary'!E$22:E$36)*(MONTH($E160)-1)/12)*$H160</f>
        <v>0</v>
      </c>
      <c r="L160" s="186">
        <f>(SUM('1.  LRAMVA Summary'!F$22:F$36)*(MONTH($E160)-1)/12)*$H160</f>
        <v>0</v>
      </c>
      <c r="M160" s="186">
        <f>(SUM('1.  LRAMVA Summary'!G$22:G$36)*(MONTH($E160)-1)/12)*$H160</f>
        <v>0</v>
      </c>
      <c r="N160" s="186">
        <f>(SUM('1.  LRAMVA Summary'!H$22:H$36)*(MONTH($E160)-1)/12)*$H160</f>
        <v>0</v>
      </c>
      <c r="O160" s="186">
        <f>(SUM('1.  LRAMVA Summary'!I$22:I$36)*(MONTH($E160)-1)/12)*$H160</f>
        <v>0</v>
      </c>
      <c r="P160" s="186"/>
      <c r="Q160" s="187">
        <f t="shared" si="101"/>
        <v>0</v>
      </c>
    </row>
    <row r="161" spans="5:17" ht="14.45" hidden="1" customHeight="1" x14ac:dyDescent="0.3">
      <c r="E161" s="184">
        <v>44136</v>
      </c>
      <c r="F161" s="184" t="s">
        <v>383</v>
      </c>
      <c r="G161" s="185" t="s">
        <v>92</v>
      </c>
      <c r="H161" s="480">
        <f t="shared" ref="H161:H162" si="104">$C$55/12</f>
        <v>0</v>
      </c>
      <c r="I161" s="186">
        <f>(SUM('1.  LRAMVA Summary'!C$22:C$36)*(MONTH($E161)-1)/12)*$H161</f>
        <v>0</v>
      </c>
      <c r="J161" s="186">
        <f>(SUM('1.  LRAMVA Summary'!D$22:D$36)*(MONTH($E161)-1)/12)*$H161</f>
        <v>0</v>
      </c>
      <c r="K161" s="186">
        <f>(SUM('1.  LRAMVA Summary'!E$22:E$36)*(MONTH($E161)-1)/12)*$H161</f>
        <v>0</v>
      </c>
      <c r="L161" s="186">
        <f>(SUM('1.  LRAMVA Summary'!F$22:F$36)*(MONTH($E161)-1)/12)*$H161</f>
        <v>0</v>
      </c>
      <c r="M161" s="186">
        <f>(SUM('1.  LRAMVA Summary'!G$22:G$36)*(MONTH($E161)-1)/12)*$H161</f>
        <v>0</v>
      </c>
      <c r="N161" s="186">
        <f>(SUM('1.  LRAMVA Summary'!H$22:H$36)*(MONTH($E161)-1)/12)*$H161</f>
        <v>0</v>
      </c>
      <c r="O161" s="186">
        <f>(SUM('1.  LRAMVA Summary'!I$22:I$36)*(MONTH($E161)-1)/12)*$H161</f>
        <v>0</v>
      </c>
      <c r="P161" s="186"/>
      <c r="Q161" s="187">
        <f t="shared" si="101"/>
        <v>0</v>
      </c>
    </row>
    <row r="162" spans="5:17" ht="14.45" hidden="1" customHeight="1" x14ac:dyDescent="0.3">
      <c r="E162" s="184">
        <v>44166</v>
      </c>
      <c r="F162" s="184" t="s">
        <v>383</v>
      </c>
      <c r="G162" s="185" t="s">
        <v>92</v>
      </c>
      <c r="H162" s="480">
        <f t="shared" si="104"/>
        <v>0</v>
      </c>
      <c r="I162" s="186">
        <f>(SUM('1.  LRAMVA Summary'!C$22:C$36)*(MONTH($E162)-1)/12)*$H162</f>
        <v>0</v>
      </c>
      <c r="J162" s="186">
        <f>(SUM('1.  LRAMVA Summary'!D$22:D$36)*(MONTH($E162)-1)/12)*$H162</f>
        <v>0</v>
      </c>
      <c r="K162" s="186">
        <f>(SUM('1.  LRAMVA Summary'!E$22:E$36)*(MONTH($E162)-1)/12)*$H162</f>
        <v>0</v>
      </c>
      <c r="L162" s="186">
        <f>(SUM('1.  LRAMVA Summary'!F$22:F$36)*(MONTH($E162)-1)/12)*$H162</f>
        <v>0</v>
      </c>
      <c r="M162" s="186">
        <f>(SUM('1.  LRAMVA Summary'!G$22:G$36)*(MONTH($E162)-1)/12)*$H162</f>
        <v>0</v>
      </c>
      <c r="N162" s="186">
        <f>(SUM('1.  LRAMVA Summary'!H$22:H$36)*(MONTH($E162)-1)/12)*$H162</f>
        <v>0</v>
      </c>
      <c r="O162" s="186">
        <f>(SUM('1.  LRAMVA Summary'!I$22:I$36)*(MONTH($E162)-1)/12)*$H162</f>
        <v>0</v>
      </c>
      <c r="P162" s="186"/>
      <c r="Q162" s="187">
        <f t="shared" si="101"/>
        <v>0</v>
      </c>
    </row>
    <row r="163" spans="5:17" ht="15" hidden="1" customHeight="1" thickBot="1" x14ac:dyDescent="0.35">
      <c r="E163" s="196" t="s">
        <v>390</v>
      </c>
      <c r="F163" s="196"/>
      <c r="G163" s="197"/>
      <c r="H163" s="474"/>
      <c r="I163" s="198" t="e">
        <f>SUM(I150:I162)</f>
        <v>#REF!</v>
      </c>
      <c r="J163" s="198" t="e">
        <f>SUM(J150:J162)</f>
        <v>#REF!</v>
      </c>
      <c r="K163" s="198" t="e">
        <f t="shared" ref="K163:P163" si="105">SUM(K150:K162)</f>
        <v>#REF!</v>
      </c>
      <c r="L163" s="198" t="e">
        <f t="shared" si="105"/>
        <v>#REF!</v>
      </c>
      <c r="M163" s="198" t="e">
        <f t="shared" si="105"/>
        <v>#REF!</v>
      </c>
      <c r="N163" s="198" t="e">
        <f t="shared" si="105"/>
        <v>#REF!</v>
      </c>
      <c r="O163" s="198" t="e">
        <f t="shared" si="105"/>
        <v>#REF!</v>
      </c>
      <c r="P163" s="198">
        <f t="shared" si="105"/>
        <v>-66.170485866322991</v>
      </c>
      <c r="Q163" s="198" t="e">
        <f>SUM(Q150:Q162)</f>
        <v>#REF!</v>
      </c>
    </row>
    <row r="164" spans="5:17" ht="15" hidden="1" customHeight="1" thickTop="1" x14ac:dyDescent="0.3">
      <c r="E164" s="227" t="s">
        <v>90</v>
      </c>
      <c r="F164" s="227"/>
      <c r="G164" s="228"/>
      <c r="H164" s="475"/>
      <c r="I164" s="229"/>
      <c r="J164" s="229"/>
      <c r="K164" s="229"/>
      <c r="L164" s="229"/>
      <c r="M164" s="229"/>
      <c r="N164" s="229"/>
      <c r="O164" s="229"/>
      <c r="P164" s="229"/>
      <c r="Q164" s="230"/>
    </row>
  </sheetData>
  <mergeCells count="3">
    <mergeCell ref="B3:Q3"/>
    <mergeCell ref="D7:Q7"/>
    <mergeCell ref="B13:C13"/>
  </mergeCells>
  <hyperlinks>
    <hyperlink ref="B57" r:id="rId1"/>
  </hyperlinks>
  <pageMargins left="0.7" right="0.7" top="0.75" bottom="0.75" header="0.3" footer="0.3"/>
  <pageSetup scale="62" fitToHeight="0" orientation="landscape" verticalDpi="12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2" sqref="A2"/>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3"/>
    <row r="3" spans="2:11" x14ac:dyDescent="0.25">
      <c r="B3" s="564" t="s">
        <v>513</v>
      </c>
      <c r="C3" s="565"/>
      <c r="D3" s="565"/>
      <c r="E3" s="565"/>
      <c r="F3" s="565"/>
      <c r="G3" s="565"/>
      <c r="H3" s="565"/>
      <c r="I3" s="565"/>
      <c r="J3" s="565"/>
      <c r="K3" s="566"/>
    </row>
    <row r="4" spans="2:11" ht="15" customHeight="1" x14ac:dyDescent="0.25">
      <c r="B4" s="567"/>
      <c r="C4" s="568"/>
      <c r="D4" s="568"/>
      <c r="E4" s="568"/>
      <c r="F4" s="568"/>
      <c r="G4" s="568"/>
      <c r="H4" s="568"/>
      <c r="I4" s="568"/>
      <c r="J4" s="568"/>
      <c r="K4" s="569"/>
    </row>
    <row r="5" spans="2:11" ht="15" customHeight="1" x14ac:dyDescent="0.25">
      <c r="B5" s="567"/>
      <c r="C5" s="568"/>
      <c r="D5" s="568"/>
      <c r="E5" s="568"/>
      <c r="F5" s="568"/>
      <c r="G5" s="568"/>
      <c r="H5" s="568"/>
      <c r="I5" s="568"/>
      <c r="J5" s="568"/>
      <c r="K5" s="569"/>
    </row>
    <row r="6" spans="2:11" ht="66.75" customHeight="1" x14ac:dyDescent="0.25">
      <c r="B6" s="567"/>
      <c r="C6" s="568"/>
      <c r="D6" s="568"/>
      <c r="E6" s="568"/>
      <c r="F6" s="568"/>
      <c r="G6" s="568"/>
      <c r="H6" s="568"/>
      <c r="I6" s="568"/>
      <c r="J6" s="568"/>
      <c r="K6" s="569"/>
    </row>
    <row r="7" spans="2:11" x14ac:dyDescent="0.25">
      <c r="B7" s="570"/>
      <c r="C7" s="571"/>
      <c r="D7" s="571"/>
      <c r="E7" s="571"/>
      <c r="F7" s="571"/>
      <c r="G7" s="571"/>
      <c r="H7" s="571"/>
      <c r="I7" s="571"/>
      <c r="J7" s="571"/>
      <c r="K7" s="572"/>
    </row>
    <row r="9" spans="2:11" s="455" customFormat="1" ht="18" x14ac:dyDescent="0.35">
      <c r="B9" s="457"/>
      <c r="C9" s="456" t="s">
        <v>448</v>
      </c>
      <c r="H9" s="458"/>
      <c r="I9" s="456" t="s">
        <v>449</v>
      </c>
    </row>
    <row r="11" spans="2:11" x14ac:dyDescent="0.25">
      <c r="B11" s="83" t="s">
        <v>458</v>
      </c>
      <c r="C11" s="469" t="s">
        <v>465</v>
      </c>
      <c r="D11" s="470"/>
      <c r="E11" s="471"/>
      <c r="F11" s="472" t="s">
        <v>457</v>
      </c>
      <c r="G11" s="66"/>
      <c r="H11" s="573" t="s">
        <v>451</v>
      </c>
      <c r="I11" s="469" t="s">
        <v>450</v>
      </c>
      <c r="J11" s="470"/>
      <c r="K11" s="471"/>
    </row>
    <row r="12" spans="2:11" x14ac:dyDescent="0.25">
      <c r="B12" s="83" t="s">
        <v>497</v>
      </c>
      <c r="C12" s="422" t="s">
        <v>466</v>
      </c>
      <c r="D12" s="158"/>
      <c r="E12" s="350"/>
      <c r="F12" s="472" t="s">
        <v>457</v>
      </c>
      <c r="G12" s="66"/>
      <c r="H12" s="573"/>
      <c r="I12" s="422" t="s">
        <v>452</v>
      </c>
      <c r="J12" s="158"/>
      <c r="K12" s="350"/>
    </row>
    <row r="13" spans="2:11" x14ac:dyDescent="0.25">
      <c r="B13" s="83" t="s">
        <v>459</v>
      </c>
      <c r="C13" s="423" t="s">
        <v>453</v>
      </c>
      <c r="D13" s="330"/>
      <c r="E13" s="399"/>
      <c r="F13" s="472" t="s">
        <v>457</v>
      </c>
      <c r="G13" s="66"/>
      <c r="H13" s="573"/>
      <c r="I13" s="423" t="s">
        <v>454</v>
      </c>
      <c r="J13" s="330"/>
      <c r="K13" s="399"/>
    </row>
    <row r="14" spans="2:11" ht="14.45" x14ac:dyDescent="0.3">
      <c r="B14" s="83"/>
      <c r="C14" s="66"/>
      <c r="D14" s="66"/>
      <c r="E14" s="66"/>
      <c r="F14" s="66"/>
      <c r="G14" s="66"/>
      <c r="H14" s="467"/>
      <c r="I14" s="66"/>
      <c r="J14" s="66"/>
      <c r="K14" s="66"/>
    </row>
    <row r="15" spans="2:11" ht="15" customHeight="1" x14ac:dyDescent="0.25">
      <c r="B15" s="574" t="s">
        <v>497</v>
      </c>
      <c r="C15" s="469"/>
      <c r="D15" s="470"/>
      <c r="E15" s="471"/>
      <c r="F15" s="66"/>
      <c r="G15" s="66"/>
      <c r="H15" s="573" t="s">
        <v>499</v>
      </c>
      <c r="I15" s="575" t="s">
        <v>460</v>
      </c>
      <c r="J15" s="576"/>
      <c r="K15" s="577"/>
    </row>
    <row r="16" spans="2:11" x14ac:dyDescent="0.25">
      <c r="B16" s="574"/>
      <c r="C16" s="422" t="s">
        <v>467</v>
      </c>
      <c r="D16" s="158"/>
      <c r="E16" s="350"/>
      <c r="F16" s="66"/>
      <c r="G16" s="66"/>
      <c r="H16" s="573"/>
      <c r="I16" s="578"/>
      <c r="J16" s="579"/>
      <c r="K16" s="580"/>
    </row>
    <row r="17" spans="2:11" x14ac:dyDescent="0.25">
      <c r="B17" s="574"/>
      <c r="C17" s="422" t="s">
        <v>455</v>
      </c>
      <c r="D17" s="158"/>
      <c r="E17" s="350"/>
      <c r="F17" s="66"/>
      <c r="G17" s="66"/>
      <c r="H17" s="573"/>
      <c r="I17" s="578"/>
      <c r="J17" s="579"/>
      <c r="K17" s="580"/>
    </row>
    <row r="18" spans="2:11" x14ac:dyDescent="0.25">
      <c r="B18" s="574"/>
      <c r="C18" s="422" t="s">
        <v>468</v>
      </c>
      <c r="D18" s="158"/>
      <c r="E18" s="350"/>
      <c r="F18" s="66"/>
      <c r="G18" s="66"/>
      <c r="H18" s="573"/>
      <c r="I18" s="578"/>
      <c r="J18" s="579"/>
      <c r="K18" s="580"/>
    </row>
    <row r="19" spans="2:11" x14ac:dyDescent="0.25">
      <c r="B19" s="574"/>
      <c r="C19" s="422" t="s">
        <v>455</v>
      </c>
      <c r="D19" s="158"/>
      <c r="E19" s="350"/>
      <c r="F19" s="66"/>
      <c r="G19" s="66"/>
      <c r="H19" s="573"/>
      <c r="I19" s="578"/>
      <c r="J19" s="579"/>
      <c r="K19" s="580"/>
    </row>
    <row r="20" spans="2:11" x14ac:dyDescent="0.25">
      <c r="B20" s="574"/>
      <c r="C20" s="422" t="s">
        <v>456</v>
      </c>
      <c r="D20" s="158"/>
      <c r="E20" s="350"/>
      <c r="F20" s="66"/>
      <c r="G20" s="66"/>
      <c r="H20" s="573"/>
      <c r="I20" s="578"/>
      <c r="J20" s="579"/>
      <c r="K20" s="580"/>
    </row>
    <row r="21" spans="2:11" x14ac:dyDescent="0.25">
      <c r="B21" s="83"/>
      <c r="C21" s="423"/>
      <c r="D21" s="330"/>
      <c r="E21" s="399"/>
      <c r="F21" s="66"/>
      <c r="G21" s="66"/>
      <c r="H21" s="573"/>
      <c r="I21" s="578"/>
      <c r="J21" s="579"/>
      <c r="K21" s="580"/>
    </row>
    <row r="22" spans="2:11" x14ac:dyDescent="0.25">
      <c r="B22" s="83"/>
      <c r="C22" s="66"/>
      <c r="D22" s="66"/>
      <c r="E22" s="66"/>
      <c r="F22" s="66"/>
      <c r="G22" s="66"/>
      <c r="H22" s="573"/>
      <c r="I22" s="578"/>
      <c r="J22" s="579"/>
      <c r="K22" s="580"/>
    </row>
    <row r="23" spans="2:11" x14ac:dyDescent="0.25">
      <c r="B23" s="83" t="s">
        <v>477</v>
      </c>
      <c r="C23" s="469" t="s">
        <v>461</v>
      </c>
      <c r="D23" s="470"/>
      <c r="E23" s="471"/>
      <c r="F23" s="66"/>
      <c r="G23" s="66"/>
      <c r="H23" s="573"/>
      <c r="I23" s="578"/>
      <c r="J23" s="579"/>
      <c r="K23" s="580"/>
    </row>
    <row r="24" spans="2:11" x14ac:dyDescent="0.25">
      <c r="B24" s="83"/>
      <c r="C24" s="422" t="s">
        <v>455</v>
      </c>
      <c r="D24" s="158"/>
      <c r="E24" s="350"/>
      <c r="F24" s="66"/>
      <c r="G24" s="66"/>
      <c r="H24" s="573"/>
      <c r="I24" s="578"/>
      <c r="J24" s="579"/>
      <c r="K24" s="580"/>
    </row>
    <row r="25" spans="2:11" x14ac:dyDescent="0.25">
      <c r="B25" s="83" t="s">
        <v>497</v>
      </c>
      <c r="C25" s="422" t="s">
        <v>462</v>
      </c>
      <c r="D25" s="158"/>
      <c r="E25" s="350"/>
      <c r="F25" s="66"/>
      <c r="G25" s="66"/>
      <c r="H25" s="573"/>
      <c r="I25" s="578"/>
      <c r="J25" s="579"/>
      <c r="K25" s="580"/>
    </row>
    <row r="26" spans="2:11" x14ac:dyDescent="0.25">
      <c r="B26" s="83"/>
      <c r="C26" s="423"/>
      <c r="D26" s="330"/>
      <c r="E26" s="399"/>
      <c r="F26" s="66"/>
      <c r="G26" s="66"/>
      <c r="H26" s="573"/>
      <c r="I26" s="578"/>
      <c r="J26" s="579"/>
      <c r="K26" s="580"/>
    </row>
    <row r="27" spans="2:11" x14ac:dyDescent="0.25">
      <c r="B27" s="83"/>
      <c r="C27" s="66"/>
      <c r="D27" s="66"/>
      <c r="E27" s="66"/>
      <c r="F27" s="66"/>
      <c r="G27" s="66"/>
      <c r="H27" s="573"/>
      <c r="I27" s="581"/>
      <c r="J27" s="582"/>
      <c r="K27" s="583"/>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90" zoomScaleNormal="90" workbookViewId="0">
      <pane ySplit="3" topLeftCell="A4" activePane="bottomLeft" state="frozen"/>
      <selection pane="bottomLeft" activeCell="D14" sqref="D14"/>
    </sheetView>
  </sheetViews>
  <sheetFormatPr defaultColWidth="9.140625" defaultRowHeight="15.75" outlineLevelRow="1" x14ac:dyDescent="0.25"/>
  <cols>
    <col min="1" max="1" width="7" style="23" customWidth="1"/>
    <col min="2" max="2" width="21.5703125" style="23" customWidth="1"/>
    <col min="3" max="3" width="13.140625" style="23" bestFit="1" customWidth="1"/>
    <col min="4" max="4" width="18.28515625" style="45" customWidth="1"/>
    <col min="5" max="6" width="18.28515625" style="23" customWidth="1"/>
    <col min="7" max="7" width="17.7109375" style="23" bestFit="1" customWidth="1"/>
    <col min="8" max="8" width="15.7109375" style="23" bestFit="1" customWidth="1"/>
    <col min="9" max="9" width="16" style="23" bestFit="1"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3"/>
    <row r="3" spans="2:15" ht="30.75" customHeight="1" x14ac:dyDescent="0.35">
      <c r="B3" s="584" t="s">
        <v>338</v>
      </c>
      <c r="C3" s="584"/>
      <c r="D3" s="584"/>
      <c r="E3" s="584"/>
      <c r="F3" s="584"/>
      <c r="G3" s="584"/>
      <c r="H3" s="584"/>
      <c r="I3" s="584"/>
      <c r="J3" s="584"/>
      <c r="K3" s="584"/>
    </row>
    <row r="4" spans="2:15" ht="13.5" customHeight="1" x14ac:dyDescent="0.35">
      <c r="B4" s="233"/>
      <c r="C4" s="233"/>
      <c r="D4" s="233"/>
      <c r="E4" s="233"/>
      <c r="F4" s="233"/>
      <c r="G4" s="233"/>
      <c r="H4" s="233"/>
      <c r="I4" s="233"/>
      <c r="J4" s="233"/>
      <c r="K4" s="233"/>
    </row>
    <row r="5" spans="2:15" ht="18" customHeight="1" outlineLevel="1" x14ac:dyDescent="0.3">
      <c r="B5" s="586" t="s">
        <v>510</v>
      </c>
      <c r="C5" s="586"/>
      <c r="D5" s="586"/>
      <c r="E5" s="586"/>
      <c r="F5" s="586"/>
      <c r="G5" s="586"/>
      <c r="H5" s="586"/>
      <c r="I5" s="586"/>
      <c r="J5" s="586"/>
      <c r="K5" s="586"/>
    </row>
    <row r="6" spans="2:15" ht="12.75" customHeight="1" outlineLevel="1" x14ac:dyDescent="0.35">
      <c r="B6" s="233"/>
      <c r="C6" s="233"/>
      <c r="D6" s="233"/>
      <c r="E6" s="233"/>
      <c r="F6" s="233"/>
      <c r="G6" s="233"/>
      <c r="H6" s="233"/>
      <c r="I6" s="233"/>
      <c r="J6" s="233"/>
      <c r="K6" s="233"/>
    </row>
    <row r="7" spans="2:15" ht="12" customHeight="1" outlineLevel="1" thickBot="1" x14ac:dyDescent="0.4">
      <c r="B7" s="233"/>
      <c r="C7" s="233"/>
      <c r="D7" s="233"/>
      <c r="E7" s="233"/>
      <c r="F7" s="233"/>
      <c r="G7" s="233"/>
      <c r="H7" s="233"/>
      <c r="I7" s="233"/>
      <c r="J7" s="233"/>
      <c r="K7" s="233"/>
    </row>
    <row r="8" spans="2:15" ht="15" outlineLevel="1" thickBot="1" x14ac:dyDescent="0.35">
      <c r="C8" s="361" t="s">
        <v>213</v>
      </c>
      <c r="D8" s="411" t="s">
        <v>521</v>
      </c>
      <c r="J8" s="4"/>
      <c r="K8" s="4"/>
    </row>
    <row r="9" spans="2:15" ht="15.75" customHeight="1" outlineLevel="1" thickBot="1" x14ac:dyDescent="0.35">
      <c r="C9" s="460" t="s">
        <v>210</v>
      </c>
      <c r="D9" s="411"/>
      <c r="F9" s="587" t="s">
        <v>405</v>
      </c>
      <c r="G9" s="588"/>
      <c r="H9" s="503"/>
      <c r="M9" s="23"/>
      <c r="O9" s="17"/>
    </row>
    <row r="10" spans="2:15" ht="15" outlineLevel="1" thickBot="1" x14ac:dyDescent="0.35">
      <c r="C10" s="361" t="s">
        <v>211</v>
      </c>
      <c r="D10" s="411"/>
      <c r="F10" s="360" t="s">
        <v>446</v>
      </c>
      <c r="G10" s="360"/>
      <c r="H10" s="514" t="s">
        <v>522</v>
      </c>
      <c r="M10" s="23"/>
      <c r="O10" s="17"/>
    </row>
    <row r="11" spans="2:15" ht="15" customHeight="1" outlineLevel="1" thickBot="1" x14ac:dyDescent="0.35">
      <c r="C11" s="460" t="s">
        <v>212</v>
      </c>
      <c r="D11" s="411"/>
      <c r="F11" s="587" t="s">
        <v>404</v>
      </c>
      <c r="G11" s="588"/>
      <c r="H11" s="411" t="s">
        <v>517</v>
      </c>
      <c r="M11" s="23"/>
      <c r="O11" s="17"/>
    </row>
    <row r="12" spans="2:15" ht="15" outlineLevel="1" thickBot="1" x14ac:dyDescent="0.35">
      <c r="C12" s="361" t="s">
        <v>214</v>
      </c>
      <c r="D12" s="411"/>
      <c r="F12" s="86"/>
      <c r="G12" s="86"/>
      <c r="K12" s="4"/>
      <c r="L12" s="4"/>
      <c r="M12" s="23"/>
      <c r="O12" s="17"/>
    </row>
    <row r="13" spans="2:15" ht="15" outlineLevel="1" thickBot="1" x14ac:dyDescent="0.35">
      <c r="C13" s="17"/>
      <c r="D13" s="23"/>
      <c r="F13" s="362"/>
      <c r="G13" s="362"/>
      <c r="H13" s="81"/>
      <c r="K13" s="4"/>
      <c r="L13" s="4"/>
      <c r="M13" s="23"/>
      <c r="O13" s="17"/>
    </row>
    <row r="14" spans="2:15" ht="30.75" outlineLevel="1" thickBot="1" x14ac:dyDescent="0.3">
      <c r="C14" s="585" t="s">
        <v>339</v>
      </c>
      <c r="D14" s="201" t="s">
        <v>367</v>
      </c>
      <c r="F14" s="366" t="s">
        <v>416</v>
      </c>
      <c r="G14" s="366"/>
      <c r="H14" s="527">
        <f>K38</f>
        <v>295061.62522204482</v>
      </c>
      <c r="M14" s="23"/>
      <c r="O14" s="17"/>
    </row>
    <row r="15" spans="2:15" outlineLevel="1" thickBot="1" x14ac:dyDescent="0.3">
      <c r="C15" s="585"/>
      <c r="D15" s="85" t="s">
        <v>340</v>
      </c>
      <c r="F15" s="589" t="s">
        <v>470</v>
      </c>
      <c r="G15" s="590"/>
      <c r="H15" s="509">
        <v>1</v>
      </c>
      <c r="M15" s="23"/>
      <c r="O15" s="17"/>
    </row>
    <row r="16" spans="2:15" ht="14.45" outlineLevel="1" x14ac:dyDescent="0.3">
      <c r="D16" s="23"/>
      <c r="F16" s="17"/>
      <c r="H16" s="462"/>
    </row>
    <row r="17" spans="1:15" ht="14.45" outlineLevel="1" x14ac:dyDescent="0.3">
      <c r="A17" s="71"/>
      <c r="B17" s="72"/>
      <c r="C17" s="77"/>
      <c r="D17" s="23"/>
    </row>
    <row r="18" spans="1:15" ht="14.45" outlineLevel="1" x14ac:dyDescent="0.3">
      <c r="A18" s="68"/>
      <c r="B18" s="67"/>
      <c r="D18" s="23"/>
    </row>
    <row r="19" spans="1:15" s="68" customFormat="1" ht="21" x14ac:dyDescent="0.3">
      <c r="B19" s="112" t="s">
        <v>349</v>
      </c>
      <c r="C19" s="118"/>
      <c r="D19" s="118"/>
      <c r="E19" s="118"/>
      <c r="F19" s="118"/>
      <c r="G19" s="118"/>
      <c r="H19" s="118"/>
      <c r="I19" s="118"/>
      <c r="J19" s="118"/>
      <c r="K19" s="118"/>
      <c r="M19" s="119"/>
      <c r="N19" s="52"/>
      <c r="O19" s="120"/>
    </row>
    <row r="20" spans="1:15" ht="12" customHeight="1" x14ac:dyDescent="0.3">
      <c r="B20" s="76"/>
      <c r="C20" s="76"/>
      <c r="D20" s="76"/>
      <c r="E20" s="76"/>
      <c r="F20" s="76"/>
      <c r="G20" s="76"/>
      <c r="H20" s="76"/>
      <c r="I20" s="76"/>
      <c r="J20" s="76"/>
      <c r="K20" s="76"/>
      <c r="N20" s="52"/>
      <c r="O20" s="29"/>
    </row>
    <row r="21" spans="1:15" ht="36" customHeight="1" x14ac:dyDescent="0.3">
      <c r="B21" s="94" t="s">
        <v>48</v>
      </c>
      <c r="C21" s="95" t="s">
        <v>37</v>
      </c>
      <c r="D21" s="95" t="s">
        <v>39</v>
      </c>
      <c r="E21" s="95" t="s">
        <v>108</v>
      </c>
      <c r="F21" s="95" t="s">
        <v>109</v>
      </c>
      <c r="G21" s="95" t="s">
        <v>40</v>
      </c>
      <c r="H21" s="95" t="s">
        <v>41</v>
      </c>
      <c r="I21" s="95" t="s">
        <v>42</v>
      </c>
      <c r="J21" s="138" t="s">
        <v>514</v>
      </c>
      <c r="K21" s="96" t="s">
        <v>34</v>
      </c>
      <c r="N21" s="52"/>
    </row>
    <row r="22" spans="1:15" ht="14.45" hidden="1" x14ac:dyDescent="0.3">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26" si="0">SUM(C22:I22)</f>
        <v>0</v>
      </c>
      <c r="N22" s="53"/>
    </row>
    <row r="23" spans="1:15" s="17" customFormat="1" ht="14.45" hidden="1" x14ac:dyDescent="0.3">
      <c r="B23" s="98" t="s">
        <v>201</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4.45" hidden="1" x14ac:dyDescent="0.3">
      <c r="B24" s="232" t="s">
        <v>90</v>
      </c>
      <c r="C24" s="241">
        <f>SUM(C22:C23)</f>
        <v>0</v>
      </c>
      <c r="D24" s="241">
        <f>SUM(D22:D23)</f>
        <v>0</v>
      </c>
      <c r="E24" s="241">
        <f t="shared" ref="E24:K24" si="1">SUM(E22:E23)</f>
        <v>0</v>
      </c>
      <c r="F24" s="241">
        <f t="shared" si="1"/>
        <v>0</v>
      </c>
      <c r="G24" s="241">
        <f t="shared" si="1"/>
        <v>0</v>
      </c>
      <c r="H24" s="241">
        <f t="shared" si="1"/>
        <v>0</v>
      </c>
      <c r="I24" s="241">
        <f t="shared" si="1"/>
        <v>0</v>
      </c>
      <c r="J24" s="241">
        <f t="shared" si="1"/>
        <v>0</v>
      </c>
      <c r="K24" s="241">
        <f t="shared" si="1"/>
        <v>0</v>
      </c>
      <c r="N24" s="53"/>
      <c r="O24" s="28"/>
    </row>
    <row r="25" spans="1:15" ht="14.45" hidden="1" x14ac:dyDescent="0.3">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4.45" hidden="1" x14ac:dyDescent="0.3">
      <c r="B26" s="98" t="s">
        <v>202</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4.45" hidden="1" x14ac:dyDescent="0.3">
      <c r="B27" s="232" t="s">
        <v>90</v>
      </c>
      <c r="C27" s="241">
        <f t="shared" ref="C27" si="2">SUM(C25:C26)</f>
        <v>0</v>
      </c>
      <c r="D27" s="241">
        <f t="shared" ref="D27" si="3">SUM(D25:D26)</f>
        <v>0</v>
      </c>
      <c r="E27" s="241">
        <f t="shared" ref="E27" si="4">SUM(E25:E26)</f>
        <v>0</v>
      </c>
      <c r="F27" s="241">
        <f t="shared" ref="F27" si="5">SUM(F25:F26)</f>
        <v>0</v>
      </c>
      <c r="G27" s="241">
        <f t="shared" ref="G27" si="6">SUM(G25:G26)</f>
        <v>0</v>
      </c>
      <c r="H27" s="241">
        <f t="shared" ref="H27" si="7">SUM(H25:H26)</f>
        <v>0</v>
      </c>
      <c r="I27" s="241">
        <f t="shared" ref="I27" si="8">SUM(I25:I26)</f>
        <v>0</v>
      </c>
      <c r="J27" s="241">
        <f t="shared" ref="J27" si="9">SUM(J25:J26)</f>
        <v>0</v>
      </c>
      <c r="K27" s="241">
        <f t="shared" ref="K27" si="10">SUM(K25:K26)</f>
        <v>0</v>
      </c>
      <c r="N27" s="53"/>
    </row>
    <row r="28" spans="1:15" ht="14.45" x14ac:dyDescent="0.3">
      <c r="B28" s="97" t="s">
        <v>51</v>
      </c>
      <c r="C28" s="87">
        <f>-'2.  CDM Allocation'!C135</f>
        <v>-84639.668573050265</v>
      </c>
      <c r="D28" s="87">
        <f>-'2.  CDM Allocation'!D135</f>
        <v>-28723.909666666666</v>
      </c>
      <c r="E28" s="87">
        <f>-'2.  CDM Allocation'!E135</f>
        <v>-4434.7510000000002</v>
      </c>
      <c r="F28" s="87">
        <f>-'2.  CDM Allocation'!F135</f>
        <v>-940.04066666666665</v>
      </c>
      <c r="G28" s="87">
        <f>-'2.  CDM Allocation'!G135</f>
        <v>-73.398899999999998</v>
      </c>
      <c r="H28" s="87">
        <f>-'2.  CDM Allocation'!H135</f>
        <v>-787.3506666666666</v>
      </c>
      <c r="I28" s="87">
        <f>-'2.  CDM Allocation'!I135</f>
        <v>-1286.7774495576691</v>
      </c>
      <c r="J28" s="542">
        <f>-'2.  CDM Allocation'!J135</f>
        <v>-1234.6199999999999</v>
      </c>
      <c r="K28" s="548">
        <f t="shared" ref="K28:K29" si="11">SUM(C28:J28)</f>
        <v>-122120.51692260795</v>
      </c>
      <c r="N28" s="53"/>
    </row>
    <row r="29" spans="1:15" s="17" customFormat="1" ht="14.45" x14ac:dyDescent="0.3">
      <c r="B29" s="98" t="s">
        <v>52</v>
      </c>
      <c r="C29" s="88">
        <f>'4.  2011-14 LRAM'!H234</f>
        <v>58819.976723423933</v>
      </c>
      <c r="D29" s="88">
        <f>'4.  2011-14 LRAM'!I234</f>
        <v>35145.834762934246</v>
      </c>
      <c r="E29" s="88">
        <f>'4.  2011-14 LRAM'!J234</f>
        <v>58796.266948394245</v>
      </c>
      <c r="F29" s="88">
        <f>'4.  2011-14 LRAM'!K234</f>
        <v>1163.3584000000001</v>
      </c>
      <c r="G29" s="88">
        <f>'4.  2011-14 LRAM'!L234</f>
        <v>0</v>
      </c>
      <c r="H29" s="88">
        <f>'4.  2011-14 LRAM'!M234</f>
        <v>0</v>
      </c>
      <c r="I29" s="88">
        <f>'4.  2011-14 LRAM'!N234</f>
        <v>0</v>
      </c>
      <c r="J29" s="543">
        <f>'4.  2011-14 LRAM'!O234</f>
        <v>416.55600000000004</v>
      </c>
      <c r="K29" s="549">
        <f t="shared" si="11"/>
        <v>154341.99283475243</v>
      </c>
      <c r="N29" s="53"/>
    </row>
    <row r="30" spans="1:15" s="17" customFormat="1" ht="14.45" x14ac:dyDescent="0.3">
      <c r="B30" s="232" t="s">
        <v>90</v>
      </c>
      <c r="C30" s="241"/>
      <c r="D30" s="241"/>
      <c r="E30" s="241"/>
      <c r="F30" s="241"/>
      <c r="G30" s="241"/>
      <c r="H30" s="241"/>
      <c r="I30" s="241"/>
      <c r="J30" s="241"/>
      <c r="K30" s="242"/>
      <c r="N30" s="53"/>
    </row>
    <row r="31" spans="1:15" ht="14.45" x14ac:dyDescent="0.3">
      <c r="B31" s="97" t="s">
        <v>53</v>
      </c>
      <c r="C31" s="87">
        <f>-'2.  CDM Allocation'!C136</f>
        <v>-88663.521669146096</v>
      </c>
      <c r="D31" s="87">
        <f>-'2.  CDM Allocation'!D136</f>
        <v>-30112.054</v>
      </c>
      <c r="E31" s="87">
        <f>-'2.  CDM Allocation'!E136</f>
        <v>-4690.2779333333337</v>
      </c>
      <c r="F31" s="87">
        <f>-'2.  CDM Allocation'!F136</f>
        <v>-1031.4346333333333</v>
      </c>
      <c r="G31" s="87">
        <f>-'2.  CDM Allocation'!G136</f>
        <v>-76.8643</v>
      </c>
      <c r="H31" s="87">
        <f>-'2.  CDM Allocation'!H136</f>
        <v>-824.52333333333331</v>
      </c>
      <c r="I31" s="87">
        <f>-'2.  CDM Allocation'!I136</f>
        <v>-1177.9514756638514</v>
      </c>
      <c r="J31" s="542">
        <f>-'2.  CDM Allocation'!J136</f>
        <v>-1336.8792666666666</v>
      </c>
      <c r="K31" s="548">
        <f t="shared" ref="K31:K32" si="12">SUM(C31:J31)</f>
        <v>-127913.50661147662</v>
      </c>
      <c r="N31" s="53"/>
    </row>
    <row r="32" spans="1:15" s="17" customFormat="1" ht="14.45" x14ac:dyDescent="0.3">
      <c r="B32" s="98" t="s">
        <v>54</v>
      </c>
      <c r="C32" s="88">
        <f>'4.  2011-14 LRAM'!H316</f>
        <v>94598.431205902525</v>
      </c>
      <c r="D32" s="88">
        <f>'4.  2011-14 LRAM'!I316</f>
        <v>52413.255509868693</v>
      </c>
      <c r="E32" s="88">
        <f>'4.  2011-14 LRAM'!J316</f>
        <v>71942.393248561566</v>
      </c>
      <c r="F32" s="88">
        <f>'4.  2011-14 LRAM'!K316</f>
        <v>2654.7886244197953</v>
      </c>
      <c r="G32" s="88">
        <f>'4.  2011-14 LRAM'!L316</f>
        <v>0</v>
      </c>
      <c r="H32" s="88">
        <f>'4.  2011-14 LRAM'!M316</f>
        <v>0</v>
      </c>
      <c r="I32" s="88">
        <f>'4.  2011-14 LRAM'!N316</f>
        <v>0</v>
      </c>
      <c r="J32" s="543">
        <f>'4.  2011-14 LRAM'!O316</f>
        <v>834.73957250433727</v>
      </c>
      <c r="K32" s="549">
        <f t="shared" si="12"/>
        <v>222443.60816125691</v>
      </c>
      <c r="N32" s="53"/>
    </row>
    <row r="33" spans="2:14" s="17" customFormat="1" ht="14.45" x14ac:dyDescent="0.3">
      <c r="B33" s="232" t="s">
        <v>90</v>
      </c>
      <c r="C33" s="241"/>
      <c r="D33" s="241"/>
      <c r="E33" s="241"/>
      <c r="F33" s="241"/>
      <c r="G33" s="241"/>
      <c r="H33" s="241"/>
      <c r="I33" s="241"/>
      <c r="J33" s="241"/>
      <c r="K33" s="242"/>
      <c r="N33" s="53"/>
    </row>
    <row r="34" spans="2:14" ht="14.45" x14ac:dyDescent="0.3">
      <c r="B34" s="97" t="s">
        <v>140</v>
      </c>
      <c r="C34" s="89">
        <f>-'2.  CDM Allocation'!C137</f>
        <v>-89912.303664486171</v>
      </c>
      <c r="D34" s="89">
        <f>-'2.  CDM Allocation'!D137</f>
        <v>-30485.785166666665</v>
      </c>
      <c r="E34" s="89">
        <f>-'2.  CDM Allocation'!E137</f>
        <v>-4752.8084666666664</v>
      </c>
      <c r="F34" s="89">
        <f>-'2.  CDM Allocation'!F137</f>
        <v>-1045.1932999999999</v>
      </c>
      <c r="G34" s="89">
        <f>-'2.  CDM Allocation'!G137</f>
        <v>-77.888900000000007</v>
      </c>
      <c r="H34" s="89">
        <f>-'2.  CDM Allocation'!H137</f>
        <v>-835.51306666666665</v>
      </c>
      <c r="I34" s="89">
        <f>-'2.  CDM Allocation'!I137</f>
        <v>-1193.4980433629682</v>
      </c>
      <c r="J34" s="544">
        <f>-'2.  CDM Allocation'!J137</f>
        <v>-1354.7126666666668</v>
      </c>
      <c r="K34" s="550">
        <f>SUM(C34:J34)</f>
        <v>-129657.70327451582</v>
      </c>
      <c r="N34" s="53"/>
    </row>
    <row r="35" spans="2:14" s="17" customFormat="1" ht="14.45" x14ac:dyDescent="0.3">
      <c r="B35" s="98" t="s">
        <v>141</v>
      </c>
      <c r="C35" s="90">
        <f>'5.  2015 LRAM'!H124</f>
        <v>126261.86351020084</v>
      </c>
      <c r="D35" s="90">
        <f>'5.  2015 LRAM'!I124</f>
        <v>71449.660165366295</v>
      </c>
      <c r="E35" s="90">
        <f>'5.  2015 LRAM'!J124</f>
        <v>88051.261270578339</v>
      </c>
      <c r="F35" s="90">
        <f>'5.  2015 LRAM'!K124</f>
        <v>3490.433091146263</v>
      </c>
      <c r="G35" s="90">
        <f>'5.  2015 LRAM'!L124</f>
        <v>0</v>
      </c>
      <c r="H35" s="90">
        <f>'5.  2015 LRAM'!M124</f>
        <v>0</v>
      </c>
      <c r="I35" s="90">
        <f>'5.  2015 LRAM'!N124</f>
        <v>0</v>
      </c>
      <c r="J35" s="545">
        <f>'5.  2015 LRAM'!O124</f>
        <v>842.02919476752868</v>
      </c>
      <c r="K35" s="549">
        <f>SUM(C35:J35)</f>
        <v>290095.24723205931</v>
      </c>
      <c r="N35" s="53"/>
    </row>
    <row r="36" spans="2:14" s="17" customFormat="1" ht="14.45" x14ac:dyDescent="0.3">
      <c r="B36" s="232" t="s">
        <v>90</v>
      </c>
      <c r="C36" s="241"/>
      <c r="D36" s="241"/>
      <c r="E36" s="241"/>
      <c r="F36" s="241"/>
      <c r="G36" s="241"/>
      <c r="H36" s="241"/>
      <c r="I36" s="241"/>
      <c r="J36" s="241"/>
      <c r="K36" s="242"/>
      <c r="N36" s="53"/>
    </row>
    <row r="37" spans="2:14" s="17" customFormat="1" ht="21.75" customHeight="1" x14ac:dyDescent="0.3">
      <c r="B37" s="482" t="s">
        <v>66</v>
      </c>
      <c r="C37" s="483">
        <f>'7.  Carrying Charges'!I118</f>
        <v>-323.1015068281331</v>
      </c>
      <c r="D37" s="483">
        <f>'7.  Carrying Charges'!J118</f>
        <v>1862.2075078893383</v>
      </c>
      <c r="E37" s="483">
        <f>'7.  Carrying Charges'!K118</f>
        <v>6500.4898661792768</v>
      </c>
      <c r="F37" s="483">
        <f>'7.  Carrying Charges'!L118</f>
        <v>113.21088847954995</v>
      </c>
      <c r="G37" s="483">
        <f>'7.  Carrying Charges'!M118</f>
        <v>-7.628175406875001</v>
      </c>
      <c r="H37" s="483">
        <f>'7.  Carrying Charges'!N118</f>
        <v>-81.827446146111086</v>
      </c>
      <c r="I37" s="483">
        <f>'7.  Carrying Charges'!O118</f>
        <v>-124.67684572414764</v>
      </c>
      <c r="J37" s="546">
        <f>'7.  Carrying Charges'!P118</f>
        <v>-66.170485866322991</v>
      </c>
      <c r="K37" s="551">
        <f>SUM(C37:J37)</f>
        <v>7872.5038025765743</v>
      </c>
      <c r="L37" s="23"/>
      <c r="M37" s="23"/>
    </row>
    <row r="38" spans="2:14" ht="28.15" x14ac:dyDescent="0.3">
      <c r="B38" s="246" t="s">
        <v>294</v>
      </c>
      <c r="C38" s="481">
        <f>SUM(C22:C37)</f>
        <v>16141.676026016641</v>
      </c>
      <c r="D38" s="481">
        <f t="shared" ref="D38:F38" si="13">SUM(D22:D37)</f>
        <v>71549.20911272525</v>
      </c>
      <c r="E38" s="481">
        <f t="shared" si="13"/>
        <v>211412.5739337134</v>
      </c>
      <c r="F38" s="481">
        <f t="shared" si="13"/>
        <v>4405.1224040456082</v>
      </c>
      <c r="G38" s="481">
        <f>SUM(G22:G37)</f>
        <v>-235.78027540687498</v>
      </c>
      <c r="H38" s="481">
        <f>SUM(H22:H37)</f>
        <v>-2529.2145128127772</v>
      </c>
      <c r="I38" s="481">
        <f>SUM(I22:I37)</f>
        <v>-3782.9038143086364</v>
      </c>
      <c r="J38" s="547">
        <f>SUM(J22:J37)</f>
        <v>-1899.0576519277897</v>
      </c>
      <c r="K38" s="526">
        <f>SUM(K22:K37)</f>
        <v>295061.62522204482</v>
      </c>
    </row>
    <row r="39" spans="2:14" ht="15.6" x14ac:dyDescent="0.3">
      <c r="B39" s="45"/>
      <c r="D39" s="23"/>
      <c r="K39" s="17"/>
    </row>
    <row r="40" spans="2:14" ht="15.6" x14ac:dyDescent="0.3">
      <c r="B40" s="45"/>
      <c r="C40" s="561"/>
      <c r="D40" s="561"/>
      <c r="E40" s="561"/>
      <c r="F40" s="561"/>
      <c r="G40" s="561"/>
      <c r="H40" s="561"/>
      <c r="I40" s="561"/>
      <c r="J40" s="561"/>
      <c r="K40" s="17"/>
    </row>
    <row r="41" spans="2:14" ht="15.6" x14ac:dyDescent="0.3">
      <c r="B41" s="45"/>
      <c r="D41" s="23"/>
      <c r="K41" s="17"/>
    </row>
    <row r="42" spans="2:14" ht="15.6" x14ac:dyDescent="0.3">
      <c r="B42" s="45"/>
      <c r="D42" s="23"/>
      <c r="K42" s="17"/>
    </row>
  </sheetData>
  <mergeCells count="6">
    <mergeCell ref="B3:K3"/>
    <mergeCell ref="C14:C15"/>
    <mergeCell ref="B5:K5"/>
    <mergeCell ref="F9:G9"/>
    <mergeCell ref="F11:G11"/>
    <mergeCell ref="F15:G15"/>
  </mergeCells>
  <pageMargins left="0.7" right="0.7" top="0.75" bottom="0.75" header="0.3" footer="0.3"/>
  <pageSetup scale="6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26" activePane="bottomLeft" state="frozen"/>
      <selection pane="bottomLeft" activeCell="H142" sqref="H142"/>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3"/>
    <row r="2" spans="2:10" ht="42" customHeight="1" x14ac:dyDescent="0.35">
      <c r="B2" s="584" t="s">
        <v>346</v>
      </c>
      <c r="C2" s="584"/>
      <c r="D2" s="584"/>
      <c r="E2" s="584"/>
      <c r="F2" s="584"/>
      <c r="G2" s="584"/>
      <c r="H2" s="584"/>
      <c r="I2" s="584"/>
      <c r="J2" s="584"/>
    </row>
    <row r="3" spans="2:10" ht="24.75" customHeight="1" x14ac:dyDescent="0.3">
      <c r="B3" s="243"/>
      <c r="C3" s="70"/>
      <c r="D3" s="47"/>
      <c r="E3" s="47"/>
      <c r="F3" s="47"/>
      <c r="G3" s="47"/>
      <c r="H3" s="47"/>
      <c r="I3" s="47"/>
      <c r="J3" s="47"/>
    </row>
    <row r="4" spans="2:10" ht="14.45" x14ac:dyDescent="0.3">
      <c r="B4" s="368" t="s">
        <v>403</v>
      </c>
      <c r="C4" s="70" t="s">
        <v>348</v>
      </c>
      <c r="D4" s="47"/>
      <c r="E4" s="47"/>
      <c r="F4" s="47"/>
      <c r="G4" s="47"/>
      <c r="H4" s="47"/>
      <c r="I4" s="47"/>
      <c r="J4" s="47"/>
    </row>
    <row r="5" spans="2:10" ht="30" customHeight="1" x14ac:dyDescent="0.3">
      <c r="B5" s="369"/>
      <c r="C5" s="592" t="s">
        <v>506</v>
      </c>
      <c r="D5" s="592"/>
      <c r="E5" s="592"/>
      <c r="F5" s="592"/>
      <c r="G5" s="592"/>
      <c r="H5" s="592"/>
      <c r="I5" s="592"/>
      <c r="J5" s="592"/>
    </row>
    <row r="6" spans="2:10" ht="18.75" customHeight="1" x14ac:dyDescent="0.3">
      <c r="B6" s="243"/>
      <c r="C6" s="70" t="s">
        <v>419</v>
      </c>
      <c r="D6" s="47"/>
      <c r="E6" s="47"/>
      <c r="F6" s="47"/>
      <c r="G6" s="47"/>
      <c r="H6" s="47"/>
      <c r="I6" s="47"/>
      <c r="J6" s="47"/>
    </row>
    <row r="7" spans="2:10" ht="18.75" customHeight="1" x14ac:dyDescent="0.3">
      <c r="B7" s="243"/>
      <c r="C7" s="70"/>
      <c r="D7" s="47"/>
      <c r="E7" s="47"/>
      <c r="F7" s="47"/>
      <c r="G7" s="47"/>
      <c r="H7" s="47"/>
      <c r="I7" s="47"/>
      <c r="J7" s="47"/>
    </row>
    <row r="8" spans="2:10" s="3" customFormat="1" ht="15" customHeight="1" x14ac:dyDescent="0.2">
      <c r="B8" s="591" t="s">
        <v>339</v>
      </c>
      <c r="C8" s="202" t="s">
        <v>367</v>
      </c>
    </row>
    <row r="9" spans="2:10" s="3" customFormat="1" ht="17.25" customHeight="1" x14ac:dyDescent="0.2">
      <c r="B9" s="591"/>
      <c r="C9" s="137" t="s">
        <v>340</v>
      </c>
    </row>
    <row r="10" spans="2:10" s="3" customFormat="1" ht="15.75" customHeight="1" x14ac:dyDescent="0.3">
      <c r="B10" s="461"/>
      <c r="C10" s="55"/>
    </row>
    <row r="11" spans="2:10" s="55" customFormat="1" ht="15.6" x14ac:dyDescent="0.3">
      <c r="B11" s="112" t="s">
        <v>507</v>
      </c>
      <c r="C11" s="100"/>
      <c r="D11" s="121"/>
      <c r="E11" s="122"/>
    </row>
    <row r="12" spans="2:10" s="3" customFormat="1" ht="16.5" customHeight="1" x14ac:dyDescent="0.3">
      <c r="B12" s="24"/>
      <c r="C12" s="60"/>
      <c r="D12" s="24"/>
      <c r="F12" s="55"/>
    </row>
    <row r="13" spans="2:10" s="3" customFormat="1" ht="20.25" customHeight="1" x14ac:dyDescent="0.3">
      <c r="B13" s="102" t="s">
        <v>55</v>
      </c>
      <c r="C13" s="103" t="s">
        <v>35</v>
      </c>
      <c r="D13" s="104" t="s">
        <v>36</v>
      </c>
      <c r="E13" s="103" t="s">
        <v>347</v>
      </c>
      <c r="F13" s="55"/>
    </row>
    <row r="14" spans="2:10" s="3" customFormat="1" ht="14.45" x14ac:dyDescent="0.3">
      <c r="B14" s="105">
        <v>2011</v>
      </c>
      <c r="C14" s="505"/>
      <c r="D14" s="106">
        <f>K44</f>
        <v>0</v>
      </c>
      <c r="E14" s="106">
        <f>K40</f>
        <v>0</v>
      </c>
      <c r="F14" s="55"/>
    </row>
    <row r="15" spans="2:10" s="3" customFormat="1" ht="14.45" x14ac:dyDescent="0.3">
      <c r="B15" s="105">
        <v>2012</v>
      </c>
      <c r="C15" s="505"/>
      <c r="D15" s="106">
        <f>K57</f>
        <v>0</v>
      </c>
      <c r="E15" s="106">
        <f>K53</f>
        <v>0</v>
      </c>
      <c r="F15" s="55"/>
    </row>
    <row r="16" spans="2:10" s="3" customFormat="1" ht="14.45" x14ac:dyDescent="0.3">
      <c r="B16" s="105">
        <v>2013</v>
      </c>
      <c r="C16" s="505">
        <v>16150632</v>
      </c>
      <c r="D16" s="106">
        <f>K70</f>
        <v>-2502</v>
      </c>
      <c r="E16" s="106">
        <f>K66</f>
        <v>-16150632</v>
      </c>
      <c r="F16" s="55"/>
    </row>
    <row r="17" spans="2:26" s="3" customFormat="1" ht="14.45" x14ac:dyDescent="0.3">
      <c r="B17" s="105">
        <v>2014</v>
      </c>
      <c r="C17" s="505">
        <v>16150632</v>
      </c>
      <c r="D17" s="106">
        <f>K83</f>
        <v>-2502</v>
      </c>
      <c r="E17" s="106">
        <f>K79</f>
        <v>-16150632</v>
      </c>
      <c r="F17" s="55"/>
    </row>
    <row r="18" spans="2:26" s="3" customFormat="1" ht="14.45" x14ac:dyDescent="0.3">
      <c r="B18" s="105">
        <v>2015</v>
      </c>
      <c r="C18" s="505">
        <v>16150632</v>
      </c>
      <c r="D18" s="106">
        <f>K96</f>
        <v>-2502</v>
      </c>
      <c r="E18" s="106">
        <f>K92</f>
        <v>-16150632</v>
      </c>
      <c r="F18" s="55"/>
    </row>
    <row r="19" spans="2:26" s="3" customFormat="1" ht="14.45" x14ac:dyDescent="0.3">
      <c r="B19" s="105">
        <v>2016</v>
      </c>
      <c r="C19" s="505">
        <v>16150632</v>
      </c>
      <c r="D19" s="106">
        <f>K109</f>
        <v>-2502</v>
      </c>
      <c r="E19" s="106">
        <f>K105</f>
        <v>-16150632</v>
      </c>
      <c r="F19" s="55"/>
      <c r="Z19" s="44"/>
    </row>
    <row r="20" spans="2:26" s="3" customFormat="1" ht="14.45" x14ac:dyDescent="0.3">
      <c r="B20" s="105">
        <v>2017</v>
      </c>
      <c r="C20" s="505">
        <v>16150632</v>
      </c>
      <c r="D20" s="106">
        <f>K122</f>
        <v>-2502</v>
      </c>
      <c r="E20" s="106">
        <f>K118</f>
        <v>-16150632</v>
      </c>
      <c r="F20" s="55"/>
      <c r="Z20" s="44"/>
    </row>
    <row r="21" spans="2:26" s="3" customFormat="1" ht="25.5" customHeight="1" x14ac:dyDescent="0.3">
      <c r="B21" s="59"/>
      <c r="D21" s="54"/>
      <c r="E21" s="58"/>
      <c r="F21" s="55"/>
    </row>
    <row r="22" spans="2:26" s="55" customFormat="1" ht="22.5" customHeight="1" x14ac:dyDescent="0.3">
      <c r="B22" s="112" t="s">
        <v>410</v>
      </c>
      <c r="C22" s="44"/>
      <c r="D22" s="44"/>
      <c r="E22" s="44"/>
      <c r="F22" s="44"/>
      <c r="G22" s="44"/>
      <c r="H22" s="44"/>
      <c r="I22" s="44"/>
      <c r="J22" s="44"/>
      <c r="K22" s="44"/>
    </row>
    <row r="23" spans="2:26" s="3" customFormat="1" ht="12.75" customHeight="1" x14ac:dyDescent="0.3">
      <c r="C23" s="26"/>
      <c r="D23" s="26"/>
      <c r="E23" s="26"/>
      <c r="F23" s="26"/>
      <c r="G23" s="26"/>
      <c r="H23" s="26"/>
      <c r="I23" s="26"/>
      <c r="J23" s="26"/>
    </row>
    <row r="24" spans="2:26" s="3" customFormat="1" ht="40.5" customHeight="1" x14ac:dyDescent="0.3">
      <c r="B24" s="102" t="s">
        <v>55</v>
      </c>
      <c r="C24" s="102" t="str">
        <f>'1.  LRAMVA Summary'!C21</f>
        <v>Residential</v>
      </c>
      <c r="D24" s="102" t="str">
        <f>'1.  LRAMVA Summary'!D21</f>
        <v>General Service &lt;50 kW</v>
      </c>
      <c r="E24" s="102" t="str">
        <f>'1.  LRAMVA Summary'!E21</f>
        <v>General Service 50 - 999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514</v>
      </c>
    </row>
    <row r="25" spans="2:26" s="3" customFormat="1" ht="16.5" customHeight="1" x14ac:dyDescent="0.3">
      <c r="B25" s="102"/>
      <c r="C25" s="102" t="s">
        <v>35</v>
      </c>
      <c r="D25" s="102" t="s">
        <v>35</v>
      </c>
      <c r="E25" s="102" t="s">
        <v>36</v>
      </c>
      <c r="F25" s="102" t="s">
        <v>36</v>
      </c>
      <c r="G25" s="102" t="s">
        <v>36</v>
      </c>
      <c r="H25" s="102" t="s">
        <v>36</v>
      </c>
      <c r="I25" s="102" t="s">
        <v>35</v>
      </c>
      <c r="J25" s="102" t="s">
        <v>36</v>
      </c>
    </row>
    <row r="26" spans="2:26" s="3" customFormat="1" ht="16.5" customHeight="1" x14ac:dyDescent="0.3">
      <c r="B26" s="113">
        <v>2011</v>
      </c>
      <c r="C26" s="506">
        <f>-C40</f>
        <v>0</v>
      </c>
      <c r="D26" s="506">
        <f t="shared" ref="D26:I26" si="0">-D40</f>
        <v>0</v>
      </c>
      <c r="E26" s="506">
        <f>-E44</f>
        <v>0</v>
      </c>
      <c r="F26" s="506">
        <f>-F44</f>
        <v>0</v>
      </c>
      <c r="G26" s="506">
        <f>-G44</f>
        <v>0</v>
      </c>
      <c r="H26" s="506">
        <f>-H44</f>
        <v>0</v>
      </c>
      <c r="I26" s="506">
        <f t="shared" si="0"/>
        <v>0</v>
      </c>
      <c r="J26" s="116"/>
    </row>
    <row r="27" spans="2:26" s="3" customFormat="1" ht="16.5" customHeight="1" x14ac:dyDescent="0.3">
      <c r="B27" s="113">
        <v>2012</v>
      </c>
      <c r="C27" s="115">
        <f>-C53</f>
        <v>0</v>
      </c>
      <c r="D27" s="115">
        <f>-D53</f>
        <v>0</v>
      </c>
      <c r="E27" s="115">
        <f>-E57</f>
        <v>0</v>
      </c>
      <c r="F27" s="115">
        <f>-F57</f>
        <v>0</v>
      </c>
      <c r="G27" s="115">
        <f>-G57</f>
        <v>0</v>
      </c>
      <c r="H27" s="115">
        <f>-H57</f>
        <v>0</v>
      </c>
      <c r="I27" s="115">
        <f>-I53</f>
        <v>0</v>
      </c>
      <c r="J27" s="116"/>
      <c r="K27" s="57"/>
    </row>
    <row r="28" spans="2:26" s="3" customFormat="1" ht="16.5" customHeight="1" x14ac:dyDescent="0.3">
      <c r="B28" s="113">
        <v>2013</v>
      </c>
      <c r="C28" s="115">
        <f>-C66</f>
        <v>4162606.6511336197</v>
      </c>
      <c r="D28" s="529">
        <v>1601705</v>
      </c>
      <c r="E28" s="529">
        <v>1126</v>
      </c>
      <c r="F28" s="529">
        <v>607</v>
      </c>
      <c r="G28" s="529">
        <v>3</v>
      </c>
      <c r="H28" s="529">
        <v>44</v>
      </c>
      <c r="I28" s="115">
        <f>-I66</f>
        <v>35876.694690269585</v>
      </c>
      <c r="J28" s="529">
        <v>722</v>
      </c>
    </row>
    <row r="29" spans="2:26" s="3" customFormat="1" ht="16.5" customHeight="1" x14ac:dyDescent="0.3">
      <c r="B29" s="113">
        <v>2014</v>
      </c>
      <c r="C29" s="117">
        <f>-C79</f>
        <v>4162606.6511336197</v>
      </c>
      <c r="D29" s="529">
        <v>1601705</v>
      </c>
      <c r="E29" s="529">
        <v>1126</v>
      </c>
      <c r="F29" s="529">
        <v>607</v>
      </c>
      <c r="G29" s="529">
        <v>3</v>
      </c>
      <c r="H29" s="529">
        <v>44</v>
      </c>
      <c r="I29" s="117">
        <f>-I79</f>
        <v>35876.694690269585</v>
      </c>
      <c r="J29" s="529">
        <v>722</v>
      </c>
    </row>
    <row r="30" spans="2:26" s="3" customFormat="1" ht="16.5" customHeight="1" x14ac:dyDescent="0.3">
      <c r="B30" s="113">
        <v>2015</v>
      </c>
      <c r="C30" s="363">
        <f>-C92</f>
        <v>4162606.6511336197</v>
      </c>
      <c r="D30" s="529">
        <v>1601705</v>
      </c>
      <c r="E30" s="529">
        <v>1126</v>
      </c>
      <c r="F30" s="529">
        <v>607</v>
      </c>
      <c r="G30" s="529">
        <v>3</v>
      </c>
      <c r="H30" s="529">
        <v>44</v>
      </c>
      <c r="I30" s="363">
        <f t="shared" ref="I30" si="1">-I92</f>
        <v>35876.694690269585</v>
      </c>
      <c r="J30" s="529">
        <v>722</v>
      </c>
    </row>
    <row r="31" spans="2:26" s="3" customFormat="1" ht="16.5" customHeight="1" x14ac:dyDescent="0.3">
      <c r="B31" s="113">
        <v>2016</v>
      </c>
      <c r="C31" s="363">
        <f>-C105</f>
        <v>4162606.6511336197</v>
      </c>
      <c r="D31" s="529">
        <v>1601705</v>
      </c>
      <c r="E31" s="529">
        <v>1126</v>
      </c>
      <c r="F31" s="529">
        <v>607</v>
      </c>
      <c r="G31" s="529">
        <v>3</v>
      </c>
      <c r="H31" s="529">
        <v>44</v>
      </c>
      <c r="I31" s="363">
        <f t="shared" ref="I31" si="2">-I105</f>
        <v>35876.694690269585</v>
      </c>
      <c r="J31" s="529">
        <v>722</v>
      </c>
    </row>
    <row r="32" spans="2:26" s="3" customFormat="1" ht="16.5" customHeight="1" x14ac:dyDescent="0.3">
      <c r="B32" s="113">
        <v>2017</v>
      </c>
      <c r="C32" s="363">
        <f>-C118</f>
        <v>4162606.6511336197</v>
      </c>
      <c r="D32" s="529">
        <v>1601705</v>
      </c>
      <c r="E32" s="529">
        <v>1126</v>
      </c>
      <c r="F32" s="529">
        <v>607</v>
      </c>
      <c r="G32" s="529">
        <v>3</v>
      </c>
      <c r="H32" s="529">
        <v>44</v>
      </c>
      <c r="I32" s="363">
        <f t="shared" ref="I32" si="3">-I118</f>
        <v>35876.694690269585</v>
      </c>
      <c r="J32" s="529">
        <v>722</v>
      </c>
    </row>
    <row r="33" spans="1:14" s="3" customFormat="1" ht="15.75" customHeight="1" x14ac:dyDescent="0.3"/>
    <row r="34" spans="1:14" s="66" customFormat="1" ht="15.6" outlineLevel="1" x14ac:dyDescent="0.25">
      <c r="A34" s="304"/>
      <c r="B34" s="593" t="s">
        <v>412</v>
      </c>
      <c r="C34" s="593"/>
      <c r="D34" s="593"/>
      <c r="E34" s="593"/>
      <c r="F34" s="593"/>
      <c r="G34" s="593"/>
      <c r="H34" s="593"/>
      <c r="I34" s="593"/>
      <c r="J34" s="593"/>
      <c r="K34" s="593"/>
      <c r="L34" s="158"/>
      <c r="M34" s="158"/>
    </row>
    <row r="35" spans="1:14" s="66" customFormat="1" ht="13.9" outlineLevel="1" x14ac:dyDescent="0.25">
      <c r="A35" s="304"/>
      <c r="B35" s="69"/>
      <c r="C35" s="83"/>
      <c r="L35" s="158"/>
      <c r="M35" s="158"/>
      <c r="N35" s="326"/>
    </row>
    <row r="36" spans="1:14" s="334" customFormat="1" ht="27.6" outlineLevel="1" x14ac:dyDescent="0.25">
      <c r="B36" s="337">
        <v>2011</v>
      </c>
      <c r="C36" s="314" t="s">
        <v>37</v>
      </c>
      <c r="D36" s="314" t="s">
        <v>414</v>
      </c>
      <c r="E36" s="314" t="s">
        <v>415</v>
      </c>
      <c r="F36" s="314" t="s">
        <v>109</v>
      </c>
      <c r="G36" s="314" t="s">
        <v>117</v>
      </c>
      <c r="H36" s="314" t="s">
        <v>509</v>
      </c>
      <c r="I36" s="314" t="s">
        <v>118</v>
      </c>
      <c r="J36" s="314" t="s">
        <v>514</v>
      </c>
      <c r="K36" s="338" t="s">
        <v>34</v>
      </c>
      <c r="L36" s="335"/>
      <c r="M36" s="335"/>
      <c r="N36" s="339"/>
    </row>
    <row r="37" spans="1:14" s="66" customFormat="1" ht="13.9" outlineLevel="1" x14ac:dyDescent="0.25">
      <c r="B37" s="315" t="s">
        <v>35</v>
      </c>
      <c r="C37" s="316"/>
      <c r="D37" s="316"/>
      <c r="E37" s="316"/>
      <c r="F37" s="316"/>
      <c r="G37" s="316"/>
      <c r="H37" s="316"/>
      <c r="I37" s="316"/>
      <c r="J37" s="158"/>
      <c r="K37" s="340"/>
      <c r="L37" s="158"/>
      <c r="M37" s="158"/>
      <c r="N37" s="341"/>
    </row>
    <row r="38" spans="1:14" s="66" customFormat="1" ht="13.9" outlineLevel="1" x14ac:dyDescent="0.25">
      <c r="B38" s="486" t="s">
        <v>408</v>
      </c>
      <c r="C38" s="318">
        <v>9.9999999999999995E-7</v>
      </c>
      <c r="D38" s="342"/>
      <c r="E38" s="342"/>
      <c r="F38" s="342"/>
      <c r="G38" s="342"/>
      <c r="H38" s="342"/>
      <c r="I38" s="342"/>
      <c r="J38" s="528"/>
      <c r="K38" s="488">
        <f>SUM(C38:J38)</f>
        <v>9.9999999999999995E-7</v>
      </c>
      <c r="L38" s="158"/>
      <c r="M38" s="158"/>
      <c r="N38" s="326"/>
    </row>
    <row r="39" spans="1:14" s="66" customFormat="1" ht="13.9" outlineLevel="1" x14ac:dyDescent="0.25">
      <c r="B39" s="343" t="s">
        <v>115</v>
      </c>
      <c r="C39" s="484">
        <f>C38/$K$38</f>
        <v>1</v>
      </c>
      <c r="D39" s="484">
        <f t="shared" ref="D39:I39" si="4">D38/$K$38</f>
        <v>0</v>
      </c>
      <c r="E39" s="484">
        <f t="shared" si="4"/>
        <v>0</v>
      </c>
      <c r="F39" s="484">
        <f t="shared" si="4"/>
        <v>0</v>
      </c>
      <c r="G39" s="484">
        <f t="shared" si="4"/>
        <v>0</v>
      </c>
      <c r="H39" s="484">
        <f t="shared" si="4"/>
        <v>0</v>
      </c>
      <c r="I39" s="484">
        <f t="shared" si="4"/>
        <v>0</v>
      </c>
      <c r="J39" s="158"/>
      <c r="K39" s="485">
        <f>SUM(C39:I39)</f>
        <v>1</v>
      </c>
      <c r="L39" s="158"/>
      <c r="M39" s="158"/>
      <c r="N39" s="344"/>
    </row>
    <row r="40" spans="1:14" s="66" customFormat="1" ht="13.9" outlineLevel="1" x14ac:dyDescent="0.25">
      <c r="B40" s="343" t="s">
        <v>336</v>
      </c>
      <c r="C40" s="504">
        <f>-$C$14*C39</f>
        <v>0</v>
      </c>
      <c r="D40" s="504">
        <f t="shared" ref="D40:I40" si="5">-$C$14*D39</f>
        <v>0</v>
      </c>
      <c r="E40" s="504">
        <f t="shared" si="5"/>
        <v>0</v>
      </c>
      <c r="F40" s="504">
        <f t="shared" si="5"/>
        <v>0</v>
      </c>
      <c r="G40" s="504">
        <f t="shared" si="5"/>
        <v>0</v>
      </c>
      <c r="H40" s="504">
        <f t="shared" si="5"/>
        <v>0</v>
      </c>
      <c r="I40" s="504">
        <f t="shared" si="5"/>
        <v>0</v>
      </c>
      <c r="J40" s="158"/>
      <c r="K40" s="345">
        <f>SUM(C40:I40)</f>
        <v>0</v>
      </c>
      <c r="L40" s="158"/>
      <c r="M40" s="158"/>
    </row>
    <row r="41" spans="1:14" s="66" customFormat="1" ht="13.9" outlineLevel="1" x14ac:dyDescent="0.25">
      <c r="B41" s="343" t="s">
        <v>116</v>
      </c>
      <c r="C41" s="346">
        <f>C38+C40</f>
        <v>9.9999999999999995E-7</v>
      </c>
      <c r="D41" s="341">
        <f t="shared" ref="D41:I41" si="6">D38+D40</f>
        <v>0</v>
      </c>
      <c r="E41" s="341">
        <f t="shared" si="6"/>
        <v>0</v>
      </c>
      <c r="F41" s="341">
        <f t="shared" si="6"/>
        <v>0</v>
      </c>
      <c r="G41" s="341">
        <f t="shared" si="6"/>
        <v>0</v>
      </c>
      <c r="H41" s="341">
        <f t="shared" si="6"/>
        <v>0</v>
      </c>
      <c r="I41" s="341">
        <f t="shared" si="6"/>
        <v>0</v>
      </c>
      <c r="J41" s="158"/>
      <c r="K41" s="345">
        <f>SUM(C41:I41)</f>
        <v>9.9999999999999995E-7</v>
      </c>
      <c r="L41" s="158"/>
      <c r="M41" s="158"/>
    </row>
    <row r="42" spans="1:14" s="66" customFormat="1" ht="13.9" outlineLevel="1" x14ac:dyDescent="0.25">
      <c r="B42" s="315" t="s">
        <v>36</v>
      </c>
      <c r="C42" s="346"/>
      <c r="D42" s="341"/>
      <c r="E42" s="341"/>
      <c r="F42" s="341"/>
      <c r="G42" s="341"/>
      <c r="H42" s="341"/>
      <c r="I42" s="341"/>
      <c r="J42" s="158"/>
      <c r="K42" s="345"/>
      <c r="L42" s="158"/>
      <c r="M42" s="158"/>
    </row>
    <row r="43" spans="1:14" s="66" customFormat="1" ht="13.9" outlineLevel="1" x14ac:dyDescent="0.25">
      <c r="B43" s="486" t="s">
        <v>409</v>
      </c>
      <c r="C43" s="346"/>
      <c r="D43" s="341"/>
      <c r="E43" s="341">
        <f>E38*E46</f>
        <v>0</v>
      </c>
      <c r="F43" s="341">
        <f t="shared" ref="F43:H43" si="7">F38*F46</f>
        <v>0</v>
      </c>
      <c r="G43" s="341">
        <f t="shared" si="7"/>
        <v>0</v>
      </c>
      <c r="H43" s="341">
        <f t="shared" si="7"/>
        <v>0</v>
      </c>
      <c r="I43" s="341"/>
      <c r="J43" s="158"/>
      <c r="K43" s="345"/>
      <c r="L43" s="158"/>
      <c r="M43" s="158"/>
    </row>
    <row r="44" spans="1:14" s="66" customFormat="1" ht="13.9" outlineLevel="1" x14ac:dyDescent="0.25">
      <c r="B44" s="343" t="s">
        <v>119</v>
      </c>
      <c r="C44" s="346"/>
      <c r="D44" s="341"/>
      <c r="E44" s="341">
        <f>E40*E46</f>
        <v>0</v>
      </c>
      <c r="F44" s="341">
        <f t="shared" ref="F44:H44" si="8">F40*F46</f>
        <v>0</v>
      </c>
      <c r="G44" s="341">
        <f t="shared" si="8"/>
        <v>0</v>
      </c>
      <c r="H44" s="341">
        <f t="shared" si="8"/>
        <v>0</v>
      </c>
      <c r="I44" s="341"/>
      <c r="J44" s="158"/>
      <c r="K44" s="345">
        <f>SUM(C44:I44)</f>
        <v>0</v>
      </c>
      <c r="L44" s="158"/>
      <c r="M44" s="158"/>
    </row>
    <row r="45" spans="1:14" s="66" customFormat="1" ht="13.9" outlineLevel="1" x14ac:dyDescent="0.25">
      <c r="B45" s="343" t="s">
        <v>116</v>
      </c>
      <c r="C45" s="158"/>
      <c r="D45" s="158"/>
      <c r="E45" s="341">
        <f>E43+E44</f>
        <v>0</v>
      </c>
      <c r="F45" s="341">
        <f t="shared" ref="F45:H45" si="9">F43+F44</f>
        <v>0</v>
      </c>
      <c r="G45" s="341">
        <f t="shared" si="9"/>
        <v>0</v>
      </c>
      <c r="H45" s="341">
        <f t="shared" si="9"/>
        <v>0</v>
      </c>
      <c r="I45" s="158"/>
      <c r="J45" s="158"/>
      <c r="K45" s="345">
        <f>SUM(C45:I45)</f>
        <v>0</v>
      </c>
      <c r="L45" s="158"/>
      <c r="M45" s="158"/>
      <c r="N45" s="347"/>
    </row>
    <row r="46" spans="1:14" s="66" customFormat="1" ht="15" customHeight="1" outlineLevel="1" x14ac:dyDescent="0.25">
      <c r="B46" s="489" t="s">
        <v>406</v>
      </c>
      <c r="C46" s="319"/>
      <c r="D46" s="327"/>
      <c r="E46" s="508"/>
      <c r="F46" s="508"/>
      <c r="G46" s="508"/>
      <c r="H46" s="508"/>
      <c r="I46" s="507"/>
      <c r="J46" s="327"/>
      <c r="K46" s="399"/>
      <c r="L46" s="158"/>
      <c r="M46" s="158"/>
      <c r="N46" s="326"/>
    </row>
    <row r="47" spans="1:14" s="66" customFormat="1" ht="15" customHeight="1" outlineLevel="1" x14ac:dyDescent="0.25">
      <c r="B47" s="348"/>
      <c r="C47" s="320"/>
      <c r="D47" s="321"/>
      <c r="E47" s="158"/>
      <c r="F47" s="322"/>
      <c r="G47" s="322"/>
      <c r="H47" s="322"/>
      <c r="I47" s="322"/>
      <c r="J47" s="158"/>
      <c r="K47" s="158"/>
      <c r="L47" s="158"/>
      <c r="M47" s="158"/>
      <c r="N47" s="326"/>
    </row>
    <row r="48" spans="1:14" s="158" customFormat="1" ht="15" customHeight="1" outlineLevel="1" x14ac:dyDescent="0.25">
      <c r="B48" s="348"/>
      <c r="C48" s="320"/>
      <c r="D48" s="321"/>
      <c r="F48" s="322"/>
      <c r="G48" s="322"/>
      <c r="H48" s="322"/>
      <c r="I48" s="322"/>
      <c r="N48" s="326"/>
    </row>
    <row r="49" spans="2:14" s="333" customFormat="1" ht="36.75" customHeight="1" outlineLevel="1" x14ac:dyDescent="0.25">
      <c r="B49" s="337">
        <v>2012</v>
      </c>
      <c r="C49" s="314" t="s">
        <v>37</v>
      </c>
      <c r="D49" s="314" t="s">
        <v>414</v>
      </c>
      <c r="E49" s="314" t="s">
        <v>415</v>
      </c>
      <c r="F49" s="314" t="s">
        <v>109</v>
      </c>
      <c r="G49" s="314" t="s">
        <v>117</v>
      </c>
      <c r="H49" s="314" t="s">
        <v>509</v>
      </c>
      <c r="I49" s="314" t="s">
        <v>118</v>
      </c>
      <c r="J49" s="314" t="s">
        <v>514</v>
      </c>
      <c r="K49" s="338" t="s">
        <v>34</v>
      </c>
      <c r="L49" s="332"/>
      <c r="M49" s="332"/>
      <c r="N49" s="332"/>
    </row>
    <row r="50" spans="2:14" s="66" customFormat="1" ht="13.9" outlineLevel="1" x14ac:dyDescent="0.25">
      <c r="B50" s="315" t="s">
        <v>35</v>
      </c>
      <c r="C50" s="316"/>
      <c r="D50" s="316"/>
      <c r="E50" s="316"/>
      <c r="F50" s="316"/>
      <c r="G50" s="316"/>
      <c r="H50" s="316"/>
      <c r="I50" s="316"/>
      <c r="J50" s="158"/>
      <c r="K50" s="340"/>
      <c r="L50" s="158"/>
      <c r="M50" s="158"/>
      <c r="N50" s="326"/>
    </row>
    <row r="51" spans="2:14" s="66" customFormat="1" ht="13.9" outlineLevel="1" x14ac:dyDescent="0.25">
      <c r="B51" s="486" t="s">
        <v>408</v>
      </c>
      <c r="C51" s="318">
        <v>9.9999999999999995E-7</v>
      </c>
      <c r="D51" s="342"/>
      <c r="E51" s="342"/>
      <c r="F51" s="342"/>
      <c r="G51" s="342"/>
      <c r="H51" s="342"/>
      <c r="I51" s="342"/>
      <c r="J51" s="317"/>
      <c r="K51" s="490">
        <f>SUM(C51:I51)</f>
        <v>9.9999999999999995E-7</v>
      </c>
      <c r="L51" s="158"/>
      <c r="M51" s="158"/>
      <c r="N51" s="341"/>
    </row>
    <row r="52" spans="2:14" s="66" customFormat="1" ht="13.9" outlineLevel="1" x14ac:dyDescent="0.25">
      <c r="B52" s="343" t="s">
        <v>115</v>
      </c>
      <c r="C52" s="487">
        <f>C51/$K$51</f>
        <v>1</v>
      </c>
      <c r="D52" s="487">
        <f t="shared" ref="D52:I52" si="10">D51/$K$51</f>
        <v>0</v>
      </c>
      <c r="E52" s="487">
        <f t="shared" si="10"/>
        <v>0</v>
      </c>
      <c r="F52" s="487">
        <f t="shared" si="10"/>
        <v>0</v>
      </c>
      <c r="G52" s="487">
        <f t="shared" si="10"/>
        <v>0</v>
      </c>
      <c r="H52" s="487">
        <f t="shared" si="10"/>
        <v>0</v>
      </c>
      <c r="I52" s="487">
        <f t="shared" si="10"/>
        <v>0</v>
      </c>
      <c r="J52" s="158"/>
      <c r="K52" s="485">
        <f>SUM(C52:I52)</f>
        <v>1</v>
      </c>
      <c r="L52" s="158"/>
      <c r="M52" s="158"/>
      <c r="N52" s="326"/>
    </row>
    <row r="53" spans="2:14" s="66" customFormat="1" ht="13.9" outlineLevel="1" x14ac:dyDescent="0.25">
      <c r="B53" s="343" t="s">
        <v>336</v>
      </c>
      <c r="C53" s="504">
        <f>-$C$15*C52</f>
        <v>0</v>
      </c>
      <c r="D53" s="504">
        <f t="shared" ref="D53:I53" si="11">-$C$15*D52</f>
        <v>0</v>
      </c>
      <c r="E53" s="504">
        <f t="shared" si="11"/>
        <v>0</v>
      </c>
      <c r="F53" s="504">
        <f t="shared" si="11"/>
        <v>0</v>
      </c>
      <c r="G53" s="504">
        <f t="shared" si="11"/>
        <v>0</v>
      </c>
      <c r="H53" s="504">
        <f t="shared" si="11"/>
        <v>0</v>
      </c>
      <c r="I53" s="504">
        <f t="shared" si="11"/>
        <v>0</v>
      </c>
      <c r="J53" s="158"/>
      <c r="K53" s="345">
        <f>SUM(C53:I53)</f>
        <v>0</v>
      </c>
      <c r="L53" s="158"/>
      <c r="M53" s="158"/>
      <c r="N53" s="344"/>
    </row>
    <row r="54" spans="2:14" s="66" customFormat="1" ht="13.9" outlineLevel="1" x14ac:dyDescent="0.25">
      <c r="B54" s="343" t="s">
        <v>116</v>
      </c>
      <c r="C54" s="346">
        <f>C51+C53</f>
        <v>9.9999999999999995E-7</v>
      </c>
      <c r="D54" s="341">
        <f t="shared" ref="D54" si="12">D51+D53</f>
        <v>0</v>
      </c>
      <c r="E54" s="341">
        <f t="shared" ref="E54" si="13">E51+E53</f>
        <v>0</v>
      </c>
      <c r="F54" s="341">
        <f t="shared" ref="F54" si="14">F51+F53</f>
        <v>0</v>
      </c>
      <c r="G54" s="341">
        <f t="shared" ref="G54" si="15">G51+G53</f>
        <v>0</v>
      </c>
      <c r="H54" s="341">
        <f t="shared" ref="H54" si="16">H51+H53</f>
        <v>0</v>
      </c>
      <c r="I54" s="341">
        <f t="shared" ref="I54" si="17">I51+I53</f>
        <v>0</v>
      </c>
      <c r="J54" s="158"/>
      <c r="K54" s="345">
        <f>SUM(C54:I54)</f>
        <v>9.9999999999999995E-7</v>
      </c>
      <c r="L54" s="158"/>
      <c r="M54" s="158"/>
    </row>
    <row r="55" spans="2:14" s="66" customFormat="1" ht="13.9" outlineLevel="1" x14ac:dyDescent="0.25">
      <c r="B55" s="315" t="s">
        <v>36</v>
      </c>
      <c r="C55" s="158"/>
      <c r="D55" s="323"/>
      <c r="E55" s="349"/>
      <c r="F55" s="324"/>
      <c r="G55" s="325"/>
      <c r="H55" s="326"/>
      <c r="I55" s="158"/>
      <c r="J55" s="158"/>
      <c r="K55" s="350"/>
      <c r="L55" s="158"/>
      <c r="M55" s="158"/>
    </row>
    <row r="56" spans="2:14" s="66" customFormat="1" ht="13.9" outlineLevel="1" x14ac:dyDescent="0.25">
      <c r="B56" s="486" t="s">
        <v>409</v>
      </c>
      <c r="C56" s="158"/>
      <c r="D56" s="158"/>
      <c r="E56" s="341">
        <f>E51*E59</f>
        <v>0</v>
      </c>
      <c r="F56" s="341">
        <f>F51*F59</f>
        <v>0</v>
      </c>
      <c r="G56" s="341">
        <f>G51*G59</f>
        <v>0</v>
      </c>
      <c r="H56" s="341">
        <f>H51*H59</f>
        <v>0</v>
      </c>
      <c r="I56" s="158"/>
      <c r="J56" s="158"/>
      <c r="K56" s="345">
        <f>SUM(C56:I56)</f>
        <v>0</v>
      </c>
      <c r="L56" s="158"/>
    </row>
    <row r="57" spans="2:14" s="66" customFormat="1" ht="13.9" outlineLevel="1" x14ac:dyDescent="0.25">
      <c r="B57" s="343" t="s">
        <v>119</v>
      </c>
      <c r="C57" s="158"/>
      <c r="D57" s="158"/>
      <c r="E57" s="341">
        <f>E53*E59</f>
        <v>0</v>
      </c>
      <c r="F57" s="341">
        <f>F53*F59</f>
        <v>0</v>
      </c>
      <c r="G57" s="341">
        <f>G53*G59</f>
        <v>0</v>
      </c>
      <c r="H57" s="341">
        <f>H53*H59</f>
        <v>0</v>
      </c>
      <c r="I57" s="158"/>
      <c r="J57" s="158"/>
      <c r="K57" s="345">
        <f>SUM(C57:I57)</f>
        <v>0</v>
      </c>
      <c r="L57" s="158"/>
      <c r="M57" s="158"/>
    </row>
    <row r="58" spans="2:14" s="66" customFormat="1" ht="13.9" outlineLevel="1" x14ac:dyDescent="0.25">
      <c r="B58" s="343" t="s">
        <v>116</v>
      </c>
      <c r="C58" s="167"/>
      <c r="D58" s="167"/>
      <c r="E58" s="341">
        <f>E56+E57</f>
        <v>0</v>
      </c>
      <c r="F58" s="341">
        <f>F56+F57</f>
        <v>0</v>
      </c>
      <c r="G58" s="341">
        <f t="shared" ref="G58:H58" si="18">G56+G57</f>
        <v>0</v>
      </c>
      <c r="H58" s="341">
        <f t="shared" si="18"/>
        <v>0</v>
      </c>
      <c r="I58" s="167"/>
      <c r="J58" s="158"/>
      <c r="K58" s="345">
        <f>SUM(C58:I58)</f>
        <v>0</v>
      </c>
      <c r="L58" s="158"/>
      <c r="M58" s="158"/>
    </row>
    <row r="59" spans="2:14" s="66" customFormat="1" ht="13.9" outlineLevel="1" x14ac:dyDescent="0.25">
      <c r="B59" s="489" t="s">
        <v>406</v>
      </c>
      <c r="C59" s="328"/>
      <c r="D59" s="328"/>
      <c r="E59" s="508"/>
      <c r="F59" s="508"/>
      <c r="G59" s="508"/>
      <c r="H59" s="508"/>
      <c r="I59" s="328"/>
      <c r="J59" s="327"/>
      <c r="K59" s="491"/>
      <c r="L59" s="158"/>
      <c r="M59" s="158"/>
    </row>
    <row r="60" spans="2:14" s="66" customFormat="1" ht="13.9" outlineLevel="1" x14ac:dyDescent="0.25">
      <c r="B60" s="69"/>
      <c r="C60" s="83"/>
      <c r="D60" s="158"/>
      <c r="E60" s="158"/>
      <c r="F60" s="158"/>
      <c r="G60" s="158"/>
      <c r="H60" s="158"/>
      <c r="I60" s="158"/>
      <c r="J60" s="158"/>
      <c r="K60" s="158"/>
      <c r="L60" s="158"/>
      <c r="M60" s="158"/>
    </row>
    <row r="61" spans="2:14" s="66" customFormat="1" ht="13.9" outlineLevel="1" x14ac:dyDescent="0.25">
      <c r="B61" s="69"/>
      <c r="C61" s="83"/>
      <c r="D61" s="158"/>
      <c r="E61" s="158"/>
      <c r="F61" s="158"/>
      <c r="G61" s="158"/>
      <c r="H61" s="158"/>
      <c r="I61" s="158"/>
      <c r="J61" s="158"/>
      <c r="L61" s="158"/>
      <c r="M61" s="158"/>
    </row>
    <row r="62" spans="2:14" s="333" customFormat="1" ht="35.25" customHeight="1" outlineLevel="1" x14ac:dyDescent="0.25">
      <c r="B62" s="337">
        <v>2013</v>
      </c>
      <c r="C62" s="314" t="s">
        <v>37</v>
      </c>
      <c r="D62" s="314" t="s">
        <v>414</v>
      </c>
      <c r="E62" s="314" t="s">
        <v>415</v>
      </c>
      <c r="F62" s="314" t="s">
        <v>109</v>
      </c>
      <c r="G62" s="314" t="s">
        <v>117</v>
      </c>
      <c r="H62" s="314" t="s">
        <v>509</v>
      </c>
      <c r="I62" s="314" t="s">
        <v>118</v>
      </c>
      <c r="J62" s="314" t="s">
        <v>514</v>
      </c>
      <c r="K62" s="338" t="s">
        <v>34</v>
      </c>
      <c r="L62" s="332"/>
      <c r="M62" s="332"/>
    </row>
    <row r="63" spans="2:14" s="66" customFormat="1" ht="13.9" outlineLevel="1" x14ac:dyDescent="0.25">
      <c r="B63" s="329" t="s">
        <v>35</v>
      </c>
      <c r="C63" s="316"/>
      <c r="D63" s="316"/>
      <c r="E63" s="316"/>
      <c r="F63" s="316"/>
      <c r="G63" s="316"/>
      <c r="H63" s="316"/>
      <c r="I63" s="316"/>
      <c r="J63" s="158"/>
      <c r="K63" s="340"/>
      <c r="L63" s="158"/>
      <c r="M63" s="158"/>
    </row>
    <row r="64" spans="2:14" s="66" customFormat="1" ht="13.9" outlineLevel="1" x14ac:dyDescent="0.25">
      <c r="B64" s="486" t="s">
        <v>408</v>
      </c>
      <c r="C64" s="318">
        <v>259773254</v>
      </c>
      <c r="D64" s="342">
        <v>99956659</v>
      </c>
      <c r="E64" s="342">
        <v>225433209</v>
      </c>
      <c r="F64" s="342">
        <v>159155521</v>
      </c>
      <c r="G64" s="342">
        <v>627674</v>
      </c>
      <c r="H64" s="342">
        <v>9137954</v>
      </c>
      <c r="I64" s="342">
        <v>2238935</v>
      </c>
      <c r="J64" s="528">
        <v>251579433</v>
      </c>
      <c r="K64" s="536">
        <f>SUM(C64:J64)</f>
        <v>1007902639</v>
      </c>
      <c r="L64" s="158"/>
      <c r="M64" s="158"/>
    </row>
    <row r="65" spans="2:13" s="66" customFormat="1" ht="13.9" outlineLevel="1" x14ac:dyDescent="0.25">
      <c r="B65" s="343" t="s">
        <v>115</v>
      </c>
      <c r="C65" s="487">
        <f>C64/$K$64</f>
        <v>0.25773645583241694</v>
      </c>
      <c r="D65" s="487">
        <f t="shared" ref="D65:I65" si="19">D64/$K$64</f>
        <v>9.917293112673356E-2</v>
      </c>
      <c r="E65" s="487">
        <f>E64/$K$64</f>
        <v>0.22366566003206984</v>
      </c>
      <c r="F65" s="487">
        <f t="shared" si="19"/>
        <v>0.15790763397336435</v>
      </c>
      <c r="G65" s="487">
        <f t="shared" si="19"/>
        <v>6.2275261092951657E-4</v>
      </c>
      <c r="H65" s="487">
        <f t="shared" si="19"/>
        <v>9.0663062546064033E-3</v>
      </c>
      <c r="I65" s="487">
        <f t="shared" si="19"/>
        <v>2.2213802339295196E-3</v>
      </c>
      <c r="J65" s="487">
        <f t="shared" ref="J65" si="20">J64/$K$64</f>
        <v>0.24960687993594985</v>
      </c>
      <c r="K65" s="537">
        <f>SUM(C65:J65)</f>
        <v>0.99999999999999989</v>
      </c>
      <c r="L65" s="158"/>
      <c r="M65" s="158"/>
    </row>
    <row r="66" spans="2:13" s="66" customFormat="1" ht="13.9" outlineLevel="1" x14ac:dyDescent="0.25">
      <c r="B66" s="343" t="s">
        <v>336</v>
      </c>
      <c r="C66" s="504">
        <f>-$C$16*C65</f>
        <v>-4162606.6511336197</v>
      </c>
      <c r="D66" s="504">
        <f>-$C$16*D65</f>
        <v>-1601705.5149892191</v>
      </c>
      <c r="E66" s="504">
        <f>-$C$16*E65</f>
        <v>-3612341.7662150683</v>
      </c>
      <c r="F66" s="504">
        <f t="shared" ref="F66:I66" si="21">-$C$16*F65</f>
        <v>-2550308.0862945053</v>
      </c>
      <c r="G66" s="504">
        <f t="shared" si="21"/>
        <v>-10057.8482461618</v>
      </c>
      <c r="H66" s="504">
        <f t="shared" si="21"/>
        <v>-146426.57591744632</v>
      </c>
      <c r="I66" s="504">
        <f t="shared" si="21"/>
        <v>-35876.694690269585</v>
      </c>
      <c r="J66" s="504">
        <f t="shared" ref="J66" si="22">-$C$16*J65</f>
        <v>-4031308.8625137098</v>
      </c>
      <c r="K66" s="536">
        <f>SUM(C66:J66)</f>
        <v>-16150632</v>
      </c>
      <c r="L66" s="158"/>
      <c r="M66" s="158"/>
    </row>
    <row r="67" spans="2:13" s="66" customFormat="1" ht="13.9" outlineLevel="1" x14ac:dyDescent="0.25">
      <c r="B67" s="343" t="s">
        <v>116</v>
      </c>
      <c r="C67" s="346">
        <f>C64+C66</f>
        <v>255610647.34886637</v>
      </c>
      <c r="D67" s="341">
        <f t="shared" ref="D67" si="23">D64+D66</f>
        <v>98354953.485010788</v>
      </c>
      <c r="E67" s="341">
        <f t="shared" ref="E67" si="24">E64+E66</f>
        <v>221820867.23378494</v>
      </c>
      <c r="F67" s="341">
        <f t="shared" ref="F67" si="25">F64+F66</f>
        <v>156605212.9137055</v>
      </c>
      <c r="G67" s="341">
        <f t="shared" ref="G67" si="26">G64+G66</f>
        <v>617616.15175383817</v>
      </c>
      <c r="H67" s="341">
        <f t="shared" ref="H67" si="27">H64+H66</f>
        <v>8991527.424082553</v>
      </c>
      <c r="I67" s="341">
        <f t="shared" ref="I67:J67" si="28">I64+I66</f>
        <v>2203058.3053097306</v>
      </c>
      <c r="J67" s="341">
        <f t="shared" si="28"/>
        <v>247548124.13748628</v>
      </c>
      <c r="K67" s="536">
        <f>SUM(C67:J67)</f>
        <v>991752007</v>
      </c>
      <c r="L67" s="158"/>
      <c r="M67" s="158"/>
    </row>
    <row r="68" spans="2:13" s="66" customFormat="1" ht="13.9" outlineLevel="1" x14ac:dyDescent="0.25">
      <c r="B68" s="329" t="s">
        <v>36</v>
      </c>
      <c r="C68" s="158"/>
      <c r="D68" s="323"/>
      <c r="E68" s="349"/>
      <c r="F68" s="324"/>
      <c r="G68" s="325"/>
      <c r="H68" s="326"/>
      <c r="I68" s="158"/>
      <c r="J68" s="158"/>
      <c r="K68" s="538"/>
      <c r="L68" s="158"/>
      <c r="M68" s="158"/>
    </row>
    <row r="69" spans="2:13" s="66" customFormat="1" ht="13.9" outlineLevel="1" x14ac:dyDescent="0.25">
      <c r="B69" s="486" t="s">
        <v>409</v>
      </c>
      <c r="C69" s="158"/>
      <c r="D69" s="158"/>
      <c r="E69" s="341">
        <f>E64*E72</f>
        <v>622378</v>
      </c>
      <c r="F69" s="341">
        <f t="shared" ref="F69:H69" si="29">F64*F72</f>
        <v>335318</v>
      </c>
      <c r="G69" s="341">
        <f t="shared" si="29"/>
        <v>1452</v>
      </c>
      <c r="H69" s="341">
        <f t="shared" si="29"/>
        <v>24551</v>
      </c>
      <c r="I69" s="158"/>
      <c r="J69" s="341">
        <f t="shared" ref="J69" si="30">J64*J72</f>
        <v>398793</v>
      </c>
      <c r="K69" s="539">
        <f t="shared" ref="K69" si="31">SUM(C69:J69)</f>
        <v>1382492</v>
      </c>
      <c r="L69" s="158"/>
      <c r="M69" s="158"/>
    </row>
    <row r="70" spans="2:13" s="66" customFormat="1" ht="13.9" outlineLevel="1" x14ac:dyDescent="0.25">
      <c r="B70" s="343" t="s">
        <v>119</v>
      </c>
      <c r="C70" s="158"/>
      <c r="D70" s="158"/>
      <c r="E70" s="540">
        <v>-1126</v>
      </c>
      <c r="F70" s="540">
        <v>-607</v>
      </c>
      <c r="G70" s="540">
        <v>-3</v>
      </c>
      <c r="H70" s="540">
        <v>-44</v>
      </c>
      <c r="I70" s="541"/>
      <c r="J70" s="540">
        <v>-722</v>
      </c>
      <c r="K70" s="539">
        <f>SUM(C70:J70)</f>
        <v>-2502</v>
      </c>
      <c r="L70" s="158"/>
      <c r="M70" s="158"/>
    </row>
    <row r="71" spans="2:13" s="66" customFormat="1" ht="13.9" outlineLevel="1" x14ac:dyDescent="0.25">
      <c r="B71" s="343" t="s">
        <v>116</v>
      </c>
      <c r="C71" s="158"/>
      <c r="D71" s="158"/>
      <c r="E71" s="341">
        <f>E69+E70</f>
        <v>621252</v>
      </c>
      <c r="F71" s="341">
        <f t="shared" ref="F71" si="32">F69+F70</f>
        <v>334711</v>
      </c>
      <c r="G71" s="341">
        <f t="shared" ref="G71" si="33">G69+G70</f>
        <v>1449</v>
      </c>
      <c r="H71" s="341">
        <f t="shared" ref="H71:J71" si="34">H69+H70</f>
        <v>24507</v>
      </c>
      <c r="I71" s="158"/>
      <c r="J71" s="341">
        <f t="shared" si="34"/>
        <v>398071</v>
      </c>
      <c r="K71" s="539">
        <f t="shared" ref="K71" si="35">SUM(C71:J71)</f>
        <v>1379990</v>
      </c>
      <c r="L71" s="158"/>
      <c r="M71" s="158"/>
    </row>
    <row r="72" spans="2:13" s="66" customFormat="1" ht="13.9" outlineLevel="1" x14ac:dyDescent="0.25">
      <c r="B72" s="489" t="s">
        <v>407</v>
      </c>
      <c r="C72" s="328"/>
      <c r="D72" s="328"/>
      <c r="E72" s="508">
        <v>2.7608088566933365E-3</v>
      </c>
      <c r="F72" s="508">
        <v>2.1068574806148259E-3</v>
      </c>
      <c r="G72" s="508">
        <v>2.313302765448306E-3</v>
      </c>
      <c r="H72" s="508">
        <v>2.6867064552962292E-3</v>
      </c>
      <c r="I72" s="328"/>
      <c r="J72" s="508">
        <v>1.5851574003666667E-3</v>
      </c>
      <c r="K72" s="491"/>
      <c r="L72" s="158"/>
      <c r="M72" s="158"/>
    </row>
    <row r="73" spans="2:13" s="66" customFormat="1" ht="13.9" outlineLevel="1" x14ac:dyDescent="0.25">
      <c r="B73" s="69"/>
      <c r="C73" s="83"/>
      <c r="L73" s="158"/>
    </row>
    <row r="74" spans="2:13" s="66" customFormat="1" ht="13.9" outlineLevel="1" x14ac:dyDescent="0.25">
      <c r="B74" s="69"/>
      <c r="C74" s="83"/>
    </row>
    <row r="75" spans="2:13" s="333" customFormat="1" ht="34.5" customHeight="1" outlineLevel="1" x14ac:dyDescent="0.25">
      <c r="B75" s="337">
        <v>2014</v>
      </c>
      <c r="C75" s="314" t="s">
        <v>37</v>
      </c>
      <c r="D75" s="314" t="s">
        <v>414</v>
      </c>
      <c r="E75" s="314" t="s">
        <v>415</v>
      </c>
      <c r="F75" s="314" t="s">
        <v>109</v>
      </c>
      <c r="G75" s="314" t="s">
        <v>117</v>
      </c>
      <c r="H75" s="314" t="s">
        <v>509</v>
      </c>
      <c r="I75" s="314" t="s">
        <v>118</v>
      </c>
      <c r="J75" s="314" t="s">
        <v>514</v>
      </c>
      <c r="K75" s="338" t="s">
        <v>34</v>
      </c>
    </row>
    <row r="76" spans="2:13" s="66" customFormat="1" ht="13.9" outlineLevel="1" x14ac:dyDescent="0.25">
      <c r="B76" s="329" t="s">
        <v>35</v>
      </c>
      <c r="C76" s="316"/>
      <c r="D76" s="316"/>
      <c r="E76" s="316"/>
      <c r="F76" s="316"/>
      <c r="G76" s="316"/>
      <c r="H76" s="316"/>
      <c r="I76" s="316"/>
      <c r="J76" s="158"/>
      <c r="K76" s="340"/>
    </row>
    <row r="77" spans="2:13" s="66" customFormat="1" ht="13.9" outlineLevel="1" x14ac:dyDescent="0.25">
      <c r="B77" s="343" t="s">
        <v>408</v>
      </c>
      <c r="C77" s="318">
        <v>259773254</v>
      </c>
      <c r="D77" s="342">
        <v>99956659</v>
      </c>
      <c r="E77" s="342">
        <v>225433209</v>
      </c>
      <c r="F77" s="342">
        <v>159155521</v>
      </c>
      <c r="G77" s="342">
        <v>627674</v>
      </c>
      <c r="H77" s="342">
        <v>9137954</v>
      </c>
      <c r="I77" s="342">
        <v>2238935</v>
      </c>
      <c r="J77" s="528">
        <v>251579433</v>
      </c>
      <c r="K77" s="536">
        <f>SUM(C77:J77)</f>
        <v>1007902639</v>
      </c>
    </row>
    <row r="78" spans="2:13" s="66" customFormat="1" ht="13.9" outlineLevel="1" x14ac:dyDescent="0.25">
      <c r="B78" s="343" t="s">
        <v>115</v>
      </c>
      <c r="C78" s="487">
        <f>C77/$K$77</f>
        <v>0.25773645583241694</v>
      </c>
      <c r="D78" s="487">
        <f>D77/$K$77</f>
        <v>9.917293112673356E-2</v>
      </c>
      <c r="E78" s="487">
        <f t="shared" ref="E78:I78" si="36">E77/$K$77</f>
        <v>0.22366566003206984</v>
      </c>
      <c r="F78" s="487">
        <f t="shared" si="36"/>
        <v>0.15790763397336435</v>
      </c>
      <c r="G78" s="487">
        <f t="shared" si="36"/>
        <v>6.2275261092951657E-4</v>
      </c>
      <c r="H78" s="487">
        <f t="shared" si="36"/>
        <v>9.0663062546064033E-3</v>
      </c>
      <c r="I78" s="487">
        <f t="shared" si="36"/>
        <v>2.2213802339295196E-3</v>
      </c>
      <c r="J78" s="487">
        <f t="shared" ref="J78" si="37">J77/$K$64</f>
        <v>0.24960687993594985</v>
      </c>
      <c r="K78" s="537">
        <f>SUM(C78:J78)</f>
        <v>0.99999999999999989</v>
      </c>
    </row>
    <row r="79" spans="2:13" s="66" customFormat="1" ht="13.9" outlineLevel="1" x14ac:dyDescent="0.25">
      <c r="B79" s="343" t="s">
        <v>336</v>
      </c>
      <c r="C79" s="504">
        <f>-$C$17*C78</f>
        <v>-4162606.6511336197</v>
      </c>
      <c r="D79" s="504">
        <f t="shared" ref="D79:I79" si="38">-$C$17*D78</f>
        <v>-1601705.5149892191</v>
      </c>
      <c r="E79" s="504">
        <f t="shared" si="38"/>
        <v>-3612341.7662150683</v>
      </c>
      <c r="F79" s="504">
        <f t="shared" si="38"/>
        <v>-2550308.0862945053</v>
      </c>
      <c r="G79" s="504">
        <f t="shared" si="38"/>
        <v>-10057.8482461618</v>
      </c>
      <c r="H79" s="504">
        <f t="shared" si="38"/>
        <v>-146426.57591744632</v>
      </c>
      <c r="I79" s="504">
        <f t="shared" si="38"/>
        <v>-35876.694690269585</v>
      </c>
      <c r="J79" s="504">
        <f t="shared" ref="J79" si="39">-$C$16*J78</f>
        <v>-4031308.8625137098</v>
      </c>
      <c r="K79" s="536">
        <f>SUM(C79:J79)</f>
        <v>-16150632</v>
      </c>
    </row>
    <row r="80" spans="2:13" s="66" customFormat="1" ht="13.9" outlineLevel="1" x14ac:dyDescent="0.25">
      <c r="B80" s="343" t="s">
        <v>116</v>
      </c>
      <c r="C80" s="346">
        <f>C77+C79</f>
        <v>255610647.34886637</v>
      </c>
      <c r="D80" s="341">
        <f t="shared" ref="D80" si="40">D77+D79</f>
        <v>98354953.485010788</v>
      </c>
      <c r="E80" s="341">
        <f t="shared" ref="E80" si="41">E77+E79</f>
        <v>221820867.23378494</v>
      </c>
      <c r="F80" s="341">
        <f t="shared" ref="F80" si="42">F77+F79</f>
        <v>156605212.9137055</v>
      </c>
      <c r="G80" s="341">
        <f t="shared" ref="G80" si="43">G77+G79</f>
        <v>617616.15175383817</v>
      </c>
      <c r="H80" s="341">
        <f t="shared" ref="H80" si="44">H77+H79</f>
        <v>8991527.424082553</v>
      </c>
      <c r="I80" s="341">
        <f t="shared" ref="I80:J80" si="45">I77+I79</f>
        <v>2203058.3053097306</v>
      </c>
      <c r="J80" s="341">
        <f t="shared" si="45"/>
        <v>247548124.13748628</v>
      </c>
      <c r="K80" s="536">
        <f>SUM(C80:J80)</f>
        <v>991752007</v>
      </c>
    </row>
    <row r="81" spans="2:11" s="66" customFormat="1" ht="13.9" outlineLevel="1" x14ac:dyDescent="0.25">
      <c r="B81" s="329" t="s">
        <v>36</v>
      </c>
      <c r="C81" s="158"/>
      <c r="D81" s="323"/>
      <c r="E81" s="349"/>
      <c r="F81" s="324"/>
      <c r="G81" s="325"/>
      <c r="H81" s="326"/>
      <c r="I81" s="158"/>
      <c r="J81" s="158"/>
      <c r="K81" s="538"/>
    </row>
    <row r="82" spans="2:11" s="66" customFormat="1" ht="13.9" outlineLevel="1" x14ac:dyDescent="0.25">
      <c r="B82" s="343" t="s">
        <v>409</v>
      </c>
      <c r="C82" s="158"/>
      <c r="D82" s="158"/>
      <c r="E82" s="341">
        <f>E77*E85</f>
        <v>622378</v>
      </c>
      <c r="F82" s="341">
        <f t="shared" ref="F82:H82" si="46">F77*F85</f>
        <v>335318</v>
      </c>
      <c r="G82" s="341">
        <f t="shared" si="46"/>
        <v>1452</v>
      </c>
      <c r="H82" s="341">
        <f t="shared" si="46"/>
        <v>24551</v>
      </c>
      <c r="I82" s="158"/>
      <c r="J82" s="341">
        <f t="shared" ref="J82" si="47">J77*J85</f>
        <v>398793</v>
      </c>
      <c r="K82" s="539">
        <f t="shared" ref="K82" si="48">SUM(C82:J82)</f>
        <v>1382492</v>
      </c>
    </row>
    <row r="83" spans="2:11" s="66" customFormat="1" ht="13.9" outlineLevel="1" x14ac:dyDescent="0.25">
      <c r="B83" s="343" t="s">
        <v>119</v>
      </c>
      <c r="C83" s="158"/>
      <c r="D83" s="158"/>
      <c r="E83" s="540">
        <v>-1126</v>
      </c>
      <c r="F83" s="540">
        <v>-607</v>
      </c>
      <c r="G83" s="540">
        <v>-3</v>
      </c>
      <c r="H83" s="540">
        <v>-44</v>
      </c>
      <c r="I83" s="541"/>
      <c r="J83" s="540">
        <v>-722</v>
      </c>
      <c r="K83" s="539">
        <f>SUM(C83:J83)</f>
        <v>-2502</v>
      </c>
    </row>
    <row r="84" spans="2:11" s="66" customFormat="1" ht="13.9" outlineLevel="1" x14ac:dyDescent="0.25">
      <c r="B84" s="343" t="s">
        <v>116</v>
      </c>
      <c r="C84" s="158"/>
      <c r="D84" s="158"/>
      <c r="E84" s="341">
        <f>E82+E83</f>
        <v>621252</v>
      </c>
      <c r="F84" s="341">
        <f t="shared" ref="F84" si="49">F82+F83</f>
        <v>334711</v>
      </c>
      <c r="G84" s="341">
        <f t="shared" ref="G84" si="50">G82+G83</f>
        <v>1449</v>
      </c>
      <c r="H84" s="341">
        <f t="shared" ref="H84" si="51">H82+H83</f>
        <v>24507</v>
      </c>
      <c r="I84" s="158"/>
      <c r="J84" s="341">
        <f t="shared" ref="J84" si="52">J82+J83</f>
        <v>398071</v>
      </c>
      <c r="K84" s="539">
        <f t="shared" ref="K84" si="53">SUM(C84:J84)</f>
        <v>1379990</v>
      </c>
    </row>
    <row r="85" spans="2:11" s="66" customFormat="1" ht="13.9" outlineLevel="1" x14ac:dyDescent="0.25">
      <c r="B85" s="489" t="s">
        <v>406</v>
      </c>
      <c r="C85" s="328"/>
      <c r="D85" s="328"/>
      <c r="E85" s="508">
        <v>2.7608088566933365E-3</v>
      </c>
      <c r="F85" s="508">
        <v>2.1068574806148259E-3</v>
      </c>
      <c r="G85" s="508">
        <v>2.313302765448306E-3</v>
      </c>
      <c r="H85" s="508">
        <v>2.6867064552962292E-3</v>
      </c>
      <c r="I85" s="328"/>
      <c r="J85" s="508">
        <v>1.5851574003666667E-3</v>
      </c>
      <c r="K85" s="491"/>
    </row>
    <row r="86" spans="2:11" s="66" customFormat="1" ht="13.9" outlineLevel="1" x14ac:dyDescent="0.25">
      <c r="C86" s="83"/>
    </row>
    <row r="87" spans="2:11" s="66" customFormat="1" ht="13.9" outlineLevel="1" x14ac:dyDescent="0.25">
      <c r="B87" s="83"/>
      <c r="C87" s="331"/>
    </row>
    <row r="88" spans="2:11" s="66" customFormat="1" ht="27.6" outlineLevel="1" x14ac:dyDescent="0.25">
      <c r="B88" s="337">
        <v>2015</v>
      </c>
      <c r="C88" s="314" t="s">
        <v>37</v>
      </c>
      <c r="D88" s="314" t="s">
        <v>414</v>
      </c>
      <c r="E88" s="314" t="s">
        <v>415</v>
      </c>
      <c r="F88" s="314" t="s">
        <v>109</v>
      </c>
      <c r="G88" s="314" t="s">
        <v>117</v>
      </c>
      <c r="H88" s="314" t="s">
        <v>509</v>
      </c>
      <c r="I88" s="314" t="s">
        <v>118</v>
      </c>
      <c r="J88" s="314" t="s">
        <v>514</v>
      </c>
      <c r="K88" s="338" t="s">
        <v>34</v>
      </c>
    </row>
    <row r="89" spans="2:11" s="66" customFormat="1" ht="13.9" outlineLevel="1" x14ac:dyDescent="0.25">
      <c r="B89" s="329" t="s">
        <v>35</v>
      </c>
      <c r="C89" s="316"/>
      <c r="D89" s="316"/>
      <c r="E89" s="316"/>
      <c r="F89" s="316"/>
      <c r="G89" s="316"/>
      <c r="H89" s="316"/>
      <c r="I89" s="316"/>
      <c r="J89" s="158"/>
      <c r="K89" s="340"/>
    </row>
    <row r="90" spans="2:11" s="66" customFormat="1" ht="13.9" outlineLevel="1" x14ac:dyDescent="0.25">
      <c r="B90" s="343" t="s">
        <v>408</v>
      </c>
      <c r="C90" s="318">
        <v>259773254</v>
      </c>
      <c r="D90" s="342">
        <v>99956659</v>
      </c>
      <c r="E90" s="342">
        <v>225433209</v>
      </c>
      <c r="F90" s="342">
        <v>159155521</v>
      </c>
      <c r="G90" s="342">
        <v>627674</v>
      </c>
      <c r="H90" s="342">
        <v>9137954</v>
      </c>
      <c r="I90" s="342">
        <v>2238935</v>
      </c>
      <c r="J90" s="528">
        <v>251579433</v>
      </c>
      <c r="K90" s="536">
        <f>SUM(C90:J90)</f>
        <v>1007902639</v>
      </c>
    </row>
    <row r="91" spans="2:11" s="66" customFormat="1" ht="13.9" outlineLevel="1" x14ac:dyDescent="0.25">
      <c r="B91" s="343" t="s">
        <v>115</v>
      </c>
      <c r="C91" s="487">
        <f>C90/$K$90</f>
        <v>0.25773645583241694</v>
      </c>
      <c r="D91" s="487">
        <f>D90/$K$90</f>
        <v>9.917293112673356E-2</v>
      </c>
      <c r="E91" s="487">
        <f>E90/$K$90</f>
        <v>0.22366566003206984</v>
      </c>
      <c r="F91" s="487">
        <f t="shared" ref="F91:I91" si="54">F90/$K$90</f>
        <v>0.15790763397336435</v>
      </c>
      <c r="G91" s="487">
        <f t="shared" si="54"/>
        <v>6.2275261092951657E-4</v>
      </c>
      <c r="H91" s="487">
        <f t="shared" si="54"/>
        <v>9.0663062546064033E-3</v>
      </c>
      <c r="I91" s="487">
        <f t="shared" si="54"/>
        <v>2.2213802339295196E-3</v>
      </c>
      <c r="J91" s="487">
        <f t="shared" ref="J91" si="55">J90/$K$64</f>
        <v>0.24960687993594985</v>
      </c>
      <c r="K91" s="537">
        <f>SUM(C91:J91)</f>
        <v>0.99999999999999989</v>
      </c>
    </row>
    <row r="92" spans="2:11" s="66" customFormat="1" ht="13.9" outlineLevel="1" x14ac:dyDescent="0.25">
      <c r="B92" s="343" t="s">
        <v>336</v>
      </c>
      <c r="C92" s="504">
        <f>-$C$18*C91</f>
        <v>-4162606.6511336197</v>
      </c>
      <c r="D92" s="504">
        <f>-$C$18*D91</f>
        <v>-1601705.5149892191</v>
      </c>
      <c r="E92" s="504">
        <f>-$C$18*E91</f>
        <v>-3612341.7662150683</v>
      </c>
      <c r="F92" s="504">
        <f t="shared" ref="F92:I92" si="56">-$C$18*F91</f>
        <v>-2550308.0862945053</v>
      </c>
      <c r="G92" s="504">
        <f t="shared" si="56"/>
        <v>-10057.8482461618</v>
      </c>
      <c r="H92" s="504">
        <f t="shared" si="56"/>
        <v>-146426.57591744632</v>
      </c>
      <c r="I92" s="504">
        <f t="shared" si="56"/>
        <v>-35876.694690269585</v>
      </c>
      <c r="J92" s="504">
        <f t="shared" ref="J92" si="57">-$C$16*J91</f>
        <v>-4031308.8625137098</v>
      </c>
      <c r="K92" s="536">
        <f>SUM(C92:J92)</f>
        <v>-16150632</v>
      </c>
    </row>
    <row r="93" spans="2:11" s="66" customFormat="1" ht="13.9" outlineLevel="1" x14ac:dyDescent="0.25">
      <c r="B93" s="343" t="s">
        <v>116</v>
      </c>
      <c r="C93" s="346">
        <f>C90+C92</f>
        <v>255610647.34886637</v>
      </c>
      <c r="D93" s="341">
        <f t="shared" ref="D93:J93" si="58">D90+D92</f>
        <v>98354953.485010788</v>
      </c>
      <c r="E93" s="341">
        <f t="shared" si="58"/>
        <v>221820867.23378494</v>
      </c>
      <c r="F93" s="341">
        <f t="shared" si="58"/>
        <v>156605212.9137055</v>
      </c>
      <c r="G93" s="341">
        <f t="shared" si="58"/>
        <v>617616.15175383817</v>
      </c>
      <c r="H93" s="341">
        <f t="shared" si="58"/>
        <v>8991527.424082553</v>
      </c>
      <c r="I93" s="341">
        <f t="shared" si="58"/>
        <v>2203058.3053097306</v>
      </c>
      <c r="J93" s="341">
        <f t="shared" si="58"/>
        <v>247548124.13748628</v>
      </c>
      <c r="K93" s="536">
        <f>SUM(C93:J93)</f>
        <v>991752007</v>
      </c>
    </row>
    <row r="94" spans="2:11" s="66" customFormat="1" ht="13.9" outlineLevel="1" x14ac:dyDescent="0.25">
      <c r="B94" s="329" t="s">
        <v>36</v>
      </c>
      <c r="C94" s="158"/>
      <c r="D94" s="323"/>
      <c r="E94" s="349"/>
      <c r="F94" s="324"/>
      <c r="G94" s="325"/>
      <c r="H94" s="326"/>
      <c r="I94" s="158"/>
      <c r="J94" s="158"/>
      <c r="K94" s="538"/>
    </row>
    <row r="95" spans="2:11" s="66" customFormat="1" ht="13.9" outlineLevel="1" x14ac:dyDescent="0.25">
      <c r="B95" s="343" t="s">
        <v>409</v>
      </c>
      <c r="C95" s="158"/>
      <c r="D95" s="158"/>
      <c r="E95" s="341">
        <f>E90*E98</f>
        <v>622378</v>
      </c>
      <c r="F95" s="341">
        <f t="shared" ref="F95:H95" si="59">F90*F98</f>
        <v>335318</v>
      </c>
      <c r="G95" s="341">
        <f t="shared" si="59"/>
        <v>1452</v>
      </c>
      <c r="H95" s="341">
        <f t="shared" si="59"/>
        <v>24551</v>
      </c>
      <c r="I95" s="158"/>
      <c r="J95" s="341">
        <f t="shared" ref="J95" si="60">J90*J98</f>
        <v>398793</v>
      </c>
      <c r="K95" s="539">
        <f t="shared" ref="K95" si="61">SUM(C95:J95)</f>
        <v>1382492</v>
      </c>
    </row>
    <row r="96" spans="2:11" s="66" customFormat="1" ht="13.9" outlineLevel="1" x14ac:dyDescent="0.25">
      <c r="B96" s="343" t="s">
        <v>119</v>
      </c>
      <c r="C96" s="158"/>
      <c r="D96" s="158"/>
      <c r="E96" s="540">
        <v>-1126</v>
      </c>
      <c r="F96" s="540">
        <v>-607</v>
      </c>
      <c r="G96" s="540">
        <v>-3</v>
      </c>
      <c r="H96" s="540">
        <v>-44</v>
      </c>
      <c r="I96" s="541"/>
      <c r="J96" s="540">
        <v>-722</v>
      </c>
      <c r="K96" s="539">
        <f>SUM(C96:J96)</f>
        <v>-2502</v>
      </c>
    </row>
    <row r="97" spans="2:12" s="66" customFormat="1" ht="13.9" outlineLevel="1" x14ac:dyDescent="0.25">
      <c r="B97" s="343" t="s">
        <v>116</v>
      </c>
      <c r="C97" s="158"/>
      <c r="D97" s="158"/>
      <c r="E97" s="341">
        <f>E95+E96</f>
        <v>621252</v>
      </c>
      <c r="F97" s="341">
        <f t="shared" ref="F97:H97" si="62">F95+F96</f>
        <v>334711</v>
      </c>
      <c r="G97" s="341">
        <f t="shared" si="62"/>
        <v>1449</v>
      </c>
      <c r="H97" s="341">
        <f t="shared" si="62"/>
        <v>24507</v>
      </c>
      <c r="I97" s="158"/>
      <c r="J97" s="341">
        <f t="shared" ref="J97" si="63">J95+J96</f>
        <v>398071</v>
      </c>
      <c r="K97" s="539">
        <f t="shared" ref="K97" si="64">SUM(C97:J97)</f>
        <v>1379990</v>
      </c>
    </row>
    <row r="98" spans="2:12" s="66" customFormat="1" ht="13.9" outlineLevel="1" x14ac:dyDescent="0.25">
      <c r="B98" s="489" t="s">
        <v>406</v>
      </c>
      <c r="C98" s="328"/>
      <c r="D98" s="328"/>
      <c r="E98" s="508">
        <v>2.7608088566933365E-3</v>
      </c>
      <c r="F98" s="508">
        <v>2.1068574806148259E-3</v>
      </c>
      <c r="G98" s="508">
        <v>2.313302765448306E-3</v>
      </c>
      <c r="H98" s="508">
        <v>2.6867064552962292E-3</v>
      </c>
      <c r="I98" s="328"/>
      <c r="J98" s="508">
        <v>1.5851574003666667E-3</v>
      </c>
      <c r="K98" s="491"/>
    </row>
    <row r="99" spans="2:12" s="66" customFormat="1" ht="13.9" outlineLevel="1" x14ac:dyDescent="0.25">
      <c r="B99" s="83"/>
    </row>
    <row r="100" spans="2:12" s="66" customFormat="1" ht="13.9" outlineLevel="1" x14ac:dyDescent="0.25">
      <c r="B100" s="83"/>
    </row>
    <row r="101" spans="2:12" s="66" customFormat="1" ht="27.6" outlineLevel="1" x14ac:dyDescent="0.25">
      <c r="B101" s="337">
        <v>2016</v>
      </c>
      <c r="C101" s="314" t="s">
        <v>37</v>
      </c>
      <c r="D101" s="314" t="s">
        <v>414</v>
      </c>
      <c r="E101" s="314" t="s">
        <v>415</v>
      </c>
      <c r="F101" s="314" t="s">
        <v>109</v>
      </c>
      <c r="G101" s="314" t="s">
        <v>117</v>
      </c>
      <c r="H101" s="314" t="s">
        <v>509</v>
      </c>
      <c r="I101" s="314" t="s">
        <v>118</v>
      </c>
      <c r="J101" s="314" t="s">
        <v>514</v>
      </c>
      <c r="K101" s="338" t="s">
        <v>34</v>
      </c>
    </row>
    <row r="102" spans="2:12" s="66" customFormat="1" ht="13.9" outlineLevel="1" x14ac:dyDescent="0.25">
      <c r="B102" s="329" t="s">
        <v>35</v>
      </c>
      <c r="C102" s="316"/>
      <c r="D102" s="316"/>
      <c r="E102" s="316"/>
      <c r="F102" s="316"/>
      <c r="G102" s="316"/>
      <c r="H102" s="316"/>
      <c r="I102" s="316"/>
      <c r="J102" s="158"/>
      <c r="K102" s="340"/>
    </row>
    <row r="103" spans="2:12" s="66" customFormat="1" ht="13.9" outlineLevel="1" x14ac:dyDescent="0.25">
      <c r="B103" s="343" t="s">
        <v>408</v>
      </c>
      <c r="C103" s="318">
        <v>259773254</v>
      </c>
      <c r="D103" s="342">
        <v>99956659</v>
      </c>
      <c r="E103" s="342">
        <v>225433209</v>
      </c>
      <c r="F103" s="342">
        <v>159155521</v>
      </c>
      <c r="G103" s="342">
        <v>627674</v>
      </c>
      <c r="H103" s="342">
        <v>9137954</v>
      </c>
      <c r="I103" s="342">
        <v>2238935</v>
      </c>
      <c r="J103" s="528">
        <v>251579433</v>
      </c>
      <c r="K103" s="536">
        <f>SUM(C103:J103)</f>
        <v>1007902639</v>
      </c>
    </row>
    <row r="104" spans="2:12" s="23" customFormat="1" ht="14.45" outlineLevel="1" x14ac:dyDescent="0.3">
      <c r="B104" s="343" t="s">
        <v>115</v>
      </c>
      <c r="C104" s="487">
        <f>C103/$K$103</f>
        <v>0.25773645583241694</v>
      </c>
      <c r="D104" s="487">
        <f t="shared" ref="D104:I104" si="65">D103/$K$103</f>
        <v>9.917293112673356E-2</v>
      </c>
      <c r="E104" s="487">
        <f t="shared" si="65"/>
        <v>0.22366566003206984</v>
      </c>
      <c r="F104" s="487">
        <f t="shared" si="65"/>
        <v>0.15790763397336435</v>
      </c>
      <c r="G104" s="487">
        <f t="shared" si="65"/>
        <v>6.2275261092951657E-4</v>
      </c>
      <c r="H104" s="487">
        <f t="shared" si="65"/>
        <v>9.0663062546064033E-3</v>
      </c>
      <c r="I104" s="487">
        <f t="shared" si="65"/>
        <v>2.2213802339295196E-3</v>
      </c>
      <c r="J104" s="487">
        <f t="shared" ref="J104" si="66">J103/$K$64</f>
        <v>0.24960687993594985</v>
      </c>
      <c r="K104" s="537">
        <f>SUM(C104:J104)</f>
        <v>0.99999999999999989</v>
      </c>
      <c r="L104" s="66"/>
    </row>
    <row r="105" spans="2:12" s="23" customFormat="1" ht="14.45" outlineLevel="1" x14ac:dyDescent="0.3">
      <c r="B105" s="343" t="s">
        <v>336</v>
      </c>
      <c r="C105" s="504">
        <f>-$C$19*C104</f>
        <v>-4162606.6511336197</v>
      </c>
      <c r="D105" s="504">
        <f t="shared" ref="D105:I105" si="67">-$C$19*D104</f>
        <v>-1601705.5149892191</v>
      </c>
      <c r="E105" s="504">
        <f t="shared" si="67"/>
        <v>-3612341.7662150683</v>
      </c>
      <c r="F105" s="504">
        <f t="shared" si="67"/>
        <v>-2550308.0862945053</v>
      </c>
      <c r="G105" s="504">
        <f t="shared" si="67"/>
        <v>-10057.8482461618</v>
      </c>
      <c r="H105" s="504">
        <f t="shared" si="67"/>
        <v>-146426.57591744632</v>
      </c>
      <c r="I105" s="504">
        <f t="shared" si="67"/>
        <v>-35876.694690269585</v>
      </c>
      <c r="J105" s="504">
        <f t="shared" ref="J105" si="68">-$C$16*J104</f>
        <v>-4031308.8625137098</v>
      </c>
      <c r="K105" s="536">
        <f>SUM(C105:J105)</f>
        <v>-16150632</v>
      </c>
    </row>
    <row r="106" spans="2:12" s="23" customFormat="1" ht="14.45" outlineLevel="1" x14ac:dyDescent="0.3">
      <c r="B106" s="343" t="s">
        <v>116</v>
      </c>
      <c r="C106" s="346">
        <f>C103+C105</f>
        <v>255610647.34886637</v>
      </c>
      <c r="D106" s="341">
        <f t="shared" ref="D106:J106" si="69">D103+D105</f>
        <v>98354953.485010788</v>
      </c>
      <c r="E106" s="341">
        <f t="shared" si="69"/>
        <v>221820867.23378494</v>
      </c>
      <c r="F106" s="341">
        <f t="shared" si="69"/>
        <v>156605212.9137055</v>
      </c>
      <c r="G106" s="341">
        <f t="shared" si="69"/>
        <v>617616.15175383817</v>
      </c>
      <c r="H106" s="341">
        <f t="shared" si="69"/>
        <v>8991527.424082553</v>
      </c>
      <c r="I106" s="341">
        <f t="shared" si="69"/>
        <v>2203058.3053097306</v>
      </c>
      <c r="J106" s="341">
        <f t="shared" si="69"/>
        <v>247548124.13748628</v>
      </c>
      <c r="K106" s="536">
        <f>SUM(C106:J106)</f>
        <v>991752007</v>
      </c>
    </row>
    <row r="107" spans="2:12" s="23" customFormat="1" ht="14.45" outlineLevel="1" x14ac:dyDescent="0.3">
      <c r="B107" s="329" t="s">
        <v>36</v>
      </c>
      <c r="C107" s="158"/>
      <c r="D107" s="323"/>
      <c r="E107" s="349"/>
      <c r="F107" s="324"/>
      <c r="G107" s="325"/>
      <c r="H107" s="326"/>
      <c r="I107" s="158"/>
      <c r="J107" s="158"/>
      <c r="K107" s="538"/>
    </row>
    <row r="108" spans="2:12" s="23" customFormat="1" ht="14.45" outlineLevel="1" x14ac:dyDescent="0.3">
      <c r="B108" s="343" t="s">
        <v>409</v>
      </c>
      <c r="C108" s="158"/>
      <c r="D108" s="158"/>
      <c r="E108" s="341">
        <f>E103*E111</f>
        <v>622378</v>
      </c>
      <c r="F108" s="341">
        <f t="shared" ref="F108:H108" si="70">F103*F111</f>
        <v>335318</v>
      </c>
      <c r="G108" s="341">
        <f t="shared" si="70"/>
        <v>1452</v>
      </c>
      <c r="H108" s="341">
        <f t="shared" si="70"/>
        <v>24551</v>
      </c>
      <c r="I108" s="158"/>
      <c r="J108" s="341">
        <f t="shared" ref="J108" si="71">J103*J111</f>
        <v>398793</v>
      </c>
      <c r="K108" s="539">
        <f t="shared" ref="K108" si="72">SUM(C108:J108)</f>
        <v>1382492</v>
      </c>
    </row>
    <row r="109" spans="2:12" s="23" customFormat="1" ht="14.45" outlineLevel="1" x14ac:dyDescent="0.3">
      <c r="B109" s="343" t="s">
        <v>119</v>
      </c>
      <c r="C109" s="158"/>
      <c r="D109" s="158"/>
      <c r="E109" s="540">
        <v>-1126</v>
      </c>
      <c r="F109" s="540">
        <v>-607</v>
      </c>
      <c r="G109" s="540">
        <v>-3</v>
      </c>
      <c r="H109" s="540">
        <v>-44</v>
      </c>
      <c r="I109" s="541"/>
      <c r="J109" s="540">
        <v>-722</v>
      </c>
      <c r="K109" s="539">
        <f>SUM(C109:J109)</f>
        <v>-2502</v>
      </c>
    </row>
    <row r="110" spans="2:12" s="23" customFormat="1" ht="14.45" outlineLevel="1" x14ac:dyDescent="0.3">
      <c r="B110" s="343" t="s">
        <v>116</v>
      </c>
      <c r="C110" s="158"/>
      <c r="D110" s="158"/>
      <c r="E110" s="341">
        <f>E108+E109</f>
        <v>621252</v>
      </c>
      <c r="F110" s="341">
        <f t="shared" ref="F110:H110" si="73">F108+F109</f>
        <v>334711</v>
      </c>
      <c r="G110" s="341">
        <f t="shared" si="73"/>
        <v>1449</v>
      </c>
      <c r="H110" s="341">
        <f t="shared" si="73"/>
        <v>24507</v>
      </c>
      <c r="I110" s="158"/>
      <c r="J110" s="341">
        <f t="shared" ref="J110" si="74">J108+J109</f>
        <v>398071</v>
      </c>
      <c r="K110" s="539">
        <f t="shared" ref="K110" si="75">SUM(C110:J110)</f>
        <v>1379990</v>
      </c>
    </row>
    <row r="111" spans="2:12" s="23" customFormat="1" ht="14.45" outlineLevel="1" x14ac:dyDescent="0.3">
      <c r="B111" s="489" t="s">
        <v>406</v>
      </c>
      <c r="C111" s="328"/>
      <c r="D111" s="328"/>
      <c r="E111" s="508">
        <v>2.7608088566933365E-3</v>
      </c>
      <c r="F111" s="508">
        <v>2.1068574806148259E-3</v>
      </c>
      <c r="G111" s="508">
        <v>2.313302765448306E-3</v>
      </c>
      <c r="H111" s="508">
        <v>2.6867064552962292E-3</v>
      </c>
      <c r="I111" s="328"/>
      <c r="J111" s="508">
        <v>1.5851574003666667E-3</v>
      </c>
      <c r="K111" s="491"/>
    </row>
    <row r="112" spans="2:12" s="23" customFormat="1" ht="14.45" outlineLevel="1" x14ac:dyDescent="0.3">
      <c r="B112" s="65"/>
    </row>
    <row r="113" spans="2:12" s="23" customFormat="1" ht="14.45" outlineLevel="1" x14ac:dyDescent="0.3">
      <c r="B113" s="65"/>
    </row>
    <row r="114" spans="2:12" s="23" customFormat="1" ht="27.6" outlineLevel="1" x14ac:dyDescent="0.3">
      <c r="B114" s="337">
        <v>2017</v>
      </c>
      <c r="C114" s="314" t="s">
        <v>37</v>
      </c>
      <c r="D114" s="314" t="s">
        <v>414</v>
      </c>
      <c r="E114" s="314" t="s">
        <v>415</v>
      </c>
      <c r="F114" s="314" t="s">
        <v>109</v>
      </c>
      <c r="G114" s="314" t="s">
        <v>117</v>
      </c>
      <c r="H114" s="314" t="s">
        <v>509</v>
      </c>
      <c r="I114" s="314" t="s">
        <v>118</v>
      </c>
      <c r="J114" s="314" t="s">
        <v>514</v>
      </c>
      <c r="K114" s="338" t="s">
        <v>34</v>
      </c>
    </row>
    <row r="115" spans="2:12" s="23" customFormat="1" ht="14.45" outlineLevel="1" x14ac:dyDescent="0.3">
      <c r="B115" s="329" t="s">
        <v>35</v>
      </c>
      <c r="C115" s="316"/>
      <c r="D115" s="316"/>
      <c r="E115" s="316"/>
      <c r="F115" s="316"/>
      <c r="G115" s="316"/>
      <c r="H115" s="316"/>
      <c r="I115" s="316"/>
      <c r="J115" s="158"/>
      <c r="K115" s="340"/>
    </row>
    <row r="116" spans="2:12" s="23" customFormat="1" ht="14.45" outlineLevel="1" x14ac:dyDescent="0.3">
      <c r="B116" s="343" t="s">
        <v>408</v>
      </c>
      <c r="C116" s="318">
        <v>259773254</v>
      </c>
      <c r="D116" s="342">
        <v>99956659</v>
      </c>
      <c r="E116" s="342">
        <v>225433209</v>
      </c>
      <c r="F116" s="342">
        <v>159155521</v>
      </c>
      <c r="G116" s="342">
        <v>627674</v>
      </c>
      <c r="H116" s="342">
        <v>9137954</v>
      </c>
      <c r="I116" s="342">
        <v>2238935</v>
      </c>
      <c r="J116" s="528">
        <v>251579433</v>
      </c>
      <c r="K116" s="536">
        <f>SUM(C116:J116)</f>
        <v>1007902639</v>
      </c>
    </row>
    <row r="117" spans="2:12" s="23" customFormat="1" ht="14.45" outlineLevel="1" x14ac:dyDescent="0.3">
      <c r="B117" s="343" t="s">
        <v>115</v>
      </c>
      <c r="C117" s="487">
        <f>C116/$K$116</f>
        <v>0.25773645583241694</v>
      </c>
      <c r="D117" s="487">
        <f>D116/$K$116</f>
        <v>9.917293112673356E-2</v>
      </c>
      <c r="E117" s="487">
        <f t="shared" ref="E117:I117" si="76">E116/$K$116</f>
        <v>0.22366566003206984</v>
      </c>
      <c r="F117" s="487">
        <f t="shared" si="76"/>
        <v>0.15790763397336435</v>
      </c>
      <c r="G117" s="487">
        <f t="shared" si="76"/>
        <v>6.2275261092951657E-4</v>
      </c>
      <c r="H117" s="487">
        <f t="shared" si="76"/>
        <v>9.0663062546064033E-3</v>
      </c>
      <c r="I117" s="487">
        <f t="shared" si="76"/>
        <v>2.2213802339295196E-3</v>
      </c>
      <c r="J117" s="487">
        <f t="shared" ref="J117" si="77">J116/$K$64</f>
        <v>0.24960687993594985</v>
      </c>
      <c r="K117" s="537">
        <f>SUM(C117:J117)</f>
        <v>0.99999999999999989</v>
      </c>
      <c r="L117" s="66"/>
    </row>
    <row r="118" spans="2:12" s="23" customFormat="1" ht="14.45" outlineLevel="1" x14ac:dyDescent="0.3">
      <c r="B118" s="343" t="s">
        <v>336</v>
      </c>
      <c r="C118" s="504">
        <f>-$C$20*C117</f>
        <v>-4162606.6511336197</v>
      </c>
      <c r="D118" s="504">
        <f t="shared" ref="D118:I118" si="78">-$C$20*D117</f>
        <v>-1601705.5149892191</v>
      </c>
      <c r="E118" s="504">
        <f t="shared" si="78"/>
        <v>-3612341.7662150683</v>
      </c>
      <c r="F118" s="504">
        <f t="shared" si="78"/>
        <v>-2550308.0862945053</v>
      </c>
      <c r="G118" s="504">
        <f t="shared" si="78"/>
        <v>-10057.8482461618</v>
      </c>
      <c r="H118" s="504">
        <f t="shared" si="78"/>
        <v>-146426.57591744632</v>
      </c>
      <c r="I118" s="504">
        <f t="shared" si="78"/>
        <v>-35876.694690269585</v>
      </c>
      <c r="J118" s="504">
        <f t="shared" ref="J118" si="79">-$C$16*J117</f>
        <v>-4031308.8625137098</v>
      </c>
      <c r="K118" s="536">
        <f>SUM(C118:J118)</f>
        <v>-16150632</v>
      </c>
    </row>
    <row r="119" spans="2:12" s="23" customFormat="1" ht="14.45" outlineLevel="1" x14ac:dyDescent="0.3">
      <c r="B119" s="343" t="s">
        <v>116</v>
      </c>
      <c r="C119" s="346">
        <f>C116+C118</f>
        <v>255610647.34886637</v>
      </c>
      <c r="D119" s="341">
        <f>D116+D118</f>
        <v>98354953.485010788</v>
      </c>
      <c r="E119" s="341">
        <f t="shared" ref="E119:J119" si="80">E116+E118</f>
        <v>221820867.23378494</v>
      </c>
      <c r="F119" s="341">
        <f t="shared" si="80"/>
        <v>156605212.9137055</v>
      </c>
      <c r="G119" s="341">
        <f t="shared" si="80"/>
        <v>617616.15175383817</v>
      </c>
      <c r="H119" s="341">
        <f t="shared" si="80"/>
        <v>8991527.424082553</v>
      </c>
      <c r="I119" s="341">
        <f t="shared" si="80"/>
        <v>2203058.3053097306</v>
      </c>
      <c r="J119" s="341">
        <f t="shared" si="80"/>
        <v>247548124.13748628</v>
      </c>
      <c r="K119" s="536">
        <f>SUM(C119:J119)</f>
        <v>991752007</v>
      </c>
    </row>
    <row r="120" spans="2:12" s="23" customFormat="1" ht="14.45" outlineLevel="1" x14ac:dyDescent="0.3">
      <c r="B120" s="329" t="s">
        <v>36</v>
      </c>
      <c r="C120" s="158"/>
      <c r="D120" s="323"/>
      <c r="E120" s="349"/>
      <c r="F120" s="324"/>
      <c r="G120" s="325"/>
      <c r="H120" s="326"/>
      <c r="I120" s="158"/>
      <c r="J120" s="158"/>
      <c r="K120" s="538"/>
    </row>
    <row r="121" spans="2:12" s="23" customFormat="1" ht="14.45" outlineLevel="1" x14ac:dyDescent="0.3">
      <c r="B121" s="343" t="s">
        <v>409</v>
      </c>
      <c r="C121" s="158"/>
      <c r="D121" s="158"/>
      <c r="E121" s="341">
        <f>E116*E124</f>
        <v>622378</v>
      </c>
      <c r="F121" s="341">
        <f t="shared" ref="F121:H121" si="81">F116*F124</f>
        <v>335318</v>
      </c>
      <c r="G121" s="341">
        <f t="shared" si="81"/>
        <v>1452</v>
      </c>
      <c r="H121" s="341">
        <f t="shared" si="81"/>
        <v>24551</v>
      </c>
      <c r="I121" s="158"/>
      <c r="J121" s="341">
        <f t="shared" ref="J121" si="82">J116*J124</f>
        <v>398793</v>
      </c>
      <c r="K121" s="539">
        <f t="shared" ref="K121" si="83">SUM(C121:J121)</f>
        <v>1382492</v>
      </c>
    </row>
    <row r="122" spans="2:12" s="23" customFormat="1" ht="14.45" outlineLevel="1" x14ac:dyDescent="0.3">
      <c r="B122" s="343" t="s">
        <v>119</v>
      </c>
      <c r="C122" s="158"/>
      <c r="D122" s="158"/>
      <c r="E122" s="540">
        <v>-1126</v>
      </c>
      <c r="F122" s="540">
        <v>-607</v>
      </c>
      <c r="G122" s="540">
        <v>-3</v>
      </c>
      <c r="H122" s="540">
        <v>-44</v>
      </c>
      <c r="I122" s="541"/>
      <c r="J122" s="540">
        <v>-722</v>
      </c>
      <c r="K122" s="539">
        <f>SUM(C122:J122)</f>
        <v>-2502</v>
      </c>
    </row>
    <row r="123" spans="2:12" s="23" customFormat="1" ht="14.45" outlineLevel="1" x14ac:dyDescent="0.3">
      <c r="B123" s="343" t="s">
        <v>116</v>
      </c>
      <c r="C123" s="158"/>
      <c r="D123" s="158"/>
      <c r="E123" s="341">
        <f>E121+E122</f>
        <v>621252</v>
      </c>
      <c r="F123" s="341">
        <f t="shared" ref="F123:H123" si="84">F121+F122</f>
        <v>334711</v>
      </c>
      <c r="G123" s="341">
        <f t="shared" si="84"/>
        <v>1449</v>
      </c>
      <c r="H123" s="341">
        <f t="shared" si="84"/>
        <v>24507</v>
      </c>
      <c r="I123" s="158"/>
      <c r="J123" s="341">
        <f t="shared" ref="J123" si="85">J121+J122</f>
        <v>398071</v>
      </c>
      <c r="K123" s="539">
        <f t="shared" ref="K123" si="86">SUM(C123:J123)</f>
        <v>1379990</v>
      </c>
    </row>
    <row r="124" spans="2:12" s="23" customFormat="1" ht="14.45" outlineLevel="1" x14ac:dyDescent="0.3">
      <c r="B124" s="489" t="s">
        <v>406</v>
      </c>
      <c r="C124" s="328"/>
      <c r="D124" s="328"/>
      <c r="E124" s="508">
        <v>2.7608088566933365E-3</v>
      </c>
      <c r="F124" s="508">
        <v>2.1068574806148259E-3</v>
      </c>
      <c r="G124" s="508">
        <v>2.313302765448306E-3</v>
      </c>
      <c r="H124" s="508">
        <v>2.6867064552962292E-3</v>
      </c>
      <c r="I124" s="328"/>
      <c r="J124" s="508">
        <v>1.5851574003666667E-3</v>
      </c>
      <c r="K124" s="491"/>
    </row>
    <row r="125" spans="2:12" s="23" customFormat="1" ht="14.45" outlineLevel="1" x14ac:dyDescent="0.3">
      <c r="B125" s="65"/>
    </row>
    <row r="126" spans="2:12" s="23" customFormat="1" ht="14.45" outlineLevel="1" x14ac:dyDescent="0.3">
      <c r="B126" s="65"/>
    </row>
    <row r="127" spans="2:12" s="23" customFormat="1" ht="14.45" outlineLevel="1" x14ac:dyDescent="0.3">
      <c r="B127" s="65"/>
    </row>
    <row r="128" spans="2:12" s="23" customFormat="1" ht="14.45" x14ac:dyDescent="0.3">
      <c r="B128" s="65"/>
    </row>
    <row r="129" spans="2:11" s="55" customFormat="1" ht="16.5" customHeight="1" x14ac:dyDescent="0.3">
      <c r="B129" s="367" t="s">
        <v>418</v>
      </c>
      <c r="C129" s="112"/>
      <c r="D129" s="112"/>
      <c r="E129" s="112"/>
      <c r="F129" s="112"/>
      <c r="G129" s="112"/>
      <c r="H129" s="112"/>
      <c r="I129" s="112"/>
      <c r="J129" s="112"/>
      <c r="K129" s="112"/>
    </row>
    <row r="130" spans="2:11" s="3" customFormat="1" ht="9.75" customHeight="1" x14ac:dyDescent="0.3"/>
    <row r="131" spans="2:11" s="3" customFormat="1" ht="38.25" customHeight="1" x14ac:dyDescent="0.3">
      <c r="B131" s="102" t="s">
        <v>55</v>
      </c>
      <c r="C131" s="102" t="str">
        <f t="shared" ref="C131:J131" si="87">C24</f>
        <v>Residential</v>
      </c>
      <c r="D131" s="102" t="str">
        <f t="shared" si="87"/>
        <v>General Service &lt;50 kW</v>
      </c>
      <c r="E131" s="102" t="str">
        <f t="shared" si="87"/>
        <v>General Service 50 - 999 kW</v>
      </c>
      <c r="F131" s="102" t="str">
        <f t="shared" si="87"/>
        <v>General Service 1,000 - 4,999 kW</v>
      </c>
      <c r="G131" s="102" t="str">
        <f t="shared" si="87"/>
        <v>Sentinel Lighting</v>
      </c>
      <c r="H131" s="102" t="str">
        <f t="shared" si="87"/>
        <v>Street Lighting</v>
      </c>
      <c r="I131" s="102" t="str">
        <f t="shared" si="87"/>
        <v>Unmetered Scattered Load</v>
      </c>
      <c r="J131" s="102" t="str">
        <f t="shared" si="87"/>
        <v>Large Use</v>
      </c>
      <c r="K131" s="102" t="s">
        <v>34</v>
      </c>
    </row>
    <row r="132" spans="2:11" s="3" customFormat="1" ht="16.5" customHeight="1" x14ac:dyDescent="0.3">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3">
      <c r="B133" s="113">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552">
        <f>J26*'3.  Distribution Rates'!F39</f>
        <v>0</v>
      </c>
      <c r="K133" s="74">
        <f t="shared" ref="K133:K139" si="88">SUM(C133:J133)</f>
        <v>0</v>
      </c>
    </row>
    <row r="134" spans="2:11" s="3" customFormat="1" ht="16.5" customHeight="1" x14ac:dyDescent="0.3">
      <c r="B134" s="113">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552">
        <f>J27*'3.  Distribution Rates'!G39</f>
        <v>0</v>
      </c>
      <c r="K134" s="74">
        <f t="shared" si="88"/>
        <v>0</v>
      </c>
    </row>
    <row r="135" spans="2:11" s="3" customFormat="1" ht="16.5" customHeight="1" x14ac:dyDescent="0.3">
      <c r="B135" s="113">
        <v>2013</v>
      </c>
      <c r="C135" s="74">
        <f>C28*'3.  Distribution Rates'!G33</f>
        <v>84639.668573050265</v>
      </c>
      <c r="D135" s="74">
        <f>D28*'3.  Distribution Rates'!G34</f>
        <v>28723.909666666666</v>
      </c>
      <c r="E135" s="74">
        <f>E28*'3.  Distribution Rates'!G35</f>
        <v>4434.7510000000002</v>
      </c>
      <c r="F135" s="74">
        <f>F28*'3.  Distribution Rates'!G36</f>
        <v>940.04066666666665</v>
      </c>
      <c r="G135" s="74">
        <f>G28*'3.  Distribution Rates'!G37</f>
        <v>73.398899999999998</v>
      </c>
      <c r="H135" s="74">
        <f>H28*'3.  Distribution Rates'!G38</f>
        <v>787.3506666666666</v>
      </c>
      <c r="I135" s="74">
        <f>I28*'3.  Distribution Rates'!G39</f>
        <v>1286.7774495576691</v>
      </c>
      <c r="J135" s="552">
        <f>J28*'3.  Distribution Rates'!G40</f>
        <v>1234.6199999999999</v>
      </c>
      <c r="K135" s="74">
        <f t="shared" si="88"/>
        <v>122120.51692260795</v>
      </c>
    </row>
    <row r="136" spans="2:11" s="3" customFormat="1" ht="16.5" customHeight="1" x14ac:dyDescent="0.3">
      <c r="B136" s="113">
        <v>2014</v>
      </c>
      <c r="C136" s="75">
        <f>C29*'3.  Distribution Rates'!H33</f>
        <v>88663.521669146096</v>
      </c>
      <c r="D136" s="75">
        <f>D29*'3.  Distribution Rates'!H34</f>
        <v>30112.054</v>
      </c>
      <c r="E136" s="75">
        <f>E29*'3.  Distribution Rates'!H35</f>
        <v>4690.2779333333337</v>
      </c>
      <c r="F136" s="75">
        <f>F29*'3.  Distribution Rates'!H36</f>
        <v>1031.4346333333333</v>
      </c>
      <c r="G136" s="75">
        <f>G29*'3.  Distribution Rates'!H37</f>
        <v>76.8643</v>
      </c>
      <c r="H136" s="75">
        <f>H29*'3.  Distribution Rates'!H38</f>
        <v>824.52333333333331</v>
      </c>
      <c r="I136" s="75">
        <f>I29*'3.  Distribution Rates'!H39</f>
        <v>1177.9514756638514</v>
      </c>
      <c r="J136" s="553">
        <f>J29*'3.  Distribution Rates'!H40</f>
        <v>1336.8792666666666</v>
      </c>
      <c r="K136" s="75">
        <f t="shared" si="88"/>
        <v>127913.50661147662</v>
      </c>
    </row>
    <row r="137" spans="2:11" s="3" customFormat="1" ht="16.5" customHeight="1" x14ac:dyDescent="0.3">
      <c r="B137" s="113">
        <v>2015</v>
      </c>
      <c r="C137" s="75">
        <f>C30*'3.  Distribution Rates'!I33</f>
        <v>89912.303664486171</v>
      </c>
      <c r="D137" s="74">
        <f>D30*'3.  Distribution Rates'!I34</f>
        <v>30485.785166666665</v>
      </c>
      <c r="E137" s="75">
        <f>E30*'3.  Distribution Rates'!I35</f>
        <v>4752.8084666666664</v>
      </c>
      <c r="F137" s="75">
        <f>F30*'3.  Distribution Rates'!I36</f>
        <v>1045.1932999999999</v>
      </c>
      <c r="G137" s="75">
        <f>G30*'3.  Distribution Rates'!I37</f>
        <v>77.888900000000007</v>
      </c>
      <c r="H137" s="75">
        <f>H30*'3.  Distribution Rates'!I38</f>
        <v>835.51306666666665</v>
      </c>
      <c r="I137" s="74">
        <f>I30*'3.  Distribution Rates'!I39</f>
        <v>1193.4980433629682</v>
      </c>
      <c r="J137" s="552">
        <f>J30*'3.  Distribution Rates'!I40</f>
        <v>1354.7126666666668</v>
      </c>
      <c r="K137" s="75">
        <f t="shared" si="88"/>
        <v>129657.70327451582</v>
      </c>
    </row>
    <row r="138" spans="2:11" s="3" customFormat="1" ht="16.5" customHeight="1" x14ac:dyDescent="0.3">
      <c r="B138" s="113">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552">
        <f>J31*'3.  Distribution Rates'!K39</f>
        <v>0</v>
      </c>
      <c r="K138" s="75">
        <f t="shared" si="88"/>
        <v>0</v>
      </c>
    </row>
    <row r="139" spans="2:11" s="3" customFormat="1" ht="16.5" customHeight="1" x14ac:dyDescent="0.3">
      <c r="B139" s="113">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552">
        <f>J32*'3.  Distribution Rates'!L39</f>
        <v>0</v>
      </c>
      <c r="K139" s="75">
        <f t="shared" si="88"/>
        <v>0</v>
      </c>
    </row>
    <row r="140" spans="2:11" s="23" customFormat="1" ht="14.45" x14ac:dyDescent="0.3">
      <c r="B140" s="65"/>
    </row>
    <row r="141" spans="2:11" s="23" customFormat="1" ht="14.45" x14ac:dyDescent="0.3">
      <c r="B141" s="65"/>
    </row>
    <row r="142" spans="2:11" s="23" customFormat="1" ht="14.45" x14ac:dyDescent="0.3">
      <c r="B142" s="65"/>
    </row>
    <row r="143" spans="2:11" s="23" customFormat="1" ht="14.45" x14ac:dyDescent="0.3">
      <c r="B143" s="65"/>
    </row>
    <row r="144" spans="2:11" s="23" customFormat="1" ht="14.45" x14ac:dyDescent="0.3">
      <c r="B144" s="65"/>
    </row>
    <row r="145" spans="2:2" s="23" customFormat="1" ht="14.45" x14ac:dyDescent="0.3">
      <c r="B145" s="65"/>
    </row>
    <row r="146" spans="2:2" s="23" customFormat="1" ht="14.45" x14ac:dyDescent="0.3">
      <c r="B146" s="65"/>
    </row>
    <row r="147" spans="2:2" s="23" customFormat="1" ht="14.45" x14ac:dyDescent="0.3">
      <c r="B147" s="65"/>
    </row>
    <row r="148" spans="2:2" s="23" customFormat="1" ht="14.45" x14ac:dyDescent="0.3">
      <c r="B148" s="65"/>
    </row>
    <row r="149" spans="2:2" s="23" customFormat="1" ht="14.45" x14ac:dyDescent="0.3">
      <c r="B149" s="65"/>
    </row>
    <row r="150" spans="2:2" s="23" customFormat="1" ht="14.45" x14ac:dyDescent="0.3">
      <c r="B150" s="65"/>
    </row>
    <row r="151" spans="2:2" s="23" customFormat="1" ht="14.45" x14ac:dyDescent="0.3">
      <c r="B151" s="65"/>
    </row>
    <row r="152" spans="2:2" s="23" customFormat="1" ht="14.45" x14ac:dyDescent="0.3">
      <c r="B152" s="65"/>
    </row>
    <row r="153" spans="2:2" s="23" customFormat="1" ht="14.45" x14ac:dyDescent="0.3">
      <c r="B153" s="65"/>
    </row>
    <row r="154" spans="2:2" s="23" customFormat="1" ht="14.45" x14ac:dyDescent="0.3">
      <c r="B154" s="65"/>
    </row>
    <row r="155" spans="2:2" s="23" customFormat="1" ht="14.45" x14ac:dyDescent="0.3">
      <c r="B155" s="65"/>
    </row>
    <row r="156" spans="2:2" s="23" customFormat="1" ht="14.45" x14ac:dyDescent="0.3">
      <c r="B156" s="65"/>
    </row>
    <row r="157" spans="2:2" s="23" customFormat="1" ht="14.45" x14ac:dyDescent="0.3">
      <c r="B157" s="65"/>
    </row>
    <row r="158" spans="2:2" s="23" customFormat="1" ht="14.45" x14ac:dyDescent="0.3">
      <c r="B158" s="65"/>
    </row>
    <row r="159" spans="2:2" s="23" customFormat="1" ht="14.45" x14ac:dyDescent="0.3">
      <c r="B159" s="65"/>
    </row>
    <row r="160" spans="2:2" s="23" customFormat="1" ht="14.45" x14ac:dyDescent="0.3">
      <c r="B160" s="65"/>
    </row>
    <row r="161" spans="2:2" s="23" customFormat="1" ht="14.45" x14ac:dyDescent="0.3">
      <c r="B161" s="65"/>
    </row>
    <row r="162" spans="2:2" s="23" customFormat="1" ht="14.45" x14ac:dyDescent="0.3">
      <c r="B162" s="65"/>
    </row>
    <row r="163" spans="2:2" s="23" customFormat="1" ht="14.45" x14ac:dyDescent="0.3">
      <c r="B163" s="65"/>
    </row>
    <row r="164" spans="2:2" s="23" customFormat="1" ht="14.45" x14ac:dyDescent="0.3">
      <c r="B164" s="65"/>
    </row>
    <row r="165" spans="2:2" s="23" customFormat="1" ht="14.45" x14ac:dyDescent="0.3">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120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7" activePane="bottomLeft" state="frozen"/>
      <selection pane="bottomLeft" activeCell="G32" sqref="G32"/>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3">
      <c r="B1" s="47"/>
      <c r="C1" s="47"/>
    </row>
    <row r="2" spans="1:26" s="47" customFormat="1" ht="14.45" x14ac:dyDescent="0.3">
      <c r="A2" s="7"/>
    </row>
    <row r="3" spans="1:26" ht="20.45" x14ac:dyDescent="0.35">
      <c r="B3" s="599" t="s">
        <v>200</v>
      </c>
      <c r="C3" s="599"/>
      <c r="D3" s="599"/>
      <c r="E3" s="599"/>
      <c r="F3" s="599"/>
      <c r="G3" s="599"/>
      <c r="H3" s="599"/>
      <c r="I3" s="599"/>
      <c r="J3" s="599"/>
      <c r="K3" s="599"/>
    </row>
    <row r="4" spans="1:26" s="47" customFormat="1" ht="20.45" x14ac:dyDescent="0.35">
      <c r="A4" s="7"/>
      <c r="B4" s="234"/>
      <c r="C4" s="234"/>
      <c r="D4" s="234"/>
      <c r="E4" s="234"/>
      <c r="F4" s="234"/>
      <c r="G4" s="234"/>
      <c r="H4" s="234"/>
      <c r="I4" s="234"/>
      <c r="J4" s="234"/>
      <c r="K4" s="234"/>
    </row>
    <row r="5" spans="1:26" ht="54" customHeight="1" outlineLevel="1" x14ac:dyDescent="0.25">
      <c r="B5" s="600" t="s">
        <v>403</v>
      </c>
      <c r="C5" s="603" t="s">
        <v>498</v>
      </c>
      <c r="D5" s="603"/>
      <c r="E5" s="603"/>
      <c r="F5" s="603"/>
      <c r="G5" s="603"/>
      <c r="H5" s="603"/>
      <c r="I5" s="603"/>
      <c r="J5" s="603"/>
      <c r="K5" s="603"/>
    </row>
    <row r="6" spans="1:26" s="47" customFormat="1" ht="34.5" customHeight="1" outlineLevel="1" x14ac:dyDescent="0.25">
      <c r="A6" s="7"/>
      <c r="B6" s="600"/>
      <c r="C6" s="603" t="s">
        <v>413</v>
      </c>
      <c r="D6" s="603"/>
      <c r="E6" s="603"/>
      <c r="F6" s="603"/>
      <c r="G6" s="603"/>
      <c r="H6" s="603"/>
      <c r="I6" s="603"/>
      <c r="J6" s="603"/>
      <c r="K6" s="603"/>
    </row>
    <row r="7" spans="1:26" s="47" customFormat="1" ht="21" customHeight="1" outlineLevel="1" x14ac:dyDescent="0.25">
      <c r="A7" s="7"/>
      <c r="B7" s="600" t="s">
        <v>339</v>
      </c>
      <c r="C7" s="601" t="s">
        <v>367</v>
      </c>
      <c r="D7" s="601"/>
      <c r="E7" s="243"/>
    </row>
    <row r="8" spans="1:26" outlineLevel="1" x14ac:dyDescent="0.25">
      <c r="B8" s="600"/>
      <c r="C8" s="602" t="s">
        <v>340</v>
      </c>
      <c r="D8" s="602"/>
      <c r="E8" s="602"/>
      <c r="M8" s="9"/>
      <c r="N8" s="9"/>
      <c r="O8" s="9"/>
      <c r="P8" s="9"/>
      <c r="Q8" s="9"/>
      <c r="R8" s="9"/>
      <c r="S8" s="9"/>
      <c r="T8" s="9"/>
      <c r="U8" s="9"/>
      <c r="V8" s="9"/>
      <c r="W8" s="9"/>
      <c r="X8" s="9"/>
      <c r="Y8" s="9"/>
      <c r="Z8" s="9"/>
    </row>
    <row r="9" spans="1:26" s="5" customFormat="1" ht="10.5" customHeight="1" outlineLevel="1" x14ac:dyDescent="0.3">
      <c r="B9" s="47"/>
      <c r="C9" s="244"/>
      <c r="D9" s="245"/>
      <c r="E9" s="245"/>
      <c r="M9" s="9"/>
      <c r="N9" s="9"/>
      <c r="O9" s="9"/>
      <c r="P9" s="9"/>
      <c r="Q9" s="9"/>
      <c r="R9" s="9"/>
      <c r="S9" s="9"/>
      <c r="T9" s="9"/>
      <c r="U9" s="9"/>
      <c r="V9" s="9"/>
      <c r="W9" s="9"/>
      <c r="X9" s="9"/>
      <c r="Y9" s="9"/>
      <c r="Z9" s="9"/>
    </row>
    <row r="10" spans="1:26" s="5" customFormat="1" ht="5.25" customHeight="1" outlineLevel="1" x14ac:dyDescent="0.3">
      <c r="B10" s="47"/>
      <c r="C10" s="244"/>
      <c r="D10" s="245"/>
      <c r="E10" s="245"/>
      <c r="M10" s="9"/>
      <c r="N10" s="9"/>
      <c r="O10" s="9"/>
      <c r="P10" s="9"/>
      <c r="Q10" s="9"/>
      <c r="R10" s="9"/>
      <c r="S10" s="9"/>
      <c r="T10" s="9"/>
      <c r="U10" s="9"/>
      <c r="V10" s="9"/>
      <c r="W10" s="9"/>
      <c r="X10" s="9"/>
      <c r="Y10" s="9"/>
      <c r="Z10" s="9"/>
    </row>
    <row r="11" spans="1:26" s="5" customFormat="1" ht="12.75" customHeight="1" outlineLevel="1" x14ac:dyDescent="0.3">
      <c r="B11" s="47"/>
      <c r="C11" s="40"/>
      <c r="M11" s="9"/>
      <c r="N11" s="9"/>
      <c r="O11" s="9"/>
      <c r="P11" s="9"/>
      <c r="Q11" s="9"/>
      <c r="R11" s="9"/>
      <c r="S11" s="9"/>
      <c r="T11" s="9"/>
      <c r="U11" s="9"/>
      <c r="V11" s="9"/>
      <c r="W11" s="9"/>
      <c r="X11" s="9"/>
      <c r="Y11" s="9"/>
      <c r="Z11" s="9"/>
    </row>
    <row r="12" spans="1:26" s="40" customFormat="1" ht="18" outlineLevel="1" x14ac:dyDescent="0.3">
      <c r="A12" s="123"/>
      <c r="B12" s="112" t="s">
        <v>343</v>
      </c>
      <c r="C12" s="78"/>
      <c r="D12" s="78"/>
      <c r="E12" s="78"/>
      <c r="F12" s="78"/>
      <c r="G12" s="78"/>
      <c r="H12" s="78"/>
      <c r="I12" s="78"/>
      <c r="J12" s="78"/>
      <c r="K12" s="78"/>
      <c r="M12" s="123"/>
      <c r="N12" s="123"/>
      <c r="O12" s="123"/>
      <c r="P12" s="123"/>
      <c r="Q12" s="123"/>
      <c r="R12" s="123"/>
      <c r="S12" s="123"/>
      <c r="T12" s="123"/>
      <c r="U12" s="123"/>
      <c r="V12" s="123"/>
      <c r="W12" s="123"/>
      <c r="X12" s="123"/>
      <c r="Y12" s="123"/>
      <c r="Z12" s="123"/>
    </row>
    <row r="13" spans="1:26" s="47" customFormat="1" ht="6.75" customHeight="1" outlineLevel="1" x14ac:dyDescent="0.3">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3">
      <c r="B14" s="125" t="s">
        <v>351</v>
      </c>
      <c r="C14" s="126"/>
      <c r="D14" s="203" t="s">
        <v>209</v>
      </c>
      <c r="E14" s="203" t="s">
        <v>520</v>
      </c>
      <c r="F14" s="203" t="s">
        <v>516</v>
      </c>
      <c r="G14" s="203" t="s">
        <v>517</v>
      </c>
      <c r="H14" s="203" t="s">
        <v>518</v>
      </c>
      <c r="I14" s="203" t="s">
        <v>519</v>
      </c>
      <c r="J14" s="203" t="s">
        <v>344</v>
      </c>
      <c r="K14" s="203" t="s">
        <v>345</v>
      </c>
    </row>
    <row r="15" spans="1:26" s="11" customFormat="1" ht="14.25" customHeight="1" outlineLevel="1" x14ac:dyDescent="0.3">
      <c r="A15" s="9"/>
      <c r="B15" s="70"/>
      <c r="C15" s="70"/>
      <c r="D15" s="70"/>
      <c r="E15" s="70"/>
      <c r="F15" s="70"/>
      <c r="G15" s="70"/>
      <c r="H15" s="70"/>
      <c r="I15" s="70"/>
      <c r="J15" s="70"/>
      <c r="K15" s="70"/>
      <c r="L15" s="12"/>
    </row>
    <row r="16" spans="1:26" s="359" customFormat="1" ht="46.5" customHeight="1" outlineLevel="1" thickBot="1" x14ac:dyDescent="0.35">
      <c r="A16" s="358"/>
      <c r="B16" s="135" t="s">
        <v>56</v>
      </c>
      <c r="C16" s="136" t="s">
        <v>57</v>
      </c>
      <c r="D16" s="204" t="s">
        <v>110</v>
      </c>
      <c r="E16" s="204" t="s">
        <v>512</v>
      </c>
      <c r="F16" s="204" t="s">
        <v>511</v>
      </c>
      <c r="G16" s="204" t="s">
        <v>113</v>
      </c>
      <c r="H16" s="204" t="s">
        <v>114</v>
      </c>
      <c r="I16" s="204" t="s">
        <v>515</v>
      </c>
      <c r="J16" s="204" t="s">
        <v>447</v>
      </c>
      <c r="K16" s="204" t="s">
        <v>447</v>
      </c>
    </row>
    <row r="17" spans="1:12" s="11" customFormat="1" ht="14.45" outlineLevel="1" x14ac:dyDescent="0.25">
      <c r="A17" s="7"/>
      <c r="B17" s="132" t="s">
        <v>411</v>
      </c>
      <c r="C17" s="133"/>
      <c r="D17" s="134">
        <v>2010</v>
      </c>
      <c r="E17" s="134">
        <v>2011</v>
      </c>
      <c r="F17" s="134">
        <v>2012</v>
      </c>
      <c r="G17" s="134">
        <v>2013</v>
      </c>
      <c r="H17" s="134">
        <v>2014</v>
      </c>
      <c r="I17" s="134">
        <v>2015</v>
      </c>
      <c r="J17" s="134">
        <v>2016</v>
      </c>
      <c r="K17" s="134">
        <v>2017</v>
      </c>
    </row>
    <row r="18" spans="1:12" s="11" customFormat="1" ht="14.45" outlineLevel="1" x14ac:dyDescent="0.25">
      <c r="A18" s="7"/>
      <c r="B18" s="130" t="s">
        <v>111</v>
      </c>
      <c r="C18" s="131"/>
      <c r="D18" s="463"/>
      <c r="E18" s="206">
        <v>0</v>
      </c>
      <c r="F18" s="206">
        <v>0</v>
      </c>
      <c r="G18" s="206">
        <v>4</v>
      </c>
      <c r="H18" s="206">
        <v>4</v>
      </c>
      <c r="I18" s="206">
        <v>4</v>
      </c>
      <c r="J18" s="206"/>
      <c r="K18" s="206"/>
    </row>
    <row r="19" spans="1:12" s="11" customFormat="1" ht="14.45" outlineLevel="1" x14ac:dyDescent="0.25">
      <c r="A19" s="7"/>
      <c r="B19" s="130" t="s">
        <v>112</v>
      </c>
      <c r="C19" s="131"/>
      <c r="D19" s="205">
        <f>12-D18</f>
        <v>12</v>
      </c>
      <c r="E19" s="205">
        <v>0</v>
      </c>
      <c r="F19" s="205">
        <v>0</v>
      </c>
      <c r="G19" s="205">
        <f t="shared" ref="G19:K19" si="0">12-G18</f>
        <v>8</v>
      </c>
      <c r="H19" s="205">
        <f t="shared" si="0"/>
        <v>8</v>
      </c>
      <c r="I19" s="205">
        <f t="shared" si="0"/>
        <v>8</v>
      </c>
      <c r="J19" s="205">
        <f t="shared" si="0"/>
        <v>12</v>
      </c>
      <c r="K19" s="205">
        <f t="shared" si="0"/>
        <v>12</v>
      </c>
    </row>
    <row r="20" spans="1:12" s="11" customFormat="1" ht="13.9" outlineLevel="1" x14ac:dyDescent="0.25">
      <c r="A20" s="10"/>
      <c r="B20" s="107" t="str">
        <f>'2.  CDM Allocation'!C24</f>
        <v>Residential</v>
      </c>
      <c r="C20" s="79" t="str">
        <f>'2.  CDM Allocation'!C25</f>
        <v>kWh</v>
      </c>
      <c r="D20" s="207"/>
      <c r="E20" s="207">
        <v>1.8599999999999998E-2</v>
      </c>
      <c r="F20" s="207">
        <v>1.8800000000000001E-2</v>
      </c>
      <c r="G20" s="207">
        <v>2.1100000000000001E-2</v>
      </c>
      <c r="H20" s="207">
        <v>2.1399999999999999E-2</v>
      </c>
      <c r="I20" s="207">
        <v>2.1700000000000001E-2</v>
      </c>
      <c r="J20" s="207"/>
      <c r="K20" s="207"/>
      <c r="L20" s="12"/>
    </row>
    <row r="21" spans="1:12" ht="14.45" outlineLevel="1" x14ac:dyDescent="0.3">
      <c r="B21" s="107" t="str">
        <f>'2.  CDM Allocation'!D24</f>
        <v>General Service &lt;50 kW</v>
      </c>
      <c r="C21" s="79" t="str">
        <f>'2.  CDM Allocation'!D25</f>
        <v>kWh</v>
      </c>
      <c r="D21" s="207"/>
      <c r="E21" s="207">
        <v>1.6899999999999998E-2</v>
      </c>
      <c r="F21" s="207">
        <v>1.66E-2</v>
      </c>
      <c r="G21" s="207">
        <v>1.8599999999999998E-2</v>
      </c>
      <c r="H21" s="207">
        <v>1.89E-2</v>
      </c>
      <c r="I21" s="207">
        <v>1.9099999999999999E-2</v>
      </c>
      <c r="J21" s="207"/>
      <c r="K21" s="207"/>
    </row>
    <row r="22" spans="1:12" s="5" customFormat="1" ht="14.45" outlineLevel="1" x14ac:dyDescent="0.3">
      <c r="B22" s="107" t="str">
        <f>'2.  CDM Allocation'!E24</f>
        <v>General Service 50 - 999 kW</v>
      </c>
      <c r="C22" s="79" t="str">
        <f>'2.  CDM Allocation'!E25</f>
        <v>kW</v>
      </c>
      <c r="D22" s="207"/>
      <c r="E22" s="207">
        <v>3.5306000000000002</v>
      </c>
      <c r="F22" s="207">
        <v>3.5617000000000001</v>
      </c>
      <c r="G22" s="207">
        <v>4.1269</v>
      </c>
      <c r="H22" s="207">
        <v>4.1847000000000003</v>
      </c>
      <c r="I22" s="207">
        <v>4.2390999999999996</v>
      </c>
      <c r="J22" s="207"/>
      <c r="K22" s="207"/>
    </row>
    <row r="23" spans="1:12" s="5" customFormat="1" ht="14.45" outlineLevel="1" x14ac:dyDescent="0.3">
      <c r="A23" s="7"/>
      <c r="B23" s="107" t="str">
        <f>'2.  CDM Allocation'!F24</f>
        <v>General Service 1,000 - 4,999 kW</v>
      </c>
      <c r="C23" s="79" t="str">
        <f>'2.  CDM Allocation'!F25</f>
        <v>kW</v>
      </c>
      <c r="D23" s="207"/>
      <c r="E23" s="207">
        <v>1.2678</v>
      </c>
      <c r="F23" s="207">
        <v>1.2789999999999999</v>
      </c>
      <c r="G23" s="207">
        <v>1.6835</v>
      </c>
      <c r="H23" s="207">
        <v>1.7071000000000001</v>
      </c>
      <c r="I23" s="207">
        <v>1.7293000000000001</v>
      </c>
      <c r="J23" s="207"/>
      <c r="K23" s="207"/>
    </row>
    <row r="24" spans="1:12" s="5" customFormat="1" ht="14.45" outlineLevel="1" x14ac:dyDescent="0.3">
      <c r="A24" s="7"/>
      <c r="B24" s="107" t="str">
        <f>'2.  CDM Allocation'!G24</f>
        <v>Sentinel Lighting</v>
      </c>
      <c r="C24" s="79" t="str">
        <f>'2.  CDM Allocation'!G25</f>
        <v>kW</v>
      </c>
      <c r="D24" s="207"/>
      <c r="E24" s="207">
        <v>18.985900000000001</v>
      </c>
      <c r="F24" s="207">
        <v>22.629899999999999</v>
      </c>
      <c r="G24" s="207">
        <v>25.384499999999999</v>
      </c>
      <c r="H24" s="207">
        <v>25.739899999999999</v>
      </c>
      <c r="I24" s="207">
        <v>26.0745</v>
      </c>
      <c r="J24" s="207"/>
      <c r="K24" s="207"/>
    </row>
    <row r="25" spans="1:12" s="5" customFormat="1" ht="14.45" outlineLevel="1" x14ac:dyDescent="0.3">
      <c r="A25" s="7"/>
      <c r="B25" s="107" t="str">
        <f>'2.  CDM Allocation'!H24</f>
        <v>Street Lighting</v>
      </c>
      <c r="C25" s="79" t="str">
        <f>'2.  CDM Allocation'!H25</f>
        <v>kW</v>
      </c>
      <c r="D25" s="207"/>
      <c r="E25" s="207">
        <v>14.468400000000001</v>
      </c>
      <c r="F25" s="207">
        <v>16.551200000000001</v>
      </c>
      <c r="G25" s="207">
        <v>18.565899999999999</v>
      </c>
      <c r="H25" s="207">
        <v>18.825800000000001</v>
      </c>
      <c r="I25" s="207">
        <v>19.070499999999999</v>
      </c>
      <c r="J25" s="207"/>
      <c r="K25" s="207"/>
    </row>
    <row r="26" spans="1:12" s="5" customFormat="1" ht="14.45" outlineLevel="1" x14ac:dyDescent="0.3">
      <c r="A26" s="7"/>
      <c r="B26" s="107" t="str">
        <f>'2.  CDM Allocation'!I24</f>
        <v>Unmetered Scattered Load</v>
      </c>
      <c r="C26" s="79" t="str">
        <f>'2.  CDM Allocation'!I25</f>
        <v>kWh</v>
      </c>
      <c r="D26" s="207"/>
      <c r="E26" s="207">
        <v>3.9600000000000003E-2</v>
      </c>
      <c r="F26" s="207">
        <v>4.2599999999999999E-2</v>
      </c>
      <c r="G26" s="207">
        <v>3.2500000000000001E-2</v>
      </c>
      <c r="H26" s="207">
        <v>3.3000000000000002E-2</v>
      </c>
      <c r="I26" s="207">
        <v>3.3399999999999999E-2</v>
      </c>
      <c r="J26" s="207"/>
      <c r="K26" s="207"/>
    </row>
    <row r="27" spans="1:12" s="5" customFormat="1" ht="14.45" outlineLevel="1" x14ac:dyDescent="0.3">
      <c r="A27" s="7"/>
      <c r="B27" s="108" t="s">
        <v>514</v>
      </c>
      <c r="C27" s="109" t="s">
        <v>36</v>
      </c>
      <c r="D27" s="208"/>
      <c r="E27" s="208">
        <v>1.4742</v>
      </c>
      <c r="F27" s="208">
        <v>1.4610000000000001</v>
      </c>
      <c r="G27" s="208">
        <v>1.8345</v>
      </c>
      <c r="H27" s="208">
        <v>1.8602000000000001</v>
      </c>
      <c r="I27" s="209">
        <v>1.8844000000000001</v>
      </c>
      <c r="J27" s="209"/>
      <c r="K27" s="209"/>
    </row>
    <row r="28" spans="1:12" s="5" customFormat="1" ht="14.45" outlineLevel="1" x14ac:dyDescent="0.3">
      <c r="A28" s="7"/>
      <c r="B28" s="237"/>
      <c r="C28" s="289"/>
      <c r="D28" s="364"/>
      <c r="E28" s="364"/>
      <c r="F28" s="364"/>
      <c r="G28" s="364"/>
      <c r="H28" s="364"/>
      <c r="I28" s="365"/>
      <c r="J28" s="365"/>
      <c r="K28" s="365"/>
    </row>
    <row r="29" spans="1:12" s="5" customFormat="1" ht="14.45" outlineLevel="1" x14ac:dyDescent="0.3">
      <c r="A29" s="7"/>
      <c r="B29" s="37"/>
      <c r="C29" s="38"/>
      <c r="D29" s="39"/>
      <c r="E29" s="39"/>
      <c r="F29" s="39"/>
      <c r="G29" s="39"/>
      <c r="H29" s="39"/>
      <c r="I29" s="40"/>
      <c r="J29" s="40"/>
      <c r="K29" s="40"/>
    </row>
    <row r="30" spans="1:12" s="40" customFormat="1" ht="18" x14ac:dyDescent="0.3">
      <c r="A30" s="124"/>
      <c r="B30" s="367" t="s">
        <v>417</v>
      </c>
      <c r="C30" s="78"/>
      <c r="D30" s="78"/>
      <c r="E30" s="78"/>
      <c r="F30" s="78"/>
      <c r="G30" s="78"/>
      <c r="H30" s="78"/>
      <c r="I30" s="78"/>
      <c r="J30" s="78"/>
      <c r="K30" s="78"/>
    </row>
    <row r="31" spans="1:12" ht="9" customHeight="1" x14ac:dyDescent="0.3">
      <c r="B31" s="11"/>
      <c r="C31" s="11"/>
      <c r="D31" s="11"/>
      <c r="E31" s="11"/>
      <c r="F31" s="11"/>
      <c r="G31" s="11"/>
      <c r="H31" s="11"/>
      <c r="I31" s="11"/>
      <c r="J31" s="11"/>
      <c r="K31" s="11"/>
    </row>
    <row r="32" spans="1:12" ht="27" customHeight="1" x14ac:dyDescent="0.3">
      <c r="B32" s="285" t="s">
        <v>56</v>
      </c>
      <c r="C32" s="596" t="s">
        <v>57</v>
      </c>
      <c r="D32" s="597"/>
      <c r="E32" s="286">
        <v>2011</v>
      </c>
      <c r="F32" s="286">
        <v>2012</v>
      </c>
      <c r="G32" s="286">
        <v>2013</v>
      </c>
      <c r="H32" s="286">
        <v>2014</v>
      </c>
      <c r="I32" s="286">
        <v>2015</v>
      </c>
      <c r="J32" s="286">
        <v>2016</v>
      </c>
      <c r="K32" s="287">
        <v>2017</v>
      </c>
    </row>
    <row r="33" spans="2:11" ht="19.5" customHeight="1" x14ac:dyDescent="0.3">
      <c r="B33" s="290" t="s">
        <v>37</v>
      </c>
      <c r="C33" s="598" t="s">
        <v>35</v>
      </c>
      <c r="D33" s="598"/>
      <c r="E33" s="288">
        <f t="shared" ref="E33:E39" si="1">SUM(D20*$E$18+E20*$E$19)/12</f>
        <v>0</v>
      </c>
      <c r="F33" s="288">
        <f t="shared" ref="F33:F39" si="2">SUM(E20*$F$18+F20*$F$19)/12</f>
        <v>0</v>
      </c>
      <c r="G33" s="288">
        <f>SUM(F20*$G$18+G20*$G$19)/12</f>
        <v>2.0333333333333332E-2</v>
      </c>
      <c r="H33" s="288">
        <f t="shared" ref="H33:H39" si="3">SUM(G20*$H$18+H20*$H$19)/12</f>
        <v>2.1299999999999999E-2</v>
      </c>
      <c r="I33" s="288">
        <f t="shared" ref="I33:I39" si="4">SUM(H20*$I$18+I20*$I$19)/12</f>
        <v>2.1599999999999998E-2</v>
      </c>
      <c r="J33" s="288">
        <f t="shared" ref="J33:J39" si="5">SUM(I20*$J$18+J20*$J$19)/12</f>
        <v>0</v>
      </c>
      <c r="K33" s="291">
        <f>SUM(J20*$K$18+K20*$K$19)/12</f>
        <v>0</v>
      </c>
    </row>
    <row r="34" spans="2:11" ht="19.5" customHeight="1" x14ac:dyDescent="0.3">
      <c r="B34" s="290" t="s">
        <v>39</v>
      </c>
      <c r="C34" s="594" t="s">
        <v>35</v>
      </c>
      <c r="D34" s="594"/>
      <c r="E34" s="288">
        <f t="shared" si="1"/>
        <v>0</v>
      </c>
      <c r="F34" s="288">
        <f t="shared" si="2"/>
        <v>0</v>
      </c>
      <c r="G34" s="288">
        <f>SUM(F21*$G$18+G21*$G$19)/12</f>
        <v>1.7933333333333332E-2</v>
      </c>
      <c r="H34" s="288">
        <f t="shared" si="3"/>
        <v>1.8800000000000001E-2</v>
      </c>
      <c r="I34" s="288">
        <f t="shared" si="4"/>
        <v>1.9033333333333333E-2</v>
      </c>
      <c r="J34" s="288">
        <f t="shared" si="5"/>
        <v>0</v>
      </c>
      <c r="K34" s="291">
        <f t="shared" ref="K34:K39" si="6">SUM(J21*$K$18+K21*$K$19)/12</f>
        <v>0</v>
      </c>
    </row>
    <row r="35" spans="2:11" ht="19.5" customHeight="1" x14ac:dyDescent="0.3">
      <c r="B35" s="290" t="s">
        <v>108</v>
      </c>
      <c r="C35" s="594" t="s">
        <v>36</v>
      </c>
      <c r="D35" s="594"/>
      <c r="E35" s="288">
        <f t="shared" si="1"/>
        <v>0</v>
      </c>
      <c r="F35" s="288">
        <f t="shared" si="2"/>
        <v>0</v>
      </c>
      <c r="G35" s="288">
        <f t="shared" ref="G35:G39" si="7">SUM(F22*$G$18+G22*$G$19)/12</f>
        <v>3.9384999999999999</v>
      </c>
      <c r="H35" s="288">
        <f t="shared" si="3"/>
        <v>4.1654333333333335</v>
      </c>
      <c r="I35" s="288">
        <f t="shared" si="4"/>
        <v>4.2209666666666665</v>
      </c>
      <c r="J35" s="288">
        <f t="shared" si="5"/>
        <v>0</v>
      </c>
      <c r="K35" s="291">
        <f t="shared" si="6"/>
        <v>0</v>
      </c>
    </row>
    <row r="36" spans="2:11" ht="19.5" customHeight="1" x14ac:dyDescent="0.3">
      <c r="B36" s="290" t="s">
        <v>109</v>
      </c>
      <c r="C36" s="594" t="s">
        <v>36</v>
      </c>
      <c r="D36" s="594"/>
      <c r="E36" s="288">
        <f t="shared" si="1"/>
        <v>0</v>
      </c>
      <c r="F36" s="288">
        <f t="shared" si="2"/>
        <v>0</v>
      </c>
      <c r="G36" s="288">
        <f t="shared" si="7"/>
        <v>1.5486666666666666</v>
      </c>
      <c r="H36" s="288">
        <f t="shared" si="3"/>
        <v>1.6992333333333332</v>
      </c>
      <c r="I36" s="288">
        <f t="shared" si="4"/>
        <v>1.7219</v>
      </c>
      <c r="J36" s="288">
        <f t="shared" si="5"/>
        <v>0</v>
      </c>
      <c r="K36" s="291">
        <f t="shared" si="6"/>
        <v>0</v>
      </c>
    </row>
    <row r="37" spans="2:11" ht="19.5" customHeight="1" x14ac:dyDescent="0.3">
      <c r="B37" s="290" t="s">
        <v>40</v>
      </c>
      <c r="C37" s="594" t="s">
        <v>36</v>
      </c>
      <c r="D37" s="594"/>
      <c r="E37" s="288">
        <f t="shared" si="1"/>
        <v>0</v>
      </c>
      <c r="F37" s="288">
        <f t="shared" si="2"/>
        <v>0</v>
      </c>
      <c r="G37" s="288">
        <f t="shared" si="7"/>
        <v>24.4663</v>
      </c>
      <c r="H37" s="288">
        <f t="shared" si="3"/>
        <v>25.621433333333332</v>
      </c>
      <c r="I37" s="288">
        <f t="shared" si="4"/>
        <v>25.96296666666667</v>
      </c>
      <c r="J37" s="288">
        <f t="shared" si="5"/>
        <v>0</v>
      </c>
      <c r="K37" s="291">
        <f t="shared" si="6"/>
        <v>0</v>
      </c>
    </row>
    <row r="38" spans="2:11" ht="19.5" customHeight="1" x14ac:dyDescent="0.3">
      <c r="B38" s="290" t="s">
        <v>41</v>
      </c>
      <c r="C38" s="594" t="s">
        <v>36</v>
      </c>
      <c r="D38" s="594"/>
      <c r="E38" s="288">
        <f t="shared" si="1"/>
        <v>0</v>
      </c>
      <c r="F38" s="288">
        <f t="shared" si="2"/>
        <v>0</v>
      </c>
      <c r="G38" s="288">
        <f t="shared" si="7"/>
        <v>17.894333333333332</v>
      </c>
      <c r="H38" s="288">
        <f t="shared" si="3"/>
        <v>18.739166666666666</v>
      </c>
      <c r="I38" s="288">
        <f t="shared" si="4"/>
        <v>18.988933333333332</v>
      </c>
      <c r="J38" s="288">
        <f t="shared" si="5"/>
        <v>0</v>
      </c>
      <c r="K38" s="291">
        <f t="shared" si="6"/>
        <v>0</v>
      </c>
    </row>
    <row r="39" spans="2:11" ht="19.5" customHeight="1" x14ac:dyDescent="0.3">
      <c r="B39" s="290" t="s">
        <v>42</v>
      </c>
      <c r="C39" s="594" t="s">
        <v>35</v>
      </c>
      <c r="D39" s="594"/>
      <c r="E39" s="288">
        <f t="shared" si="1"/>
        <v>0</v>
      </c>
      <c r="F39" s="288">
        <f t="shared" si="2"/>
        <v>0</v>
      </c>
      <c r="G39" s="288">
        <f t="shared" si="7"/>
        <v>3.5866666666666665E-2</v>
      </c>
      <c r="H39" s="288">
        <f t="shared" si="3"/>
        <v>3.2833333333333332E-2</v>
      </c>
      <c r="I39" s="288">
        <f t="shared" si="4"/>
        <v>3.3266666666666667E-2</v>
      </c>
      <c r="J39" s="288">
        <f t="shared" si="5"/>
        <v>0</v>
      </c>
      <c r="K39" s="291">
        <f t="shared" si="6"/>
        <v>0</v>
      </c>
    </row>
    <row r="40" spans="2:11" ht="19.5" customHeight="1" x14ac:dyDescent="0.3">
      <c r="B40" s="292" t="s">
        <v>514</v>
      </c>
      <c r="C40" s="595"/>
      <c r="D40" s="595"/>
      <c r="E40" s="288">
        <f t="shared" ref="E40" si="8">SUM(D27*$E$18+E27*$E$19)/12</f>
        <v>0</v>
      </c>
      <c r="F40" s="288">
        <f t="shared" ref="F40" si="9">SUM(E27*$F$18+F27*$F$19)/12</f>
        <v>0</v>
      </c>
      <c r="G40" s="288">
        <f t="shared" ref="G40" si="10">SUM(F27*$G$18+G27*$G$19)/12</f>
        <v>1.71</v>
      </c>
      <c r="H40" s="288">
        <f t="shared" ref="H40" si="11">SUM(G27*$H$18+H27*$H$19)/12</f>
        <v>1.8516333333333332</v>
      </c>
      <c r="I40" s="288">
        <f t="shared" ref="I40" si="12">SUM(H27*$I$18+I27*$I$19)/12</f>
        <v>1.8763333333333334</v>
      </c>
      <c r="J40" s="288">
        <f t="shared" ref="J40" si="13">SUM(I27*$J$18+J27*$J$19)/12</f>
        <v>0</v>
      </c>
      <c r="K40" s="291">
        <f t="shared" ref="K40" si="14">SUM(J27*$K$18+K27*$K$19)/12</f>
        <v>0</v>
      </c>
    </row>
    <row r="41" spans="2:11" ht="14.45" x14ac:dyDescent="0.3">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zoomScale="90" zoomScaleNormal="90" zoomScaleSheetLayoutView="80" zoomScalePageLayoutView="85" workbookViewId="0">
      <selection activeCell="B3" sqref="B3:P3"/>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11.140625" style="26" customWidth="1"/>
    <col min="16" max="16" width="12"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3"/>
    <row r="2" spans="1:16" ht="23.25" customHeight="1" x14ac:dyDescent="0.3"/>
    <row r="3" spans="1:16" ht="20.45" x14ac:dyDescent="0.35">
      <c r="A3" s="64"/>
      <c r="B3" s="584" t="s">
        <v>354</v>
      </c>
      <c r="C3" s="584"/>
      <c r="D3" s="584"/>
      <c r="E3" s="584"/>
      <c r="F3" s="584"/>
      <c r="G3" s="584"/>
      <c r="H3" s="584"/>
      <c r="I3" s="584"/>
      <c r="J3" s="584"/>
      <c r="K3" s="584"/>
      <c r="L3" s="584"/>
      <c r="M3" s="584"/>
      <c r="N3" s="584"/>
      <c r="O3" s="584"/>
      <c r="P3" s="584"/>
    </row>
    <row r="4" spans="1:16" ht="18.75" hidden="1" customHeight="1" outlineLevel="1" x14ac:dyDescent="0.35">
      <c r="A4" s="64"/>
      <c r="B4" s="129"/>
      <c r="C4" s="234"/>
      <c r="D4" s="370"/>
      <c r="E4" s="234"/>
      <c r="F4" s="129"/>
      <c r="G4" s="129"/>
      <c r="H4" s="129"/>
      <c r="I4" s="129"/>
      <c r="J4" s="129"/>
      <c r="K4" s="129"/>
      <c r="L4" s="129"/>
      <c r="M4" s="129"/>
      <c r="N4" s="129"/>
      <c r="O4" s="129"/>
      <c r="P4" s="129"/>
    </row>
    <row r="5" spans="1:16" ht="15.6" hidden="1" outlineLevel="1" x14ac:dyDescent="0.3">
      <c r="A5" s="64"/>
      <c r="C5" s="368" t="s">
        <v>403</v>
      </c>
      <c r="D5" s="371" t="s">
        <v>420</v>
      </c>
      <c r="E5" s="303"/>
    </row>
    <row r="6" spans="1:16" ht="15.6" hidden="1" outlineLevel="1" x14ac:dyDescent="0.3">
      <c r="A6" s="64"/>
      <c r="C6" s="303"/>
      <c r="D6" s="371" t="s">
        <v>490</v>
      </c>
      <c r="E6" s="303"/>
    </row>
    <row r="7" spans="1:16" s="66" customFormat="1" ht="15" hidden="1" outlineLevel="1" x14ac:dyDescent="0.25">
      <c r="A7" s="128"/>
      <c r="B7" s="69"/>
      <c r="C7" s="70"/>
      <c r="D7" s="371" t="s">
        <v>355</v>
      </c>
      <c r="E7" s="372"/>
    </row>
    <row r="8" spans="1:16" ht="15.6" hidden="1" outlineLevel="1" x14ac:dyDescent="0.3">
      <c r="A8" s="64"/>
      <c r="C8" s="26"/>
      <c r="D8" s="169" t="s">
        <v>362</v>
      </c>
    </row>
    <row r="9" spans="1:16" s="66" customFormat="1" ht="15" hidden="1" outlineLevel="1" x14ac:dyDescent="0.25">
      <c r="A9" s="128"/>
      <c r="B9" s="69"/>
      <c r="C9" s="69"/>
      <c r="D9" s="169"/>
      <c r="E9" s="69"/>
    </row>
    <row r="10" spans="1:16" ht="15.6" hidden="1" outlineLevel="1" x14ac:dyDescent="0.3">
      <c r="A10" s="64"/>
      <c r="C10" s="25"/>
      <c r="D10" s="169" t="s">
        <v>360</v>
      </c>
    </row>
    <row r="11" spans="1:16" ht="15.6" hidden="1" outlineLevel="1" x14ac:dyDescent="0.3">
      <c r="A11" s="64"/>
      <c r="C11" s="25"/>
      <c r="D11" s="169" t="s">
        <v>361</v>
      </c>
    </row>
    <row r="12" spans="1:16" ht="15.6" hidden="1" outlineLevel="1" x14ac:dyDescent="0.3">
      <c r="A12" s="64"/>
      <c r="C12" s="591" t="s">
        <v>339</v>
      </c>
      <c r="D12" s="168"/>
      <c r="E12" s="47"/>
    </row>
    <row r="13" spans="1:16" ht="15.6" hidden="1" outlineLevel="1" x14ac:dyDescent="0.3">
      <c r="A13" s="64"/>
      <c r="C13" s="591"/>
      <c r="D13" s="601" t="s">
        <v>367</v>
      </c>
      <c r="E13" s="601"/>
    </row>
    <row r="14" spans="1:16" ht="15.6" hidden="1" outlineLevel="1" x14ac:dyDescent="0.3">
      <c r="A14" s="64"/>
      <c r="C14" s="591"/>
      <c r="D14" s="602" t="s">
        <v>340</v>
      </c>
      <c r="E14" s="602"/>
    </row>
    <row r="15" spans="1:16" ht="15.6" hidden="1" outlineLevel="1" x14ac:dyDescent="0.3">
      <c r="A15" s="64"/>
      <c r="C15" s="84"/>
      <c r="D15" s="69"/>
      <c r="E15" s="47"/>
    </row>
    <row r="16" spans="1:16" ht="15.6" collapsed="1" x14ac:dyDescent="0.3">
      <c r="A16" s="64"/>
      <c r="C16" s="84"/>
      <c r="D16" s="254"/>
      <c r="E16" s="47"/>
    </row>
    <row r="17" spans="1:17" ht="15.6" x14ac:dyDescent="0.3">
      <c r="B17" s="617" t="s">
        <v>356</v>
      </c>
      <c r="C17" s="617"/>
      <c r="D17" s="617"/>
      <c r="E17" s="617"/>
      <c r="F17" s="617"/>
      <c r="G17" s="617"/>
      <c r="H17" s="617"/>
      <c r="I17" s="617"/>
      <c r="J17" s="617"/>
      <c r="K17" s="617"/>
      <c r="L17" s="617"/>
      <c r="M17" s="617"/>
      <c r="N17" s="617"/>
      <c r="O17" s="617"/>
      <c r="P17" s="617"/>
    </row>
    <row r="18" spans="1:17" ht="18" hidden="1" x14ac:dyDescent="0.35">
      <c r="B18" s="19"/>
      <c r="C18" s="20"/>
      <c r="D18" s="19"/>
      <c r="E18" s="19"/>
      <c r="F18" s="19"/>
      <c r="G18" s="19"/>
      <c r="H18" s="19"/>
      <c r="I18" s="19"/>
      <c r="J18" s="19"/>
      <c r="K18" s="19"/>
      <c r="L18" s="19"/>
      <c r="M18" s="19"/>
      <c r="N18" s="19"/>
      <c r="O18" s="19"/>
      <c r="P18" s="19"/>
    </row>
    <row r="19" spans="1:17" s="27" customFormat="1" ht="50.25" customHeight="1" x14ac:dyDescent="0.25">
      <c r="A19" s="45"/>
      <c r="B19" s="604" t="s">
        <v>58</v>
      </c>
      <c r="C19" s="606" t="s">
        <v>0</v>
      </c>
      <c r="D19" s="606" t="s">
        <v>44</v>
      </c>
      <c r="E19" s="606" t="s">
        <v>206</v>
      </c>
      <c r="F19" s="272" t="s">
        <v>45</v>
      </c>
      <c r="G19" s="272" t="s">
        <v>203</v>
      </c>
      <c r="H19" s="614" t="s">
        <v>59</v>
      </c>
      <c r="I19" s="615"/>
      <c r="J19" s="615"/>
      <c r="K19" s="615"/>
      <c r="L19" s="615"/>
      <c r="M19" s="615"/>
      <c r="N19" s="615"/>
      <c r="O19" s="615"/>
      <c r="P19" s="616"/>
      <c r="Q19" s="4"/>
    </row>
    <row r="20" spans="1:17" s="27" customFormat="1" ht="43.5" customHeight="1" x14ac:dyDescent="0.2">
      <c r="A20" s="271"/>
      <c r="B20" s="605"/>
      <c r="C20" s="613"/>
      <c r="D20" s="613"/>
      <c r="E20" s="613"/>
      <c r="F20" s="215" t="s">
        <v>46</v>
      </c>
      <c r="G20" s="215" t="s">
        <v>47</v>
      </c>
      <c r="H20" s="215" t="str">
        <f>'1.  LRAMVA Summary'!C21</f>
        <v>Residential</v>
      </c>
      <c r="I20" s="215" t="str">
        <f>'1.  LRAMVA Summary'!D21</f>
        <v>General Service &lt;50 kW</v>
      </c>
      <c r="J20" s="215" t="str">
        <f>'1.  LRAMVA Summary'!E21</f>
        <v>General Service 50 - 999 kW</v>
      </c>
      <c r="K20" s="215" t="str">
        <f>'1.  LRAMVA Summary'!F21</f>
        <v>General Service 1,000 - 4,999 kW</v>
      </c>
      <c r="L20" s="215" t="str">
        <f>'1.  LRAMVA Summary'!G21</f>
        <v>Sentinel Lighting</v>
      </c>
      <c r="M20" s="215" t="str">
        <f>'1.  LRAMVA Summary'!H21</f>
        <v>Street Lighting</v>
      </c>
      <c r="N20" s="215" t="str">
        <f>'1.  LRAMVA Summary'!I21</f>
        <v>Unmetered Scattered Load</v>
      </c>
      <c r="O20" s="138" t="s">
        <v>514</v>
      </c>
      <c r="P20" s="273" t="str">
        <f>'1.  LRAMVA Summary'!K21</f>
        <v>Total</v>
      </c>
      <c r="Q20" s="4"/>
    </row>
    <row r="21" spans="1:17" s="21" customFormat="1" ht="21" customHeight="1" outlineLevel="1" x14ac:dyDescent="0.25">
      <c r="A21" s="619">
        <v>2011</v>
      </c>
      <c r="B21" s="248"/>
      <c r="C21" s="612" t="s">
        <v>1</v>
      </c>
      <c r="D21" s="612"/>
      <c r="E21" s="249"/>
      <c r="F21" s="250"/>
      <c r="G21" s="250"/>
      <c r="H21" s="250"/>
      <c r="I21" s="250"/>
      <c r="J21" s="250"/>
      <c r="K21" s="250"/>
      <c r="L21" s="250"/>
      <c r="M21" s="250"/>
      <c r="N21" s="250"/>
      <c r="O21" s="250"/>
      <c r="P21" s="251"/>
      <c r="Q21" s="140"/>
    </row>
    <row r="22" spans="1:17" s="27" customFormat="1" ht="14.25" outlineLevel="1" x14ac:dyDescent="0.2">
      <c r="A22" s="619"/>
      <c r="B22" s="274">
        <v>1</v>
      </c>
      <c r="C22" s="255" t="s">
        <v>2</v>
      </c>
      <c r="D22" s="253" t="s">
        <v>33</v>
      </c>
      <c r="E22" s="253"/>
      <c r="F22" s="296"/>
      <c r="G22" s="296">
        <v>288762</v>
      </c>
      <c r="H22" s="295">
        <v>1</v>
      </c>
      <c r="I22" s="294"/>
      <c r="J22" s="294"/>
      <c r="K22" s="294"/>
      <c r="L22" s="294"/>
      <c r="M22" s="294"/>
      <c r="N22" s="294"/>
      <c r="O22" s="294"/>
      <c r="P22" s="252">
        <f>SUM(H22:O22)</f>
        <v>1</v>
      </c>
      <c r="Q22" s="4"/>
    </row>
    <row r="23" spans="1:17" s="27" customFormat="1" ht="14.25" outlineLevel="1" x14ac:dyDescent="0.2">
      <c r="A23" s="619"/>
      <c r="B23" s="274">
        <v>2</v>
      </c>
      <c r="C23" s="255" t="s">
        <v>3</v>
      </c>
      <c r="D23" s="253" t="s">
        <v>33</v>
      </c>
      <c r="E23" s="253"/>
      <c r="F23" s="259"/>
      <c r="G23" s="259">
        <v>3826</v>
      </c>
      <c r="H23" s="295">
        <v>1</v>
      </c>
      <c r="I23" s="294"/>
      <c r="J23" s="294"/>
      <c r="K23" s="294"/>
      <c r="L23" s="294"/>
      <c r="M23" s="294"/>
      <c r="N23" s="294"/>
      <c r="O23" s="294"/>
      <c r="P23" s="252">
        <f t="shared" ref="P23:P29" si="0">SUM(H23:O23)</f>
        <v>1</v>
      </c>
      <c r="Q23" s="4"/>
    </row>
    <row r="24" spans="1:17" s="27" customFormat="1" ht="14.25" outlineLevel="1" x14ac:dyDescent="0.2">
      <c r="A24" s="619"/>
      <c r="B24" s="274">
        <v>3</v>
      </c>
      <c r="C24" s="255" t="s">
        <v>4</v>
      </c>
      <c r="D24" s="253" t="s">
        <v>33</v>
      </c>
      <c r="E24" s="253"/>
      <c r="F24" s="259"/>
      <c r="G24" s="259">
        <f>748429-86283</f>
        <v>662146</v>
      </c>
      <c r="H24" s="295">
        <v>1</v>
      </c>
      <c r="I24" s="294"/>
      <c r="J24" s="294"/>
      <c r="K24" s="294"/>
      <c r="L24" s="294"/>
      <c r="M24" s="294"/>
      <c r="N24" s="294"/>
      <c r="O24" s="294"/>
      <c r="P24" s="252">
        <f t="shared" si="0"/>
        <v>1</v>
      </c>
      <c r="Q24" s="4"/>
    </row>
    <row r="25" spans="1:17" s="27" customFormat="1" ht="14.25" outlineLevel="1" x14ac:dyDescent="0.2">
      <c r="A25" s="619"/>
      <c r="B25" s="274">
        <v>4</v>
      </c>
      <c r="C25" s="255" t="s">
        <v>5</v>
      </c>
      <c r="D25" s="253" t="s">
        <v>33</v>
      </c>
      <c r="E25" s="253"/>
      <c r="F25" s="259"/>
      <c r="G25" s="259">
        <f>121767+1781</f>
        <v>123548</v>
      </c>
      <c r="H25" s="295">
        <v>1</v>
      </c>
      <c r="I25" s="294"/>
      <c r="J25" s="294"/>
      <c r="K25" s="294"/>
      <c r="L25" s="294"/>
      <c r="M25" s="294"/>
      <c r="N25" s="294"/>
      <c r="O25" s="294"/>
      <c r="P25" s="252">
        <f t="shared" si="0"/>
        <v>1</v>
      </c>
      <c r="Q25" s="4"/>
    </row>
    <row r="26" spans="1:17" s="27" customFormat="1" ht="14.25" outlineLevel="1" x14ac:dyDescent="0.2">
      <c r="A26" s="619"/>
      <c r="B26" s="274">
        <v>5</v>
      </c>
      <c r="C26" s="255" t="s">
        <v>6</v>
      </c>
      <c r="D26" s="253" t="s">
        <v>33</v>
      </c>
      <c r="E26" s="253"/>
      <c r="F26" s="259"/>
      <c r="G26" s="259">
        <f>189856+14106</f>
        <v>203962</v>
      </c>
      <c r="H26" s="295">
        <v>1</v>
      </c>
      <c r="I26" s="294"/>
      <c r="J26" s="294"/>
      <c r="K26" s="294"/>
      <c r="L26" s="294"/>
      <c r="M26" s="294"/>
      <c r="N26" s="294"/>
      <c r="O26" s="294"/>
      <c r="P26" s="252">
        <f t="shared" si="0"/>
        <v>1</v>
      </c>
      <c r="Q26" s="4"/>
    </row>
    <row r="27" spans="1:17" s="27" customFormat="1" ht="14.25" outlineLevel="1" x14ac:dyDescent="0.2">
      <c r="A27" s="619"/>
      <c r="B27" s="274">
        <v>6</v>
      </c>
      <c r="C27" s="255" t="s">
        <v>7</v>
      </c>
      <c r="D27" s="253" t="s">
        <v>33</v>
      </c>
      <c r="E27" s="253"/>
      <c r="F27" s="259"/>
      <c r="G27" s="259"/>
      <c r="H27" s="295">
        <v>0</v>
      </c>
      <c r="I27" s="294"/>
      <c r="J27" s="294"/>
      <c r="K27" s="294"/>
      <c r="L27" s="294"/>
      <c r="M27" s="294"/>
      <c r="N27" s="294"/>
      <c r="O27" s="294"/>
      <c r="P27" s="252">
        <f t="shared" si="0"/>
        <v>0</v>
      </c>
      <c r="Q27" s="4"/>
    </row>
    <row r="28" spans="1:17" s="27" customFormat="1" ht="14.25" outlineLevel="1" x14ac:dyDescent="0.2">
      <c r="A28" s="619"/>
      <c r="B28" s="274">
        <v>7</v>
      </c>
      <c r="C28" s="255" t="s">
        <v>60</v>
      </c>
      <c r="D28" s="253" t="s">
        <v>33</v>
      </c>
      <c r="E28" s="253"/>
      <c r="F28" s="259"/>
      <c r="G28" s="259"/>
      <c r="H28" s="295">
        <v>0</v>
      </c>
      <c r="I28" s="294"/>
      <c r="J28" s="294"/>
      <c r="K28" s="294"/>
      <c r="L28" s="294"/>
      <c r="M28" s="294"/>
      <c r="N28" s="294"/>
      <c r="O28" s="294"/>
      <c r="P28" s="252">
        <f t="shared" si="0"/>
        <v>0</v>
      </c>
      <c r="Q28" s="4"/>
    </row>
    <row r="29" spans="1:17" s="27" customFormat="1" ht="14.25" outlineLevel="1" x14ac:dyDescent="0.2">
      <c r="A29" s="619"/>
      <c r="B29" s="274">
        <v>8</v>
      </c>
      <c r="C29" s="255" t="s">
        <v>8</v>
      </c>
      <c r="D29" s="253" t="s">
        <v>33</v>
      </c>
      <c r="E29" s="253"/>
      <c r="F29" s="259"/>
      <c r="G29" s="259"/>
      <c r="H29" s="295">
        <v>0</v>
      </c>
      <c r="I29" s="294"/>
      <c r="J29" s="294"/>
      <c r="K29" s="294"/>
      <c r="L29" s="294"/>
      <c r="M29" s="294"/>
      <c r="N29" s="294"/>
      <c r="O29" s="294"/>
      <c r="P29" s="252">
        <f t="shared" si="0"/>
        <v>0</v>
      </c>
      <c r="Q29" s="4"/>
    </row>
    <row r="30" spans="1:17" s="27" customFormat="1" ht="15" outlineLevel="1" x14ac:dyDescent="0.2">
      <c r="A30" s="619"/>
      <c r="B30" s="274"/>
      <c r="C30" s="499" t="s">
        <v>256</v>
      </c>
      <c r="D30" s="253" t="s">
        <v>255</v>
      </c>
      <c r="E30" s="253"/>
      <c r="F30" s="259"/>
      <c r="G30" s="259"/>
      <c r="H30" s="293"/>
      <c r="I30" s="294"/>
      <c r="J30" s="294"/>
      <c r="K30" s="294"/>
      <c r="L30" s="294"/>
      <c r="M30" s="294"/>
      <c r="N30" s="294"/>
      <c r="O30" s="294"/>
      <c r="P30" s="252"/>
      <c r="Q30" s="4"/>
    </row>
    <row r="31" spans="1:17" s="27" customFormat="1" ht="15" outlineLevel="1" x14ac:dyDescent="0.2">
      <c r="A31" s="619"/>
      <c r="B31" s="274"/>
      <c r="C31" s="609"/>
      <c r="D31" s="609"/>
      <c r="E31" s="268"/>
      <c r="F31" s="259"/>
      <c r="G31" s="259"/>
      <c r="H31" s="293"/>
      <c r="I31" s="294"/>
      <c r="J31" s="294"/>
      <c r="K31" s="294"/>
      <c r="L31" s="294"/>
      <c r="M31" s="294"/>
      <c r="N31" s="294"/>
      <c r="O31" s="294"/>
      <c r="P31" s="252"/>
      <c r="Q31" s="4"/>
    </row>
    <row r="32" spans="1:17" s="27" customFormat="1" ht="15" outlineLevel="1" x14ac:dyDescent="0.2">
      <c r="A32" s="619"/>
      <c r="B32" s="274"/>
      <c r="C32" s="609"/>
      <c r="D32" s="609"/>
      <c r="E32" s="268"/>
      <c r="F32" s="297"/>
      <c r="G32" s="297"/>
      <c r="H32" s="293"/>
      <c r="I32" s="294"/>
      <c r="J32" s="294"/>
      <c r="K32" s="294"/>
      <c r="L32" s="294"/>
      <c r="M32" s="294"/>
      <c r="N32" s="294"/>
      <c r="O32" s="294"/>
      <c r="P32" s="252"/>
      <c r="Q32" s="4"/>
    </row>
    <row r="33" spans="1:19" s="21" customFormat="1" ht="20.25" customHeight="1" outlineLevel="1" x14ac:dyDescent="0.25">
      <c r="A33" s="619"/>
      <c r="B33" s="248"/>
      <c r="C33" s="612" t="s">
        <v>9</v>
      </c>
      <c r="D33" s="612"/>
      <c r="E33" s="249"/>
      <c r="F33" s="250"/>
      <c r="G33" s="250"/>
      <c r="H33" s="250"/>
      <c r="I33" s="250"/>
      <c r="J33" s="250"/>
      <c r="K33" s="250"/>
      <c r="L33" s="250"/>
      <c r="M33" s="250"/>
      <c r="N33" s="250"/>
      <c r="O33" s="250"/>
      <c r="P33" s="251"/>
      <c r="Q33" s="140"/>
      <c r="R33" s="27"/>
      <c r="S33" s="27"/>
    </row>
    <row r="34" spans="1:19" s="27" customFormat="1" ht="14.25" outlineLevel="1" x14ac:dyDescent="0.2">
      <c r="A34" s="619"/>
      <c r="B34" s="149">
        <v>9</v>
      </c>
      <c r="C34" s="257" t="s">
        <v>26</v>
      </c>
      <c r="D34" s="253" t="s">
        <v>33</v>
      </c>
      <c r="E34" s="253">
        <v>12</v>
      </c>
      <c r="F34" s="296">
        <f>57+14</f>
        <v>71</v>
      </c>
      <c r="G34" s="296">
        <f>325703+118887</f>
        <v>444590</v>
      </c>
      <c r="H34" s="293"/>
      <c r="I34" s="295">
        <v>0.11</v>
      </c>
      <c r="J34" s="295">
        <v>0.89</v>
      </c>
      <c r="K34" s="295">
        <v>0</v>
      </c>
      <c r="L34" s="294"/>
      <c r="M34" s="294"/>
      <c r="N34" s="294"/>
      <c r="O34" s="294"/>
      <c r="P34" s="252">
        <f t="shared" ref="P34:P40" si="1">SUM(H34:O34)</f>
        <v>1</v>
      </c>
      <c r="Q34" s="4"/>
    </row>
    <row r="35" spans="1:19" s="27" customFormat="1" ht="14.25" outlineLevel="1" x14ac:dyDescent="0.2">
      <c r="A35" s="619"/>
      <c r="B35" s="149">
        <v>10</v>
      </c>
      <c r="C35" s="255" t="s">
        <v>24</v>
      </c>
      <c r="D35" s="253" t="s">
        <v>33</v>
      </c>
      <c r="E35" s="253">
        <v>12</v>
      </c>
      <c r="F35" s="259"/>
      <c r="G35" s="259">
        <f>238084+25700</f>
        <v>263784</v>
      </c>
      <c r="H35" s="293"/>
      <c r="I35" s="295">
        <v>1</v>
      </c>
      <c r="J35" s="295">
        <v>0</v>
      </c>
      <c r="K35" s="295">
        <v>0</v>
      </c>
      <c r="L35" s="294"/>
      <c r="M35" s="294"/>
      <c r="N35" s="294"/>
      <c r="O35" s="294"/>
      <c r="P35" s="252">
        <f t="shared" si="1"/>
        <v>1</v>
      </c>
      <c r="Q35" s="4"/>
    </row>
    <row r="36" spans="1:19" s="27" customFormat="1" ht="15" customHeight="1" outlineLevel="1" x14ac:dyDescent="0.2">
      <c r="A36" s="619"/>
      <c r="B36" s="149">
        <v>11</v>
      </c>
      <c r="C36" s="255" t="s">
        <v>27</v>
      </c>
      <c r="D36" s="253" t="s">
        <v>33</v>
      </c>
      <c r="E36" s="258">
        <v>3</v>
      </c>
      <c r="F36" s="259"/>
      <c r="G36" s="259"/>
      <c r="H36" s="293"/>
      <c r="I36" s="295">
        <v>0</v>
      </c>
      <c r="J36" s="295">
        <v>0</v>
      </c>
      <c r="K36" s="295">
        <v>0</v>
      </c>
      <c r="L36" s="294"/>
      <c r="M36" s="294"/>
      <c r="N36" s="294"/>
      <c r="O36" s="294"/>
      <c r="P36" s="252">
        <f t="shared" si="1"/>
        <v>0</v>
      </c>
      <c r="Q36" s="4"/>
    </row>
    <row r="37" spans="1:19" s="27" customFormat="1" ht="14.25" outlineLevel="1" x14ac:dyDescent="0.2">
      <c r="A37" s="619"/>
      <c r="B37" s="149">
        <v>12</v>
      </c>
      <c r="C37" s="255" t="s">
        <v>28</v>
      </c>
      <c r="D37" s="253" t="s">
        <v>33</v>
      </c>
      <c r="E37" s="253">
        <v>12</v>
      </c>
      <c r="F37" s="259"/>
      <c r="G37" s="259"/>
      <c r="H37" s="293"/>
      <c r="I37" s="295">
        <v>0</v>
      </c>
      <c r="J37" s="295">
        <v>0</v>
      </c>
      <c r="K37" s="295">
        <v>0</v>
      </c>
      <c r="L37" s="294"/>
      <c r="M37" s="294"/>
      <c r="N37" s="294"/>
      <c r="O37" s="294"/>
      <c r="P37" s="252">
        <f t="shared" si="1"/>
        <v>0</v>
      </c>
      <c r="Q37" s="4"/>
    </row>
    <row r="38" spans="1:19" s="27" customFormat="1" ht="14.25" outlineLevel="1" x14ac:dyDescent="0.2">
      <c r="A38" s="619"/>
      <c r="B38" s="149">
        <v>13</v>
      </c>
      <c r="C38" s="255" t="s">
        <v>23</v>
      </c>
      <c r="D38" s="253" t="s">
        <v>33</v>
      </c>
      <c r="E38" s="253">
        <v>12</v>
      </c>
      <c r="F38" s="259"/>
      <c r="G38" s="259"/>
      <c r="H38" s="293"/>
      <c r="I38" s="295">
        <v>0</v>
      </c>
      <c r="J38" s="295">
        <v>0</v>
      </c>
      <c r="K38" s="295">
        <v>0</v>
      </c>
      <c r="L38" s="294"/>
      <c r="M38" s="294"/>
      <c r="N38" s="294"/>
      <c r="O38" s="294"/>
      <c r="P38" s="252">
        <f t="shared" si="1"/>
        <v>0</v>
      </c>
      <c r="Q38" s="4"/>
    </row>
    <row r="39" spans="1:19" s="27" customFormat="1" ht="28.5" outlineLevel="1" x14ac:dyDescent="0.2">
      <c r="A39" s="619"/>
      <c r="B39" s="149">
        <v>14</v>
      </c>
      <c r="C39" s="255" t="s">
        <v>61</v>
      </c>
      <c r="D39" s="253" t="s">
        <v>33</v>
      </c>
      <c r="E39" s="253">
        <v>0</v>
      </c>
      <c r="F39" s="259"/>
      <c r="G39" s="259"/>
      <c r="H39" s="293"/>
      <c r="I39" s="295">
        <v>0</v>
      </c>
      <c r="J39" s="295">
        <v>0</v>
      </c>
      <c r="K39" s="295">
        <v>0</v>
      </c>
      <c r="L39" s="294"/>
      <c r="M39" s="294"/>
      <c r="N39" s="294"/>
      <c r="O39" s="294"/>
      <c r="P39" s="252">
        <f t="shared" si="1"/>
        <v>0</v>
      </c>
      <c r="Q39" s="4"/>
    </row>
    <row r="40" spans="1:19" s="27" customFormat="1" ht="14.25" outlineLevel="1" x14ac:dyDescent="0.2">
      <c r="A40" s="619"/>
      <c r="B40" s="274">
        <v>15</v>
      </c>
      <c r="C40" s="255" t="s">
        <v>10</v>
      </c>
      <c r="D40" s="253" t="s">
        <v>33</v>
      </c>
      <c r="E40" s="253">
        <v>0</v>
      </c>
      <c r="F40" s="259"/>
      <c r="G40" s="259"/>
      <c r="H40" s="293"/>
      <c r="I40" s="295">
        <v>0</v>
      </c>
      <c r="J40" s="295">
        <v>0</v>
      </c>
      <c r="K40" s="295">
        <v>0</v>
      </c>
      <c r="L40" s="294"/>
      <c r="M40" s="294"/>
      <c r="N40" s="294"/>
      <c r="O40" s="294"/>
      <c r="P40" s="252">
        <f t="shared" si="1"/>
        <v>0</v>
      </c>
      <c r="Q40" s="4"/>
    </row>
    <row r="41" spans="1:19" s="27" customFormat="1" ht="15" outlineLevel="1" x14ac:dyDescent="0.2">
      <c r="A41" s="619"/>
      <c r="B41" s="274"/>
      <c r="C41" s="256" t="s">
        <v>256</v>
      </c>
      <c r="D41" s="253" t="s">
        <v>255</v>
      </c>
      <c r="E41" s="253"/>
      <c r="F41" s="259"/>
      <c r="G41" s="259"/>
      <c r="H41" s="293"/>
      <c r="I41" s="294"/>
      <c r="J41" s="294"/>
      <c r="K41" s="294"/>
      <c r="L41" s="294"/>
      <c r="M41" s="294"/>
      <c r="N41" s="294"/>
      <c r="O41" s="294"/>
      <c r="P41" s="252"/>
      <c r="Q41" s="4"/>
    </row>
    <row r="42" spans="1:19" s="27" customFormat="1" ht="15" outlineLevel="1" x14ac:dyDescent="0.2">
      <c r="A42" s="619"/>
      <c r="B42" s="274"/>
      <c r="C42" s="609"/>
      <c r="D42" s="609"/>
      <c r="E42" s="268"/>
      <c r="F42" s="259"/>
      <c r="G42" s="259"/>
      <c r="H42" s="293"/>
      <c r="I42" s="294"/>
      <c r="J42" s="294"/>
      <c r="K42" s="294"/>
      <c r="L42" s="294"/>
      <c r="M42" s="294"/>
      <c r="N42" s="294"/>
      <c r="O42" s="294"/>
      <c r="P42" s="252"/>
      <c r="Q42" s="4"/>
    </row>
    <row r="43" spans="1:19" s="27" customFormat="1" ht="15" outlineLevel="1" x14ac:dyDescent="0.2">
      <c r="A43" s="619"/>
      <c r="B43" s="274"/>
      <c r="C43" s="609"/>
      <c r="D43" s="609"/>
      <c r="E43" s="268"/>
      <c r="F43" s="297"/>
      <c r="G43" s="297"/>
      <c r="H43" s="293"/>
      <c r="I43" s="294"/>
      <c r="J43" s="294"/>
      <c r="K43" s="294"/>
      <c r="L43" s="294"/>
      <c r="M43" s="294"/>
      <c r="N43" s="294"/>
      <c r="O43" s="294"/>
      <c r="P43" s="252"/>
      <c r="Q43" s="4"/>
    </row>
    <row r="44" spans="1:19" s="21" customFormat="1" ht="18" customHeight="1" outlineLevel="1" x14ac:dyDescent="0.25">
      <c r="A44" s="619"/>
      <c r="B44" s="248"/>
      <c r="C44" s="612" t="s">
        <v>11</v>
      </c>
      <c r="D44" s="612"/>
      <c r="E44" s="249"/>
      <c r="F44" s="250"/>
      <c r="G44" s="250"/>
      <c r="H44" s="250"/>
      <c r="I44" s="250"/>
      <c r="J44" s="250"/>
      <c r="K44" s="250"/>
      <c r="L44" s="250"/>
      <c r="M44" s="250"/>
      <c r="N44" s="250"/>
      <c r="O44" s="250"/>
      <c r="P44" s="251"/>
      <c r="Q44" s="140"/>
    </row>
    <row r="45" spans="1:19" s="27" customFormat="1" ht="14.25" outlineLevel="1" x14ac:dyDescent="0.2">
      <c r="A45" s="619"/>
      <c r="B45" s="149">
        <v>16</v>
      </c>
      <c r="C45" s="255" t="s">
        <v>12</v>
      </c>
      <c r="D45" s="253" t="s">
        <v>33</v>
      </c>
      <c r="E45" s="253">
        <v>12</v>
      </c>
      <c r="F45" s="296"/>
      <c r="G45" s="296"/>
      <c r="H45" s="293"/>
      <c r="I45" s="295">
        <v>0</v>
      </c>
      <c r="J45" s="295">
        <v>0</v>
      </c>
      <c r="K45" s="295">
        <v>0</v>
      </c>
      <c r="L45" s="294"/>
      <c r="M45" s="294"/>
      <c r="N45" s="294"/>
      <c r="O45" s="294"/>
      <c r="P45" s="252">
        <f t="shared" ref="P45:P49" si="2">SUM(H45:O45)</f>
        <v>0</v>
      </c>
      <c r="Q45" s="4"/>
    </row>
    <row r="46" spans="1:19" s="27" customFormat="1" ht="14.25" outlineLevel="1" x14ac:dyDescent="0.2">
      <c r="A46" s="619"/>
      <c r="B46" s="149">
        <v>17</v>
      </c>
      <c r="C46" s="255" t="s">
        <v>13</v>
      </c>
      <c r="D46" s="253" t="s">
        <v>33</v>
      </c>
      <c r="E46" s="253">
        <v>12</v>
      </c>
      <c r="F46" s="259"/>
      <c r="G46" s="259"/>
      <c r="H46" s="293"/>
      <c r="I46" s="295">
        <v>0</v>
      </c>
      <c r="J46" s="295">
        <v>0</v>
      </c>
      <c r="K46" s="295">
        <v>0</v>
      </c>
      <c r="L46" s="294"/>
      <c r="M46" s="294"/>
      <c r="N46" s="294"/>
      <c r="O46" s="294"/>
      <c r="P46" s="252">
        <f t="shared" si="2"/>
        <v>0</v>
      </c>
      <c r="Q46" s="4"/>
    </row>
    <row r="47" spans="1:19" s="27" customFormat="1" ht="14.25" outlineLevel="1" x14ac:dyDescent="0.2">
      <c r="A47" s="619"/>
      <c r="B47" s="149">
        <v>18</v>
      </c>
      <c r="C47" s="255" t="s">
        <v>14</v>
      </c>
      <c r="D47" s="253" t="s">
        <v>33</v>
      </c>
      <c r="E47" s="253">
        <v>12</v>
      </c>
      <c r="F47" s="259"/>
      <c r="G47" s="259"/>
      <c r="H47" s="293"/>
      <c r="I47" s="295">
        <v>0</v>
      </c>
      <c r="J47" s="295">
        <v>0</v>
      </c>
      <c r="K47" s="295">
        <v>0</v>
      </c>
      <c r="L47" s="294"/>
      <c r="M47" s="294"/>
      <c r="N47" s="294"/>
      <c r="O47" s="294"/>
      <c r="P47" s="252">
        <f t="shared" si="2"/>
        <v>0</v>
      </c>
      <c r="Q47" s="4"/>
    </row>
    <row r="48" spans="1:19" s="27" customFormat="1" ht="14.25" outlineLevel="1" x14ac:dyDescent="0.2">
      <c r="A48" s="619"/>
      <c r="B48" s="149">
        <v>19</v>
      </c>
      <c r="C48" s="257" t="s">
        <v>26</v>
      </c>
      <c r="D48" s="253" t="s">
        <v>33</v>
      </c>
      <c r="E48" s="253">
        <v>12</v>
      </c>
      <c r="F48" s="259">
        <v>23</v>
      </c>
      <c r="G48" s="259"/>
      <c r="H48" s="293"/>
      <c r="I48" s="295">
        <v>0</v>
      </c>
      <c r="J48" s="295">
        <v>1</v>
      </c>
      <c r="K48" s="295">
        <v>0</v>
      </c>
      <c r="L48" s="294"/>
      <c r="M48" s="294"/>
      <c r="N48" s="294"/>
      <c r="O48" s="294"/>
      <c r="P48" s="252">
        <f t="shared" si="2"/>
        <v>1</v>
      </c>
      <c r="Q48" s="4"/>
    </row>
    <row r="49" spans="1:17" s="27" customFormat="1" ht="14.25" outlineLevel="1" x14ac:dyDescent="0.2">
      <c r="A49" s="619"/>
      <c r="B49" s="149">
        <v>20</v>
      </c>
      <c r="C49" s="255" t="s">
        <v>10</v>
      </c>
      <c r="D49" s="253" t="s">
        <v>33</v>
      </c>
      <c r="E49" s="253">
        <v>0</v>
      </c>
      <c r="F49" s="259"/>
      <c r="G49" s="259"/>
      <c r="H49" s="293"/>
      <c r="I49" s="294"/>
      <c r="J49" s="294"/>
      <c r="K49" s="294"/>
      <c r="L49" s="294"/>
      <c r="M49" s="294"/>
      <c r="N49" s="294"/>
      <c r="O49" s="294"/>
      <c r="P49" s="252">
        <f t="shared" si="2"/>
        <v>0</v>
      </c>
      <c r="Q49" s="4"/>
    </row>
    <row r="50" spans="1:17" s="27" customFormat="1" ht="15" outlineLevel="1" x14ac:dyDescent="0.2">
      <c r="A50" s="619"/>
      <c r="B50" s="149"/>
      <c r="C50" s="256" t="s">
        <v>256</v>
      </c>
      <c r="D50" s="253" t="s">
        <v>255</v>
      </c>
      <c r="E50" s="253"/>
      <c r="F50" s="259"/>
      <c r="G50" s="259"/>
      <c r="H50" s="293"/>
      <c r="I50" s="294"/>
      <c r="J50" s="294"/>
      <c r="K50" s="294"/>
      <c r="L50" s="294"/>
      <c r="M50" s="294"/>
      <c r="N50" s="294"/>
      <c r="O50" s="294"/>
      <c r="P50" s="252"/>
      <c r="Q50" s="4"/>
    </row>
    <row r="51" spans="1:17" s="27" customFormat="1" ht="15" outlineLevel="1" x14ac:dyDescent="0.2">
      <c r="A51" s="619"/>
      <c r="B51" s="149"/>
      <c r="C51" s="609"/>
      <c r="D51" s="609"/>
      <c r="E51" s="268"/>
      <c r="F51" s="259"/>
      <c r="G51" s="259"/>
      <c r="H51" s="293"/>
      <c r="I51" s="294"/>
      <c r="J51" s="294"/>
      <c r="K51" s="294"/>
      <c r="L51" s="294"/>
      <c r="M51" s="294"/>
      <c r="N51" s="294"/>
      <c r="O51" s="294"/>
      <c r="P51" s="252"/>
      <c r="Q51" s="4"/>
    </row>
    <row r="52" spans="1:17" s="27" customFormat="1" ht="15" outlineLevel="1" x14ac:dyDescent="0.2">
      <c r="A52" s="619"/>
      <c r="B52" s="149"/>
      <c r="C52" s="609"/>
      <c r="D52" s="609"/>
      <c r="E52" s="268"/>
      <c r="F52" s="297"/>
      <c r="G52" s="297"/>
      <c r="H52" s="293"/>
      <c r="I52" s="294"/>
      <c r="J52" s="294"/>
      <c r="K52" s="294"/>
      <c r="L52" s="294"/>
      <c r="M52" s="294"/>
      <c r="N52" s="294"/>
      <c r="O52" s="294"/>
      <c r="P52" s="252"/>
      <c r="Q52" s="4"/>
    </row>
    <row r="53" spans="1:17" s="21" customFormat="1" ht="20.25" customHeight="1" outlineLevel="1" x14ac:dyDescent="0.25">
      <c r="A53" s="619"/>
      <c r="B53" s="248"/>
      <c r="C53" s="612" t="s">
        <v>15</v>
      </c>
      <c r="D53" s="612"/>
      <c r="E53" s="249"/>
      <c r="F53" s="250"/>
      <c r="G53" s="250"/>
      <c r="H53" s="250"/>
      <c r="I53" s="250"/>
      <c r="J53" s="250"/>
      <c r="K53" s="250"/>
      <c r="L53" s="250"/>
      <c r="M53" s="250"/>
      <c r="N53" s="250"/>
      <c r="O53" s="250"/>
      <c r="P53" s="251"/>
      <c r="Q53" s="140"/>
    </row>
    <row r="54" spans="1:17" s="27" customFormat="1" ht="14.25" outlineLevel="1" x14ac:dyDescent="0.2">
      <c r="A54" s="619"/>
      <c r="B54" s="274">
        <v>21</v>
      </c>
      <c r="C54" s="255" t="s">
        <v>15</v>
      </c>
      <c r="D54" s="253" t="s">
        <v>33</v>
      </c>
      <c r="E54" s="253"/>
      <c r="F54" s="296"/>
      <c r="G54" s="296"/>
      <c r="H54" s="295">
        <v>0</v>
      </c>
      <c r="I54" s="294"/>
      <c r="J54" s="294"/>
      <c r="K54" s="294"/>
      <c r="L54" s="294"/>
      <c r="M54" s="294"/>
      <c r="N54" s="294"/>
      <c r="O54" s="294"/>
      <c r="P54" s="252">
        <f t="shared" ref="P54" si="3">SUM(H54:O54)</f>
        <v>0</v>
      </c>
      <c r="Q54" s="4"/>
    </row>
    <row r="55" spans="1:17" s="27" customFormat="1" ht="15" outlineLevel="1" x14ac:dyDescent="0.2">
      <c r="A55" s="619"/>
      <c r="B55" s="274"/>
      <c r="C55" s="256" t="s">
        <v>256</v>
      </c>
      <c r="D55" s="253" t="s">
        <v>255</v>
      </c>
      <c r="E55" s="253"/>
      <c r="F55" s="259"/>
      <c r="G55" s="259"/>
      <c r="H55" s="293"/>
      <c r="I55" s="294"/>
      <c r="J55" s="294"/>
      <c r="K55" s="294"/>
      <c r="L55" s="294"/>
      <c r="M55" s="294"/>
      <c r="N55" s="294"/>
      <c r="O55" s="294"/>
      <c r="P55" s="252"/>
      <c r="Q55" s="4"/>
    </row>
    <row r="56" spans="1:17" s="27" customFormat="1" ht="15" outlineLevel="1" x14ac:dyDescent="0.2">
      <c r="A56" s="619"/>
      <c r="B56" s="274"/>
      <c r="C56" s="609"/>
      <c r="D56" s="609"/>
      <c r="E56" s="268"/>
      <c r="F56" s="259"/>
      <c r="G56" s="259"/>
      <c r="H56" s="293"/>
      <c r="I56" s="294"/>
      <c r="J56" s="294"/>
      <c r="K56" s="294"/>
      <c r="L56" s="294"/>
      <c r="M56" s="294"/>
      <c r="N56" s="294"/>
      <c r="O56" s="294"/>
      <c r="P56" s="252"/>
      <c r="Q56" s="4"/>
    </row>
    <row r="57" spans="1:17" s="27" customFormat="1" ht="15" outlineLevel="1" x14ac:dyDescent="0.2">
      <c r="A57" s="619"/>
      <c r="B57" s="274"/>
      <c r="C57" s="609"/>
      <c r="D57" s="609"/>
      <c r="E57" s="268"/>
      <c r="F57" s="297"/>
      <c r="G57" s="297"/>
      <c r="H57" s="293"/>
      <c r="I57" s="294"/>
      <c r="J57" s="294"/>
      <c r="K57" s="294"/>
      <c r="L57" s="294"/>
      <c r="M57" s="294"/>
      <c r="N57" s="294"/>
      <c r="O57" s="294"/>
      <c r="P57" s="252"/>
      <c r="Q57" s="4"/>
    </row>
    <row r="58" spans="1:17" s="21" customFormat="1" ht="18.75" customHeight="1" outlineLevel="1" x14ac:dyDescent="0.25">
      <c r="A58" s="619"/>
      <c r="B58" s="248"/>
      <c r="C58" s="612" t="s">
        <v>16</v>
      </c>
      <c r="D58" s="612"/>
      <c r="E58" s="249"/>
      <c r="F58" s="250"/>
      <c r="G58" s="250"/>
      <c r="H58" s="250"/>
      <c r="I58" s="250"/>
      <c r="J58" s="250"/>
      <c r="K58" s="250"/>
      <c r="L58" s="250"/>
      <c r="M58" s="250"/>
      <c r="N58" s="250"/>
      <c r="O58" s="250"/>
      <c r="P58" s="251"/>
      <c r="Q58" s="140"/>
    </row>
    <row r="59" spans="1:17" s="27" customFormat="1" ht="14.25" outlineLevel="1" x14ac:dyDescent="0.2">
      <c r="A59" s="619"/>
      <c r="B59" s="274">
        <v>22</v>
      </c>
      <c r="C59" s="255" t="s">
        <v>17</v>
      </c>
      <c r="D59" s="253" t="s">
        <v>33</v>
      </c>
      <c r="E59" s="533">
        <v>12</v>
      </c>
      <c r="F59" s="296">
        <v>432</v>
      </c>
      <c r="G59" s="296"/>
      <c r="H59" s="293"/>
      <c r="I59" s="294"/>
      <c r="J59" s="295">
        <v>1</v>
      </c>
      <c r="K59" s="295">
        <v>0</v>
      </c>
      <c r="L59" s="294"/>
      <c r="M59" s="294"/>
      <c r="N59" s="294"/>
      <c r="O59" s="294"/>
      <c r="P59" s="252">
        <f t="shared" ref="P59:P62" si="4">SUM(H59:O59)</f>
        <v>1</v>
      </c>
      <c r="Q59" s="4"/>
    </row>
    <row r="60" spans="1:17" s="27" customFormat="1" ht="14.25" outlineLevel="1" x14ac:dyDescent="0.2">
      <c r="A60" s="619"/>
      <c r="B60" s="274">
        <v>23</v>
      </c>
      <c r="C60" s="255" t="s">
        <v>18</v>
      </c>
      <c r="D60" s="253" t="s">
        <v>33</v>
      </c>
      <c r="E60" s="533">
        <v>12</v>
      </c>
      <c r="F60" s="259">
        <v>1</v>
      </c>
      <c r="G60" s="259"/>
      <c r="H60" s="293"/>
      <c r="I60" s="294"/>
      <c r="J60" s="295">
        <v>1</v>
      </c>
      <c r="K60" s="295">
        <v>0</v>
      </c>
      <c r="L60" s="294"/>
      <c r="M60" s="294"/>
      <c r="N60" s="294"/>
      <c r="O60" s="294"/>
      <c r="P60" s="252">
        <f t="shared" si="4"/>
        <v>1</v>
      </c>
      <c r="Q60" s="4"/>
    </row>
    <row r="61" spans="1:17" s="27" customFormat="1" ht="14.25" outlineLevel="1" x14ac:dyDescent="0.2">
      <c r="A61" s="619"/>
      <c r="B61" s="274">
        <v>24</v>
      </c>
      <c r="C61" s="255" t="s">
        <v>19</v>
      </c>
      <c r="D61" s="253" t="s">
        <v>33</v>
      </c>
      <c r="E61" s="253"/>
      <c r="F61" s="259"/>
      <c r="G61" s="259"/>
      <c r="H61" s="293"/>
      <c r="I61" s="294"/>
      <c r="J61" s="295">
        <v>0</v>
      </c>
      <c r="K61" s="295">
        <v>0</v>
      </c>
      <c r="L61" s="294"/>
      <c r="M61" s="294"/>
      <c r="N61" s="294"/>
      <c r="O61" s="294"/>
      <c r="P61" s="252">
        <f t="shared" si="4"/>
        <v>0</v>
      </c>
      <c r="Q61" s="4"/>
    </row>
    <row r="62" spans="1:17" s="27" customFormat="1" ht="14.25" outlineLevel="1" x14ac:dyDescent="0.2">
      <c r="A62" s="619"/>
      <c r="B62" s="274">
        <v>25</v>
      </c>
      <c r="C62" s="255" t="s">
        <v>20</v>
      </c>
      <c r="D62" s="253" t="s">
        <v>33</v>
      </c>
      <c r="E62" s="253"/>
      <c r="F62" s="259"/>
      <c r="G62" s="259"/>
      <c r="H62" s="293"/>
      <c r="I62" s="294"/>
      <c r="J62" s="295">
        <v>0</v>
      </c>
      <c r="K62" s="295">
        <v>0</v>
      </c>
      <c r="L62" s="294"/>
      <c r="M62" s="294"/>
      <c r="N62" s="294"/>
      <c r="O62" s="294"/>
      <c r="P62" s="252">
        <f t="shared" si="4"/>
        <v>0</v>
      </c>
      <c r="Q62" s="4"/>
    </row>
    <row r="63" spans="1:17" s="27" customFormat="1" ht="15" outlineLevel="1" x14ac:dyDescent="0.2">
      <c r="A63" s="619"/>
      <c r="B63" s="274"/>
      <c r="C63" s="256" t="s">
        <v>256</v>
      </c>
      <c r="D63" s="253" t="s">
        <v>255</v>
      </c>
      <c r="E63" s="253"/>
      <c r="F63" s="259"/>
      <c r="G63" s="259"/>
      <c r="H63" s="293"/>
      <c r="I63" s="294"/>
      <c r="J63" s="295"/>
      <c r="K63" s="295"/>
      <c r="L63" s="294"/>
      <c r="M63" s="294"/>
      <c r="N63" s="294"/>
      <c r="O63" s="294"/>
      <c r="P63" s="252"/>
      <c r="Q63" s="4"/>
    </row>
    <row r="64" spans="1:17" s="27" customFormat="1" ht="15" outlineLevel="1" x14ac:dyDescent="0.2">
      <c r="A64" s="619"/>
      <c r="B64" s="274"/>
      <c r="C64" s="609"/>
      <c r="D64" s="609"/>
      <c r="E64" s="268"/>
      <c r="F64" s="259"/>
      <c r="G64" s="259"/>
      <c r="H64" s="293"/>
      <c r="I64" s="294"/>
      <c r="J64" s="294"/>
      <c r="K64" s="294"/>
      <c r="L64" s="294"/>
      <c r="M64" s="294"/>
      <c r="N64" s="294"/>
      <c r="O64" s="294"/>
      <c r="P64" s="252"/>
      <c r="Q64" s="4"/>
    </row>
    <row r="65" spans="1:17" s="27" customFormat="1" ht="15" outlineLevel="1" x14ac:dyDescent="0.2">
      <c r="A65" s="619"/>
      <c r="B65" s="274"/>
      <c r="C65" s="609"/>
      <c r="D65" s="609"/>
      <c r="E65" s="268"/>
      <c r="F65" s="259"/>
      <c r="G65" s="259"/>
      <c r="H65" s="293"/>
      <c r="I65" s="294"/>
      <c r="J65" s="294"/>
      <c r="K65" s="294"/>
      <c r="L65" s="294"/>
      <c r="M65" s="294"/>
      <c r="N65" s="294"/>
      <c r="O65" s="294"/>
      <c r="P65" s="252"/>
      <c r="Q65" s="4"/>
    </row>
    <row r="66" spans="1:17" s="27" customFormat="1" ht="15" outlineLevel="1" x14ac:dyDescent="0.2">
      <c r="A66" s="619"/>
      <c r="B66" s="274"/>
      <c r="C66" s="622"/>
      <c r="D66" s="622"/>
      <c r="E66" s="351"/>
      <c r="F66" s="297"/>
      <c r="G66" s="297"/>
      <c r="H66" s="293"/>
      <c r="I66" s="294"/>
      <c r="J66" s="294"/>
      <c r="K66" s="294"/>
      <c r="L66" s="294"/>
      <c r="M66" s="294"/>
      <c r="N66" s="294"/>
      <c r="O66" s="294"/>
      <c r="P66" s="252"/>
      <c r="Q66" s="4"/>
    </row>
    <row r="67" spans="1:17" s="27" customFormat="1" ht="15" x14ac:dyDescent="0.2">
      <c r="A67" s="619"/>
      <c r="B67" s="352"/>
      <c r="C67" s="608" t="s">
        <v>223</v>
      </c>
      <c r="D67" s="608"/>
      <c r="E67" s="353"/>
      <c r="F67" s="354"/>
      <c r="G67" s="354"/>
      <c r="H67" s="355">
        <f>SUM(G22*H22,G23*H23,G24*H24,G25*H25,G26*H26,G27*H27,G29*H29,G54*H54,G28*H28)</f>
        <v>1282244</v>
      </c>
      <c r="I67" s="355">
        <f>SUM(G34*I34,G35*I35,G39*I39,G40*I40,G36*I36,G37*I37,G38*I38)</f>
        <v>312688.90000000002</v>
      </c>
      <c r="J67" s="356"/>
      <c r="K67" s="353"/>
      <c r="L67" s="353"/>
      <c r="M67" s="353"/>
      <c r="N67" s="355"/>
      <c r="O67" s="353"/>
      <c r="P67" s="357">
        <f>SUM(H67:O67)</f>
        <v>1594932.9</v>
      </c>
      <c r="Q67" s="4"/>
    </row>
    <row r="68" spans="1:17" s="27" customFormat="1" ht="15" x14ac:dyDescent="0.2">
      <c r="A68" s="619"/>
      <c r="B68" s="492"/>
      <c r="C68" s="493" t="s">
        <v>508</v>
      </c>
      <c r="D68" s="493"/>
      <c r="E68" s="494"/>
      <c r="F68" s="495"/>
      <c r="G68" s="495"/>
      <c r="H68" s="496">
        <f>H67-(G28*H28)</f>
        <v>1282244</v>
      </c>
      <c r="I68" s="496">
        <f>I67-SUM(G39*I39,G40*I40)</f>
        <v>312688.90000000002</v>
      </c>
      <c r="J68" s="497"/>
      <c r="K68" s="494"/>
      <c r="L68" s="494"/>
      <c r="M68" s="494"/>
      <c r="N68" s="494"/>
      <c r="O68" s="494"/>
      <c r="P68" s="498"/>
      <c r="Q68" s="4"/>
    </row>
    <row r="69" spans="1:17" s="27" customFormat="1" ht="15" x14ac:dyDescent="0.2">
      <c r="A69" s="619"/>
      <c r="B69" s="275"/>
      <c r="C69" s="609" t="s">
        <v>320</v>
      </c>
      <c r="D69" s="609"/>
      <c r="E69" s="269"/>
      <c r="F69" s="267"/>
      <c r="G69" s="267"/>
      <c r="H69" s="269"/>
      <c r="I69" s="269"/>
      <c r="J69" s="532">
        <f>SUM($E$34*$F$34*J34,$E$35*$F$35*J35,$E$36*$F$36*J36,$E$37*$F$37*J37,$E$38*$F$38*J38,$E$45*$F$45*J45,$E$46*$F$46*J46,$E$47*$F$47*J47,$E$48*$F$48*J48,$E$59*$F$59*J59,$E$60*$F$60*J60,$F$61*J61,$F$62*J62)</f>
        <v>6230.28</v>
      </c>
      <c r="K69" s="270">
        <f>SUM($E$34*$F$34*K34,$E$35*$F$35*K35,$E$36*$F$36*K36,$E$37*$F$37*K37,$E$38*$F$38*K38,$E$45*$F$45*K45,$E$46*$F$46*K46,$E$47*$F$47*K47,$E$48*$F$48*K48,$F$59*K59,$F$60*K60,$F$61*K61,$F$62*K62)</f>
        <v>0</v>
      </c>
      <c r="L69" s="270"/>
      <c r="M69" s="270"/>
      <c r="N69" s="269"/>
      <c r="O69" s="269"/>
      <c r="P69" s="276">
        <f>SUM(H69:O69)</f>
        <v>6230.28</v>
      </c>
      <c r="Q69" s="4"/>
    </row>
    <row r="70" spans="1:17" s="27" customFormat="1" ht="15" x14ac:dyDescent="0.2">
      <c r="A70" s="619"/>
      <c r="B70" s="275"/>
      <c r="C70" s="609" t="s">
        <v>504</v>
      </c>
      <c r="D70" s="609"/>
      <c r="E70" s="269"/>
      <c r="F70" s="267"/>
      <c r="G70" s="267"/>
      <c r="H70" s="269"/>
      <c r="I70" s="269"/>
      <c r="J70" s="270">
        <f>J69-($E$36*$F$36*J36)</f>
        <v>6230.28</v>
      </c>
      <c r="K70" s="270">
        <f>K69-($E$36*$F$36*K36)</f>
        <v>0</v>
      </c>
      <c r="L70" s="269"/>
      <c r="M70" s="269"/>
      <c r="N70" s="269"/>
      <c r="O70" s="269"/>
      <c r="P70" s="276"/>
      <c r="Q70" s="4"/>
    </row>
    <row r="71" spans="1:17" s="27" customFormat="1" ht="15" x14ac:dyDescent="0.2">
      <c r="A71" s="619"/>
      <c r="B71" s="277"/>
      <c r="C71" s="610"/>
      <c r="D71" s="610"/>
      <c r="E71" s="262"/>
      <c r="F71" s="260"/>
      <c r="G71" s="260"/>
      <c r="H71" s="260"/>
      <c r="I71" s="260"/>
      <c r="J71" s="260"/>
      <c r="K71" s="262"/>
      <c r="L71" s="262"/>
      <c r="M71" s="262"/>
      <c r="N71" s="262"/>
      <c r="O71" s="262"/>
      <c r="P71" s="278"/>
      <c r="Q71" s="4"/>
    </row>
    <row r="72" spans="1:17" s="6" customFormat="1" ht="15" x14ac:dyDescent="0.2">
      <c r="A72" s="619"/>
      <c r="B72" s="277"/>
      <c r="C72" s="611" t="s">
        <v>322</v>
      </c>
      <c r="D72" s="611"/>
      <c r="E72" s="253"/>
      <c r="F72" s="264"/>
      <c r="G72" s="253"/>
      <c r="H72" s="265">
        <f>'3.  Distribution Rates'!E33</f>
        <v>0</v>
      </c>
      <c r="I72" s="265">
        <f>'3.  Distribution Rates'!E34</f>
        <v>0</v>
      </c>
      <c r="J72" s="265">
        <f>'3.  Distribution Rates'!E35</f>
        <v>0</v>
      </c>
      <c r="K72" s="265">
        <f>'3.  Distribution Rates'!E36</f>
        <v>0</v>
      </c>
      <c r="L72" s="265">
        <f>'3.  Distribution Rates'!E37</f>
        <v>0</v>
      </c>
      <c r="M72" s="265">
        <f>'3.  Distribution Rates'!E38</f>
        <v>0</v>
      </c>
      <c r="N72" s="265">
        <f>'3.  Distribution Rates'!E39</f>
        <v>0</v>
      </c>
      <c r="O72" s="265"/>
      <c r="P72" s="279"/>
      <c r="Q72" s="141"/>
    </row>
    <row r="73" spans="1:17" s="27" customFormat="1" ht="15" x14ac:dyDescent="0.2">
      <c r="A73" s="619"/>
      <c r="B73" s="277"/>
      <c r="C73" s="610" t="s">
        <v>62</v>
      </c>
      <c r="D73" s="610"/>
      <c r="E73" s="262"/>
      <c r="F73" s="264"/>
      <c r="G73" s="253"/>
      <c r="H73" s="266">
        <f>H67*H72</f>
        <v>0</v>
      </c>
      <c r="I73" s="266">
        <f>I67*I72</f>
        <v>0</v>
      </c>
      <c r="J73" s="266">
        <f>J69*J72</f>
        <v>0</v>
      </c>
      <c r="K73" s="266">
        <f>K69*K72</f>
        <v>0</v>
      </c>
      <c r="L73" s="266">
        <f>L69*L72</f>
        <v>0</v>
      </c>
      <c r="M73" s="266">
        <f>M69*M72</f>
        <v>0</v>
      </c>
      <c r="N73" s="266">
        <f>N67*N72</f>
        <v>0</v>
      </c>
      <c r="O73" s="262"/>
      <c r="P73" s="280">
        <f>SUM(H73:O73)</f>
        <v>0</v>
      </c>
      <c r="Q73" s="4"/>
    </row>
    <row r="74" spans="1:17" s="27" customFormat="1" ht="15" x14ac:dyDescent="0.2">
      <c r="A74" s="619"/>
      <c r="B74" s="277"/>
      <c r="C74" s="611" t="s">
        <v>63</v>
      </c>
      <c r="D74" s="611"/>
      <c r="E74" s="262"/>
      <c r="F74" s="260"/>
      <c r="G74" s="260"/>
      <c r="H74" s="253">
        <f>H68*'6.  Persistence Rates'!$E$25</f>
        <v>1279516.7425690882</v>
      </c>
      <c r="I74" s="253">
        <f>I68*'6.  Persistence Rates'!$E$25</f>
        <v>312023.82913510333</v>
      </c>
      <c r="J74" s="253">
        <f>J70*'6.  Persistence Rates'!Q25</f>
        <v>6201.9563960852256</v>
      </c>
      <c r="K74" s="262">
        <f>K70*'6.  Persistence Rates'!Q25</f>
        <v>0</v>
      </c>
      <c r="L74" s="262">
        <f>L69*'6.  Persistence Rates'!Q25</f>
        <v>0</v>
      </c>
      <c r="M74" s="262">
        <f>M69*'6.  Persistence Rates'!Q25</f>
        <v>0</v>
      </c>
      <c r="N74" s="262">
        <f>N67*'6.  Persistence Rates'!E25</f>
        <v>0</v>
      </c>
      <c r="O74" s="262"/>
      <c r="P74" s="278"/>
      <c r="Q74" s="4"/>
    </row>
    <row r="75" spans="1:17" s="27" customFormat="1" ht="15" x14ac:dyDescent="0.2">
      <c r="A75" s="619"/>
      <c r="B75" s="277"/>
      <c r="C75" s="611" t="s">
        <v>64</v>
      </c>
      <c r="D75" s="611"/>
      <c r="E75" s="262"/>
      <c r="F75" s="260"/>
      <c r="G75" s="260"/>
      <c r="H75" s="253">
        <f>H68*'6.  Persistence Rates'!$F$25</f>
        <v>1276795.2858540264</v>
      </c>
      <c r="I75" s="253">
        <f>I68*'6.  Persistence Rates'!$F$25</f>
        <v>311360.17283674644</v>
      </c>
      <c r="J75" s="253">
        <f>J70*'6.  Persistence Rates'!R25</f>
        <v>6173.7615546881434</v>
      </c>
      <c r="K75" s="262">
        <f>K70*'6.  Persistence Rates'!R25</f>
        <v>0</v>
      </c>
      <c r="L75" s="262">
        <f>L69*'6.  Persistence Rates'!R25</f>
        <v>0</v>
      </c>
      <c r="M75" s="262">
        <f>M69*'6.  Persistence Rates'!R25</f>
        <v>0</v>
      </c>
      <c r="N75" s="262">
        <f>N67*'6.  Persistence Rates'!F25</f>
        <v>0</v>
      </c>
      <c r="O75" s="262"/>
      <c r="P75" s="278"/>
      <c r="Q75" s="4"/>
    </row>
    <row r="76" spans="1:17" s="27" customFormat="1" ht="15" x14ac:dyDescent="0.2">
      <c r="A76" s="619"/>
      <c r="B76" s="277"/>
      <c r="C76" s="611" t="s">
        <v>65</v>
      </c>
      <c r="D76" s="611"/>
      <c r="E76" s="262"/>
      <c r="F76" s="260"/>
      <c r="G76" s="260"/>
      <c r="H76" s="253">
        <f>$H$68*'6.  Persistence Rates'!$G$25</f>
        <v>1274079.6175170341</v>
      </c>
      <c r="I76" s="253">
        <f>$I$68*'6.  Persistence Rates'!$G$25</f>
        <v>310697.92809622985</v>
      </c>
      <c r="J76" s="253">
        <f>$J$70*'6.  Persistence Rates'!$S$25</f>
        <v>6145.6948904388246</v>
      </c>
      <c r="K76" s="262">
        <f>$K$70*'6.  Persistence Rates'!$S$25</f>
        <v>0</v>
      </c>
      <c r="L76" s="262">
        <f>$L$69*'6.  Persistence Rates'!$S$25</f>
        <v>0</v>
      </c>
      <c r="M76" s="262">
        <f>$M$69*'6.  Persistence Rates'!$S$25</f>
        <v>0</v>
      </c>
      <c r="N76" s="262">
        <f>$N$67*'6.  Persistence Rates'!$G$25</f>
        <v>0</v>
      </c>
      <c r="O76" s="262"/>
      <c r="P76" s="278"/>
      <c r="Q76" s="4"/>
    </row>
    <row r="77" spans="1:17" s="27" customFormat="1" ht="15" x14ac:dyDescent="0.2">
      <c r="A77" s="247"/>
      <c r="B77" s="277"/>
      <c r="C77" s="516" t="s">
        <v>422</v>
      </c>
      <c r="D77" s="516"/>
      <c r="E77" s="262"/>
      <c r="F77" s="260"/>
      <c r="G77" s="260"/>
      <c r="H77" s="253">
        <f>$H$68*'6.  Persistence Rates'!$H$25</f>
        <v>1271369.7252465717</v>
      </c>
      <c r="I77" s="253">
        <f>$I$68*'6.  Persistence Rates'!$H$25</f>
        <v>310037.09191125305</v>
      </c>
      <c r="J77" s="253">
        <f>$J$70*'6.  Persistence Rates'!$T$25</f>
        <v>6117.7558206285057</v>
      </c>
      <c r="K77" s="253">
        <f>$K$70*'6.  Persistence Rates'!$T$25</f>
        <v>0</v>
      </c>
      <c r="L77" s="253">
        <f>$L$69*'6.  Persistence Rates'!$T$25</f>
        <v>0</v>
      </c>
      <c r="M77" s="253">
        <f>$M$69*'6.  Persistence Rates'!$T$25</f>
        <v>0</v>
      </c>
      <c r="N77" s="253">
        <f>$N$67*'6.  Persistence Rates'!$H$25</f>
        <v>0</v>
      </c>
      <c r="O77" s="262"/>
      <c r="P77" s="278"/>
      <c r="Q77" s="4"/>
    </row>
    <row r="78" spans="1:17" s="27" customFormat="1" ht="15" x14ac:dyDescent="0.2">
      <c r="A78" s="247"/>
      <c r="B78" s="277"/>
      <c r="C78" s="516" t="s">
        <v>423</v>
      </c>
      <c r="D78" s="516"/>
      <c r="E78" s="262"/>
      <c r="F78" s="260"/>
      <c r="G78" s="260"/>
      <c r="H78" s="253">
        <f>$H$68*'6.  Persistence Rates'!$I$25</f>
        <v>0</v>
      </c>
      <c r="I78" s="253">
        <f>$I$68*'6.  Persistence Rates'!$I$25</f>
        <v>0</v>
      </c>
      <c r="J78" s="253">
        <f>$J$70*'6.  Persistence Rates'!$U$25</f>
        <v>0</v>
      </c>
      <c r="K78" s="253">
        <f>$K$70*'6.  Persistence Rates'!$U$25</f>
        <v>0</v>
      </c>
      <c r="L78" s="253">
        <f>$L$69*'6.  Persistence Rates'!$U$25</f>
        <v>0</v>
      </c>
      <c r="M78" s="253">
        <f>$M$69*'6.  Persistence Rates'!$U$25</f>
        <v>0</v>
      </c>
      <c r="N78" s="253">
        <f>$N$67*'6.  Persistence Rates'!$I$25</f>
        <v>0</v>
      </c>
      <c r="O78" s="262"/>
      <c r="P78" s="278"/>
      <c r="Q78" s="4"/>
    </row>
    <row r="79" spans="1:17" s="27" customFormat="1" ht="15" x14ac:dyDescent="0.2">
      <c r="A79" s="247"/>
      <c r="B79" s="277"/>
      <c r="C79" s="516" t="s">
        <v>424</v>
      </c>
      <c r="D79" s="516"/>
      <c r="E79" s="262"/>
      <c r="F79" s="260"/>
      <c r="G79" s="260"/>
      <c r="H79" s="253">
        <f>$H$68*'6.  Persistence Rates'!$J$25</f>
        <v>0</v>
      </c>
      <c r="I79" s="253">
        <f>$I$68*'6.  Persistence Rates'!$J$25</f>
        <v>0</v>
      </c>
      <c r="J79" s="253">
        <f>$J$70*'6.  Persistence Rates'!$V$25</f>
        <v>0</v>
      </c>
      <c r="K79" s="253">
        <f>$K$70*'6.  Persistence Rates'!$V$25</f>
        <v>0</v>
      </c>
      <c r="L79" s="253">
        <f>$L$69*'6.  Persistence Rates'!$V$25</f>
        <v>0</v>
      </c>
      <c r="M79" s="253">
        <f>$M$69*'6.  Persistence Rates'!$V$25</f>
        <v>0</v>
      </c>
      <c r="N79" s="253">
        <f>$N$67*'6.  Persistence Rates'!$J$25</f>
        <v>0</v>
      </c>
      <c r="O79" s="262"/>
      <c r="P79" s="278"/>
      <c r="Q79" s="4"/>
    </row>
    <row r="80" spans="1:17" s="27" customFormat="1" ht="15" x14ac:dyDescent="0.2">
      <c r="A80" s="247"/>
      <c r="B80" s="277"/>
      <c r="C80" s="516" t="s">
        <v>425</v>
      </c>
      <c r="D80" s="516"/>
      <c r="E80" s="262"/>
      <c r="F80" s="260"/>
      <c r="G80" s="260"/>
      <c r="H80" s="253">
        <f>$H$68*'6.  Persistence Rates'!$K$25</f>
        <v>0</v>
      </c>
      <c r="I80" s="253">
        <f>$I$68*'6.  Persistence Rates'!$K$25</f>
        <v>0</v>
      </c>
      <c r="J80" s="253">
        <f>$J$70*'6.  Persistence Rates'!$W$25</f>
        <v>0</v>
      </c>
      <c r="K80" s="253">
        <f>$K$70*'6.  Persistence Rates'!$W$25</f>
        <v>0</v>
      </c>
      <c r="L80" s="253">
        <f>$L$69*'6.  Persistence Rates'!$W$25</f>
        <v>0</v>
      </c>
      <c r="M80" s="253">
        <f>$M$69*'6.  Persistence Rates'!$W$25</f>
        <v>0</v>
      </c>
      <c r="N80" s="253">
        <f>$N$67*'6.  Persistence Rates'!$K$25</f>
        <v>0</v>
      </c>
      <c r="O80" s="262"/>
      <c r="P80" s="278"/>
      <c r="Q80" s="4"/>
    </row>
    <row r="81" spans="1:17" s="27" customFormat="1" ht="15" x14ac:dyDescent="0.2">
      <c r="A81" s="247"/>
      <c r="B81" s="277"/>
      <c r="C81" s="516" t="s">
        <v>426</v>
      </c>
      <c r="D81" s="516"/>
      <c r="E81" s="262"/>
      <c r="F81" s="260"/>
      <c r="G81" s="260"/>
      <c r="H81" s="253">
        <f>$H$68*'6.  Persistence Rates'!$L$25</f>
        <v>0</v>
      </c>
      <c r="I81" s="253">
        <f>$I$68*'6.  Persistence Rates'!$L$25</f>
        <v>0</v>
      </c>
      <c r="J81" s="253">
        <f>$J$70*'6.  Persistence Rates'!$X$25</f>
        <v>0</v>
      </c>
      <c r="K81" s="253">
        <f>$K$70*'6.  Persistence Rates'!$X$25</f>
        <v>0</v>
      </c>
      <c r="L81" s="253">
        <f>$L$69*'6.  Persistence Rates'!$X$25</f>
        <v>0</v>
      </c>
      <c r="M81" s="253">
        <f>$M$69*'6.  Persistence Rates'!$X$25</f>
        <v>0</v>
      </c>
      <c r="N81" s="253">
        <f>$N$67*'6.  Persistence Rates'!$L$25</f>
        <v>0</v>
      </c>
      <c r="O81" s="262"/>
      <c r="P81" s="278"/>
      <c r="Q81" s="4"/>
    </row>
    <row r="82" spans="1:17" x14ac:dyDescent="0.25">
      <c r="B82" s="396"/>
      <c r="C82" s="517" t="s">
        <v>427</v>
      </c>
      <c r="D82" s="397"/>
      <c r="E82" s="397"/>
      <c r="F82" s="398"/>
      <c r="G82" s="398"/>
      <c r="H82" s="524">
        <f>$H$68*'6.  Persistence Rates'!$M$25</f>
        <v>0</v>
      </c>
      <c r="I82" s="524">
        <f>$I$68*'6.  Persistence Rates'!$M$25</f>
        <v>0</v>
      </c>
      <c r="J82" s="524">
        <f>$J$70*'6.  Persistence Rates'!$Y$25</f>
        <v>0</v>
      </c>
      <c r="K82" s="524">
        <f>$K$70*'6.  Persistence Rates'!$Y$25</f>
        <v>0</v>
      </c>
      <c r="L82" s="524">
        <f>$L$69*'6.  Persistence Rates'!$Y$25</f>
        <v>0</v>
      </c>
      <c r="M82" s="524">
        <f>$M$69*'6.  Persistence Rates'!$Y$25</f>
        <v>0</v>
      </c>
      <c r="N82" s="524">
        <f>$N$67*'6.  Persistence Rates'!$M$25</f>
        <v>0</v>
      </c>
      <c r="O82" s="330"/>
      <c r="P82" s="399"/>
      <c r="Q82" s="145"/>
    </row>
    <row r="83" spans="1:17" x14ac:dyDescent="0.25">
      <c r="B83" s="69"/>
      <c r="C83" s="263"/>
      <c r="D83" s="143"/>
      <c r="E83" s="143"/>
      <c r="F83" s="144"/>
      <c r="G83" s="144"/>
      <c r="H83" s="66"/>
      <c r="I83" s="66"/>
      <c r="J83" s="66"/>
      <c r="K83" s="66"/>
      <c r="L83" s="66"/>
      <c r="M83" s="66"/>
      <c r="N83" s="66"/>
      <c r="O83" s="66"/>
      <c r="P83" s="66"/>
      <c r="Q83" s="145"/>
    </row>
    <row r="84" spans="1:17" x14ac:dyDescent="0.25">
      <c r="B84" s="69"/>
      <c r="C84" s="142"/>
      <c r="D84" s="69"/>
      <c r="E84" s="69"/>
      <c r="F84" s="66"/>
      <c r="G84" s="66"/>
      <c r="H84" s="66"/>
      <c r="I84" s="66"/>
      <c r="J84" s="66"/>
      <c r="K84" s="66"/>
      <c r="L84" s="66"/>
      <c r="M84" s="66"/>
      <c r="N84" s="66"/>
      <c r="O84" s="66"/>
      <c r="P84" s="66"/>
      <c r="Q84" s="66"/>
    </row>
    <row r="85" spans="1:17" x14ac:dyDescent="0.25">
      <c r="B85" s="617" t="s">
        <v>357</v>
      </c>
      <c r="C85" s="617"/>
      <c r="D85" s="617"/>
      <c r="E85" s="617"/>
      <c r="F85" s="617"/>
      <c r="G85" s="617"/>
      <c r="H85" s="617"/>
      <c r="I85" s="617"/>
      <c r="J85" s="617"/>
      <c r="K85" s="617"/>
      <c r="L85" s="617"/>
      <c r="M85" s="617"/>
      <c r="N85" s="617"/>
      <c r="O85" s="617"/>
      <c r="P85" s="617"/>
      <c r="Q85" s="66"/>
    </row>
    <row r="86" spans="1:17" ht="17.45" hidden="1" x14ac:dyDescent="0.3">
      <c r="B86" s="146"/>
      <c r="C86" s="147"/>
      <c r="D86" s="146"/>
      <c r="E86" s="146"/>
      <c r="F86" s="101"/>
      <c r="G86" s="146"/>
      <c r="H86" s="146"/>
      <c r="I86" s="146"/>
      <c r="J86" s="146"/>
      <c r="K86" s="146"/>
      <c r="L86" s="146"/>
      <c r="M86" s="146"/>
      <c r="N86" s="146"/>
      <c r="O86" s="146"/>
      <c r="P86" s="146"/>
      <c r="Q86" s="66"/>
    </row>
    <row r="87" spans="1:17" ht="45" x14ac:dyDescent="0.25">
      <c r="B87" s="604" t="s">
        <v>58</v>
      </c>
      <c r="C87" s="606" t="s">
        <v>0</v>
      </c>
      <c r="D87" s="606" t="s">
        <v>44</v>
      </c>
      <c r="E87" s="606" t="s">
        <v>206</v>
      </c>
      <c r="F87" s="272" t="s">
        <v>45</v>
      </c>
      <c r="G87" s="272" t="s">
        <v>203</v>
      </c>
      <c r="H87" s="614" t="s">
        <v>59</v>
      </c>
      <c r="I87" s="615"/>
      <c r="J87" s="615"/>
      <c r="K87" s="615"/>
      <c r="L87" s="615"/>
      <c r="M87" s="615"/>
      <c r="N87" s="615"/>
      <c r="O87" s="615"/>
      <c r="P87" s="616"/>
      <c r="Q87" s="66"/>
    </row>
    <row r="88" spans="1:17" ht="45" x14ac:dyDescent="0.25">
      <c r="B88" s="621"/>
      <c r="C88" s="607"/>
      <c r="D88" s="607"/>
      <c r="E88" s="607"/>
      <c r="F88" s="138" t="s">
        <v>93</v>
      </c>
      <c r="G88" s="138" t="s">
        <v>94</v>
      </c>
      <c r="H88" s="138" t="s">
        <v>37</v>
      </c>
      <c r="I88" s="138" t="s">
        <v>39</v>
      </c>
      <c r="J88" s="138" t="s">
        <v>108</v>
      </c>
      <c r="K88" s="138" t="s">
        <v>109</v>
      </c>
      <c r="L88" s="138" t="s">
        <v>40</v>
      </c>
      <c r="M88" s="138" t="s">
        <v>41</v>
      </c>
      <c r="N88" s="138" t="s">
        <v>42</v>
      </c>
      <c r="O88" s="138" t="s">
        <v>514</v>
      </c>
      <c r="P88" s="379" t="s">
        <v>34</v>
      </c>
      <c r="Q88" s="66"/>
    </row>
    <row r="89" spans="1:17" s="21" customFormat="1" ht="19.5" customHeight="1" outlineLevel="1" x14ac:dyDescent="0.25">
      <c r="A89" s="45"/>
      <c r="B89" s="373"/>
      <c r="C89" s="618" t="s">
        <v>1</v>
      </c>
      <c r="D89" s="618"/>
      <c r="E89" s="374"/>
      <c r="F89" s="375"/>
      <c r="G89" s="375"/>
      <c r="H89" s="375"/>
      <c r="I89" s="375"/>
      <c r="J89" s="375"/>
      <c r="K89" s="375"/>
      <c r="L89" s="375"/>
      <c r="M89" s="375"/>
      <c r="N89" s="375"/>
      <c r="O89" s="375"/>
      <c r="P89" s="376"/>
      <c r="Q89" s="140"/>
    </row>
    <row r="90" spans="1:17" ht="15" outlineLevel="1" x14ac:dyDescent="0.25">
      <c r="A90" s="619"/>
      <c r="B90" s="274">
        <v>1</v>
      </c>
      <c r="C90" s="255" t="s">
        <v>2</v>
      </c>
      <c r="D90" s="253" t="s">
        <v>33</v>
      </c>
      <c r="E90" s="253"/>
      <c r="F90" s="296"/>
      <c r="G90" s="296">
        <v>160469.639</v>
      </c>
      <c r="H90" s="295">
        <v>1</v>
      </c>
      <c r="I90" s="294"/>
      <c r="J90" s="294"/>
      <c r="K90" s="294"/>
      <c r="L90" s="294"/>
      <c r="M90" s="294"/>
      <c r="N90" s="294"/>
      <c r="O90" s="294"/>
      <c r="P90" s="252">
        <f>SUM(H90:O90)</f>
        <v>1</v>
      </c>
      <c r="Q90" s="66"/>
    </row>
    <row r="91" spans="1:17" ht="15" outlineLevel="1" x14ac:dyDescent="0.25">
      <c r="A91" s="619"/>
      <c r="B91" s="274">
        <v>2</v>
      </c>
      <c r="C91" s="255" t="s">
        <v>3</v>
      </c>
      <c r="D91" s="253" t="s">
        <v>33</v>
      </c>
      <c r="E91" s="253"/>
      <c r="F91" s="296"/>
      <c r="G91" s="296">
        <v>5205.0659999999998</v>
      </c>
      <c r="H91" s="295">
        <v>1</v>
      </c>
      <c r="I91" s="294"/>
      <c r="J91" s="294"/>
      <c r="K91" s="294"/>
      <c r="L91" s="294"/>
      <c r="M91" s="294"/>
      <c r="N91" s="294"/>
      <c r="O91" s="294"/>
      <c r="P91" s="252">
        <f t="shared" ref="P91:P98" si="5">SUM(H91:O91)</f>
        <v>1</v>
      </c>
      <c r="Q91" s="66"/>
    </row>
    <row r="92" spans="1:17" ht="15" outlineLevel="1" x14ac:dyDescent="0.25">
      <c r="A92" s="619"/>
      <c r="B92" s="274">
        <v>3</v>
      </c>
      <c r="C92" s="255" t="s">
        <v>4</v>
      </c>
      <c r="D92" s="253" t="s">
        <v>33</v>
      </c>
      <c r="E92" s="253"/>
      <c r="F92" s="296"/>
      <c r="G92" s="296">
        <f>351058.194+2021</f>
        <v>353079.19400000002</v>
      </c>
      <c r="H92" s="295">
        <v>1</v>
      </c>
      <c r="I92" s="294"/>
      <c r="J92" s="294"/>
      <c r="K92" s="294"/>
      <c r="L92" s="294"/>
      <c r="M92" s="294"/>
      <c r="N92" s="294"/>
      <c r="O92" s="294"/>
      <c r="P92" s="252">
        <f t="shared" si="5"/>
        <v>1</v>
      </c>
      <c r="Q92" s="66"/>
    </row>
    <row r="93" spans="1:17" ht="15" outlineLevel="1" x14ac:dyDescent="0.25">
      <c r="A93" s="619"/>
      <c r="B93" s="274">
        <v>4</v>
      </c>
      <c r="C93" s="255" t="s">
        <v>5</v>
      </c>
      <c r="D93" s="253" t="s">
        <v>33</v>
      </c>
      <c r="E93" s="253"/>
      <c r="F93" s="296"/>
      <c r="G93" s="296">
        <v>9032.9889999999996</v>
      </c>
      <c r="H93" s="295">
        <v>1</v>
      </c>
      <c r="I93" s="294"/>
      <c r="J93" s="294"/>
      <c r="K93" s="294"/>
      <c r="L93" s="294"/>
      <c r="M93" s="294"/>
      <c r="N93" s="294"/>
      <c r="O93" s="294"/>
      <c r="P93" s="252">
        <f t="shared" si="5"/>
        <v>1</v>
      </c>
      <c r="Q93" s="66"/>
    </row>
    <row r="94" spans="1:17" ht="15" outlineLevel="1" x14ac:dyDescent="0.25">
      <c r="A94" s="619"/>
      <c r="B94" s="274">
        <v>5</v>
      </c>
      <c r="C94" s="255" t="s">
        <v>6</v>
      </c>
      <c r="D94" s="253" t="s">
        <v>33</v>
      </c>
      <c r="E94" s="253"/>
      <c r="F94" s="296"/>
      <c r="G94" s="296">
        <v>173021.20499999999</v>
      </c>
      <c r="H94" s="295">
        <v>1</v>
      </c>
      <c r="I94" s="294"/>
      <c r="J94" s="294"/>
      <c r="K94" s="294"/>
      <c r="L94" s="294"/>
      <c r="M94" s="294"/>
      <c r="N94" s="294"/>
      <c r="O94" s="294"/>
      <c r="P94" s="252">
        <f t="shared" si="5"/>
        <v>1</v>
      </c>
      <c r="Q94" s="66"/>
    </row>
    <row r="95" spans="1:17" ht="15" outlineLevel="1" x14ac:dyDescent="0.25">
      <c r="A95" s="619"/>
      <c r="B95" s="274">
        <v>6</v>
      </c>
      <c r="C95" s="255" t="s">
        <v>7</v>
      </c>
      <c r="D95" s="253" t="s">
        <v>33</v>
      </c>
      <c r="E95" s="253"/>
      <c r="F95" s="296"/>
      <c r="G95" s="296"/>
      <c r="H95" s="295">
        <v>0</v>
      </c>
      <c r="I95" s="294"/>
      <c r="J95" s="294"/>
      <c r="K95" s="294"/>
      <c r="L95" s="294"/>
      <c r="M95" s="294"/>
      <c r="N95" s="294"/>
      <c r="O95" s="294"/>
      <c r="P95" s="252">
        <f t="shared" si="5"/>
        <v>0</v>
      </c>
      <c r="Q95" s="66"/>
    </row>
    <row r="96" spans="1:17" ht="28.5" outlineLevel="1" x14ac:dyDescent="0.25">
      <c r="A96" s="619"/>
      <c r="B96" s="274">
        <v>7</v>
      </c>
      <c r="C96" s="255" t="s">
        <v>32</v>
      </c>
      <c r="D96" s="253" t="s">
        <v>33</v>
      </c>
      <c r="E96" s="253"/>
      <c r="F96" s="296"/>
      <c r="G96" s="296"/>
      <c r="H96" s="295">
        <v>0</v>
      </c>
      <c r="I96" s="294"/>
      <c r="J96" s="294"/>
      <c r="K96" s="294"/>
      <c r="L96" s="294"/>
      <c r="M96" s="294"/>
      <c r="N96" s="294"/>
      <c r="O96" s="294"/>
      <c r="P96" s="252">
        <f t="shared" si="5"/>
        <v>0</v>
      </c>
      <c r="Q96" s="66"/>
    </row>
    <row r="97" spans="1:19" ht="15" outlineLevel="1" x14ac:dyDescent="0.25">
      <c r="A97" s="619"/>
      <c r="B97" s="274">
        <v>8</v>
      </c>
      <c r="C97" s="255" t="s">
        <v>25</v>
      </c>
      <c r="D97" s="253" t="s">
        <v>33</v>
      </c>
      <c r="E97" s="253"/>
      <c r="F97" s="296"/>
      <c r="G97" s="296"/>
      <c r="H97" s="295">
        <v>0</v>
      </c>
      <c r="I97" s="294"/>
      <c r="J97" s="294"/>
      <c r="K97" s="294"/>
      <c r="L97" s="294"/>
      <c r="M97" s="294"/>
      <c r="N97" s="294"/>
      <c r="O97" s="294"/>
      <c r="P97" s="252">
        <f t="shared" si="5"/>
        <v>0</v>
      </c>
      <c r="Q97" s="66"/>
    </row>
    <row r="98" spans="1:19" ht="15" outlineLevel="1" x14ac:dyDescent="0.25">
      <c r="A98" s="619"/>
      <c r="B98" s="274">
        <v>9</v>
      </c>
      <c r="C98" s="255" t="s">
        <v>8</v>
      </c>
      <c r="D98" s="253" t="s">
        <v>33</v>
      </c>
      <c r="E98" s="253"/>
      <c r="F98" s="296"/>
      <c r="G98" s="296">
        <f>362+985</f>
        <v>1347</v>
      </c>
      <c r="H98" s="295">
        <v>1</v>
      </c>
      <c r="I98" s="294"/>
      <c r="J98" s="294"/>
      <c r="K98" s="294"/>
      <c r="L98" s="294"/>
      <c r="M98" s="294"/>
      <c r="N98" s="294"/>
      <c r="O98" s="294"/>
      <c r="P98" s="252">
        <f t="shared" si="5"/>
        <v>1</v>
      </c>
      <c r="Q98" s="66"/>
    </row>
    <row r="99" spans="1:19" ht="15" outlineLevel="1" x14ac:dyDescent="0.25">
      <c r="A99" s="619"/>
      <c r="B99" s="274"/>
      <c r="C99" s="256" t="s">
        <v>257</v>
      </c>
      <c r="D99" s="253" t="s">
        <v>255</v>
      </c>
      <c r="E99" s="253"/>
      <c r="F99" s="296"/>
      <c r="G99" s="296"/>
      <c r="H99" s="293"/>
      <c r="I99" s="294"/>
      <c r="J99" s="294"/>
      <c r="K99" s="294"/>
      <c r="L99" s="294"/>
      <c r="M99" s="294"/>
      <c r="N99" s="294"/>
      <c r="O99" s="294"/>
      <c r="P99" s="252"/>
      <c r="Q99" s="66"/>
    </row>
    <row r="100" spans="1:19" ht="15" outlineLevel="1" x14ac:dyDescent="0.25">
      <c r="A100" s="619"/>
      <c r="B100" s="274"/>
      <c r="C100" s="609"/>
      <c r="D100" s="609"/>
      <c r="E100" s="268"/>
      <c r="F100" s="296"/>
      <c r="G100" s="296"/>
      <c r="H100" s="293"/>
      <c r="I100" s="294"/>
      <c r="J100" s="294"/>
      <c r="K100" s="294"/>
      <c r="L100" s="294"/>
      <c r="M100" s="294"/>
      <c r="N100" s="294"/>
      <c r="O100" s="294"/>
      <c r="P100" s="252"/>
      <c r="Q100" s="66"/>
    </row>
    <row r="101" spans="1:19" ht="15" outlineLevel="1" x14ac:dyDescent="0.25">
      <c r="A101" s="619"/>
      <c r="B101" s="274"/>
      <c r="C101" s="609"/>
      <c r="D101" s="609"/>
      <c r="E101" s="268"/>
      <c r="F101" s="296"/>
      <c r="G101" s="296"/>
      <c r="H101" s="293"/>
      <c r="I101" s="294"/>
      <c r="J101" s="294"/>
      <c r="K101" s="294"/>
      <c r="L101" s="294"/>
      <c r="M101" s="294"/>
      <c r="N101" s="294"/>
      <c r="O101" s="294"/>
      <c r="P101" s="252"/>
      <c r="Q101" s="66"/>
    </row>
    <row r="102" spans="1:19" s="21" customFormat="1" ht="18.75" customHeight="1" outlineLevel="1" x14ac:dyDescent="0.25">
      <c r="A102" s="619"/>
      <c r="B102" s="248"/>
      <c r="C102" s="612" t="s">
        <v>9</v>
      </c>
      <c r="D102" s="612"/>
      <c r="E102" s="249"/>
      <c r="F102" s="250"/>
      <c r="G102" s="250"/>
      <c r="H102" s="250"/>
      <c r="I102" s="250"/>
      <c r="J102" s="250"/>
      <c r="K102" s="250"/>
      <c r="L102" s="250"/>
      <c r="M102" s="250"/>
      <c r="N102" s="250"/>
      <c r="O102" s="250"/>
      <c r="P102" s="251"/>
      <c r="Q102" s="140"/>
      <c r="R102" s="27"/>
      <c r="S102" s="27"/>
    </row>
    <row r="103" spans="1:19" ht="15" outlineLevel="1" x14ac:dyDescent="0.25">
      <c r="A103" s="619"/>
      <c r="B103" s="149">
        <v>10</v>
      </c>
      <c r="C103" s="257" t="s">
        <v>26</v>
      </c>
      <c r="D103" s="253" t="s">
        <v>33</v>
      </c>
      <c r="E103" s="253">
        <v>12</v>
      </c>
      <c r="F103" s="296">
        <f>294+69</f>
        <v>363</v>
      </c>
      <c r="G103" s="296">
        <f>1431943+331672</f>
        <v>1763615</v>
      </c>
      <c r="H103" s="293"/>
      <c r="I103" s="295">
        <v>0.11</v>
      </c>
      <c r="J103" s="295">
        <v>0.89</v>
      </c>
      <c r="K103" s="295">
        <v>0</v>
      </c>
      <c r="L103" s="294"/>
      <c r="M103" s="294"/>
      <c r="N103" s="294"/>
      <c r="O103" s="294"/>
      <c r="P103" s="252">
        <f>SUM(H103:O103)</f>
        <v>1</v>
      </c>
      <c r="Q103" s="66"/>
    </row>
    <row r="104" spans="1:19" ht="15" outlineLevel="1" x14ac:dyDescent="0.25">
      <c r="A104" s="619"/>
      <c r="B104" s="149">
        <v>11</v>
      </c>
      <c r="C104" s="255" t="s">
        <v>24</v>
      </c>
      <c r="D104" s="253" t="s">
        <v>33</v>
      </c>
      <c r="E104" s="253">
        <v>12</v>
      </c>
      <c r="F104" s="296"/>
      <c r="G104" s="296">
        <f>886133+24296</f>
        <v>910429</v>
      </c>
      <c r="H104" s="293"/>
      <c r="I104" s="295">
        <v>1</v>
      </c>
      <c r="J104" s="295">
        <v>0</v>
      </c>
      <c r="K104" s="295">
        <v>0</v>
      </c>
      <c r="L104" s="294"/>
      <c r="M104" s="294"/>
      <c r="N104" s="294"/>
      <c r="O104" s="294"/>
      <c r="P104" s="252">
        <f>SUM(H104:O104)</f>
        <v>1</v>
      </c>
      <c r="Q104" s="66"/>
    </row>
    <row r="105" spans="1:19" ht="15" outlineLevel="1" x14ac:dyDescent="0.25">
      <c r="A105" s="619"/>
      <c r="B105" s="149">
        <v>12</v>
      </c>
      <c r="C105" s="255" t="s">
        <v>27</v>
      </c>
      <c r="D105" s="253" t="s">
        <v>33</v>
      </c>
      <c r="E105" s="253">
        <v>3</v>
      </c>
      <c r="F105" s="296"/>
      <c r="G105" s="296"/>
      <c r="H105" s="293"/>
      <c r="I105" s="295">
        <v>0</v>
      </c>
      <c r="J105" s="295">
        <v>0</v>
      </c>
      <c r="K105" s="295">
        <v>0</v>
      </c>
      <c r="L105" s="294"/>
      <c r="M105" s="294"/>
      <c r="N105" s="294"/>
      <c r="O105" s="294"/>
      <c r="P105" s="252">
        <f t="shared" ref="P105:P110" si="6">SUM(H105:O105)</f>
        <v>0</v>
      </c>
      <c r="Q105" s="66"/>
    </row>
    <row r="106" spans="1:19" ht="15" outlineLevel="1" x14ac:dyDescent="0.25">
      <c r="A106" s="619"/>
      <c r="B106" s="149">
        <v>13</v>
      </c>
      <c r="C106" s="255" t="s">
        <v>28</v>
      </c>
      <c r="D106" s="253" t="s">
        <v>33</v>
      </c>
      <c r="E106" s="253">
        <v>12</v>
      </c>
      <c r="F106" s="296"/>
      <c r="G106" s="296"/>
      <c r="H106" s="293"/>
      <c r="I106" s="295">
        <v>0</v>
      </c>
      <c r="J106" s="295">
        <v>0</v>
      </c>
      <c r="K106" s="295">
        <v>0</v>
      </c>
      <c r="L106" s="294"/>
      <c r="M106" s="294"/>
      <c r="N106" s="294"/>
      <c r="O106" s="294"/>
      <c r="P106" s="252">
        <f t="shared" si="6"/>
        <v>0</v>
      </c>
      <c r="Q106" s="66"/>
    </row>
    <row r="107" spans="1:19" ht="15" outlineLevel="1" x14ac:dyDescent="0.25">
      <c r="A107" s="619"/>
      <c r="B107" s="149">
        <v>14</v>
      </c>
      <c r="C107" s="255" t="s">
        <v>23</v>
      </c>
      <c r="D107" s="253" t="s">
        <v>33</v>
      </c>
      <c r="E107" s="253">
        <v>12</v>
      </c>
      <c r="F107" s="296"/>
      <c r="G107" s="296"/>
      <c r="H107" s="293"/>
      <c r="I107" s="295">
        <v>0</v>
      </c>
      <c r="J107" s="295">
        <v>0</v>
      </c>
      <c r="K107" s="295">
        <v>0</v>
      </c>
      <c r="L107" s="294"/>
      <c r="M107" s="294"/>
      <c r="N107" s="294"/>
      <c r="O107" s="294"/>
      <c r="P107" s="252">
        <f t="shared" si="6"/>
        <v>0</v>
      </c>
      <c r="Q107" s="66"/>
    </row>
    <row r="108" spans="1:19" ht="28.5" outlineLevel="1" x14ac:dyDescent="0.25">
      <c r="A108" s="619"/>
      <c r="B108" s="274">
        <v>15</v>
      </c>
      <c r="C108" s="255" t="s">
        <v>29</v>
      </c>
      <c r="D108" s="253" t="s">
        <v>33</v>
      </c>
      <c r="E108" s="253">
        <v>0</v>
      </c>
      <c r="F108" s="296"/>
      <c r="G108" s="296"/>
      <c r="H108" s="293"/>
      <c r="I108" s="295">
        <v>0</v>
      </c>
      <c r="J108" s="295">
        <v>0</v>
      </c>
      <c r="K108" s="295">
        <v>0</v>
      </c>
      <c r="L108" s="294"/>
      <c r="M108" s="294"/>
      <c r="N108" s="294"/>
      <c r="O108" s="294"/>
      <c r="P108" s="252">
        <f t="shared" si="6"/>
        <v>0</v>
      </c>
      <c r="Q108" s="66"/>
    </row>
    <row r="109" spans="1:19" ht="28.5" outlineLevel="1" x14ac:dyDescent="0.25">
      <c r="A109" s="619"/>
      <c r="B109" s="274">
        <v>16</v>
      </c>
      <c r="C109" s="255" t="s">
        <v>30</v>
      </c>
      <c r="D109" s="253" t="s">
        <v>33</v>
      </c>
      <c r="E109" s="253">
        <v>0</v>
      </c>
      <c r="F109" s="296"/>
      <c r="G109" s="296"/>
      <c r="H109" s="293"/>
      <c r="I109" s="295">
        <v>0</v>
      </c>
      <c r="J109" s="295">
        <v>0</v>
      </c>
      <c r="K109" s="295">
        <v>0</v>
      </c>
      <c r="L109" s="294"/>
      <c r="M109" s="294"/>
      <c r="N109" s="294"/>
      <c r="O109" s="294"/>
      <c r="P109" s="252">
        <f t="shared" si="6"/>
        <v>0</v>
      </c>
      <c r="Q109" s="66"/>
    </row>
    <row r="110" spans="1:19" ht="15" outlineLevel="1" x14ac:dyDescent="0.25">
      <c r="A110" s="619"/>
      <c r="B110" s="274">
        <v>17</v>
      </c>
      <c r="C110" s="255" t="s">
        <v>10</v>
      </c>
      <c r="D110" s="253" t="s">
        <v>33</v>
      </c>
      <c r="E110" s="253">
        <v>0</v>
      </c>
      <c r="F110" s="296"/>
      <c r="G110" s="296"/>
      <c r="H110" s="293"/>
      <c r="I110" s="295">
        <v>0</v>
      </c>
      <c r="J110" s="295">
        <v>0</v>
      </c>
      <c r="K110" s="295">
        <v>0</v>
      </c>
      <c r="L110" s="294"/>
      <c r="M110" s="294"/>
      <c r="N110" s="294"/>
      <c r="O110" s="294"/>
      <c r="P110" s="252">
        <f t="shared" si="6"/>
        <v>0</v>
      </c>
      <c r="Q110" s="66"/>
    </row>
    <row r="111" spans="1:19" ht="15" outlineLevel="1" x14ac:dyDescent="0.25">
      <c r="A111" s="619"/>
      <c r="B111" s="274"/>
      <c r="C111" s="256" t="s">
        <v>257</v>
      </c>
      <c r="D111" s="253" t="s">
        <v>255</v>
      </c>
      <c r="E111" s="253"/>
      <c r="F111" s="296"/>
      <c r="G111" s="296"/>
      <c r="H111" s="293"/>
      <c r="I111" s="295"/>
      <c r="J111" s="295"/>
      <c r="K111" s="294"/>
      <c r="L111" s="294"/>
      <c r="M111" s="294"/>
      <c r="N111" s="294"/>
      <c r="O111" s="294"/>
      <c r="P111" s="252"/>
      <c r="Q111" s="66"/>
    </row>
    <row r="112" spans="1:19" ht="15" outlineLevel="1" x14ac:dyDescent="0.25">
      <c r="A112" s="619"/>
      <c r="B112" s="274"/>
      <c r="C112" s="609"/>
      <c r="D112" s="609"/>
      <c r="E112" s="268"/>
      <c r="F112" s="296"/>
      <c r="G112" s="296"/>
      <c r="H112" s="293"/>
      <c r="I112" s="295"/>
      <c r="J112" s="295"/>
      <c r="K112" s="294"/>
      <c r="L112" s="294"/>
      <c r="M112" s="294"/>
      <c r="N112" s="294"/>
      <c r="O112" s="294"/>
      <c r="P112" s="252"/>
      <c r="Q112" s="66"/>
    </row>
    <row r="113" spans="1:17" ht="15" outlineLevel="1" x14ac:dyDescent="0.25">
      <c r="A113" s="619"/>
      <c r="B113" s="274"/>
      <c r="C113" s="609"/>
      <c r="D113" s="609"/>
      <c r="E113" s="268"/>
      <c r="F113" s="296"/>
      <c r="G113" s="296"/>
      <c r="H113" s="293"/>
      <c r="I113" s="295"/>
      <c r="J113" s="295"/>
      <c r="K113" s="294"/>
      <c r="L113" s="294"/>
      <c r="M113" s="294"/>
      <c r="N113" s="294"/>
      <c r="O113" s="294"/>
      <c r="P113" s="252"/>
      <c r="Q113" s="66"/>
    </row>
    <row r="114" spans="1:17" s="21" customFormat="1" ht="18" customHeight="1" outlineLevel="1" x14ac:dyDescent="0.25">
      <c r="A114" s="619"/>
      <c r="B114" s="248"/>
      <c r="C114" s="612" t="s">
        <v>11</v>
      </c>
      <c r="D114" s="612"/>
      <c r="E114" s="249"/>
      <c r="F114" s="250"/>
      <c r="G114" s="250"/>
      <c r="H114" s="250"/>
      <c r="I114" s="250"/>
      <c r="J114" s="250"/>
      <c r="K114" s="250"/>
      <c r="L114" s="250"/>
      <c r="M114" s="250"/>
      <c r="N114" s="250"/>
      <c r="O114" s="250"/>
      <c r="P114" s="251"/>
      <c r="Q114" s="140"/>
    </row>
    <row r="115" spans="1:17" ht="15" outlineLevel="1" x14ac:dyDescent="0.25">
      <c r="A115" s="619"/>
      <c r="B115" s="149">
        <v>18</v>
      </c>
      <c r="C115" s="255" t="s">
        <v>12</v>
      </c>
      <c r="D115" s="253" t="s">
        <v>33</v>
      </c>
      <c r="E115" s="253">
        <v>12</v>
      </c>
      <c r="F115" s="296"/>
      <c r="G115" s="296"/>
      <c r="H115" s="293"/>
      <c r="I115" s="294"/>
      <c r="J115" s="295">
        <v>0</v>
      </c>
      <c r="K115" s="295">
        <v>0</v>
      </c>
      <c r="L115" s="294"/>
      <c r="M115" s="294"/>
      <c r="N115" s="294"/>
      <c r="O115" s="294"/>
      <c r="P115" s="252">
        <f t="shared" ref="P115:P119" si="7">SUM(H115:O115)</f>
        <v>0</v>
      </c>
      <c r="Q115" s="66"/>
    </row>
    <row r="116" spans="1:17" ht="15" outlineLevel="1" x14ac:dyDescent="0.25">
      <c r="A116" s="619"/>
      <c r="B116" s="149">
        <v>19</v>
      </c>
      <c r="C116" s="255" t="s">
        <v>13</v>
      </c>
      <c r="D116" s="253" t="s">
        <v>33</v>
      </c>
      <c r="E116" s="253">
        <v>12</v>
      </c>
      <c r="F116" s="296"/>
      <c r="G116" s="296"/>
      <c r="H116" s="293"/>
      <c r="I116" s="294"/>
      <c r="J116" s="295">
        <v>0</v>
      </c>
      <c r="K116" s="295">
        <v>0</v>
      </c>
      <c r="L116" s="294"/>
      <c r="M116" s="294"/>
      <c r="N116" s="294"/>
      <c r="O116" s="294"/>
      <c r="P116" s="252">
        <f t="shared" si="7"/>
        <v>0</v>
      </c>
      <c r="Q116" s="66"/>
    </row>
    <row r="117" spans="1:17" ht="15" outlineLevel="1" x14ac:dyDescent="0.25">
      <c r="A117" s="619"/>
      <c r="B117" s="149">
        <v>20</v>
      </c>
      <c r="C117" s="255" t="s">
        <v>14</v>
      </c>
      <c r="D117" s="253" t="s">
        <v>33</v>
      </c>
      <c r="E117" s="253">
        <v>12</v>
      </c>
      <c r="F117" s="296"/>
      <c r="G117" s="296"/>
      <c r="H117" s="293"/>
      <c r="I117" s="294"/>
      <c r="J117" s="295">
        <v>0</v>
      </c>
      <c r="K117" s="295">
        <v>0</v>
      </c>
      <c r="L117" s="294"/>
      <c r="M117" s="294"/>
      <c r="N117" s="294"/>
      <c r="O117" s="294"/>
      <c r="P117" s="252">
        <f t="shared" si="7"/>
        <v>0</v>
      </c>
      <c r="Q117" s="66"/>
    </row>
    <row r="118" spans="1:17" ht="15" outlineLevel="1" x14ac:dyDescent="0.25">
      <c r="A118" s="619"/>
      <c r="B118" s="149">
        <v>21</v>
      </c>
      <c r="C118" s="257" t="s">
        <v>26</v>
      </c>
      <c r="D118" s="253" t="s">
        <v>33</v>
      </c>
      <c r="E118" s="253">
        <v>12</v>
      </c>
      <c r="F118" s="296"/>
      <c r="G118" s="296"/>
      <c r="H118" s="293"/>
      <c r="I118" s="294"/>
      <c r="J118" s="295">
        <v>0</v>
      </c>
      <c r="K118" s="295">
        <v>0</v>
      </c>
      <c r="L118" s="294"/>
      <c r="M118" s="294"/>
      <c r="N118" s="294"/>
      <c r="O118" s="294"/>
      <c r="P118" s="252">
        <f t="shared" si="7"/>
        <v>0</v>
      </c>
      <c r="Q118" s="66"/>
    </row>
    <row r="119" spans="1:17" ht="15" outlineLevel="1" x14ac:dyDescent="0.25">
      <c r="A119" s="619"/>
      <c r="B119" s="149">
        <v>22</v>
      </c>
      <c r="C119" s="255" t="s">
        <v>10</v>
      </c>
      <c r="D119" s="253" t="s">
        <v>33</v>
      </c>
      <c r="E119" s="253">
        <v>0</v>
      </c>
      <c r="F119" s="296"/>
      <c r="G119" s="296"/>
      <c r="H119" s="293"/>
      <c r="I119" s="294"/>
      <c r="J119" s="295">
        <v>0</v>
      </c>
      <c r="K119" s="295">
        <v>0</v>
      </c>
      <c r="L119" s="294"/>
      <c r="M119" s="294"/>
      <c r="N119" s="294"/>
      <c r="O119" s="294"/>
      <c r="P119" s="252">
        <f t="shared" si="7"/>
        <v>0</v>
      </c>
      <c r="Q119" s="66"/>
    </row>
    <row r="120" spans="1:17" ht="15" outlineLevel="1" x14ac:dyDescent="0.25">
      <c r="A120" s="619"/>
      <c r="B120" s="149"/>
      <c r="C120" s="256" t="s">
        <v>257</v>
      </c>
      <c r="D120" s="253" t="s">
        <v>255</v>
      </c>
      <c r="E120" s="253"/>
      <c r="F120" s="296"/>
      <c r="G120" s="296"/>
      <c r="H120" s="293"/>
      <c r="I120" s="294"/>
      <c r="J120" s="294"/>
      <c r="K120" s="294"/>
      <c r="L120" s="294"/>
      <c r="M120" s="294"/>
      <c r="N120" s="294"/>
      <c r="O120" s="294"/>
      <c r="P120" s="252"/>
      <c r="Q120" s="66"/>
    </row>
    <row r="121" spans="1:17" ht="15" outlineLevel="1" x14ac:dyDescent="0.25">
      <c r="A121" s="619"/>
      <c r="B121" s="149"/>
      <c r="C121" s="609"/>
      <c r="D121" s="609"/>
      <c r="E121" s="268"/>
      <c r="F121" s="296"/>
      <c r="G121" s="296"/>
      <c r="H121" s="293"/>
      <c r="I121" s="294"/>
      <c r="J121" s="294"/>
      <c r="K121" s="294"/>
      <c r="L121" s="294"/>
      <c r="M121" s="294"/>
      <c r="N121" s="294"/>
      <c r="O121" s="294"/>
      <c r="P121" s="252"/>
      <c r="Q121" s="66"/>
    </row>
    <row r="122" spans="1:17" ht="15" outlineLevel="1" x14ac:dyDescent="0.25">
      <c r="A122" s="619"/>
      <c r="B122" s="149"/>
      <c r="C122" s="609"/>
      <c r="D122" s="609"/>
      <c r="E122" s="268"/>
      <c r="F122" s="296"/>
      <c r="G122" s="296"/>
      <c r="H122" s="293"/>
      <c r="I122" s="294"/>
      <c r="J122" s="294"/>
      <c r="K122" s="294"/>
      <c r="L122" s="294"/>
      <c r="M122" s="294"/>
      <c r="N122" s="294"/>
      <c r="O122" s="294"/>
      <c r="P122" s="252"/>
      <c r="Q122" s="66"/>
    </row>
    <row r="123" spans="1:17" ht="15" outlineLevel="1" x14ac:dyDescent="0.25">
      <c r="A123" s="619"/>
      <c r="B123" s="149"/>
      <c r="C123" s="609"/>
      <c r="D123" s="609"/>
      <c r="E123" s="268"/>
      <c r="F123" s="296"/>
      <c r="G123" s="296"/>
      <c r="H123" s="293"/>
      <c r="I123" s="294"/>
      <c r="J123" s="294"/>
      <c r="K123" s="294"/>
      <c r="L123" s="294"/>
      <c r="M123" s="294"/>
      <c r="N123" s="294"/>
      <c r="O123" s="294"/>
      <c r="P123" s="252"/>
      <c r="Q123" s="66"/>
    </row>
    <row r="124" spans="1:17" s="42" customFormat="1" ht="15" outlineLevel="1" x14ac:dyDescent="0.25">
      <c r="A124" s="619"/>
      <c r="B124" s="248"/>
      <c r="C124" s="612" t="s">
        <v>15</v>
      </c>
      <c r="D124" s="612"/>
      <c r="E124" s="249"/>
      <c r="F124" s="250"/>
      <c r="G124" s="250"/>
      <c r="H124" s="250"/>
      <c r="I124" s="250"/>
      <c r="J124" s="250"/>
      <c r="K124" s="250"/>
      <c r="L124" s="250"/>
      <c r="M124" s="250"/>
      <c r="N124" s="250"/>
      <c r="O124" s="250"/>
      <c r="P124" s="251"/>
      <c r="Q124" s="148"/>
    </row>
    <row r="125" spans="1:17" ht="15" outlineLevel="1" x14ac:dyDescent="0.25">
      <c r="A125" s="619"/>
      <c r="B125" s="274">
        <v>23</v>
      </c>
      <c r="C125" s="255" t="s">
        <v>15</v>
      </c>
      <c r="D125" s="253" t="s">
        <v>33</v>
      </c>
      <c r="E125" s="253"/>
      <c r="F125" s="296"/>
      <c r="G125" s="296">
        <f>28761+2008</f>
        <v>30769</v>
      </c>
      <c r="H125" s="295">
        <v>1</v>
      </c>
      <c r="I125" s="294"/>
      <c r="J125" s="294"/>
      <c r="K125" s="294"/>
      <c r="L125" s="294"/>
      <c r="M125" s="294"/>
      <c r="N125" s="294"/>
      <c r="O125" s="294"/>
      <c r="P125" s="252">
        <f t="shared" ref="P125" si="8">SUM(H125:O125)</f>
        <v>1</v>
      </c>
      <c r="Q125" s="66"/>
    </row>
    <row r="126" spans="1:17" ht="15" outlineLevel="1" x14ac:dyDescent="0.25">
      <c r="A126" s="619"/>
      <c r="B126" s="274"/>
      <c r="C126" s="256" t="s">
        <v>257</v>
      </c>
      <c r="D126" s="253" t="s">
        <v>255</v>
      </c>
      <c r="E126" s="253"/>
      <c r="F126" s="296"/>
      <c r="G126" s="296"/>
      <c r="H126" s="293"/>
      <c r="I126" s="294"/>
      <c r="J126" s="294"/>
      <c r="K126" s="294"/>
      <c r="L126" s="294"/>
      <c r="M126" s="294"/>
      <c r="N126" s="294"/>
      <c r="O126" s="294"/>
      <c r="P126" s="252"/>
      <c r="Q126" s="66"/>
    </row>
    <row r="127" spans="1:17" ht="15" outlineLevel="1" x14ac:dyDescent="0.25">
      <c r="A127" s="619"/>
      <c r="B127" s="274"/>
      <c r="C127" s="609"/>
      <c r="D127" s="609"/>
      <c r="E127" s="268"/>
      <c r="F127" s="296"/>
      <c r="G127" s="296"/>
      <c r="H127" s="293"/>
      <c r="I127" s="294"/>
      <c r="J127" s="294"/>
      <c r="K127" s="294"/>
      <c r="L127" s="294"/>
      <c r="M127" s="294"/>
      <c r="N127" s="294"/>
      <c r="O127" s="294"/>
      <c r="P127" s="252"/>
      <c r="Q127" s="66"/>
    </row>
    <row r="128" spans="1:17" ht="15" outlineLevel="1" x14ac:dyDescent="0.25">
      <c r="A128" s="619"/>
      <c r="B128" s="274"/>
      <c r="C128" s="609"/>
      <c r="D128" s="609"/>
      <c r="E128" s="268"/>
      <c r="F128" s="296"/>
      <c r="G128" s="296"/>
      <c r="H128" s="293"/>
      <c r="I128" s="294"/>
      <c r="J128" s="294"/>
      <c r="K128" s="294"/>
      <c r="L128" s="294"/>
      <c r="M128" s="294"/>
      <c r="N128" s="294"/>
      <c r="O128" s="294"/>
      <c r="P128" s="252"/>
      <c r="Q128" s="66"/>
    </row>
    <row r="129" spans="1:17" s="42" customFormat="1" ht="15" outlineLevel="1" x14ac:dyDescent="0.25">
      <c r="A129" s="619"/>
      <c r="B129" s="248"/>
      <c r="C129" s="612" t="s">
        <v>16</v>
      </c>
      <c r="D129" s="612"/>
      <c r="E129" s="249"/>
      <c r="F129" s="250"/>
      <c r="G129" s="250"/>
      <c r="H129" s="250"/>
      <c r="I129" s="250"/>
      <c r="J129" s="250"/>
      <c r="K129" s="250"/>
      <c r="L129" s="250"/>
      <c r="M129" s="250"/>
      <c r="N129" s="250"/>
      <c r="O129" s="250"/>
      <c r="P129" s="251"/>
      <c r="Q129" s="148"/>
    </row>
    <row r="130" spans="1:17" ht="15" outlineLevel="1" x14ac:dyDescent="0.25">
      <c r="A130" s="619"/>
      <c r="B130" s="274">
        <v>24</v>
      </c>
      <c r="C130" s="255" t="s">
        <v>17</v>
      </c>
      <c r="D130" s="253" t="s">
        <v>33</v>
      </c>
      <c r="E130" s="253"/>
      <c r="F130" s="296"/>
      <c r="G130" s="296"/>
      <c r="H130" s="293"/>
      <c r="I130" s="294"/>
      <c r="J130" s="295">
        <v>0</v>
      </c>
      <c r="K130" s="295">
        <v>0</v>
      </c>
      <c r="L130" s="294"/>
      <c r="M130" s="294"/>
      <c r="N130" s="294"/>
      <c r="O130" s="294"/>
      <c r="P130" s="252">
        <f t="shared" ref="P130:P134" si="9">SUM(H130:O130)</f>
        <v>0</v>
      </c>
      <c r="Q130" s="66"/>
    </row>
    <row r="131" spans="1:17" ht="15" outlineLevel="1" x14ac:dyDescent="0.25">
      <c r="A131" s="619"/>
      <c r="B131" s="274">
        <v>25</v>
      </c>
      <c r="C131" s="255" t="s">
        <v>18</v>
      </c>
      <c r="D131" s="253" t="s">
        <v>33</v>
      </c>
      <c r="E131" s="533">
        <v>12</v>
      </c>
      <c r="F131" s="296">
        <v>161</v>
      </c>
      <c r="G131" s="296"/>
      <c r="H131" s="293"/>
      <c r="I131" s="294"/>
      <c r="J131" s="295">
        <v>1</v>
      </c>
      <c r="K131" s="295">
        <v>0</v>
      </c>
      <c r="L131" s="294"/>
      <c r="M131" s="294"/>
      <c r="N131" s="294"/>
      <c r="O131" s="294"/>
      <c r="P131" s="252">
        <f t="shared" si="9"/>
        <v>1</v>
      </c>
      <c r="Q131" s="66"/>
    </row>
    <row r="132" spans="1:17" ht="15" outlineLevel="1" x14ac:dyDescent="0.25">
      <c r="A132" s="619"/>
      <c r="B132" s="274">
        <v>26</v>
      </c>
      <c r="C132" s="255" t="s">
        <v>19</v>
      </c>
      <c r="D132" s="253" t="s">
        <v>33</v>
      </c>
      <c r="E132" s="253"/>
      <c r="F132" s="296"/>
      <c r="G132" s="296"/>
      <c r="H132" s="293"/>
      <c r="I132" s="294"/>
      <c r="J132" s="295">
        <v>0</v>
      </c>
      <c r="K132" s="295">
        <v>0</v>
      </c>
      <c r="L132" s="294"/>
      <c r="M132" s="294"/>
      <c r="N132" s="294"/>
      <c r="O132" s="294"/>
      <c r="P132" s="252">
        <f t="shared" si="9"/>
        <v>0</v>
      </c>
      <c r="Q132" s="66"/>
    </row>
    <row r="133" spans="1:17" ht="15" outlineLevel="1" x14ac:dyDescent="0.25">
      <c r="A133" s="619"/>
      <c r="B133" s="274">
        <v>27</v>
      </c>
      <c r="C133" s="255" t="s">
        <v>20</v>
      </c>
      <c r="D133" s="253" t="s">
        <v>33</v>
      </c>
      <c r="E133" s="253"/>
      <c r="F133" s="296"/>
      <c r="G133" s="296"/>
      <c r="H133" s="293"/>
      <c r="I133" s="294"/>
      <c r="J133" s="295">
        <v>0</v>
      </c>
      <c r="K133" s="295">
        <v>0</v>
      </c>
      <c r="L133" s="294"/>
      <c r="M133" s="294"/>
      <c r="N133" s="294"/>
      <c r="O133" s="294"/>
      <c r="P133" s="252">
        <f t="shared" si="9"/>
        <v>0</v>
      </c>
      <c r="Q133" s="66"/>
    </row>
    <row r="134" spans="1:17" ht="15" outlineLevel="1" x14ac:dyDescent="0.25">
      <c r="A134" s="619"/>
      <c r="B134" s="274">
        <v>28</v>
      </c>
      <c r="C134" s="255" t="s">
        <v>104</v>
      </c>
      <c r="D134" s="253" t="s">
        <v>33</v>
      </c>
      <c r="E134" s="253"/>
      <c r="F134" s="296"/>
      <c r="G134" s="296"/>
      <c r="H134" s="293"/>
      <c r="I134" s="294"/>
      <c r="J134" s="295">
        <v>0</v>
      </c>
      <c r="K134" s="295">
        <v>0</v>
      </c>
      <c r="L134" s="294"/>
      <c r="M134" s="294"/>
      <c r="N134" s="294"/>
      <c r="O134" s="294"/>
      <c r="P134" s="252">
        <f t="shared" si="9"/>
        <v>0</v>
      </c>
      <c r="Q134" s="66"/>
    </row>
    <row r="135" spans="1:17" ht="15" outlineLevel="1" x14ac:dyDescent="0.25">
      <c r="A135" s="619"/>
      <c r="B135" s="274"/>
      <c r="C135" s="256" t="s">
        <v>257</v>
      </c>
      <c r="D135" s="253" t="s">
        <v>255</v>
      </c>
      <c r="E135" s="253"/>
      <c r="F135" s="296"/>
      <c r="G135" s="296"/>
      <c r="H135" s="293"/>
      <c r="I135" s="294"/>
      <c r="J135" s="295"/>
      <c r="K135" s="294"/>
      <c r="L135" s="294"/>
      <c r="M135" s="294"/>
      <c r="N135" s="294"/>
      <c r="O135" s="294"/>
      <c r="P135" s="252"/>
      <c r="Q135" s="66"/>
    </row>
    <row r="136" spans="1:17" ht="15" outlineLevel="1" x14ac:dyDescent="0.25">
      <c r="A136" s="619"/>
      <c r="B136" s="274"/>
      <c r="C136" s="609"/>
      <c r="D136" s="609"/>
      <c r="E136" s="268"/>
      <c r="F136" s="296"/>
      <c r="G136" s="296"/>
      <c r="H136" s="293"/>
      <c r="I136" s="294"/>
      <c r="J136" s="295"/>
      <c r="K136" s="294"/>
      <c r="L136" s="294"/>
      <c r="M136" s="294"/>
      <c r="N136" s="294"/>
      <c r="O136" s="294"/>
      <c r="P136" s="252"/>
      <c r="Q136" s="66"/>
    </row>
    <row r="137" spans="1:17" ht="15" outlineLevel="1" x14ac:dyDescent="0.25">
      <c r="A137" s="619"/>
      <c r="B137" s="274"/>
      <c r="C137" s="609"/>
      <c r="D137" s="609"/>
      <c r="E137" s="268"/>
      <c r="F137" s="296"/>
      <c r="G137" s="296"/>
      <c r="H137" s="293"/>
      <c r="I137" s="294"/>
      <c r="J137" s="295"/>
      <c r="K137" s="294"/>
      <c r="L137" s="294"/>
      <c r="M137" s="294"/>
      <c r="N137" s="294"/>
      <c r="O137" s="294"/>
      <c r="P137" s="252"/>
      <c r="Q137" s="66"/>
    </row>
    <row r="138" spans="1:17" ht="15" outlineLevel="1" x14ac:dyDescent="0.25">
      <c r="A138" s="619"/>
      <c r="B138" s="274"/>
      <c r="C138" s="609"/>
      <c r="D138" s="609"/>
      <c r="E138" s="268"/>
      <c r="F138" s="296"/>
      <c r="G138" s="296"/>
      <c r="H138" s="293"/>
      <c r="I138" s="294"/>
      <c r="J138" s="295"/>
      <c r="K138" s="294"/>
      <c r="L138" s="294"/>
      <c r="M138" s="294"/>
      <c r="N138" s="294"/>
      <c r="O138" s="294"/>
      <c r="P138" s="252"/>
      <c r="Q138" s="66"/>
    </row>
    <row r="139" spans="1:17" s="42" customFormat="1" ht="15" outlineLevel="1" x14ac:dyDescent="0.25">
      <c r="A139" s="619"/>
      <c r="B139" s="248"/>
      <c r="C139" s="612" t="s">
        <v>105</v>
      </c>
      <c r="D139" s="612"/>
      <c r="E139" s="249"/>
      <c r="F139" s="250"/>
      <c r="G139" s="250"/>
      <c r="H139" s="250"/>
      <c r="I139" s="250"/>
      <c r="J139" s="250"/>
      <c r="K139" s="250"/>
      <c r="L139" s="250"/>
      <c r="M139" s="250"/>
      <c r="N139" s="250"/>
      <c r="O139" s="250"/>
      <c r="P139" s="251"/>
      <c r="Q139" s="148"/>
    </row>
    <row r="140" spans="1:17" ht="15" outlineLevel="1" x14ac:dyDescent="0.25">
      <c r="A140" s="619"/>
      <c r="B140" s="149">
        <v>29</v>
      </c>
      <c r="C140" s="255" t="s">
        <v>107</v>
      </c>
      <c r="D140" s="253" t="s">
        <v>33</v>
      </c>
      <c r="E140" s="253"/>
      <c r="F140" s="296"/>
      <c r="G140" s="296"/>
      <c r="H140" s="293"/>
      <c r="I140" s="294"/>
      <c r="J140" s="294"/>
      <c r="K140" s="294"/>
      <c r="L140" s="294"/>
      <c r="M140" s="294"/>
      <c r="N140" s="294"/>
      <c r="O140" s="294"/>
      <c r="P140" s="252">
        <f t="shared" ref="P140:P141" si="10">SUM(H140:O140)</f>
        <v>0</v>
      </c>
      <c r="Q140" s="66"/>
    </row>
    <row r="141" spans="1:17" ht="15" outlineLevel="1" x14ac:dyDescent="0.25">
      <c r="A141" s="619"/>
      <c r="B141" s="149">
        <v>30</v>
      </c>
      <c r="C141" s="255" t="s">
        <v>106</v>
      </c>
      <c r="D141" s="253" t="s">
        <v>33</v>
      </c>
      <c r="E141" s="253"/>
      <c r="F141" s="296"/>
      <c r="G141" s="296"/>
      <c r="H141" s="293"/>
      <c r="I141" s="294"/>
      <c r="J141" s="294"/>
      <c r="K141" s="294"/>
      <c r="L141" s="294"/>
      <c r="M141" s="294"/>
      <c r="N141" s="294"/>
      <c r="O141" s="294"/>
      <c r="P141" s="252">
        <f t="shared" si="10"/>
        <v>0</v>
      </c>
      <c r="Q141" s="66"/>
    </row>
    <row r="142" spans="1:17" ht="15" outlineLevel="1" x14ac:dyDescent="0.25">
      <c r="A142" s="619"/>
      <c r="B142" s="149"/>
      <c r="C142" s="256" t="s">
        <v>257</v>
      </c>
      <c r="D142" s="253" t="s">
        <v>255</v>
      </c>
      <c r="E142" s="253"/>
      <c r="F142" s="296"/>
      <c r="G142" s="296"/>
      <c r="H142" s="293"/>
      <c r="I142" s="294"/>
      <c r="J142" s="294"/>
      <c r="K142" s="294"/>
      <c r="L142" s="294"/>
      <c r="M142" s="294"/>
      <c r="N142" s="294"/>
      <c r="O142" s="294"/>
      <c r="P142" s="252"/>
      <c r="Q142" s="66"/>
    </row>
    <row r="143" spans="1:17" ht="15" outlineLevel="1" x14ac:dyDescent="0.25">
      <c r="A143" s="619"/>
      <c r="B143" s="149"/>
      <c r="C143" s="609"/>
      <c r="D143" s="609"/>
      <c r="E143" s="268"/>
      <c r="F143" s="296"/>
      <c r="G143" s="296"/>
      <c r="H143" s="293"/>
      <c r="I143" s="294"/>
      <c r="J143" s="294"/>
      <c r="K143" s="294"/>
      <c r="L143" s="294"/>
      <c r="M143" s="294"/>
      <c r="N143" s="294"/>
      <c r="O143" s="294"/>
      <c r="P143" s="252"/>
      <c r="Q143" s="66"/>
    </row>
    <row r="144" spans="1:17" ht="15" outlineLevel="1" x14ac:dyDescent="0.25">
      <c r="A144" s="619"/>
      <c r="B144" s="149"/>
      <c r="C144" s="622"/>
      <c r="D144" s="622"/>
      <c r="E144" s="351"/>
      <c r="F144" s="400"/>
      <c r="G144" s="400"/>
      <c r="H144" s="293"/>
      <c r="I144" s="294"/>
      <c r="J144" s="294"/>
      <c r="K144" s="294"/>
      <c r="L144" s="294"/>
      <c r="M144" s="294"/>
      <c r="N144" s="294"/>
      <c r="O144" s="294"/>
      <c r="P144" s="252"/>
      <c r="Q144" s="66"/>
    </row>
    <row r="145" spans="1:17" ht="15" x14ac:dyDescent="0.25">
      <c r="A145" s="619"/>
      <c r="B145" s="352"/>
      <c r="C145" s="608" t="s">
        <v>223</v>
      </c>
      <c r="D145" s="608"/>
      <c r="E145" s="353"/>
      <c r="F145" s="354"/>
      <c r="G145" s="354"/>
      <c r="H145" s="355">
        <f>SUM(G90*H90,G91*H91,G92*H92,G93*H93,G94*H94,G95*H95,G98*H98,G125*H125,G96*H96,G97*H97)</f>
        <v>732924.09299999988</v>
      </c>
      <c r="I145" s="355">
        <f>SUM(G103*I103,G104*I104,G108*I108,G109*I109,G110*I110,G105*I105,G106*I106,G107*I107)</f>
        <v>1104426.6499999999</v>
      </c>
      <c r="J145" s="356"/>
      <c r="K145" s="353"/>
      <c r="L145" s="353"/>
      <c r="M145" s="353"/>
      <c r="N145" s="355"/>
      <c r="O145" s="353"/>
      <c r="P145" s="357">
        <f>SUM(H145:O145)</f>
        <v>1837350.7429999998</v>
      </c>
      <c r="Q145" s="66"/>
    </row>
    <row r="146" spans="1:17" ht="15" x14ac:dyDescent="0.25">
      <c r="A146" s="619"/>
      <c r="B146" s="492"/>
      <c r="C146" s="493" t="s">
        <v>508</v>
      </c>
      <c r="D146" s="493"/>
      <c r="E146" s="494"/>
      <c r="F146" s="495"/>
      <c r="G146" s="495"/>
      <c r="H146" s="496">
        <f>H145-SUM(G96*H96,G97*H97)</f>
        <v>732924.09299999988</v>
      </c>
      <c r="I146" s="496">
        <f>I145-SUM(G108*I108,G109*I109,G110*I110)</f>
        <v>1104426.6499999999</v>
      </c>
      <c r="J146" s="497"/>
      <c r="K146" s="494"/>
      <c r="L146" s="494"/>
      <c r="M146" s="494"/>
      <c r="N146" s="494"/>
      <c r="O146" s="494"/>
      <c r="P146" s="498"/>
      <c r="Q146" s="66"/>
    </row>
    <row r="147" spans="1:17" ht="15" x14ac:dyDescent="0.25">
      <c r="A147" s="619"/>
      <c r="B147" s="275"/>
      <c r="C147" s="609" t="s">
        <v>320</v>
      </c>
      <c r="D147" s="609"/>
      <c r="E147" s="269"/>
      <c r="F147" s="267"/>
      <c r="G147" s="267"/>
      <c r="H147" s="269"/>
      <c r="I147" s="269"/>
      <c r="J147" s="532">
        <f>SUM($F$103*J103*$E$103,$E$104*$F$104*J104,$E$105*$F$105*J105,$E$106*$F$106*J106,$E$107*$F$107*J107,$F$130*J130,$E$131*$F$131*J131,$E$115*$F$115*J115,$E$116*$F$116*J116,$E$117*$F$117*J117,$E$118*$F$118*J118,$F$132*J132,$F$133*J133,$F$134*J134)</f>
        <v>5808.84</v>
      </c>
      <c r="K147" s="270">
        <f>SUM($F$103*K103*$E$103,$E$104*$F$104*K104,$E$105*$F$105*K105,$E$106*$F$106*K106,$E$107*$F$107*K107,$F$130*K130,$F$131*K131,$E$115*$F$115*K115,$E$116*$F$116*K116,$E$117*$F$117*K117,$E$118*$F$118*K118,$F$132*K132,$F$133*K133,$F$134*K134)</f>
        <v>0</v>
      </c>
      <c r="L147" s="270"/>
      <c r="M147" s="270"/>
      <c r="N147" s="269"/>
      <c r="O147" s="269"/>
      <c r="P147" s="276">
        <f>SUM(H147:O147)</f>
        <v>5808.84</v>
      </c>
      <c r="Q147" s="66"/>
    </row>
    <row r="148" spans="1:17" ht="15" x14ac:dyDescent="0.25">
      <c r="A148" s="619"/>
      <c r="B148" s="275"/>
      <c r="C148" s="609" t="s">
        <v>504</v>
      </c>
      <c r="D148" s="609"/>
      <c r="E148" s="269"/>
      <c r="F148" s="267"/>
      <c r="G148" s="267"/>
      <c r="H148" s="269"/>
      <c r="I148" s="269"/>
      <c r="J148" s="270">
        <f>J147-($E$105*$F$105*J105)</f>
        <v>5808.84</v>
      </c>
      <c r="K148" s="270">
        <f>K147-($E$105*$F$105*K105)</f>
        <v>0</v>
      </c>
      <c r="L148" s="269"/>
      <c r="M148" s="269"/>
      <c r="N148" s="269"/>
      <c r="O148" s="269"/>
      <c r="P148" s="276"/>
      <c r="Q148" s="66"/>
    </row>
    <row r="149" spans="1:17" ht="15" x14ac:dyDescent="0.25">
      <c r="A149" s="619"/>
      <c r="B149" s="277"/>
      <c r="C149" s="610"/>
      <c r="D149" s="610"/>
      <c r="E149" s="262"/>
      <c r="F149" s="260"/>
      <c r="G149" s="260"/>
      <c r="H149" s="262"/>
      <c r="I149" s="262"/>
      <c r="J149" s="262"/>
      <c r="K149" s="262"/>
      <c r="L149" s="262"/>
      <c r="M149" s="262"/>
      <c r="N149" s="262"/>
      <c r="O149" s="262"/>
      <c r="P149" s="278"/>
      <c r="Q149" s="66"/>
    </row>
    <row r="150" spans="1:17" ht="15" x14ac:dyDescent="0.25">
      <c r="A150" s="619"/>
      <c r="B150" s="380"/>
      <c r="C150" s="611" t="s">
        <v>323</v>
      </c>
      <c r="D150" s="611"/>
      <c r="E150" s="253"/>
      <c r="F150" s="264"/>
      <c r="G150" s="253"/>
      <c r="H150" s="265">
        <f>'3.  Distribution Rates'!F33</f>
        <v>0</v>
      </c>
      <c r="I150" s="265">
        <f>'3.  Distribution Rates'!F34</f>
        <v>0</v>
      </c>
      <c r="J150" s="265">
        <f>'3.  Distribution Rates'!F35</f>
        <v>0</v>
      </c>
      <c r="K150" s="265">
        <f>'3.  Distribution Rates'!F36</f>
        <v>0</v>
      </c>
      <c r="L150" s="265">
        <f>'3.  Distribution Rates'!F37</f>
        <v>0</v>
      </c>
      <c r="M150" s="265">
        <f>'3.  Distribution Rates'!F38</f>
        <v>0</v>
      </c>
      <c r="N150" s="265">
        <f>'3.  Distribution Rates'!F39</f>
        <v>0</v>
      </c>
      <c r="O150" s="265"/>
      <c r="P150" s="381"/>
      <c r="Q150" s="66"/>
    </row>
    <row r="151" spans="1:17" ht="15" x14ac:dyDescent="0.25">
      <c r="A151" s="619"/>
      <c r="B151" s="380"/>
      <c r="C151" s="611" t="s">
        <v>235</v>
      </c>
      <c r="D151" s="611"/>
      <c r="E151" s="262"/>
      <c r="F151" s="264"/>
      <c r="G151" s="264"/>
      <c r="H151" s="377">
        <f>'4.  2011-14 LRAM'!H74*H150</f>
        <v>0</v>
      </c>
      <c r="I151" s="377">
        <f>'4.  2011-14 LRAM'!I74*I150</f>
        <v>0</v>
      </c>
      <c r="J151" s="377">
        <f>'4.  2011-14 LRAM'!J74*J150</f>
        <v>0</v>
      </c>
      <c r="K151" s="377">
        <f>'4.  2011-14 LRAM'!K74*K150</f>
        <v>0</v>
      </c>
      <c r="L151" s="377">
        <f>'4.  2011-14 LRAM'!L74*L150</f>
        <v>0</v>
      </c>
      <c r="M151" s="377">
        <f>'4.  2011-14 LRAM'!M74*M150</f>
        <v>0</v>
      </c>
      <c r="N151" s="377">
        <f>'4.  2011-14 LRAM'!N74*N150</f>
        <v>0</v>
      </c>
      <c r="O151" s="253"/>
      <c r="P151" s="279">
        <f>SUM(H151:O151)</f>
        <v>0</v>
      </c>
      <c r="Q151" s="66"/>
    </row>
    <row r="152" spans="1:17" ht="15" x14ac:dyDescent="0.25">
      <c r="A152" s="619"/>
      <c r="B152" s="380"/>
      <c r="C152" s="611" t="s">
        <v>236</v>
      </c>
      <c r="D152" s="611"/>
      <c r="E152" s="262"/>
      <c r="F152" s="264"/>
      <c r="G152" s="264"/>
      <c r="H152" s="377">
        <f>H145*H150</f>
        <v>0</v>
      </c>
      <c r="I152" s="377">
        <f>I145*I150</f>
        <v>0</v>
      </c>
      <c r="J152" s="377">
        <f>J147*J150</f>
        <v>0</v>
      </c>
      <c r="K152" s="377">
        <f>K147*K150</f>
        <v>0</v>
      </c>
      <c r="L152" s="377">
        <f>L147*L150</f>
        <v>0</v>
      </c>
      <c r="M152" s="377">
        <f>M147*M150</f>
        <v>0</v>
      </c>
      <c r="N152" s="377">
        <f>N145*N150</f>
        <v>0</v>
      </c>
      <c r="O152" s="253"/>
      <c r="P152" s="279">
        <f>SUM(H152:O152)</f>
        <v>0</v>
      </c>
      <c r="Q152" s="66"/>
    </row>
    <row r="153" spans="1:17" ht="15" x14ac:dyDescent="0.25">
      <c r="A153" s="619"/>
      <c r="B153" s="277"/>
      <c r="C153" s="378" t="s">
        <v>97</v>
      </c>
      <c r="D153" s="262"/>
      <c r="E153" s="262"/>
      <c r="F153" s="260"/>
      <c r="G153" s="260"/>
      <c r="H153" s="266">
        <f>SUM(H151:H152)</f>
        <v>0</v>
      </c>
      <c r="I153" s="266">
        <f>SUM(I151:I152)</f>
        <v>0</v>
      </c>
      <c r="J153" s="266">
        <f>SUM(J151:J152)</f>
        <v>0</v>
      </c>
      <c r="K153" s="266">
        <f t="shared" ref="K153:M153" si="11">SUM(K151:K152)</f>
        <v>0</v>
      </c>
      <c r="L153" s="266">
        <f t="shared" si="11"/>
        <v>0</v>
      </c>
      <c r="M153" s="266">
        <f t="shared" si="11"/>
        <v>0</v>
      </c>
      <c r="N153" s="266">
        <f>SUM(N151:N152)</f>
        <v>0</v>
      </c>
      <c r="O153" s="262"/>
      <c r="P153" s="280">
        <f>SUM(P151:P152)</f>
        <v>0</v>
      </c>
      <c r="Q153" s="66"/>
    </row>
    <row r="154" spans="1:17" s="23" customFormat="1" ht="15" x14ac:dyDescent="0.25">
      <c r="A154" s="619"/>
      <c r="B154" s="380"/>
      <c r="C154" s="611" t="s">
        <v>95</v>
      </c>
      <c r="D154" s="611"/>
      <c r="E154" s="253"/>
      <c r="F154" s="264"/>
      <c r="G154" s="264"/>
      <c r="H154" s="253">
        <f>H146*'6.  Persistence Rates'!$F$26</f>
        <v>731365.20664223284</v>
      </c>
      <c r="I154" s="253">
        <f>I146*'6.  Persistence Rates'!$F$26</f>
        <v>1102077.5995945313</v>
      </c>
      <c r="J154" s="253">
        <f>J148*'6.  Persistence Rates'!$R$26</f>
        <v>5782.4323131280944</v>
      </c>
      <c r="K154" s="253">
        <f>K148*'6.  Persistence Rates'!$R$26</f>
        <v>0</v>
      </c>
      <c r="L154" s="253">
        <f>L147*'6.  Persistence Rates'!$R$26</f>
        <v>0</v>
      </c>
      <c r="M154" s="253">
        <f>M147*'6.  Persistence Rates'!$R$26</f>
        <v>0</v>
      </c>
      <c r="N154" s="253">
        <f>N145*'6.  Persistence Rates'!F26</f>
        <v>0</v>
      </c>
      <c r="O154" s="253"/>
      <c r="P154" s="381"/>
      <c r="Q154" s="66"/>
    </row>
    <row r="155" spans="1:17" s="23" customFormat="1" ht="15" x14ac:dyDescent="0.25">
      <c r="A155" s="619"/>
      <c r="B155" s="380"/>
      <c r="C155" s="611" t="s">
        <v>96</v>
      </c>
      <c r="D155" s="611"/>
      <c r="E155" s="253"/>
      <c r="F155" s="264"/>
      <c r="G155" s="264"/>
      <c r="H155" s="253">
        <f>$H$146*'6.  Persistence Rates'!$G$26</f>
        <v>729809.63594389043</v>
      </c>
      <c r="I155" s="253">
        <f>$I$146*'6.  Persistence Rates'!$G$26</f>
        <v>1099733.545480856</v>
      </c>
      <c r="J155" s="253">
        <f>$J$148*'6.  Persistence Rates'!$S$26</f>
        <v>5756.1446787840468</v>
      </c>
      <c r="K155" s="253">
        <f>$K$148*'6.  Persistence Rates'!$S$26</f>
        <v>0</v>
      </c>
      <c r="L155" s="253">
        <f>$L$147*'6.  Persistence Rates'!$S$26</f>
        <v>0</v>
      </c>
      <c r="M155" s="253">
        <f>$M$147*'6.  Persistence Rates'!$S$26</f>
        <v>0</v>
      </c>
      <c r="N155" s="253">
        <f>$N$145*'6.  Persistence Rates'!$G$26</f>
        <v>0</v>
      </c>
      <c r="O155" s="253"/>
      <c r="P155" s="381"/>
      <c r="Q155" s="66"/>
    </row>
    <row r="156" spans="1:17" s="23" customFormat="1" ht="15" x14ac:dyDescent="0.25">
      <c r="A156" s="247"/>
      <c r="B156" s="380"/>
      <c r="C156" s="263" t="s">
        <v>428</v>
      </c>
      <c r="D156" s="263"/>
      <c r="E156" s="253"/>
      <c r="F156" s="264"/>
      <c r="G156" s="264"/>
      <c r="H156" s="253">
        <f>$H$146*'6.  Persistence Rates'!$H$26</f>
        <v>728257.37385276018</v>
      </c>
      <c r="I156" s="253">
        <f>$I$146*'6.  Persistence Rates'!$H$26</f>
        <v>1097394.477032155</v>
      </c>
      <c r="J156" s="253">
        <f>$J$148*'6.  Persistence Rates'!$T$26</f>
        <v>5729.9765511945952</v>
      </c>
      <c r="K156" s="253">
        <f>$K$148*'6.  Persistence Rates'!$T$26</f>
        <v>0</v>
      </c>
      <c r="L156" s="253">
        <f>$L$147*'6.  Persistence Rates'!$T$26</f>
        <v>0</v>
      </c>
      <c r="M156" s="253">
        <f>$M$147*'6.  Persistence Rates'!$T$26</f>
        <v>0</v>
      </c>
      <c r="N156" s="253">
        <f>$N$145*'6.  Persistence Rates'!$H$26</f>
        <v>0</v>
      </c>
      <c r="O156" s="253"/>
      <c r="P156" s="381"/>
      <c r="Q156" s="66"/>
    </row>
    <row r="157" spans="1:17" s="23" customFormat="1" ht="15" x14ac:dyDescent="0.25">
      <c r="A157" s="247"/>
      <c r="B157" s="380"/>
      <c r="C157" s="263" t="s">
        <v>429</v>
      </c>
      <c r="D157" s="263"/>
      <c r="E157" s="253"/>
      <c r="F157" s="264"/>
      <c r="G157" s="264"/>
      <c r="H157" s="253">
        <f>$H$146*'6.  Persistence Rates'!$I$26</f>
        <v>0</v>
      </c>
      <c r="I157" s="253">
        <f>$I$146*'6.  Persistence Rates'!$I$26</f>
        <v>0</v>
      </c>
      <c r="J157" s="253">
        <f>$J$148*'6.  Persistence Rates'!$U$26</f>
        <v>0</v>
      </c>
      <c r="K157" s="253">
        <f>$K$148*'6.  Persistence Rates'!$U$26</f>
        <v>0</v>
      </c>
      <c r="L157" s="253">
        <f>$L$147*'6.  Persistence Rates'!$U$26</f>
        <v>0</v>
      </c>
      <c r="M157" s="253">
        <f>$M$147*'6.  Persistence Rates'!$U$26</f>
        <v>0</v>
      </c>
      <c r="N157" s="253">
        <f>$N$145*'6.  Persistence Rates'!$I$26</f>
        <v>0</v>
      </c>
      <c r="O157" s="253"/>
      <c r="P157" s="381"/>
      <c r="Q157" s="66"/>
    </row>
    <row r="158" spans="1:17" s="23" customFormat="1" ht="15" x14ac:dyDescent="0.25">
      <c r="A158" s="247"/>
      <c r="B158" s="380"/>
      <c r="C158" s="263" t="s">
        <v>430</v>
      </c>
      <c r="D158" s="263"/>
      <c r="E158" s="253"/>
      <c r="F158" s="264"/>
      <c r="G158" s="264"/>
      <c r="H158" s="253">
        <f>$H$146*'6.  Persistence Rates'!$J$26</f>
        <v>0</v>
      </c>
      <c r="I158" s="253">
        <f>$I$146*'6.  Persistence Rates'!$J$26</f>
        <v>0</v>
      </c>
      <c r="J158" s="253">
        <f>$J$148*'6.  Persistence Rates'!$V$26</f>
        <v>0</v>
      </c>
      <c r="K158" s="253">
        <f>$K$148*'6.  Persistence Rates'!$V$26</f>
        <v>0</v>
      </c>
      <c r="L158" s="253">
        <f>$L$147*'6.  Persistence Rates'!$V$26</f>
        <v>0</v>
      </c>
      <c r="M158" s="253">
        <f>$M$147*'6.  Persistence Rates'!$V$26</f>
        <v>0</v>
      </c>
      <c r="N158" s="253">
        <f>$N$145*'6.  Persistence Rates'!$J$26</f>
        <v>0</v>
      </c>
      <c r="O158" s="253"/>
      <c r="P158" s="381"/>
      <c r="Q158" s="66"/>
    </row>
    <row r="159" spans="1:17" s="23" customFormat="1" ht="15" x14ac:dyDescent="0.25">
      <c r="A159" s="247"/>
      <c r="B159" s="380"/>
      <c r="C159" s="263" t="s">
        <v>431</v>
      </c>
      <c r="D159" s="263"/>
      <c r="E159" s="253"/>
      <c r="F159" s="264"/>
      <c r="G159" s="264"/>
      <c r="H159" s="253">
        <f>$H$146*'6.  Persistence Rates'!$K$26</f>
        <v>0</v>
      </c>
      <c r="I159" s="253">
        <f>$I$146*'6.  Persistence Rates'!$K$26</f>
        <v>0</v>
      </c>
      <c r="J159" s="253">
        <f>$J$148*'6.  Persistence Rates'!$W$26</f>
        <v>0</v>
      </c>
      <c r="K159" s="253">
        <f>$K$148*'6.  Persistence Rates'!$W$26</f>
        <v>0</v>
      </c>
      <c r="L159" s="253">
        <f>$L$147*'6.  Persistence Rates'!$W$26</f>
        <v>0</v>
      </c>
      <c r="M159" s="253">
        <f>$M$147*'6.  Persistence Rates'!$W$26</f>
        <v>0</v>
      </c>
      <c r="N159" s="253">
        <f>$N$145*'6.  Persistence Rates'!$K$26</f>
        <v>0</v>
      </c>
      <c r="O159" s="253"/>
      <c r="P159" s="381"/>
      <c r="Q159" s="66"/>
    </row>
    <row r="160" spans="1:17" s="23" customFormat="1" ht="15" x14ac:dyDescent="0.25">
      <c r="A160" s="247"/>
      <c r="B160" s="380"/>
      <c r="C160" s="511" t="s">
        <v>432</v>
      </c>
      <c r="D160" s="511"/>
      <c r="E160" s="253"/>
      <c r="F160" s="264"/>
      <c r="G160" s="264"/>
      <c r="H160" s="253">
        <f>$H$146*'6.  Persistence Rates'!$L$26</f>
        <v>0</v>
      </c>
      <c r="I160" s="253">
        <f>$I$146*'6.  Persistence Rates'!$L$26</f>
        <v>0</v>
      </c>
      <c r="J160" s="253">
        <f>$J$148*'6.  Persistence Rates'!$X$26</f>
        <v>0</v>
      </c>
      <c r="K160" s="253">
        <f>$K$148*'6.  Persistence Rates'!$X$26</f>
        <v>0</v>
      </c>
      <c r="L160" s="253">
        <f>$L$147*'6.  Persistence Rates'!$X$26</f>
        <v>0</v>
      </c>
      <c r="M160" s="253">
        <f>$M$147*'6.  Persistence Rates'!$X$26</f>
        <v>0</v>
      </c>
      <c r="N160" s="253">
        <f>$N$145*'6.  Persistence Rates'!$L$26</f>
        <v>0</v>
      </c>
      <c r="O160" s="253"/>
      <c r="P160" s="381"/>
      <c r="Q160" s="66"/>
    </row>
    <row r="161" spans="1:17" x14ac:dyDescent="0.25">
      <c r="B161" s="396"/>
      <c r="C161" s="512" t="s">
        <v>433</v>
      </c>
      <c r="D161" s="397"/>
      <c r="E161" s="397"/>
      <c r="F161" s="398"/>
      <c r="G161" s="398"/>
      <c r="H161" s="524">
        <f>$H$146*'6.  Persistence Rates'!$M$26</f>
        <v>0</v>
      </c>
      <c r="I161" s="524">
        <f>$I$146*'6.  Persistence Rates'!$M$26</f>
        <v>0</v>
      </c>
      <c r="J161" s="524">
        <f>$J$148*'6.  Persistence Rates'!$Y$26</f>
        <v>0</v>
      </c>
      <c r="K161" s="524">
        <f>$K$148*'6.  Persistence Rates'!$Y$26</f>
        <v>0</v>
      </c>
      <c r="L161" s="524">
        <f>$L$147*'6.  Persistence Rates'!$Y$26</f>
        <v>0</v>
      </c>
      <c r="M161" s="524">
        <f>$M$147*'6.  Persistence Rates'!$Y$26</f>
        <v>0</v>
      </c>
      <c r="N161" s="524">
        <f>$N$145*'6.  Persistence Rates'!$M$26</f>
        <v>0</v>
      </c>
      <c r="O161" s="330"/>
      <c r="P161" s="399"/>
      <c r="Q161" s="66"/>
    </row>
    <row r="162" spans="1:17" x14ac:dyDescent="0.25">
      <c r="B162" s="69"/>
      <c r="C162" s="142"/>
      <c r="D162" s="69"/>
      <c r="E162" s="69"/>
      <c r="F162" s="66"/>
      <c r="G162" s="66"/>
      <c r="H162" s="66"/>
      <c r="I162" s="66"/>
      <c r="J162" s="66"/>
      <c r="K162" s="66"/>
      <c r="L162" s="66"/>
      <c r="M162" s="66"/>
      <c r="N162" s="66"/>
      <c r="O162" s="66"/>
      <c r="P162" s="66"/>
      <c r="Q162" s="66"/>
    </row>
    <row r="163" spans="1:17" x14ac:dyDescent="0.25">
      <c r="B163" s="69"/>
      <c r="C163" s="142"/>
      <c r="D163" s="69"/>
      <c r="E163" s="69"/>
      <c r="F163" s="66"/>
      <c r="G163" s="66"/>
      <c r="H163" s="66"/>
      <c r="I163" s="66"/>
      <c r="J163" s="66"/>
      <c r="K163" s="66"/>
      <c r="L163" s="66"/>
      <c r="M163" s="66"/>
      <c r="N163" s="66"/>
      <c r="O163" s="66"/>
      <c r="P163" s="66"/>
      <c r="Q163" s="66"/>
    </row>
    <row r="164" spans="1:17" x14ac:dyDescent="0.25">
      <c r="B164" s="617" t="s">
        <v>358</v>
      </c>
      <c r="C164" s="617"/>
      <c r="D164" s="617"/>
      <c r="E164" s="617"/>
      <c r="F164" s="617"/>
      <c r="G164" s="617"/>
      <c r="H164" s="617"/>
      <c r="I164" s="617"/>
      <c r="J164" s="617"/>
      <c r="K164" s="617"/>
      <c r="L164" s="617"/>
      <c r="M164" s="617"/>
      <c r="N164" s="617"/>
      <c r="O164" s="617"/>
      <c r="P164" s="617"/>
      <c r="Q164" s="66"/>
    </row>
    <row r="165" spans="1:17" ht="15.6" hidden="1" x14ac:dyDescent="0.3">
      <c r="B165" s="69"/>
      <c r="C165" s="142"/>
      <c r="D165" s="69"/>
      <c r="E165" s="69"/>
      <c r="F165" s="66"/>
      <c r="G165" s="66"/>
      <c r="H165" s="66"/>
      <c r="I165" s="66"/>
      <c r="J165" s="66"/>
      <c r="K165" s="66"/>
      <c r="L165" s="66"/>
      <c r="M165" s="66"/>
      <c r="N165" s="66"/>
      <c r="O165" s="66"/>
      <c r="P165" s="66"/>
      <c r="Q165" s="66"/>
    </row>
    <row r="166" spans="1:17" ht="45" x14ac:dyDescent="0.25">
      <c r="B166" s="604" t="s">
        <v>58</v>
      </c>
      <c r="C166" s="606" t="s">
        <v>0</v>
      </c>
      <c r="D166" s="606" t="s">
        <v>44</v>
      </c>
      <c r="E166" s="606" t="s">
        <v>206</v>
      </c>
      <c r="F166" s="272" t="s">
        <v>45</v>
      </c>
      <c r="G166" s="272" t="s">
        <v>203</v>
      </c>
      <c r="H166" s="614" t="s">
        <v>59</v>
      </c>
      <c r="I166" s="615"/>
      <c r="J166" s="615"/>
      <c r="K166" s="615"/>
      <c r="L166" s="615"/>
      <c r="M166" s="615"/>
      <c r="N166" s="615"/>
      <c r="O166" s="615"/>
      <c r="P166" s="616"/>
      <c r="Q166" s="66"/>
    </row>
    <row r="167" spans="1:17" ht="45" x14ac:dyDescent="0.25">
      <c r="B167" s="621"/>
      <c r="C167" s="607"/>
      <c r="D167" s="607"/>
      <c r="E167" s="607"/>
      <c r="F167" s="138" t="s">
        <v>99</v>
      </c>
      <c r="G167" s="138" t="s">
        <v>100</v>
      </c>
      <c r="H167" s="138" t="s">
        <v>37</v>
      </c>
      <c r="I167" s="138" t="s">
        <v>39</v>
      </c>
      <c r="J167" s="138" t="s">
        <v>108</v>
      </c>
      <c r="K167" s="138" t="s">
        <v>109</v>
      </c>
      <c r="L167" s="138" t="s">
        <v>40</v>
      </c>
      <c r="M167" s="138" t="s">
        <v>41</v>
      </c>
      <c r="N167" s="138" t="s">
        <v>42</v>
      </c>
      <c r="O167" s="138" t="s">
        <v>514</v>
      </c>
      <c r="P167" s="379" t="s">
        <v>34</v>
      </c>
      <c r="Q167" s="66"/>
    </row>
    <row r="168" spans="1:17" s="42" customFormat="1" ht="15" customHeight="1" outlineLevel="1" x14ac:dyDescent="0.25">
      <c r="A168" s="619">
        <v>2013</v>
      </c>
      <c r="B168" s="373"/>
      <c r="C168" s="618" t="s">
        <v>1</v>
      </c>
      <c r="D168" s="618"/>
      <c r="E168" s="374"/>
      <c r="F168" s="375"/>
      <c r="G168" s="375"/>
      <c r="H168" s="375"/>
      <c r="I168" s="375"/>
      <c r="J168" s="375"/>
      <c r="K168" s="375"/>
      <c r="L168" s="375"/>
      <c r="M168" s="375"/>
      <c r="N168" s="375"/>
      <c r="O168" s="375"/>
      <c r="P168" s="376"/>
      <c r="Q168" s="148"/>
    </row>
    <row r="169" spans="1:17" ht="15" outlineLevel="1" x14ac:dyDescent="0.25">
      <c r="A169" s="619"/>
      <c r="B169" s="274">
        <v>1</v>
      </c>
      <c r="C169" s="255" t="s">
        <v>2</v>
      </c>
      <c r="D169" s="253" t="s">
        <v>33</v>
      </c>
      <c r="E169" s="253"/>
      <c r="F169" s="296"/>
      <c r="G169" s="296">
        <v>98115.902000000002</v>
      </c>
      <c r="H169" s="295">
        <v>1</v>
      </c>
      <c r="I169" s="294"/>
      <c r="J169" s="294"/>
      <c r="K169" s="294"/>
      <c r="L169" s="294"/>
      <c r="M169" s="294"/>
      <c r="N169" s="294"/>
      <c r="O169" s="294"/>
      <c r="P169" s="252">
        <f>SUM(H169:O169)</f>
        <v>1</v>
      </c>
      <c r="Q169" s="66"/>
    </row>
    <row r="170" spans="1:17" ht="15" outlineLevel="1" x14ac:dyDescent="0.25">
      <c r="A170" s="619"/>
      <c r="B170" s="274">
        <v>2</v>
      </c>
      <c r="C170" s="255" t="s">
        <v>3</v>
      </c>
      <c r="D170" s="253" t="s">
        <v>33</v>
      </c>
      <c r="E170" s="253"/>
      <c r="F170" s="296"/>
      <c r="G170" s="296">
        <v>29555.19</v>
      </c>
      <c r="H170" s="295">
        <v>1</v>
      </c>
      <c r="I170" s="294"/>
      <c r="J170" s="294"/>
      <c r="K170" s="294"/>
      <c r="L170" s="294"/>
      <c r="M170" s="294"/>
      <c r="N170" s="294"/>
      <c r="O170" s="294"/>
      <c r="P170" s="252">
        <f t="shared" ref="P170:P177" si="12">SUM(H170:O170)</f>
        <v>1</v>
      </c>
      <c r="Q170" s="66"/>
    </row>
    <row r="171" spans="1:17" ht="15" outlineLevel="1" x14ac:dyDescent="0.25">
      <c r="A171" s="619"/>
      <c r="B171" s="274">
        <v>3</v>
      </c>
      <c r="C171" s="255" t="s">
        <v>4</v>
      </c>
      <c r="D171" s="253" t="s">
        <v>33</v>
      </c>
      <c r="E171" s="253"/>
      <c r="F171" s="296"/>
      <c r="G171" s="296">
        <f>280187.692+13357</f>
        <v>293544.69199999998</v>
      </c>
      <c r="H171" s="295">
        <v>1</v>
      </c>
      <c r="I171" s="294"/>
      <c r="J171" s="294"/>
      <c r="K171" s="294"/>
      <c r="L171" s="294"/>
      <c r="M171" s="294"/>
      <c r="N171" s="294"/>
      <c r="O171" s="294"/>
      <c r="P171" s="252">
        <f t="shared" si="12"/>
        <v>1</v>
      </c>
      <c r="Q171" s="66"/>
    </row>
    <row r="172" spans="1:17" ht="15" outlineLevel="1" x14ac:dyDescent="0.25">
      <c r="A172" s="619"/>
      <c r="B172" s="274">
        <v>4</v>
      </c>
      <c r="C172" s="255" t="s">
        <v>5</v>
      </c>
      <c r="D172" s="253" t="s">
        <v>33</v>
      </c>
      <c r="E172" s="253"/>
      <c r="F172" s="296"/>
      <c r="G172" s="296">
        <f>49794.257+152</f>
        <v>49946.256999999998</v>
      </c>
      <c r="H172" s="295">
        <v>1</v>
      </c>
      <c r="I172" s="294"/>
      <c r="J172" s="294"/>
      <c r="K172" s="294"/>
      <c r="L172" s="294"/>
      <c r="M172" s="294"/>
      <c r="N172" s="294"/>
      <c r="O172" s="294"/>
      <c r="P172" s="252">
        <f t="shared" si="12"/>
        <v>1</v>
      </c>
      <c r="Q172" s="66"/>
    </row>
    <row r="173" spans="1:17" ht="15" outlineLevel="1" x14ac:dyDescent="0.25">
      <c r="A173" s="619"/>
      <c r="B173" s="274">
        <v>5</v>
      </c>
      <c r="C173" s="255" t="s">
        <v>6</v>
      </c>
      <c r="D173" s="253" t="s">
        <v>33</v>
      </c>
      <c r="E173" s="253"/>
      <c r="F173" s="296"/>
      <c r="G173" s="296">
        <f>110989.207+4700</f>
        <v>115689.20699999999</v>
      </c>
      <c r="H173" s="295">
        <v>1</v>
      </c>
      <c r="I173" s="294"/>
      <c r="J173" s="294"/>
      <c r="K173" s="294"/>
      <c r="L173" s="294"/>
      <c r="M173" s="294"/>
      <c r="N173" s="294"/>
      <c r="O173" s="294"/>
      <c r="P173" s="252">
        <f t="shared" si="12"/>
        <v>1</v>
      </c>
      <c r="Q173" s="66"/>
    </row>
    <row r="174" spans="1:17" ht="15" outlineLevel="1" x14ac:dyDescent="0.25">
      <c r="A174" s="619"/>
      <c r="B174" s="274">
        <v>6</v>
      </c>
      <c r="C174" s="255" t="s">
        <v>7</v>
      </c>
      <c r="D174" s="253" t="s">
        <v>33</v>
      </c>
      <c r="E174" s="253"/>
      <c r="F174" s="296"/>
      <c r="G174" s="296"/>
      <c r="H174" s="295">
        <v>0</v>
      </c>
      <c r="I174" s="294"/>
      <c r="J174" s="294"/>
      <c r="K174" s="294"/>
      <c r="L174" s="294"/>
      <c r="M174" s="294"/>
      <c r="N174" s="294"/>
      <c r="O174" s="294"/>
      <c r="P174" s="252">
        <f t="shared" si="12"/>
        <v>0</v>
      </c>
      <c r="Q174" s="66"/>
    </row>
    <row r="175" spans="1:17" ht="28.5" outlineLevel="1" x14ac:dyDescent="0.25">
      <c r="A175" s="619"/>
      <c r="B175" s="274">
        <v>7</v>
      </c>
      <c r="C175" s="255" t="s">
        <v>32</v>
      </c>
      <c r="D175" s="253" t="s">
        <v>33</v>
      </c>
      <c r="E175" s="253"/>
      <c r="F175" s="296"/>
      <c r="G175" s="296"/>
      <c r="H175" s="295">
        <v>0</v>
      </c>
      <c r="I175" s="294"/>
      <c r="J175" s="294"/>
      <c r="K175" s="294"/>
      <c r="L175" s="294"/>
      <c r="M175" s="294"/>
      <c r="N175" s="294"/>
      <c r="O175" s="294"/>
      <c r="P175" s="252">
        <f t="shared" si="12"/>
        <v>0</v>
      </c>
      <c r="Q175" s="66"/>
    </row>
    <row r="176" spans="1:17" ht="15" outlineLevel="1" x14ac:dyDescent="0.25">
      <c r="A176" s="619"/>
      <c r="B176" s="274">
        <v>8</v>
      </c>
      <c r="C176" s="255" t="s">
        <v>25</v>
      </c>
      <c r="D176" s="253" t="s">
        <v>33</v>
      </c>
      <c r="E176" s="253"/>
      <c r="F176" s="296"/>
      <c r="G176" s="296"/>
      <c r="H176" s="295">
        <v>0</v>
      </c>
      <c r="I176" s="294"/>
      <c r="J176" s="294"/>
      <c r="K176" s="294"/>
      <c r="L176" s="294"/>
      <c r="M176" s="294"/>
      <c r="N176" s="294"/>
      <c r="O176" s="294"/>
      <c r="P176" s="252">
        <f t="shared" si="12"/>
        <v>0</v>
      </c>
      <c r="Q176" s="66"/>
    </row>
    <row r="177" spans="1:17" ht="15" outlineLevel="1" x14ac:dyDescent="0.25">
      <c r="A177" s="619"/>
      <c r="B177" s="274">
        <v>9</v>
      </c>
      <c r="C177" s="255" t="s">
        <v>8</v>
      </c>
      <c r="D177" s="253" t="s">
        <v>33</v>
      </c>
      <c r="E177" s="253"/>
      <c r="F177" s="296"/>
      <c r="G177" s="296"/>
      <c r="H177" s="295">
        <v>0</v>
      </c>
      <c r="I177" s="294"/>
      <c r="J177" s="294"/>
      <c r="K177" s="294"/>
      <c r="L177" s="294"/>
      <c r="M177" s="294"/>
      <c r="N177" s="294"/>
      <c r="O177" s="294"/>
      <c r="P177" s="252">
        <f t="shared" si="12"/>
        <v>0</v>
      </c>
      <c r="Q177" s="66"/>
    </row>
    <row r="178" spans="1:17" ht="15" outlineLevel="1" x14ac:dyDescent="0.25">
      <c r="A178" s="619"/>
      <c r="B178" s="274"/>
      <c r="C178" s="256" t="s">
        <v>258</v>
      </c>
      <c r="D178" s="253" t="s">
        <v>255</v>
      </c>
      <c r="E178" s="253"/>
      <c r="F178" s="296"/>
      <c r="G178" s="296"/>
      <c r="H178" s="293"/>
      <c r="I178" s="294"/>
      <c r="J178" s="294"/>
      <c r="K178" s="294"/>
      <c r="L178" s="294"/>
      <c r="M178" s="294"/>
      <c r="N178" s="294"/>
      <c r="O178" s="294"/>
      <c r="P178" s="252"/>
      <c r="Q178" s="66"/>
    </row>
    <row r="179" spans="1:17" ht="15" outlineLevel="1" x14ac:dyDescent="0.25">
      <c r="A179" s="619"/>
      <c r="B179" s="274"/>
      <c r="C179" s="609"/>
      <c r="D179" s="609"/>
      <c r="E179" s="268"/>
      <c r="F179" s="296"/>
      <c r="G179" s="296"/>
      <c r="H179" s="293"/>
      <c r="I179" s="294"/>
      <c r="J179" s="294"/>
      <c r="K179" s="294"/>
      <c r="L179" s="294"/>
      <c r="M179" s="294"/>
      <c r="N179" s="294"/>
      <c r="O179" s="294"/>
      <c r="P179" s="252"/>
      <c r="Q179" s="66"/>
    </row>
    <row r="180" spans="1:17" ht="15" outlineLevel="1" x14ac:dyDescent="0.25">
      <c r="A180" s="619"/>
      <c r="B180" s="274"/>
      <c r="C180" s="609"/>
      <c r="D180" s="609"/>
      <c r="E180" s="268"/>
      <c r="F180" s="296"/>
      <c r="G180" s="296"/>
      <c r="H180" s="293"/>
      <c r="I180" s="294"/>
      <c r="J180" s="294"/>
      <c r="K180" s="294"/>
      <c r="L180" s="294"/>
      <c r="M180" s="294"/>
      <c r="N180" s="294"/>
      <c r="O180" s="294"/>
      <c r="P180" s="252"/>
      <c r="Q180" s="66"/>
    </row>
    <row r="181" spans="1:17" ht="15" outlineLevel="1" x14ac:dyDescent="0.25">
      <c r="A181" s="619"/>
      <c r="B181" s="274"/>
      <c r="C181" s="609"/>
      <c r="D181" s="609"/>
      <c r="E181" s="268"/>
      <c r="F181" s="296"/>
      <c r="G181" s="296"/>
      <c r="H181" s="293"/>
      <c r="I181" s="294"/>
      <c r="J181" s="294"/>
      <c r="K181" s="294"/>
      <c r="L181" s="294"/>
      <c r="M181" s="294"/>
      <c r="N181" s="294"/>
      <c r="O181" s="294"/>
      <c r="P181" s="252"/>
      <c r="Q181" s="66"/>
    </row>
    <row r="182" spans="1:17" s="42" customFormat="1" ht="15" outlineLevel="1" x14ac:dyDescent="0.25">
      <c r="A182" s="619"/>
      <c r="B182" s="382"/>
      <c r="C182" s="620" t="s">
        <v>9</v>
      </c>
      <c r="D182" s="620"/>
      <c r="E182" s="383"/>
      <c r="F182" s="384"/>
      <c r="G182" s="384"/>
      <c r="H182" s="384"/>
      <c r="I182" s="384"/>
      <c r="J182" s="384"/>
      <c r="K182" s="384"/>
      <c r="L182" s="384"/>
      <c r="M182" s="384"/>
      <c r="N182" s="384"/>
      <c r="O182" s="384"/>
      <c r="P182" s="385"/>
      <c r="Q182" s="148"/>
    </row>
    <row r="183" spans="1:17" ht="15" outlineLevel="1" x14ac:dyDescent="0.25">
      <c r="A183" s="619"/>
      <c r="B183" s="149">
        <v>10</v>
      </c>
      <c r="C183" s="257" t="s">
        <v>26</v>
      </c>
      <c r="D183" s="253" t="s">
        <v>33</v>
      </c>
      <c r="E183" s="253">
        <v>12</v>
      </c>
      <c r="F183" s="296">
        <f>244+46</f>
        <v>290</v>
      </c>
      <c r="G183" s="296">
        <f>1155943+283776</f>
        <v>1439719</v>
      </c>
      <c r="H183" s="293"/>
      <c r="I183" s="295">
        <v>0.06</v>
      </c>
      <c r="J183" s="295">
        <v>0.81</v>
      </c>
      <c r="K183" s="295">
        <v>0.06</v>
      </c>
      <c r="L183" s="294"/>
      <c r="M183" s="294"/>
      <c r="N183" s="294"/>
      <c r="O183" s="557">
        <v>7.0000000000000007E-2</v>
      </c>
      <c r="P183" s="252">
        <f t="shared" ref="P183:P190" si="13">SUM(H183:O183)</f>
        <v>1.0000000000000002</v>
      </c>
      <c r="Q183" s="66"/>
    </row>
    <row r="184" spans="1:17" ht="15" outlineLevel="1" x14ac:dyDescent="0.25">
      <c r="A184" s="619"/>
      <c r="B184" s="149">
        <v>11</v>
      </c>
      <c r="C184" s="255" t="s">
        <v>24</v>
      </c>
      <c r="D184" s="253" t="s">
        <v>33</v>
      </c>
      <c r="E184" s="253">
        <v>12</v>
      </c>
      <c r="F184" s="296"/>
      <c r="G184" s="296">
        <v>459984</v>
      </c>
      <c r="H184" s="293"/>
      <c r="I184" s="295">
        <v>1</v>
      </c>
      <c r="J184" s="295">
        <v>0</v>
      </c>
      <c r="K184" s="295">
        <v>0</v>
      </c>
      <c r="L184" s="294"/>
      <c r="M184" s="294"/>
      <c r="N184" s="294"/>
      <c r="O184" s="294"/>
      <c r="P184" s="252">
        <f t="shared" si="13"/>
        <v>1</v>
      </c>
      <c r="Q184" s="66"/>
    </row>
    <row r="185" spans="1:17" ht="15" outlineLevel="1" x14ac:dyDescent="0.25">
      <c r="A185" s="619"/>
      <c r="B185" s="149">
        <v>12</v>
      </c>
      <c r="C185" s="255" t="s">
        <v>27</v>
      </c>
      <c r="D185" s="253" t="s">
        <v>33</v>
      </c>
      <c r="E185" s="253">
        <v>3</v>
      </c>
      <c r="F185" s="296"/>
      <c r="G185" s="296"/>
      <c r="H185" s="293"/>
      <c r="I185" s="295">
        <v>0</v>
      </c>
      <c r="J185" s="295">
        <v>0</v>
      </c>
      <c r="K185" s="295">
        <v>0</v>
      </c>
      <c r="L185" s="294"/>
      <c r="M185" s="294"/>
      <c r="N185" s="294"/>
      <c r="O185" s="294"/>
      <c r="P185" s="252">
        <f t="shared" si="13"/>
        <v>0</v>
      </c>
      <c r="Q185" s="66"/>
    </row>
    <row r="186" spans="1:17" ht="15" outlineLevel="1" x14ac:dyDescent="0.25">
      <c r="A186" s="619"/>
      <c r="B186" s="149">
        <v>13</v>
      </c>
      <c r="C186" s="255" t="s">
        <v>28</v>
      </c>
      <c r="D186" s="253" t="s">
        <v>33</v>
      </c>
      <c r="E186" s="253">
        <v>12</v>
      </c>
      <c r="F186" s="296">
        <v>4</v>
      </c>
      <c r="G186" s="296">
        <v>16375</v>
      </c>
      <c r="H186" s="293"/>
      <c r="I186" s="295">
        <v>0</v>
      </c>
      <c r="J186" s="295">
        <v>1</v>
      </c>
      <c r="K186" s="295">
        <v>0</v>
      </c>
      <c r="L186" s="294"/>
      <c r="M186" s="294"/>
      <c r="N186" s="294"/>
      <c r="O186" s="294"/>
      <c r="P186" s="252">
        <f t="shared" si="13"/>
        <v>1</v>
      </c>
      <c r="Q186" s="66"/>
    </row>
    <row r="187" spans="1:17" ht="15" outlineLevel="1" x14ac:dyDescent="0.25">
      <c r="A187" s="619"/>
      <c r="B187" s="149">
        <v>14</v>
      </c>
      <c r="C187" s="255" t="s">
        <v>23</v>
      </c>
      <c r="D187" s="253" t="s">
        <v>33</v>
      </c>
      <c r="E187" s="253">
        <v>12</v>
      </c>
      <c r="F187" s="296">
        <v>44</v>
      </c>
      <c r="G187" s="296">
        <v>242415</v>
      </c>
      <c r="H187" s="293"/>
      <c r="I187" s="295">
        <v>0</v>
      </c>
      <c r="J187" s="295">
        <v>0.2</v>
      </c>
      <c r="K187" s="295">
        <v>0.8</v>
      </c>
      <c r="L187" s="294"/>
      <c r="M187" s="294"/>
      <c r="N187" s="294"/>
      <c r="O187" s="294"/>
      <c r="P187" s="252">
        <f t="shared" si="13"/>
        <v>1</v>
      </c>
      <c r="Q187" s="66"/>
    </row>
    <row r="188" spans="1:17" ht="28.5" outlineLevel="1" x14ac:dyDescent="0.25">
      <c r="A188" s="619"/>
      <c r="B188" s="274">
        <v>15</v>
      </c>
      <c r="C188" s="255" t="s">
        <v>29</v>
      </c>
      <c r="D188" s="253" t="s">
        <v>33</v>
      </c>
      <c r="E188" s="253">
        <v>0</v>
      </c>
      <c r="F188" s="296"/>
      <c r="G188" s="296"/>
      <c r="H188" s="293"/>
      <c r="I188" s="295">
        <v>0</v>
      </c>
      <c r="J188" s="295">
        <v>0</v>
      </c>
      <c r="K188" s="295">
        <v>0</v>
      </c>
      <c r="L188" s="294"/>
      <c r="M188" s="294"/>
      <c r="N188" s="294"/>
      <c r="O188" s="294"/>
      <c r="P188" s="252">
        <f t="shared" si="13"/>
        <v>0</v>
      </c>
      <c r="Q188" s="66"/>
    </row>
    <row r="189" spans="1:17" ht="28.5" outlineLevel="1" x14ac:dyDescent="0.25">
      <c r="A189" s="619"/>
      <c r="B189" s="274">
        <v>16</v>
      </c>
      <c r="C189" s="255" t="s">
        <v>30</v>
      </c>
      <c r="D189" s="253" t="s">
        <v>33</v>
      </c>
      <c r="E189" s="253">
        <v>0</v>
      </c>
      <c r="F189" s="296"/>
      <c r="G189" s="296"/>
      <c r="H189" s="293"/>
      <c r="I189" s="295">
        <v>0</v>
      </c>
      <c r="J189" s="295">
        <v>0</v>
      </c>
      <c r="K189" s="295">
        <v>0</v>
      </c>
      <c r="L189" s="294"/>
      <c r="M189" s="294"/>
      <c r="N189" s="294"/>
      <c r="O189" s="294"/>
      <c r="P189" s="252">
        <f t="shared" si="13"/>
        <v>0</v>
      </c>
      <c r="Q189" s="66"/>
    </row>
    <row r="190" spans="1:17" ht="15" outlineLevel="1" x14ac:dyDescent="0.25">
      <c r="A190" s="619"/>
      <c r="B190" s="274">
        <v>17</v>
      </c>
      <c r="C190" s="255" t="s">
        <v>10</v>
      </c>
      <c r="D190" s="253" t="s">
        <v>33</v>
      </c>
      <c r="E190" s="253">
        <v>0</v>
      </c>
      <c r="F190" s="296">
        <v>195</v>
      </c>
      <c r="G190" s="296"/>
      <c r="H190" s="293"/>
      <c r="I190" s="295">
        <v>0</v>
      </c>
      <c r="J190" s="295">
        <v>1</v>
      </c>
      <c r="K190" s="295">
        <v>0</v>
      </c>
      <c r="L190" s="294"/>
      <c r="M190" s="294"/>
      <c r="N190" s="294"/>
      <c r="O190" s="294"/>
      <c r="P190" s="252">
        <f t="shared" si="13"/>
        <v>1</v>
      </c>
      <c r="Q190" s="66"/>
    </row>
    <row r="191" spans="1:17" ht="15" outlineLevel="1" x14ac:dyDescent="0.25">
      <c r="A191" s="619"/>
      <c r="B191" s="274"/>
      <c r="C191" s="256" t="s">
        <v>258</v>
      </c>
      <c r="D191" s="253" t="s">
        <v>255</v>
      </c>
      <c r="E191" s="253"/>
      <c r="F191" s="296"/>
      <c r="G191" s="296"/>
      <c r="H191" s="293"/>
      <c r="I191" s="294"/>
      <c r="J191" s="294"/>
      <c r="K191" s="294"/>
      <c r="L191" s="294"/>
      <c r="M191" s="294"/>
      <c r="N191" s="294"/>
      <c r="O191" s="294"/>
      <c r="P191" s="252"/>
      <c r="Q191" s="66"/>
    </row>
    <row r="192" spans="1:17" ht="15" outlineLevel="1" x14ac:dyDescent="0.25">
      <c r="A192" s="619"/>
      <c r="B192" s="274"/>
      <c r="C192" s="609"/>
      <c r="D192" s="609"/>
      <c r="E192" s="268"/>
      <c r="F192" s="296"/>
      <c r="G192" s="296"/>
      <c r="H192" s="293"/>
      <c r="I192" s="294"/>
      <c r="J192" s="294"/>
      <c r="K192" s="294"/>
      <c r="L192" s="294"/>
      <c r="M192" s="294"/>
      <c r="N192" s="294"/>
      <c r="O192" s="294"/>
      <c r="P192" s="252"/>
      <c r="Q192" s="66"/>
    </row>
    <row r="193" spans="1:17" ht="15" outlineLevel="1" x14ac:dyDescent="0.25">
      <c r="A193" s="619"/>
      <c r="B193" s="274"/>
      <c r="C193" s="609"/>
      <c r="D193" s="609"/>
      <c r="E193" s="268"/>
      <c r="F193" s="296"/>
      <c r="G193" s="296"/>
      <c r="H193" s="293"/>
      <c r="I193" s="294"/>
      <c r="J193" s="294"/>
      <c r="K193" s="294"/>
      <c r="L193" s="294"/>
      <c r="M193" s="294"/>
      <c r="N193" s="294"/>
      <c r="O193" s="294"/>
      <c r="P193" s="252"/>
      <c r="Q193" s="66"/>
    </row>
    <row r="194" spans="1:17" ht="15" outlineLevel="1" x14ac:dyDescent="0.25">
      <c r="A194" s="619"/>
      <c r="B194" s="274"/>
      <c r="C194" s="609"/>
      <c r="D194" s="609"/>
      <c r="E194" s="268"/>
      <c r="F194" s="296"/>
      <c r="G194" s="296"/>
      <c r="H194" s="293"/>
      <c r="I194" s="294"/>
      <c r="J194" s="294"/>
      <c r="K194" s="294"/>
      <c r="L194" s="294"/>
      <c r="M194" s="294"/>
      <c r="N194" s="294"/>
      <c r="O194" s="294"/>
      <c r="P194" s="252"/>
      <c r="Q194" s="66"/>
    </row>
    <row r="195" spans="1:17" s="42" customFormat="1" ht="15" outlineLevel="1" x14ac:dyDescent="0.25">
      <c r="A195" s="619"/>
      <c r="B195" s="382"/>
      <c r="C195" s="620" t="s">
        <v>11</v>
      </c>
      <c r="D195" s="620"/>
      <c r="E195" s="383"/>
      <c r="F195" s="384"/>
      <c r="G195" s="384"/>
      <c r="H195" s="384"/>
      <c r="I195" s="384"/>
      <c r="J195" s="384"/>
      <c r="K195" s="384"/>
      <c r="L195" s="384"/>
      <c r="M195" s="384"/>
      <c r="N195" s="384"/>
      <c r="O195" s="384"/>
      <c r="P195" s="385"/>
      <c r="Q195" s="148"/>
    </row>
    <row r="196" spans="1:17" ht="15" outlineLevel="1" x14ac:dyDescent="0.25">
      <c r="A196" s="619"/>
      <c r="B196" s="149">
        <v>18</v>
      </c>
      <c r="C196" s="255" t="s">
        <v>12</v>
      </c>
      <c r="D196" s="253" t="s">
        <v>33</v>
      </c>
      <c r="E196" s="253">
        <v>12</v>
      </c>
      <c r="F196" s="296"/>
      <c r="G196" s="296"/>
      <c r="H196" s="293"/>
      <c r="I196" s="294"/>
      <c r="J196" s="295">
        <v>0</v>
      </c>
      <c r="K196" s="295">
        <v>0</v>
      </c>
      <c r="L196" s="294"/>
      <c r="M196" s="294"/>
      <c r="N196" s="294"/>
      <c r="O196" s="294"/>
      <c r="P196" s="252">
        <f t="shared" ref="P196:P200" si="14">SUM(H196:O196)</f>
        <v>0</v>
      </c>
      <c r="Q196" s="66"/>
    </row>
    <row r="197" spans="1:17" ht="15" outlineLevel="1" x14ac:dyDescent="0.25">
      <c r="A197" s="619"/>
      <c r="B197" s="149">
        <v>19</v>
      </c>
      <c r="C197" s="255" t="s">
        <v>13</v>
      </c>
      <c r="D197" s="253" t="s">
        <v>33</v>
      </c>
      <c r="E197" s="253">
        <v>12</v>
      </c>
      <c r="F197" s="296"/>
      <c r="G197" s="296"/>
      <c r="H197" s="293"/>
      <c r="I197" s="294"/>
      <c r="J197" s="295">
        <v>0</v>
      </c>
      <c r="K197" s="295">
        <v>0</v>
      </c>
      <c r="L197" s="294"/>
      <c r="M197" s="294"/>
      <c r="N197" s="294"/>
      <c r="O197" s="294"/>
      <c r="P197" s="252">
        <f t="shared" si="14"/>
        <v>0</v>
      </c>
      <c r="Q197" s="66"/>
    </row>
    <row r="198" spans="1:17" ht="15" outlineLevel="1" x14ac:dyDescent="0.25">
      <c r="A198" s="619"/>
      <c r="B198" s="149">
        <v>20</v>
      </c>
      <c r="C198" s="255" t="s">
        <v>14</v>
      </c>
      <c r="D198" s="253" t="s">
        <v>33</v>
      </c>
      <c r="E198" s="253">
        <v>12</v>
      </c>
      <c r="F198" s="296">
        <v>10</v>
      </c>
      <c r="G198" s="296"/>
      <c r="H198" s="293"/>
      <c r="I198" s="294"/>
      <c r="J198" s="295">
        <v>0</v>
      </c>
      <c r="K198" s="295">
        <v>1</v>
      </c>
      <c r="L198" s="294"/>
      <c r="M198" s="294"/>
      <c r="N198" s="294"/>
      <c r="O198" s="294"/>
      <c r="P198" s="252">
        <f t="shared" si="14"/>
        <v>1</v>
      </c>
      <c r="Q198" s="66"/>
    </row>
    <row r="199" spans="1:17" ht="15" outlineLevel="1" x14ac:dyDescent="0.25">
      <c r="A199" s="619"/>
      <c r="B199" s="149">
        <v>21</v>
      </c>
      <c r="C199" s="257" t="s">
        <v>26</v>
      </c>
      <c r="D199" s="253" t="s">
        <v>33</v>
      </c>
      <c r="E199" s="253">
        <v>12</v>
      </c>
      <c r="F199" s="296"/>
      <c r="G199" s="296"/>
      <c r="H199" s="293"/>
      <c r="I199" s="294"/>
      <c r="J199" s="295">
        <v>0</v>
      </c>
      <c r="K199" s="295">
        <v>0</v>
      </c>
      <c r="L199" s="294"/>
      <c r="M199" s="294"/>
      <c r="N199" s="294"/>
      <c r="O199" s="294"/>
      <c r="P199" s="252">
        <f t="shared" si="14"/>
        <v>0</v>
      </c>
      <c r="Q199" s="66"/>
    </row>
    <row r="200" spans="1:17" ht="15" outlineLevel="1" x14ac:dyDescent="0.25">
      <c r="A200" s="619"/>
      <c r="B200" s="149">
        <v>22</v>
      </c>
      <c r="C200" s="255" t="s">
        <v>10</v>
      </c>
      <c r="D200" s="253" t="s">
        <v>33</v>
      </c>
      <c r="E200" s="253">
        <v>0</v>
      </c>
      <c r="F200" s="296">
        <v>1733</v>
      </c>
      <c r="G200" s="296"/>
      <c r="H200" s="293"/>
      <c r="I200" s="294"/>
      <c r="J200" s="295">
        <v>1</v>
      </c>
      <c r="K200" s="295">
        <v>0</v>
      </c>
      <c r="L200" s="294"/>
      <c r="M200" s="294"/>
      <c r="N200" s="294"/>
      <c r="O200" s="294"/>
      <c r="P200" s="252">
        <f t="shared" si="14"/>
        <v>1</v>
      </c>
      <c r="Q200" s="66"/>
    </row>
    <row r="201" spans="1:17" ht="15" outlineLevel="1" x14ac:dyDescent="0.25">
      <c r="A201" s="619"/>
      <c r="B201" s="149"/>
      <c r="C201" s="256" t="s">
        <v>258</v>
      </c>
      <c r="D201" s="253" t="s">
        <v>255</v>
      </c>
      <c r="E201" s="253"/>
      <c r="F201" s="296"/>
      <c r="G201" s="296"/>
      <c r="H201" s="293"/>
      <c r="I201" s="294"/>
      <c r="J201" s="294"/>
      <c r="K201" s="294"/>
      <c r="L201" s="294"/>
      <c r="M201" s="294"/>
      <c r="N201" s="294"/>
      <c r="O201" s="294"/>
      <c r="P201" s="252"/>
      <c r="Q201" s="66"/>
    </row>
    <row r="202" spans="1:17" ht="15" outlineLevel="1" x14ac:dyDescent="0.25">
      <c r="A202" s="619"/>
      <c r="B202" s="149"/>
      <c r="C202" s="609"/>
      <c r="D202" s="609"/>
      <c r="E202" s="268"/>
      <c r="F202" s="296"/>
      <c r="G202" s="296"/>
      <c r="H202" s="293"/>
      <c r="I202" s="294"/>
      <c r="J202" s="294"/>
      <c r="K202" s="294"/>
      <c r="L202" s="294"/>
      <c r="M202" s="294"/>
      <c r="N202" s="294"/>
      <c r="O202" s="294"/>
      <c r="P202" s="252"/>
      <c r="Q202" s="66"/>
    </row>
    <row r="203" spans="1:17" ht="15" outlineLevel="1" x14ac:dyDescent="0.25">
      <c r="A203" s="619"/>
      <c r="B203" s="149"/>
      <c r="C203" s="609"/>
      <c r="D203" s="609"/>
      <c r="E203" s="268"/>
      <c r="F203" s="296"/>
      <c r="G203" s="296"/>
      <c r="H203" s="293"/>
      <c r="I203" s="294"/>
      <c r="J203" s="294"/>
      <c r="K203" s="294"/>
      <c r="L203" s="294"/>
      <c r="M203" s="294"/>
      <c r="N203" s="294"/>
      <c r="O203" s="294"/>
      <c r="P203" s="252"/>
      <c r="Q203" s="66"/>
    </row>
    <row r="204" spans="1:17" ht="15" outlineLevel="1" x14ac:dyDescent="0.25">
      <c r="A204" s="619"/>
      <c r="B204" s="149"/>
      <c r="C204" s="609"/>
      <c r="D204" s="609"/>
      <c r="E204" s="268"/>
      <c r="F204" s="296"/>
      <c r="G204" s="296"/>
      <c r="H204" s="293"/>
      <c r="I204" s="294"/>
      <c r="J204" s="294"/>
      <c r="K204" s="294"/>
      <c r="L204" s="294"/>
      <c r="M204" s="294"/>
      <c r="N204" s="294"/>
      <c r="O204" s="294"/>
      <c r="P204" s="252"/>
      <c r="Q204" s="66"/>
    </row>
    <row r="205" spans="1:17" s="42" customFormat="1" ht="15" outlineLevel="1" x14ac:dyDescent="0.25">
      <c r="A205" s="619"/>
      <c r="B205" s="382"/>
      <c r="C205" s="620" t="s">
        <v>15</v>
      </c>
      <c r="D205" s="620"/>
      <c r="E205" s="383"/>
      <c r="F205" s="384"/>
      <c r="G205" s="384"/>
      <c r="H205" s="384"/>
      <c r="I205" s="384"/>
      <c r="J205" s="384"/>
      <c r="K205" s="384"/>
      <c r="L205" s="384"/>
      <c r="M205" s="384"/>
      <c r="N205" s="384"/>
      <c r="O205" s="384"/>
      <c r="P205" s="385"/>
      <c r="Q205" s="148"/>
    </row>
    <row r="206" spans="1:17" ht="15" outlineLevel="1" x14ac:dyDescent="0.25">
      <c r="A206" s="619"/>
      <c r="B206" s="274">
        <v>23</v>
      </c>
      <c r="C206" s="255" t="s">
        <v>15</v>
      </c>
      <c r="D206" s="253" t="s">
        <v>33</v>
      </c>
      <c r="E206" s="253"/>
      <c r="F206" s="296"/>
      <c r="G206" s="296">
        <f>295752+2022</f>
        <v>297774</v>
      </c>
      <c r="H206" s="295">
        <v>1</v>
      </c>
      <c r="I206" s="294"/>
      <c r="J206" s="294"/>
      <c r="K206" s="294"/>
      <c r="L206" s="294"/>
      <c r="M206" s="294"/>
      <c r="N206" s="294"/>
      <c r="O206" s="294"/>
      <c r="P206" s="252">
        <f t="shared" ref="P206" si="15">SUM(H206:O206)</f>
        <v>1</v>
      </c>
      <c r="Q206" s="66"/>
    </row>
    <row r="207" spans="1:17" ht="15" outlineLevel="1" x14ac:dyDescent="0.25">
      <c r="A207" s="619"/>
      <c r="B207" s="274"/>
      <c r="C207" s="256" t="s">
        <v>258</v>
      </c>
      <c r="D207" s="253" t="s">
        <v>255</v>
      </c>
      <c r="E207" s="253"/>
      <c r="F207" s="296"/>
      <c r="G207" s="296"/>
      <c r="H207" s="293"/>
      <c r="I207" s="294"/>
      <c r="J207" s="294"/>
      <c r="K207" s="294"/>
      <c r="L207" s="294"/>
      <c r="M207" s="294"/>
      <c r="N207" s="294"/>
      <c r="O207" s="294"/>
      <c r="P207" s="252"/>
      <c r="Q207" s="66"/>
    </row>
    <row r="208" spans="1:17" ht="15" outlineLevel="1" x14ac:dyDescent="0.25">
      <c r="A208" s="619"/>
      <c r="B208" s="274"/>
      <c r="C208" s="609"/>
      <c r="D208" s="609"/>
      <c r="E208" s="268"/>
      <c r="F208" s="296"/>
      <c r="G208" s="296"/>
      <c r="H208" s="293"/>
      <c r="I208" s="294"/>
      <c r="J208" s="294"/>
      <c r="K208" s="294"/>
      <c r="L208" s="294"/>
      <c r="M208" s="294"/>
      <c r="N208" s="294"/>
      <c r="O208" s="294"/>
      <c r="P208" s="252"/>
      <c r="Q208" s="66"/>
    </row>
    <row r="209" spans="1:17" ht="15" outlineLevel="1" x14ac:dyDescent="0.25">
      <c r="A209" s="619"/>
      <c r="B209" s="274"/>
      <c r="C209" s="609"/>
      <c r="D209" s="609"/>
      <c r="E209" s="268"/>
      <c r="F209" s="296"/>
      <c r="G209" s="296"/>
      <c r="H209" s="293"/>
      <c r="I209" s="294"/>
      <c r="J209" s="294"/>
      <c r="K209" s="294"/>
      <c r="L209" s="294"/>
      <c r="M209" s="294"/>
      <c r="N209" s="294"/>
      <c r="O209" s="294"/>
      <c r="P209" s="252"/>
      <c r="Q209" s="66"/>
    </row>
    <row r="210" spans="1:17" s="42" customFormat="1" ht="15" outlineLevel="1" x14ac:dyDescent="0.25">
      <c r="A210" s="619"/>
      <c r="B210" s="382"/>
      <c r="C210" s="620" t="s">
        <v>16</v>
      </c>
      <c r="D210" s="620"/>
      <c r="E210" s="383"/>
      <c r="F210" s="384"/>
      <c r="G210" s="384"/>
      <c r="H210" s="384"/>
      <c r="I210" s="384"/>
      <c r="J210" s="384"/>
      <c r="K210" s="384"/>
      <c r="L210" s="384"/>
      <c r="M210" s="384"/>
      <c r="N210" s="384"/>
      <c r="O210" s="384"/>
      <c r="P210" s="385"/>
      <c r="Q210" s="148"/>
    </row>
    <row r="211" spans="1:17" ht="15" outlineLevel="1" x14ac:dyDescent="0.25">
      <c r="A211" s="619"/>
      <c r="B211" s="274">
        <v>24</v>
      </c>
      <c r="C211" s="255" t="s">
        <v>17</v>
      </c>
      <c r="D211" s="253" t="s">
        <v>33</v>
      </c>
      <c r="E211" s="253"/>
      <c r="F211" s="296"/>
      <c r="G211" s="296"/>
      <c r="H211" s="293"/>
      <c r="I211" s="294"/>
      <c r="J211" s="294">
        <v>0</v>
      </c>
      <c r="K211" s="294">
        <v>0</v>
      </c>
      <c r="L211" s="294"/>
      <c r="M211" s="294"/>
      <c r="N211" s="294"/>
      <c r="O211" s="294"/>
      <c r="P211" s="252">
        <f t="shared" ref="P211:P215" si="16">SUM(H211:O211)</f>
        <v>0</v>
      </c>
      <c r="Q211" s="66"/>
    </row>
    <row r="212" spans="1:17" ht="15" outlineLevel="1" x14ac:dyDescent="0.25">
      <c r="A212" s="619"/>
      <c r="B212" s="274">
        <v>25</v>
      </c>
      <c r="C212" s="255" t="s">
        <v>18</v>
      </c>
      <c r="D212" s="253" t="s">
        <v>33</v>
      </c>
      <c r="E212" s="253"/>
      <c r="F212" s="296"/>
      <c r="G212" s="296"/>
      <c r="H212" s="293"/>
      <c r="I212" s="294"/>
      <c r="J212" s="294">
        <v>0</v>
      </c>
      <c r="K212" s="294">
        <v>0</v>
      </c>
      <c r="L212" s="294"/>
      <c r="M212" s="294"/>
      <c r="N212" s="294"/>
      <c r="O212" s="294"/>
      <c r="P212" s="252">
        <f t="shared" si="16"/>
        <v>0</v>
      </c>
      <c r="Q212" s="66"/>
    </row>
    <row r="213" spans="1:17" ht="15" outlineLevel="1" x14ac:dyDescent="0.25">
      <c r="A213" s="619"/>
      <c r="B213" s="274">
        <v>26</v>
      </c>
      <c r="C213" s="255" t="s">
        <v>19</v>
      </c>
      <c r="D213" s="253" t="s">
        <v>33</v>
      </c>
      <c r="E213" s="253"/>
      <c r="F213" s="296"/>
      <c r="G213" s="296"/>
      <c r="H213" s="293"/>
      <c r="I213" s="294"/>
      <c r="J213" s="294">
        <v>0</v>
      </c>
      <c r="K213" s="294">
        <v>0</v>
      </c>
      <c r="L213" s="294"/>
      <c r="M213" s="294"/>
      <c r="N213" s="294"/>
      <c r="O213" s="294"/>
      <c r="P213" s="252">
        <f t="shared" si="16"/>
        <v>0</v>
      </c>
      <c r="Q213" s="66"/>
    </row>
    <row r="214" spans="1:17" ht="15" outlineLevel="1" x14ac:dyDescent="0.25">
      <c r="A214" s="619"/>
      <c r="B214" s="274">
        <v>27</v>
      </c>
      <c r="C214" s="255" t="s">
        <v>20</v>
      </c>
      <c r="D214" s="253" t="s">
        <v>33</v>
      </c>
      <c r="E214" s="253"/>
      <c r="F214" s="296"/>
      <c r="G214" s="296"/>
      <c r="H214" s="293"/>
      <c r="I214" s="294"/>
      <c r="J214" s="294">
        <v>0</v>
      </c>
      <c r="K214" s="294">
        <v>0</v>
      </c>
      <c r="L214" s="294"/>
      <c r="M214" s="294"/>
      <c r="N214" s="294"/>
      <c r="O214" s="294"/>
      <c r="P214" s="252">
        <f t="shared" si="16"/>
        <v>0</v>
      </c>
      <c r="Q214" s="66"/>
    </row>
    <row r="215" spans="1:17" ht="15" outlineLevel="1" x14ac:dyDescent="0.25">
      <c r="A215" s="619"/>
      <c r="B215" s="274">
        <v>28</v>
      </c>
      <c r="C215" s="255" t="s">
        <v>104</v>
      </c>
      <c r="D215" s="253" t="s">
        <v>33</v>
      </c>
      <c r="E215" s="253"/>
      <c r="F215" s="296"/>
      <c r="G215" s="296"/>
      <c r="H215" s="293"/>
      <c r="I215" s="294"/>
      <c r="J215" s="294">
        <v>0</v>
      </c>
      <c r="K215" s="294">
        <v>0</v>
      </c>
      <c r="L215" s="294"/>
      <c r="M215" s="294"/>
      <c r="N215" s="294"/>
      <c r="O215" s="294"/>
      <c r="P215" s="252">
        <f t="shared" si="16"/>
        <v>0</v>
      </c>
      <c r="Q215" s="66"/>
    </row>
    <row r="216" spans="1:17" ht="15" outlineLevel="1" x14ac:dyDescent="0.25">
      <c r="A216" s="619"/>
      <c r="B216" s="274"/>
      <c r="C216" s="256" t="s">
        <v>258</v>
      </c>
      <c r="D216" s="253" t="s">
        <v>255</v>
      </c>
      <c r="E216" s="253"/>
      <c r="F216" s="296"/>
      <c r="G216" s="296"/>
      <c r="H216" s="293"/>
      <c r="I216" s="294"/>
      <c r="J216" s="294"/>
      <c r="K216" s="294"/>
      <c r="L216" s="294"/>
      <c r="M216" s="294"/>
      <c r="N216" s="294"/>
      <c r="O216" s="294"/>
      <c r="P216" s="252"/>
      <c r="Q216" s="66"/>
    </row>
    <row r="217" spans="1:17" ht="15" outlineLevel="1" x14ac:dyDescent="0.25">
      <c r="A217" s="619"/>
      <c r="B217" s="274"/>
      <c r="C217" s="609"/>
      <c r="D217" s="609"/>
      <c r="E217" s="268"/>
      <c r="F217" s="296"/>
      <c r="G217" s="296"/>
      <c r="H217" s="293"/>
      <c r="I217" s="294"/>
      <c r="J217" s="294"/>
      <c r="K217" s="294"/>
      <c r="L217" s="294"/>
      <c r="M217" s="294"/>
      <c r="N217" s="294"/>
      <c r="O217" s="294"/>
      <c r="P217" s="252"/>
      <c r="Q217" s="66"/>
    </row>
    <row r="218" spans="1:17" ht="15" outlineLevel="1" x14ac:dyDescent="0.25">
      <c r="A218" s="619"/>
      <c r="B218" s="274"/>
      <c r="C218" s="609"/>
      <c r="D218" s="609"/>
      <c r="E218" s="268"/>
      <c r="F218" s="296"/>
      <c r="G218" s="296"/>
      <c r="H218" s="293"/>
      <c r="I218" s="294"/>
      <c r="J218" s="294"/>
      <c r="K218" s="294"/>
      <c r="L218" s="294"/>
      <c r="M218" s="294"/>
      <c r="N218" s="294"/>
      <c r="O218" s="294"/>
      <c r="P218" s="252"/>
      <c r="Q218" s="66"/>
    </row>
    <row r="219" spans="1:17" s="42" customFormat="1" ht="15" outlineLevel="1" x14ac:dyDescent="0.25">
      <c r="A219" s="619"/>
      <c r="B219" s="382"/>
      <c r="C219" s="620" t="s">
        <v>105</v>
      </c>
      <c r="D219" s="620"/>
      <c r="E219" s="383"/>
      <c r="F219" s="384"/>
      <c r="G219" s="384"/>
      <c r="H219" s="384"/>
      <c r="I219" s="384"/>
      <c r="J219" s="384"/>
      <c r="K219" s="384"/>
      <c r="L219" s="384"/>
      <c r="M219" s="384"/>
      <c r="N219" s="384"/>
      <c r="O219" s="384"/>
      <c r="P219" s="385"/>
      <c r="Q219" s="148"/>
    </row>
    <row r="220" spans="1:17" ht="15" outlineLevel="1" x14ac:dyDescent="0.25">
      <c r="A220" s="619"/>
      <c r="B220" s="149">
        <v>29</v>
      </c>
      <c r="C220" s="255" t="s">
        <v>107</v>
      </c>
      <c r="D220" s="253" t="s">
        <v>33</v>
      </c>
      <c r="E220" s="253"/>
      <c r="F220" s="296"/>
      <c r="G220" s="296"/>
      <c r="H220" s="293"/>
      <c r="I220" s="294"/>
      <c r="J220" s="294"/>
      <c r="K220" s="294"/>
      <c r="L220" s="294"/>
      <c r="M220" s="294"/>
      <c r="N220" s="294"/>
      <c r="O220" s="294"/>
      <c r="P220" s="252">
        <f t="shared" ref="P220:P221" si="17">SUM(H220:O220)</f>
        <v>0</v>
      </c>
      <c r="Q220" s="66"/>
    </row>
    <row r="221" spans="1:17" ht="15" outlineLevel="1" x14ac:dyDescent="0.25">
      <c r="A221" s="619"/>
      <c r="B221" s="149">
        <v>30</v>
      </c>
      <c r="C221" s="255" t="s">
        <v>106</v>
      </c>
      <c r="D221" s="253" t="s">
        <v>33</v>
      </c>
      <c r="E221" s="253"/>
      <c r="F221" s="296"/>
      <c r="G221" s="296"/>
      <c r="H221" s="293"/>
      <c r="I221" s="294"/>
      <c r="J221" s="294"/>
      <c r="K221" s="294"/>
      <c r="L221" s="294"/>
      <c r="M221" s="294"/>
      <c r="N221" s="294"/>
      <c r="O221" s="294"/>
      <c r="P221" s="252">
        <f t="shared" si="17"/>
        <v>0</v>
      </c>
      <c r="Q221" s="66"/>
    </row>
    <row r="222" spans="1:17" ht="15" outlineLevel="1" x14ac:dyDescent="0.25">
      <c r="A222" s="619"/>
      <c r="B222" s="149"/>
      <c r="C222" s="256" t="s">
        <v>258</v>
      </c>
      <c r="D222" s="253" t="s">
        <v>255</v>
      </c>
      <c r="E222" s="253"/>
      <c r="F222" s="296"/>
      <c r="G222" s="296"/>
      <c r="H222" s="293"/>
      <c r="I222" s="294"/>
      <c r="J222" s="294"/>
      <c r="K222" s="294"/>
      <c r="L222" s="294"/>
      <c r="M222" s="294"/>
      <c r="N222" s="294"/>
      <c r="O222" s="294"/>
      <c r="P222" s="252"/>
      <c r="Q222" s="66"/>
    </row>
    <row r="223" spans="1:17" ht="15" outlineLevel="1" x14ac:dyDescent="0.25">
      <c r="A223" s="619"/>
      <c r="B223" s="149"/>
      <c r="C223" s="609"/>
      <c r="D223" s="609"/>
      <c r="E223" s="268"/>
      <c r="F223" s="296"/>
      <c r="G223" s="296"/>
      <c r="H223" s="293"/>
      <c r="I223" s="294"/>
      <c r="J223" s="294"/>
      <c r="K223" s="294"/>
      <c r="L223" s="294"/>
      <c r="M223" s="294"/>
      <c r="N223" s="294"/>
      <c r="O223" s="294"/>
      <c r="P223" s="252"/>
      <c r="Q223" s="66"/>
    </row>
    <row r="224" spans="1:17" s="42" customFormat="1" ht="15" outlineLevel="1" x14ac:dyDescent="0.25">
      <c r="A224" s="619"/>
      <c r="B224" s="150"/>
      <c r="C224" s="622"/>
      <c r="D224" s="622"/>
      <c r="E224" s="351"/>
      <c r="F224" s="296"/>
      <c r="G224" s="296"/>
      <c r="H224" s="401"/>
      <c r="I224" s="402"/>
      <c r="J224" s="402"/>
      <c r="K224" s="402"/>
      <c r="L224" s="402"/>
      <c r="M224" s="402"/>
      <c r="N224" s="402"/>
      <c r="O224" s="402"/>
      <c r="P224" s="386"/>
      <c r="Q224" s="148"/>
    </row>
    <row r="225" spans="1:17" ht="15" x14ac:dyDescent="0.25">
      <c r="A225" s="619"/>
      <c r="B225" s="352"/>
      <c r="C225" s="608" t="s">
        <v>223</v>
      </c>
      <c r="D225" s="608"/>
      <c r="E225" s="353"/>
      <c r="F225" s="354"/>
      <c r="G225" s="354"/>
      <c r="H225" s="355">
        <f>SUM(G169*H169,G170*H170,G171*H171,G172*H172,G173*H173,G174*H174,G177*H177,G206*H206,G175*H175,G176*H176)</f>
        <v>884625.24799999991</v>
      </c>
      <c r="I225" s="355">
        <f>SUM(G183*I183,G184*I184,G188*I188,G189*I189,G190*I190,G185*I185,G186*I186,G187*I187)</f>
        <v>546367.14</v>
      </c>
      <c r="J225" s="356"/>
      <c r="K225" s="353"/>
      <c r="L225" s="353"/>
      <c r="M225" s="353"/>
      <c r="N225" s="355"/>
      <c r="O225" s="353"/>
      <c r="P225" s="357">
        <f>SUM(H225:O225)</f>
        <v>1430992.3879999998</v>
      </c>
      <c r="Q225" s="66"/>
    </row>
    <row r="226" spans="1:17" ht="15" x14ac:dyDescent="0.25">
      <c r="A226" s="619"/>
      <c r="B226" s="492"/>
      <c r="C226" s="493" t="s">
        <v>508</v>
      </c>
      <c r="D226" s="493"/>
      <c r="E226" s="494"/>
      <c r="F226" s="495"/>
      <c r="G226" s="495"/>
      <c r="H226" s="496">
        <f>H225-SUM(G175*H175,G176*H176)</f>
        <v>884625.24799999991</v>
      </c>
      <c r="I226" s="496">
        <f>I225-SUM(G188*I188,G189*I189,G190*I190)</f>
        <v>546367.14</v>
      </c>
      <c r="J226" s="497"/>
      <c r="K226" s="494"/>
      <c r="L226" s="494"/>
      <c r="M226" s="494"/>
      <c r="N226" s="494"/>
      <c r="O226" s="494"/>
      <c r="P226" s="498"/>
      <c r="Q226" s="66"/>
    </row>
    <row r="227" spans="1:17" ht="15" x14ac:dyDescent="0.25">
      <c r="A227" s="619"/>
      <c r="B227" s="275"/>
      <c r="C227" s="609" t="s">
        <v>320</v>
      </c>
      <c r="D227" s="609"/>
      <c r="E227" s="269"/>
      <c r="F227" s="267"/>
      <c r="G227" s="267"/>
      <c r="H227" s="269"/>
      <c r="I227" s="269"/>
      <c r="J227" s="270">
        <f>SUM($E$183*$F$183*J183,$E$184*$F$184*J184,$E$185*$F$185*J185,$E$186*$F$186*J186,$E$187*$F$187*J187,$E$196*$F$196*J196,$E$197*$F$197*J197,$E$198*$F$198*J198,$E$199*$F$199*J199,$F$211*J211,$F$212*J212,$F$213*J213,$F$214*J214,$F$215*J215)</f>
        <v>2972.4</v>
      </c>
      <c r="K227" s="270">
        <f>SUM($E$183*$F$183*K183,$E$184*$F$184*K184,$E$185*$F$185*K185,$E$186*$F$186*K186,$E$187*$F$187*K187,$E$196*$F$196*K196,$E$197*$F$197*K197,$E$198*$F$198*K198,$E$199*$F$199*K199,$F$211*K211,$F$212*K212,$F$213*K213,$F$214*K214,$F$215*K215)</f>
        <v>751.2</v>
      </c>
      <c r="L227" s="270"/>
      <c r="M227" s="270"/>
      <c r="N227" s="269"/>
      <c r="O227" s="532">
        <f>SUM($E$183*$F$183*O183,$E$184*$F$184*O184,$E$185*$F$185*O185,$E$186*$F$186*O186,$E$187*$F$187*O187,$E$196*$F$196*O196,$E$197*$F$197*O197,$E$198*$F$198*O198,$E$199*$F$199*O199,$F$211*O211,$F$212*O212,$F$213*O213,$F$214*O214,$F$215*O215)</f>
        <v>243.60000000000002</v>
      </c>
      <c r="P227" s="276">
        <f>SUM(H227:O227)</f>
        <v>3967.2000000000003</v>
      </c>
      <c r="Q227" s="66"/>
    </row>
    <row r="228" spans="1:17" ht="15" x14ac:dyDescent="0.25">
      <c r="A228" s="619"/>
      <c r="B228" s="275"/>
      <c r="C228" s="609" t="s">
        <v>504</v>
      </c>
      <c r="D228" s="609"/>
      <c r="E228" s="269"/>
      <c r="F228" s="267"/>
      <c r="G228" s="267"/>
      <c r="H228" s="269"/>
      <c r="I228" s="269"/>
      <c r="J228" s="270">
        <f>J227-($E$185*$F$185*J185)</f>
        <v>2972.4</v>
      </c>
      <c r="K228" s="270">
        <f>K227-($E$185*$F$185*K185)</f>
        <v>751.2</v>
      </c>
      <c r="L228" s="269"/>
      <c r="M228" s="269"/>
      <c r="N228" s="269"/>
      <c r="O228" s="532">
        <f>O227-($E$185*$F$185*O185)</f>
        <v>243.60000000000002</v>
      </c>
      <c r="P228" s="276"/>
      <c r="Q228" s="66"/>
    </row>
    <row r="229" spans="1:17" ht="15" x14ac:dyDescent="0.25">
      <c r="A229" s="619"/>
      <c r="B229" s="277"/>
      <c r="C229" s="610"/>
      <c r="D229" s="610"/>
      <c r="E229" s="262"/>
      <c r="F229" s="260"/>
      <c r="G229" s="260"/>
      <c r="H229" s="262"/>
      <c r="I229" s="262"/>
      <c r="J229" s="262"/>
      <c r="K229" s="262"/>
      <c r="L229" s="262"/>
      <c r="M229" s="262"/>
      <c r="N229" s="262"/>
      <c r="O229" s="262"/>
      <c r="P229" s="278"/>
      <c r="Q229" s="66"/>
    </row>
    <row r="230" spans="1:17" ht="15" x14ac:dyDescent="0.25">
      <c r="A230" s="619"/>
      <c r="B230" s="380"/>
      <c r="C230" s="611" t="s">
        <v>324</v>
      </c>
      <c r="D230" s="611"/>
      <c r="E230" s="253"/>
      <c r="F230" s="264"/>
      <c r="G230" s="253"/>
      <c r="H230" s="265">
        <f>'3.  Distribution Rates'!G33</f>
        <v>2.0333333333333332E-2</v>
      </c>
      <c r="I230" s="265">
        <f>'3.  Distribution Rates'!G34</f>
        <v>1.7933333333333332E-2</v>
      </c>
      <c r="J230" s="265">
        <f>'3.  Distribution Rates'!G35</f>
        <v>3.9384999999999999</v>
      </c>
      <c r="K230" s="265">
        <f>'3.  Distribution Rates'!G36</f>
        <v>1.5486666666666666</v>
      </c>
      <c r="L230" s="265">
        <f>'3.  Distribution Rates'!G37</f>
        <v>24.4663</v>
      </c>
      <c r="M230" s="265">
        <f>'3.  Distribution Rates'!G38</f>
        <v>17.894333333333332</v>
      </c>
      <c r="N230" s="265">
        <f>'3.  Distribution Rates'!G39</f>
        <v>3.5866666666666665E-2</v>
      </c>
      <c r="O230" s="554">
        <f>'3.  Distribution Rates'!G40</f>
        <v>1.71</v>
      </c>
      <c r="P230" s="381"/>
      <c r="Q230" s="66"/>
    </row>
    <row r="231" spans="1:17" ht="15" x14ac:dyDescent="0.25">
      <c r="A231" s="619"/>
      <c r="B231" s="380"/>
      <c r="C231" s="611" t="s">
        <v>237</v>
      </c>
      <c r="D231" s="611"/>
      <c r="E231" s="262"/>
      <c r="F231" s="264"/>
      <c r="G231" s="264"/>
      <c r="H231" s="377">
        <f>H75*H230</f>
        <v>25961.504145698535</v>
      </c>
      <c r="I231" s="377">
        <f>I75*I230</f>
        <v>5583.7257662056527</v>
      </c>
      <c r="J231" s="377">
        <f>J75*J230</f>
        <v>24315.359883139252</v>
      </c>
      <c r="K231" s="377">
        <f t="shared" ref="K231:M231" si="18">K75*K230</f>
        <v>0</v>
      </c>
      <c r="L231" s="377">
        <f t="shared" si="18"/>
        <v>0</v>
      </c>
      <c r="M231" s="377">
        <f t="shared" si="18"/>
        <v>0</v>
      </c>
      <c r="N231" s="377">
        <f>N75*N230</f>
        <v>0</v>
      </c>
      <c r="O231" s="555">
        <f t="shared" ref="O231" si="19">O75*O230</f>
        <v>0</v>
      </c>
      <c r="P231" s="279">
        <f>SUM(H231:O231)</f>
        <v>55860.589795043437</v>
      </c>
      <c r="Q231" s="66"/>
    </row>
    <row r="232" spans="1:17" ht="15" x14ac:dyDescent="0.25">
      <c r="A232" s="619"/>
      <c r="B232" s="380"/>
      <c r="C232" s="611" t="s">
        <v>238</v>
      </c>
      <c r="D232" s="611"/>
      <c r="E232" s="262"/>
      <c r="F232" s="264"/>
      <c r="G232" s="264"/>
      <c r="H232" s="377">
        <f>H154*H230</f>
        <v>14871.092535058733</v>
      </c>
      <c r="I232" s="377">
        <f>I154*I230</f>
        <v>19763.924952728594</v>
      </c>
      <c r="J232" s="377">
        <f>J154*J230</f>
        <v>22774.109665255</v>
      </c>
      <c r="K232" s="377">
        <f t="shared" ref="K232:N232" si="20">K154*K230</f>
        <v>0</v>
      </c>
      <c r="L232" s="377">
        <f t="shared" si="20"/>
        <v>0</v>
      </c>
      <c r="M232" s="377">
        <f t="shared" si="20"/>
        <v>0</v>
      </c>
      <c r="N232" s="377">
        <f t="shared" si="20"/>
        <v>0</v>
      </c>
      <c r="O232" s="555">
        <f t="shared" ref="O232" si="21">O154*O230</f>
        <v>0</v>
      </c>
      <c r="P232" s="279">
        <f>SUM(H232:O232)</f>
        <v>57409.127153042326</v>
      </c>
      <c r="Q232" s="66"/>
    </row>
    <row r="233" spans="1:17" ht="15" x14ac:dyDescent="0.25">
      <c r="A233" s="619"/>
      <c r="B233" s="380"/>
      <c r="C233" s="611" t="s">
        <v>239</v>
      </c>
      <c r="D233" s="611"/>
      <c r="E233" s="262"/>
      <c r="F233" s="264"/>
      <c r="G233" s="264"/>
      <c r="H233" s="377">
        <f>H225*H230</f>
        <v>17987.380042666664</v>
      </c>
      <c r="I233" s="377">
        <f>I225*I230</f>
        <v>9798.1840439999996</v>
      </c>
      <c r="J233" s="377">
        <f>J227*J230</f>
        <v>11706.797399999999</v>
      </c>
      <c r="K233" s="377">
        <f>K227*K230</f>
        <v>1163.3584000000001</v>
      </c>
      <c r="L233" s="377">
        <f>L227*L230</f>
        <v>0</v>
      </c>
      <c r="M233" s="377">
        <f>M227*M230</f>
        <v>0</v>
      </c>
      <c r="N233" s="377">
        <f>N225*N230</f>
        <v>0</v>
      </c>
      <c r="O233" s="555">
        <f>O227*O230</f>
        <v>416.55600000000004</v>
      </c>
      <c r="P233" s="279">
        <f>SUM(H233:O233)</f>
        <v>41072.275886666655</v>
      </c>
      <c r="Q233" s="66"/>
    </row>
    <row r="234" spans="1:17" ht="15" x14ac:dyDescent="0.25">
      <c r="A234" s="619"/>
      <c r="B234" s="277"/>
      <c r="C234" s="378" t="s">
        <v>98</v>
      </c>
      <c r="D234" s="262"/>
      <c r="E234" s="262"/>
      <c r="F234" s="260"/>
      <c r="G234" s="260"/>
      <c r="H234" s="266">
        <f>SUM(H231:H233)</f>
        <v>58819.976723423933</v>
      </c>
      <c r="I234" s="266">
        <f>SUM(I231:I233)</f>
        <v>35145.834762934246</v>
      </c>
      <c r="J234" s="266">
        <f>SUM(J231:J233)</f>
        <v>58796.266948394245</v>
      </c>
      <c r="K234" s="266">
        <f>SUM(K231:K233)</f>
        <v>1163.3584000000001</v>
      </c>
      <c r="L234" s="266">
        <f>SUM(L231:L233)</f>
        <v>0</v>
      </c>
      <c r="M234" s="266">
        <f t="shared" ref="M234:N234" si="22">SUM(M231:M233)</f>
        <v>0</v>
      </c>
      <c r="N234" s="266">
        <f t="shared" si="22"/>
        <v>0</v>
      </c>
      <c r="O234" s="556">
        <f t="shared" ref="O234" si="23">SUM(O231:O233)</f>
        <v>416.55600000000004</v>
      </c>
      <c r="P234" s="280">
        <f>SUM(P232:P233)</f>
        <v>98481.403039708981</v>
      </c>
      <c r="Q234" s="66"/>
    </row>
    <row r="235" spans="1:17" ht="15" x14ac:dyDescent="0.25">
      <c r="A235" s="619"/>
      <c r="B235" s="277"/>
      <c r="C235" s="611" t="s">
        <v>101</v>
      </c>
      <c r="D235" s="611"/>
      <c r="E235" s="262"/>
      <c r="F235" s="260"/>
      <c r="G235" s="260"/>
      <c r="H235" s="253">
        <f>$H$226*'6.  Persistence Rates'!$G$27</f>
        <v>882743.70222464029</v>
      </c>
      <c r="I235" s="253">
        <f>$I$226*'6.  Persistence Rates'!$G$27</f>
        <v>545205.04928827041</v>
      </c>
      <c r="J235" s="253">
        <f>$J$228*'6.  Persistence Rates'!$S$27</f>
        <v>2958.8871112893362</v>
      </c>
      <c r="K235" s="253">
        <f>$K$228*'6.  Persistence Rates'!$S$27</f>
        <v>747.78495424591222</v>
      </c>
      <c r="L235" s="253">
        <f>L227*'6.  Persistence Rates'!$S$27</f>
        <v>0</v>
      </c>
      <c r="M235" s="253">
        <f>$M$227*'6.  Persistence Rates'!$S$27</f>
        <v>0</v>
      </c>
      <c r="N235" s="253">
        <f>$N$225*'6.  Persistence Rates'!$G$27</f>
        <v>0</v>
      </c>
      <c r="O235" s="533">
        <f>$O$228*'6.  Persistence Rates'!$S$27</f>
        <v>242.49256503501627</v>
      </c>
      <c r="P235" s="278"/>
      <c r="Q235" s="66"/>
    </row>
    <row r="236" spans="1:17" ht="15" x14ac:dyDescent="0.25">
      <c r="A236" s="247"/>
      <c r="B236" s="277"/>
      <c r="C236" s="611" t="s">
        <v>434</v>
      </c>
      <c r="D236" s="611"/>
      <c r="E236" s="262"/>
      <c r="F236" s="260"/>
      <c r="G236" s="260"/>
      <c r="H236" s="253">
        <f>$H$226*'6.  Persistence Rates'!$H$27</f>
        <v>880866.15838627343</v>
      </c>
      <c r="I236" s="253">
        <f>$I$226*'6.  Persistence Rates'!$H$27</f>
        <v>544045.4302750075</v>
      </c>
      <c r="J236" s="253">
        <f>$J$228*'6.  Persistence Rates'!$T$27</f>
        <v>2945.4356537996746</v>
      </c>
      <c r="K236" s="253">
        <f>$K$228*'6.  Persistence Rates'!$T$27</f>
        <v>744.38543370149227</v>
      </c>
      <c r="L236" s="253">
        <f>$L$227*'6.  Persistence Rates'!$T$27</f>
        <v>0</v>
      </c>
      <c r="M236" s="253">
        <f>$M$227*'6.  Persistence Rates'!$T$27</f>
        <v>0</v>
      </c>
      <c r="N236" s="253">
        <f>$N$225*'6.  Persistence Rates'!$H$27</f>
        <v>0</v>
      </c>
      <c r="O236" s="533">
        <f>$O$228*'6.  Persistence Rates'!$T$27</f>
        <v>241.39016460288008</v>
      </c>
      <c r="P236" s="278"/>
      <c r="Q236" s="66"/>
    </row>
    <row r="237" spans="1:17" ht="15" x14ac:dyDescent="0.25">
      <c r="A237" s="247"/>
      <c r="B237" s="277"/>
      <c r="C237" s="611" t="s">
        <v>435</v>
      </c>
      <c r="D237" s="611"/>
      <c r="E237" s="262"/>
      <c r="F237" s="260"/>
      <c r="G237" s="260"/>
      <c r="H237" s="253">
        <f>$H$226*'6.  Persistence Rates'!$I$27</f>
        <v>0</v>
      </c>
      <c r="I237" s="253">
        <f>$I$226*'6.  Persistence Rates'!$I$27</f>
        <v>0</v>
      </c>
      <c r="J237" s="253">
        <f>$J$228*'6.  Persistence Rates'!$U$27</f>
        <v>0</v>
      </c>
      <c r="K237" s="253">
        <f>$K$228*'6.  Persistence Rates'!$U$27</f>
        <v>0</v>
      </c>
      <c r="L237" s="253">
        <f>$L$227*'6.  Persistence Rates'!$U$27</f>
        <v>0</v>
      </c>
      <c r="M237" s="253">
        <f>$M$227*'6.  Persistence Rates'!$U$27</f>
        <v>0</v>
      </c>
      <c r="N237" s="253">
        <f>$N$225*'6.  Persistence Rates'!$I$27</f>
        <v>0</v>
      </c>
      <c r="O237" s="262"/>
      <c r="P237" s="278"/>
      <c r="Q237" s="66"/>
    </row>
    <row r="238" spans="1:17" ht="15" x14ac:dyDescent="0.25">
      <c r="A238" s="247"/>
      <c r="B238" s="277"/>
      <c r="C238" s="611" t="s">
        <v>436</v>
      </c>
      <c r="D238" s="611"/>
      <c r="E238" s="262"/>
      <c r="F238" s="260"/>
      <c r="G238" s="260"/>
      <c r="H238" s="253">
        <f>$H$226*'6.  Persistence Rates'!$J$27</f>
        <v>0</v>
      </c>
      <c r="I238" s="253">
        <f>$I$226*'6.  Persistence Rates'!$J$27</f>
        <v>0</v>
      </c>
      <c r="J238" s="253">
        <f>$J$228*'6.  Persistence Rates'!$V$27</f>
        <v>0</v>
      </c>
      <c r="K238" s="253">
        <f>$K$228*'6.  Persistence Rates'!$V$27</f>
        <v>0</v>
      </c>
      <c r="L238" s="253">
        <f>$L$227*'6.  Persistence Rates'!$V$27</f>
        <v>0</v>
      </c>
      <c r="M238" s="253">
        <f>$M$227*'6.  Persistence Rates'!$V$27</f>
        <v>0</v>
      </c>
      <c r="N238" s="253">
        <f>$N$225*'6.  Persistence Rates'!$J$27</f>
        <v>0</v>
      </c>
      <c r="O238" s="262"/>
      <c r="P238" s="278"/>
      <c r="Q238" s="66"/>
    </row>
    <row r="239" spans="1:17" ht="15" x14ac:dyDescent="0.25">
      <c r="A239" s="247"/>
      <c r="B239" s="277"/>
      <c r="C239" s="611" t="s">
        <v>437</v>
      </c>
      <c r="D239" s="611"/>
      <c r="E239" s="262"/>
      <c r="F239" s="260"/>
      <c r="G239" s="260"/>
      <c r="H239" s="253">
        <f>$H$226*'6.  Persistence Rates'!$K$27</f>
        <v>0</v>
      </c>
      <c r="I239" s="253">
        <f>$I$226*'6.  Persistence Rates'!$K$27</f>
        <v>0</v>
      </c>
      <c r="J239" s="253">
        <f>$J$228*'6.  Persistence Rates'!$W$27</f>
        <v>0</v>
      </c>
      <c r="K239" s="253">
        <f>$K$228*'6.  Persistence Rates'!$W$27</f>
        <v>0</v>
      </c>
      <c r="L239" s="253">
        <f>$L$227*'6.  Persistence Rates'!$W$27</f>
        <v>0</v>
      </c>
      <c r="M239" s="253">
        <f>$M$227*'6.  Persistence Rates'!$W$27</f>
        <v>0</v>
      </c>
      <c r="N239" s="253">
        <f>$N$225*'6.  Persistence Rates'!$K$27</f>
        <v>0</v>
      </c>
      <c r="O239" s="262"/>
      <c r="P239" s="278"/>
      <c r="Q239" s="66"/>
    </row>
    <row r="240" spans="1:17" ht="15" x14ac:dyDescent="0.25">
      <c r="A240" s="247"/>
      <c r="B240" s="277"/>
      <c r="C240" s="611" t="s">
        <v>438</v>
      </c>
      <c r="D240" s="611"/>
      <c r="E240" s="262"/>
      <c r="F240" s="260"/>
      <c r="G240" s="260"/>
      <c r="H240" s="253">
        <f>$H$226*'6.  Persistence Rates'!$L$27</f>
        <v>0</v>
      </c>
      <c r="I240" s="253">
        <f>$I$226*'6.  Persistence Rates'!$L$27</f>
        <v>0</v>
      </c>
      <c r="J240" s="253">
        <f>$J$228*'6.  Persistence Rates'!$X$27</f>
        <v>0</v>
      </c>
      <c r="K240" s="253">
        <f>$K$228*'6.  Persistence Rates'!$X$27</f>
        <v>0</v>
      </c>
      <c r="L240" s="253">
        <f>$L$227*'6.  Persistence Rates'!$X$27</f>
        <v>0</v>
      </c>
      <c r="M240" s="253">
        <f>$M$227*'6.  Persistence Rates'!$X$27</f>
        <v>0</v>
      </c>
      <c r="N240" s="253">
        <f>$N$225*'6.  Persistence Rates'!$L$27</f>
        <v>0</v>
      </c>
      <c r="O240" s="262"/>
      <c r="P240" s="278"/>
      <c r="Q240" s="66"/>
    </row>
    <row r="241" spans="1:17" ht="15" x14ac:dyDescent="0.25">
      <c r="A241" s="247"/>
      <c r="B241" s="281"/>
      <c r="C241" s="623" t="s">
        <v>439</v>
      </c>
      <c r="D241" s="623"/>
      <c r="E241" s="282"/>
      <c r="F241" s="283"/>
      <c r="G241" s="283"/>
      <c r="H241" s="524">
        <f>$H$226*'6.  Persistence Rates'!$M$27</f>
        <v>0</v>
      </c>
      <c r="I241" s="524">
        <f>$I$226*'6.  Persistence Rates'!$M$27</f>
        <v>0</v>
      </c>
      <c r="J241" s="524">
        <f>$J$228*'6.  Persistence Rates'!$Y$27</f>
        <v>0</v>
      </c>
      <c r="K241" s="524">
        <f>$K$228*'6.  Persistence Rates'!$Y$27</f>
        <v>0</v>
      </c>
      <c r="L241" s="524">
        <f>$L$227*'6.  Persistence Rates'!$Y$27</f>
        <v>0</v>
      </c>
      <c r="M241" s="524">
        <f>$M$227*'6.  Persistence Rates'!$Y$27</f>
        <v>0</v>
      </c>
      <c r="N241" s="524">
        <f>$N$225*'6.  Persistence Rates'!$M$27</f>
        <v>0</v>
      </c>
      <c r="O241" s="282"/>
      <c r="P241" s="284"/>
      <c r="Q241" s="66"/>
    </row>
    <row r="242" spans="1:17" x14ac:dyDescent="0.25">
      <c r="B242" s="69"/>
      <c r="C242" s="142"/>
      <c r="D242" s="69"/>
      <c r="E242" s="69"/>
      <c r="F242" s="66"/>
      <c r="G242" s="66"/>
      <c r="H242" s="66"/>
      <c r="I242" s="66"/>
      <c r="J242" s="66"/>
      <c r="K242" s="66"/>
      <c r="L242" s="66"/>
      <c r="M242" s="66"/>
      <c r="N242" s="66"/>
      <c r="O242" s="66"/>
      <c r="P242" s="66"/>
      <c r="Q242" s="66"/>
    </row>
    <row r="243" spans="1:17" x14ac:dyDescent="0.25">
      <c r="B243" s="69"/>
      <c r="C243" s="142"/>
      <c r="D243" s="69"/>
      <c r="E243" s="69"/>
      <c r="F243" s="66"/>
      <c r="G243" s="66"/>
      <c r="H243" s="66"/>
      <c r="I243" s="66"/>
      <c r="J243" s="66"/>
      <c r="K243" s="66"/>
      <c r="L243" s="66"/>
      <c r="M243" s="66"/>
      <c r="N243" s="66"/>
      <c r="O243" s="66"/>
      <c r="P243" s="66"/>
      <c r="Q243" s="66"/>
    </row>
    <row r="244" spans="1:17" x14ac:dyDescent="0.25">
      <c r="B244" s="617" t="s">
        <v>359</v>
      </c>
      <c r="C244" s="617"/>
      <c r="D244" s="617"/>
      <c r="E244" s="617"/>
      <c r="F244" s="617"/>
      <c r="G244" s="617"/>
      <c r="H244" s="617"/>
      <c r="I244" s="617"/>
      <c r="J244" s="617"/>
      <c r="K244" s="617"/>
      <c r="L244" s="617"/>
      <c r="M244" s="617"/>
      <c r="N244" s="617"/>
      <c r="O244" s="617"/>
      <c r="P244" s="617"/>
      <c r="Q244" s="66"/>
    </row>
    <row r="245" spans="1:17" ht="15.6" hidden="1" x14ac:dyDescent="0.3">
      <c r="B245" s="69"/>
      <c r="C245" s="142"/>
      <c r="D245" s="69"/>
      <c r="E245" s="69"/>
      <c r="F245" s="66"/>
      <c r="G245" s="66"/>
      <c r="H245" s="66"/>
      <c r="I245" s="66"/>
      <c r="J245" s="66"/>
      <c r="K245" s="66"/>
      <c r="L245" s="66"/>
      <c r="M245" s="66"/>
      <c r="N245" s="66"/>
      <c r="O245" s="66"/>
      <c r="P245" s="66"/>
      <c r="Q245" s="66"/>
    </row>
    <row r="246" spans="1:17" ht="44.25" customHeight="1" x14ac:dyDescent="0.25">
      <c r="B246" s="604" t="s">
        <v>58</v>
      </c>
      <c r="C246" s="606" t="s">
        <v>0</v>
      </c>
      <c r="D246" s="606" t="s">
        <v>44</v>
      </c>
      <c r="E246" s="606" t="s">
        <v>206</v>
      </c>
      <c r="F246" s="272" t="s">
        <v>45</v>
      </c>
      <c r="G246" s="272" t="s">
        <v>203</v>
      </c>
      <c r="H246" s="614" t="s">
        <v>59</v>
      </c>
      <c r="I246" s="615"/>
      <c r="J246" s="615"/>
      <c r="K246" s="615"/>
      <c r="L246" s="615"/>
      <c r="M246" s="615"/>
      <c r="N246" s="615"/>
      <c r="O246" s="615"/>
      <c r="P246" s="616"/>
      <c r="Q246" s="66"/>
    </row>
    <row r="247" spans="1:17" ht="48" customHeight="1" x14ac:dyDescent="0.25">
      <c r="B247" s="621"/>
      <c r="C247" s="607"/>
      <c r="D247" s="607"/>
      <c r="E247" s="607"/>
      <c r="F247" s="138" t="s">
        <v>102</v>
      </c>
      <c r="G247" s="138" t="s">
        <v>103</v>
      </c>
      <c r="H247" s="138" t="s">
        <v>37</v>
      </c>
      <c r="I247" s="138" t="s">
        <v>39</v>
      </c>
      <c r="J247" s="138" t="s">
        <v>108</v>
      </c>
      <c r="K247" s="138" t="s">
        <v>109</v>
      </c>
      <c r="L247" s="138" t="s">
        <v>40</v>
      </c>
      <c r="M247" s="138" t="s">
        <v>41</v>
      </c>
      <c r="N247" s="138" t="s">
        <v>42</v>
      </c>
      <c r="O247" s="138" t="s">
        <v>514</v>
      </c>
      <c r="P247" s="379" t="s">
        <v>34</v>
      </c>
      <c r="Q247" s="66"/>
    </row>
    <row r="248" spans="1:17" s="42" customFormat="1" ht="15" customHeight="1" outlineLevel="1" x14ac:dyDescent="0.25">
      <c r="A248" s="619">
        <v>2014</v>
      </c>
      <c r="B248" s="373"/>
      <c r="C248" s="618" t="s">
        <v>1</v>
      </c>
      <c r="D248" s="618"/>
      <c r="E248" s="374"/>
      <c r="F248" s="375"/>
      <c r="G248" s="375"/>
      <c r="H248" s="375"/>
      <c r="I248" s="375"/>
      <c r="J248" s="375"/>
      <c r="K248" s="375"/>
      <c r="L248" s="375"/>
      <c r="M248" s="375"/>
      <c r="N248" s="375"/>
      <c r="O248" s="375"/>
      <c r="P248" s="376"/>
      <c r="Q248" s="148"/>
    </row>
    <row r="249" spans="1:17" ht="15" outlineLevel="1" x14ac:dyDescent="0.25">
      <c r="A249" s="619"/>
      <c r="B249" s="274">
        <v>1</v>
      </c>
      <c r="C249" s="255" t="s">
        <v>2</v>
      </c>
      <c r="D249" s="253" t="s">
        <v>33</v>
      </c>
      <c r="E249" s="253"/>
      <c r="F249" s="296"/>
      <c r="G249" s="296">
        <v>100774.51300000001</v>
      </c>
      <c r="H249" s="295">
        <v>1</v>
      </c>
      <c r="I249" s="294"/>
      <c r="J249" s="294"/>
      <c r="K249" s="294"/>
      <c r="L249" s="294"/>
      <c r="M249" s="294"/>
      <c r="N249" s="294"/>
      <c r="O249" s="294"/>
      <c r="P249" s="404">
        <f>SUM(H249:O249)</f>
        <v>1</v>
      </c>
      <c r="Q249" s="66"/>
    </row>
    <row r="250" spans="1:17" ht="15" outlineLevel="1" x14ac:dyDescent="0.25">
      <c r="A250" s="619"/>
      <c r="B250" s="274">
        <v>2</v>
      </c>
      <c r="C250" s="255" t="s">
        <v>3</v>
      </c>
      <c r="D250" s="253" t="s">
        <v>33</v>
      </c>
      <c r="E250" s="253"/>
      <c r="F250" s="296"/>
      <c r="G250" s="296">
        <v>22166.393</v>
      </c>
      <c r="H250" s="295">
        <v>1</v>
      </c>
      <c r="I250" s="294"/>
      <c r="J250" s="294"/>
      <c r="K250" s="294"/>
      <c r="L250" s="294"/>
      <c r="M250" s="294"/>
      <c r="N250" s="294"/>
      <c r="O250" s="294"/>
      <c r="P250" s="404">
        <f t="shared" ref="P250:P257" si="24">SUM(H250:O250)</f>
        <v>1</v>
      </c>
      <c r="Q250" s="66"/>
    </row>
    <row r="251" spans="1:17" ht="15" outlineLevel="1" x14ac:dyDescent="0.25">
      <c r="A251" s="619"/>
      <c r="B251" s="274">
        <v>3</v>
      </c>
      <c r="C251" s="255" t="s">
        <v>4</v>
      </c>
      <c r="D251" s="253" t="s">
        <v>33</v>
      </c>
      <c r="E251" s="253"/>
      <c r="F251" s="296"/>
      <c r="G251" s="296">
        <v>363211.99300000002</v>
      </c>
      <c r="H251" s="295">
        <v>1</v>
      </c>
      <c r="I251" s="294"/>
      <c r="J251" s="294"/>
      <c r="K251" s="294"/>
      <c r="L251" s="294"/>
      <c r="M251" s="294"/>
      <c r="N251" s="294"/>
      <c r="O251" s="294"/>
      <c r="P251" s="404">
        <f t="shared" si="24"/>
        <v>1</v>
      </c>
      <c r="Q251" s="66"/>
    </row>
    <row r="252" spans="1:17" ht="15" outlineLevel="1" x14ac:dyDescent="0.25">
      <c r="A252" s="619"/>
      <c r="B252" s="274">
        <v>4</v>
      </c>
      <c r="C252" s="255" t="s">
        <v>5</v>
      </c>
      <c r="D252" s="253" t="s">
        <v>33</v>
      </c>
      <c r="E252" s="253"/>
      <c r="F252" s="296"/>
      <c r="G252" s="296">
        <v>192634.973</v>
      </c>
      <c r="H252" s="295">
        <v>1</v>
      </c>
      <c r="I252" s="294"/>
      <c r="J252" s="294"/>
      <c r="K252" s="294"/>
      <c r="L252" s="294"/>
      <c r="M252" s="294"/>
      <c r="N252" s="294"/>
      <c r="O252" s="294"/>
      <c r="P252" s="404">
        <f t="shared" si="24"/>
        <v>1</v>
      </c>
      <c r="Q252" s="66"/>
    </row>
    <row r="253" spans="1:17" ht="15" outlineLevel="1" x14ac:dyDescent="0.25">
      <c r="A253" s="619"/>
      <c r="B253" s="274">
        <v>5</v>
      </c>
      <c r="C253" s="255" t="s">
        <v>6</v>
      </c>
      <c r="D253" s="253" t="s">
        <v>33</v>
      </c>
      <c r="E253" s="253"/>
      <c r="F253" s="296"/>
      <c r="G253" s="296">
        <v>794005.07400000002</v>
      </c>
      <c r="H253" s="295">
        <v>1</v>
      </c>
      <c r="I253" s="294"/>
      <c r="J253" s="294"/>
      <c r="K253" s="294"/>
      <c r="L253" s="294"/>
      <c r="M253" s="294"/>
      <c r="N253" s="294"/>
      <c r="O253" s="294"/>
      <c r="P253" s="404">
        <f t="shared" si="24"/>
        <v>1</v>
      </c>
      <c r="Q253" s="66"/>
    </row>
    <row r="254" spans="1:17" ht="15" outlineLevel="1" x14ac:dyDescent="0.25">
      <c r="A254" s="619"/>
      <c r="B254" s="274">
        <v>6</v>
      </c>
      <c r="C254" s="255" t="s">
        <v>7</v>
      </c>
      <c r="D254" s="253" t="s">
        <v>33</v>
      </c>
      <c r="E254" s="253"/>
      <c r="F254" s="296"/>
      <c r="G254" s="296"/>
      <c r="H254" s="295">
        <v>0</v>
      </c>
      <c r="I254" s="294"/>
      <c r="J254" s="294"/>
      <c r="K254" s="294"/>
      <c r="L254" s="294"/>
      <c r="M254" s="294"/>
      <c r="N254" s="294"/>
      <c r="O254" s="294"/>
      <c r="P254" s="404">
        <f t="shared" si="24"/>
        <v>0</v>
      </c>
      <c r="Q254" s="66"/>
    </row>
    <row r="255" spans="1:17" ht="28.5" outlineLevel="1" x14ac:dyDescent="0.25">
      <c r="A255" s="619"/>
      <c r="B255" s="274">
        <v>7</v>
      </c>
      <c r="C255" s="255" t="s">
        <v>32</v>
      </c>
      <c r="D255" s="253" t="s">
        <v>33</v>
      </c>
      <c r="E255" s="253"/>
      <c r="F255" s="296"/>
      <c r="G255" s="296"/>
      <c r="H255" s="295">
        <v>0</v>
      </c>
      <c r="I255" s="294"/>
      <c r="J255" s="294"/>
      <c r="K255" s="294"/>
      <c r="L255" s="294"/>
      <c r="M255" s="294"/>
      <c r="N255" s="294"/>
      <c r="O255" s="294"/>
      <c r="P255" s="404">
        <f t="shared" si="24"/>
        <v>0</v>
      </c>
      <c r="Q255" s="66"/>
    </row>
    <row r="256" spans="1:17" ht="15" outlineLevel="1" x14ac:dyDescent="0.25">
      <c r="A256" s="619"/>
      <c r="B256" s="274">
        <v>8</v>
      </c>
      <c r="C256" s="255" t="s">
        <v>25</v>
      </c>
      <c r="D256" s="253" t="s">
        <v>33</v>
      </c>
      <c r="E256" s="253"/>
      <c r="F256" s="296"/>
      <c r="G256" s="296"/>
      <c r="H256" s="295">
        <v>0</v>
      </c>
      <c r="I256" s="294"/>
      <c r="J256" s="294"/>
      <c r="K256" s="294"/>
      <c r="L256" s="294"/>
      <c r="M256" s="294"/>
      <c r="N256" s="294"/>
      <c r="O256" s="294"/>
      <c r="P256" s="404">
        <f t="shared" si="24"/>
        <v>0</v>
      </c>
      <c r="Q256" s="66"/>
    </row>
    <row r="257" spans="1:17" ht="15" outlineLevel="1" x14ac:dyDescent="0.25">
      <c r="A257" s="619"/>
      <c r="B257" s="274">
        <v>9</v>
      </c>
      <c r="C257" s="255" t="s">
        <v>8</v>
      </c>
      <c r="D257" s="253" t="s">
        <v>33</v>
      </c>
      <c r="E257" s="253"/>
      <c r="F257" s="296"/>
      <c r="G257" s="296">
        <v>2546</v>
      </c>
      <c r="H257" s="295">
        <v>1</v>
      </c>
      <c r="I257" s="294"/>
      <c r="J257" s="294"/>
      <c r="K257" s="294"/>
      <c r="L257" s="294"/>
      <c r="M257" s="294"/>
      <c r="N257" s="294"/>
      <c r="O257" s="294"/>
      <c r="P257" s="404">
        <f t="shared" si="24"/>
        <v>1</v>
      </c>
      <c r="Q257" s="66"/>
    </row>
    <row r="258" spans="1:17" ht="15" outlineLevel="1" x14ac:dyDescent="0.25">
      <c r="A258" s="619"/>
      <c r="B258" s="274"/>
      <c r="C258" s="256" t="s">
        <v>259</v>
      </c>
      <c r="D258" s="253" t="s">
        <v>255</v>
      </c>
      <c r="E258" s="253"/>
      <c r="F258" s="296"/>
      <c r="G258" s="296"/>
      <c r="H258" s="293"/>
      <c r="I258" s="294"/>
      <c r="J258" s="294"/>
      <c r="K258" s="294"/>
      <c r="L258" s="294"/>
      <c r="M258" s="294"/>
      <c r="N258" s="294"/>
      <c r="O258" s="294"/>
      <c r="P258" s="404"/>
      <c r="Q258" s="66"/>
    </row>
    <row r="259" spans="1:17" ht="15" outlineLevel="1" x14ac:dyDescent="0.25">
      <c r="A259" s="619"/>
      <c r="B259" s="274"/>
      <c r="C259" s="609"/>
      <c r="D259" s="609"/>
      <c r="E259" s="268"/>
      <c r="F259" s="296"/>
      <c r="G259" s="296"/>
      <c r="H259" s="293"/>
      <c r="I259" s="294"/>
      <c r="J259" s="294"/>
      <c r="K259" s="294"/>
      <c r="L259" s="294"/>
      <c r="M259" s="294"/>
      <c r="N259" s="294"/>
      <c r="O259" s="294"/>
      <c r="P259" s="404"/>
      <c r="Q259" s="66"/>
    </row>
    <row r="260" spans="1:17" ht="15" outlineLevel="1" x14ac:dyDescent="0.25">
      <c r="A260" s="619"/>
      <c r="B260" s="274"/>
      <c r="C260" s="609"/>
      <c r="D260" s="609"/>
      <c r="E260" s="268"/>
      <c r="F260" s="296"/>
      <c r="G260" s="296"/>
      <c r="H260" s="293"/>
      <c r="I260" s="294"/>
      <c r="J260" s="294"/>
      <c r="K260" s="294"/>
      <c r="L260" s="294"/>
      <c r="M260" s="294"/>
      <c r="N260" s="294"/>
      <c r="O260" s="294"/>
      <c r="P260" s="404"/>
      <c r="Q260" s="66"/>
    </row>
    <row r="261" spans="1:17" ht="15" outlineLevel="1" x14ac:dyDescent="0.25">
      <c r="A261" s="619"/>
      <c r="B261" s="274"/>
      <c r="C261" s="609"/>
      <c r="D261" s="609"/>
      <c r="E261" s="268"/>
      <c r="F261" s="296"/>
      <c r="G261" s="296"/>
      <c r="H261" s="293"/>
      <c r="I261" s="294"/>
      <c r="J261" s="294"/>
      <c r="K261" s="294"/>
      <c r="L261" s="294"/>
      <c r="M261" s="294"/>
      <c r="N261" s="294"/>
      <c r="O261" s="294"/>
      <c r="P261" s="404"/>
      <c r="Q261" s="66"/>
    </row>
    <row r="262" spans="1:17" s="42" customFormat="1" ht="15" outlineLevel="1" x14ac:dyDescent="0.25">
      <c r="A262" s="619"/>
      <c r="B262" s="382"/>
      <c r="C262" s="620" t="s">
        <v>9</v>
      </c>
      <c r="D262" s="620"/>
      <c r="E262" s="383"/>
      <c r="F262" s="384"/>
      <c r="G262" s="384"/>
      <c r="H262" s="384"/>
      <c r="I262" s="384"/>
      <c r="J262" s="384"/>
      <c r="K262" s="384"/>
      <c r="L262" s="384"/>
      <c r="M262" s="384"/>
      <c r="N262" s="384"/>
      <c r="O262" s="384"/>
      <c r="P262" s="385"/>
      <c r="Q262" s="148"/>
    </row>
    <row r="263" spans="1:17" ht="15" outlineLevel="1" x14ac:dyDescent="0.25">
      <c r="A263" s="619"/>
      <c r="B263" s="149">
        <v>10</v>
      </c>
      <c r="C263" s="257" t="s">
        <v>26</v>
      </c>
      <c r="D263" s="253" t="s">
        <v>33</v>
      </c>
      <c r="E263" s="253">
        <v>12</v>
      </c>
      <c r="F263" s="296">
        <v>248</v>
      </c>
      <c r="G263" s="296">
        <v>2142310</v>
      </c>
      <c r="H263" s="293"/>
      <c r="I263" s="295">
        <v>0.06</v>
      </c>
      <c r="J263" s="295">
        <v>0.81</v>
      </c>
      <c r="K263" s="295">
        <v>0.06</v>
      </c>
      <c r="L263" s="294"/>
      <c r="M263" s="294"/>
      <c r="N263" s="294"/>
      <c r="O263" s="557">
        <v>7.0000000000000007E-2</v>
      </c>
      <c r="P263" s="404">
        <f t="shared" ref="P263:P270" si="25">SUM(H263:O263)</f>
        <v>1.0000000000000002</v>
      </c>
      <c r="Q263" s="66"/>
    </row>
    <row r="264" spans="1:17" ht="15" outlineLevel="1" x14ac:dyDescent="0.25">
      <c r="A264" s="619"/>
      <c r="B264" s="149">
        <v>11</v>
      </c>
      <c r="C264" s="255" t="s">
        <v>24</v>
      </c>
      <c r="D264" s="253" t="s">
        <v>33</v>
      </c>
      <c r="E264" s="253">
        <v>12</v>
      </c>
      <c r="F264" s="296"/>
      <c r="G264" s="296">
        <v>703764</v>
      </c>
      <c r="H264" s="293"/>
      <c r="I264" s="295">
        <v>1</v>
      </c>
      <c r="J264" s="295">
        <v>0</v>
      </c>
      <c r="K264" s="295">
        <v>0</v>
      </c>
      <c r="L264" s="294"/>
      <c r="M264" s="294"/>
      <c r="N264" s="294"/>
      <c r="O264" s="294"/>
      <c r="P264" s="404">
        <f t="shared" si="25"/>
        <v>1</v>
      </c>
      <c r="Q264" s="66"/>
    </row>
    <row r="265" spans="1:17" ht="15" outlineLevel="1" x14ac:dyDescent="0.25">
      <c r="A265" s="619"/>
      <c r="B265" s="149">
        <v>12</v>
      </c>
      <c r="C265" s="255" t="s">
        <v>27</v>
      </c>
      <c r="D265" s="253" t="s">
        <v>33</v>
      </c>
      <c r="E265" s="253">
        <v>3</v>
      </c>
      <c r="F265" s="296"/>
      <c r="G265" s="296"/>
      <c r="H265" s="293"/>
      <c r="I265" s="295">
        <v>0</v>
      </c>
      <c r="J265" s="295">
        <v>0</v>
      </c>
      <c r="K265" s="295">
        <v>0</v>
      </c>
      <c r="L265" s="294"/>
      <c r="M265" s="294"/>
      <c r="N265" s="294"/>
      <c r="O265" s="294"/>
      <c r="P265" s="404">
        <f t="shared" si="25"/>
        <v>0</v>
      </c>
      <c r="Q265" s="66"/>
    </row>
    <row r="266" spans="1:17" ht="15" outlineLevel="1" x14ac:dyDescent="0.25">
      <c r="A266" s="619"/>
      <c r="B266" s="149">
        <v>13</v>
      </c>
      <c r="C266" s="255" t="s">
        <v>28</v>
      </c>
      <c r="D266" s="253" t="s">
        <v>33</v>
      </c>
      <c r="E266" s="253">
        <v>12</v>
      </c>
      <c r="F266" s="296"/>
      <c r="G266" s="296"/>
      <c r="H266" s="293"/>
      <c r="I266" s="295">
        <v>0</v>
      </c>
      <c r="J266" s="295">
        <v>0</v>
      </c>
      <c r="K266" s="295">
        <v>0</v>
      </c>
      <c r="L266" s="294"/>
      <c r="M266" s="294"/>
      <c r="N266" s="294"/>
      <c r="O266" s="294"/>
      <c r="P266" s="404">
        <f t="shared" si="25"/>
        <v>0</v>
      </c>
      <c r="Q266" s="66"/>
    </row>
    <row r="267" spans="1:17" ht="15" outlineLevel="1" x14ac:dyDescent="0.25">
      <c r="A267" s="619"/>
      <c r="B267" s="149">
        <v>14</v>
      </c>
      <c r="C267" s="255" t="s">
        <v>23</v>
      </c>
      <c r="D267" s="253" t="s">
        <v>33</v>
      </c>
      <c r="E267" s="253">
        <v>12</v>
      </c>
      <c r="F267" s="296"/>
      <c r="G267" s="296"/>
      <c r="H267" s="293"/>
      <c r="I267" s="295">
        <v>0</v>
      </c>
      <c r="J267" s="295">
        <v>0</v>
      </c>
      <c r="K267" s="295">
        <v>0</v>
      </c>
      <c r="L267" s="294"/>
      <c r="M267" s="294"/>
      <c r="N267" s="294"/>
      <c r="O267" s="294"/>
      <c r="P267" s="404">
        <f t="shared" si="25"/>
        <v>0</v>
      </c>
      <c r="Q267" s="66"/>
    </row>
    <row r="268" spans="1:17" ht="28.5" outlineLevel="1" x14ac:dyDescent="0.25">
      <c r="A268" s="619"/>
      <c r="B268" s="274">
        <v>15</v>
      </c>
      <c r="C268" s="255" t="s">
        <v>29</v>
      </c>
      <c r="D268" s="253" t="s">
        <v>33</v>
      </c>
      <c r="E268" s="253">
        <v>0</v>
      </c>
      <c r="F268" s="296"/>
      <c r="G268" s="296"/>
      <c r="H268" s="293"/>
      <c r="I268" s="295">
        <v>0</v>
      </c>
      <c r="J268" s="295">
        <v>0</v>
      </c>
      <c r="K268" s="295">
        <v>0</v>
      </c>
      <c r="L268" s="294"/>
      <c r="M268" s="294"/>
      <c r="N268" s="294"/>
      <c r="O268" s="294"/>
      <c r="P268" s="404">
        <f t="shared" si="25"/>
        <v>0</v>
      </c>
      <c r="Q268" s="66"/>
    </row>
    <row r="269" spans="1:17" ht="28.5" outlineLevel="1" x14ac:dyDescent="0.25">
      <c r="A269" s="619"/>
      <c r="B269" s="274">
        <v>16</v>
      </c>
      <c r="C269" s="255" t="s">
        <v>30</v>
      </c>
      <c r="D269" s="253" t="s">
        <v>33</v>
      </c>
      <c r="E269" s="253">
        <v>0</v>
      </c>
      <c r="F269" s="296"/>
      <c r="G269" s="296"/>
      <c r="H269" s="293"/>
      <c r="I269" s="295">
        <v>0</v>
      </c>
      <c r="J269" s="295">
        <v>0</v>
      </c>
      <c r="K269" s="295">
        <v>0</v>
      </c>
      <c r="L269" s="294"/>
      <c r="M269" s="294"/>
      <c r="N269" s="294"/>
      <c r="O269" s="294"/>
      <c r="P269" s="404">
        <f t="shared" si="25"/>
        <v>0</v>
      </c>
      <c r="Q269" s="66"/>
    </row>
    <row r="270" spans="1:17" ht="15" outlineLevel="1" x14ac:dyDescent="0.25">
      <c r="A270" s="619"/>
      <c r="B270" s="274">
        <v>17</v>
      </c>
      <c r="C270" s="255" t="s">
        <v>10</v>
      </c>
      <c r="D270" s="253" t="s">
        <v>33</v>
      </c>
      <c r="E270" s="253">
        <v>0</v>
      </c>
      <c r="F270" s="296">
        <v>304</v>
      </c>
      <c r="G270" s="296"/>
      <c r="H270" s="293"/>
      <c r="I270" s="295">
        <v>0</v>
      </c>
      <c r="J270" s="295">
        <v>1</v>
      </c>
      <c r="K270" s="295">
        <v>0</v>
      </c>
      <c r="L270" s="294"/>
      <c r="M270" s="294"/>
      <c r="N270" s="294"/>
      <c r="O270" s="294"/>
      <c r="P270" s="404">
        <f t="shared" si="25"/>
        <v>1</v>
      </c>
      <c r="Q270" s="66"/>
    </row>
    <row r="271" spans="1:17" ht="15" outlineLevel="1" x14ac:dyDescent="0.25">
      <c r="A271" s="619"/>
      <c r="B271" s="274"/>
      <c r="C271" s="256" t="s">
        <v>259</v>
      </c>
      <c r="D271" s="253" t="s">
        <v>255</v>
      </c>
      <c r="E271" s="253"/>
      <c r="F271" s="296"/>
      <c r="G271" s="296"/>
      <c r="H271" s="293"/>
      <c r="I271" s="294"/>
      <c r="J271" s="294"/>
      <c r="K271" s="294"/>
      <c r="L271" s="294"/>
      <c r="M271" s="294"/>
      <c r="N271" s="294"/>
      <c r="O271" s="294"/>
      <c r="P271" s="404"/>
      <c r="Q271" s="66"/>
    </row>
    <row r="272" spans="1:17" ht="15" outlineLevel="1" x14ac:dyDescent="0.25">
      <c r="A272" s="619"/>
      <c r="B272" s="274"/>
      <c r="C272" s="609"/>
      <c r="D272" s="609"/>
      <c r="E272" s="268"/>
      <c r="F272" s="296"/>
      <c r="G272" s="296"/>
      <c r="H272" s="293"/>
      <c r="I272" s="294"/>
      <c r="J272" s="294"/>
      <c r="K272" s="294"/>
      <c r="L272" s="294"/>
      <c r="M272" s="294"/>
      <c r="N272" s="294"/>
      <c r="O272" s="294"/>
      <c r="P272" s="404"/>
      <c r="Q272" s="66"/>
    </row>
    <row r="273" spans="1:17" ht="15" outlineLevel="1" x14ac:dyDescent="0.25">
      <c r="A273" s="619"/>
      <c r="B273" s="274"/>
      <c r="C273" s="609"/>
      <c r="D273" s="609"/>
      <c r="E273" s="268"/>
      <c r="F273" s="296"/>
      <c r="G273" s="296"/>
      <c r="H273" s="293"/>
      <c r="I273" s="294"/>
      <c r="J273" s="294"/>
      <c r="K273" s="294"/>
      <c r="L273" s="294"/>
      <c r="M273" s="294"/>
      <c r="N273" s="294"/>
      <c r="O273" s="294"/>
      <c r="P273" s="404"/>
      <c r="Q273" s="66"/>
    </row>
    <row r="274" spans="1:17" ht="15" outlineLevel="1" x14ac:dyDescent="0.25">
      <c r="A274" s="619"/>
      <c r="B274" s="274"/>
      <c r="C274" s="609"/>
      <c r="D274" s="609"/>
      <c r="E274" s="268"/>
      <c r="F274" s="296"/>
      <c r="G274" s="296"/>
      <c r="H274" s="293"/>
      <c r="I274" s="294"/>
      <c r="J274" s="294"/>
      <c r="K274" s="294"/>
      <c r="L274" s="294"/>
      <c r="M274" s="294"/>
      <c r="N274" s="294"/>
      <c r="O274" s="294"/>
      <c r="P274" s="404"/>
      <c r="Q274" s="66"/>
    </row>
    <row r="275" spans="1:17" s="42" customFormat="1" ht="15" outlineLevel="1" x14ac:dyDescent="0.25">
      <c r="A275" s="619"/>
      <c r="B275" s="382"/>
      <c r="C275" s="620" t="s">
        <v>11</v>
      </c>
      <c r="D275" s="620"/>
      <c r="E275" s="383"/>
      <c r="F275" s="384"/>
      <c r="G275" s="384"/>
      <c r="H275" s="384"/>
      <c r="I275" s="384"/>
      <c r="J275" s="384"/>
      <c r="K275" s="384"/>
      <c r="L275" s="384"/>
      <c r="M275" s="384"/>
      <c r="N275" s="384"/>
      <c r="O275" s="384"/>
      <c r="P275" s="385"/>
      <c r="Q275" s="148"/>
    </row>
    <row r="276" spans="1:17" ht="15" outlineLevel="1" x14ac:dyDescent="0.25">
      <c r="A276" s="619"/>
      <c r="B276" s="149">
        <v>18</v>
      </c>
      <c r="C276" s="255" t="s">
        <v>12</v>
      </c>
      <c r="D276" s="253" t="s">
        <v>33</v>
      </c>
      <c r="E276" s="253">
        <v>12</v>
      </c>
      <c r="F276" s="296">
        <v>53</v>
      </c>
      <c r="G276" s="296"/>
      <c r="H276" s="293"/>
      <c r="I276" s="294"/>
      <c r="J276" s="295">
        <v>0</v>
      </c>
      <c r="K276" s="295">
        <v>1</v>
      </c>
      <c r="L276" s="294"/>
      <c r="M276" s="294"/>
      <c r="N276" s="294"/>
      <c r="O276" s="294"/>
      <c r="P276" s="404">
        <f t="shared" ref="P276:P280" si="26">SUM(H276:O276)</f>
        <v>1</v>
      </c>
      <c r="Q276" s="66"/>
    </row>
    <row r="277" spans="1:17" ht="15" outlineLevel="1" x14ac:dyDescent="0.25">
      <c r="A277" s="619"/>
      <c r="B277" s="149">
        <v>19</v>
      </c>
      <c r="C277" s="255" t="s">
        <v>13</v>
      </c>
      <c r="D277" s="253" t="s">
        <v>33</v>
      </c>
      <c r="E277" s="253">
        <v>12</v>
      </c>
      <c r="F277" s="296"/>
      <c r="G277" s="296"/>
      <c r="H277" s="293"/>
      <c r="I277" s="294"/>
      <c r="J277" s="295">
        <v>0</v>
      </c>
      <c r="K277" s="295">
        <v>0</v>
      </c>
      <c r="L277" s="294"/>
      <c r="M277" s="294"/>
      <c r="N277" s="294"/>
      <c r="O277" s="294"/>
      <c r="P277" s="404">
        <f t="shared" si="26"/>
        <v>0</v>
      </c>
      <c r="Q277" s="66"/>
    </row>
    <row r="278" spans="1:17" ht="15" outlineLevel="1" x14ac:dyDescent="0.25">
      <c r="A278" s="619"/>
      <c r="B278" s="149">
        <v>20</v>
      </c>
      <c r="C278" s="255" t="s">
        <v>14</v>
      </c>
      <c r="D278" s="253" t="s">
        <v>33</v>
      </c>
      <c r="E278" s="253">
        <v>12</v>
      </c>
      <c r="F278" s="296"/>
      <c r="G278" s="296"/>
      <c r="H278" s="293"/>
      <c r="I278" s="294"/>
      <c r="J278" s="295">
        <v>0</v>
      </c>
      <c r="K278" s="295">
        <v>0</v>
      </c>
      <c r="L278" s="294"/>
      <c r="M278" s="294"/>
      <c r="N278" s="294"/>
      <c r="O278" s="294"/>
      <c r="P278" s="404">
        <f t="shared" si="26"/>
        <v>0</v>
      </c>
      <c r="Q278" s="66"/>
    </row>
    <row r="279" spans="1:17" ht="15" outlineLevel="1" x14ac:dyDescent="0.25">
      <c r="A279" s="619"/>
      <c r="B279" s="149">
        <v>21</v>
      </c>
      <c r="C279" s="257" t="s">
        <v>26</v>
      </c>
      <c r="D279" s="253" t="s">
        <v>33</v>
      </c>
      <c r="E279" s="253">
        <v>12</v>
      </c>
      <c r="F279" s="296"/>
      <c r="G279" s="296"/>
      <c r="H279" s="293"/>
      <c r="I279" s="294"/>
      <c r="J279" s="295">
        <v>0</v>
      </c>
      <c r="K279" s="295">
        <v>0</v>
      </c>
      <c r="L279" s="294"/>
      <c r="M279" s="294"/>
      <c r="N279" s="294"/>
      <c r="O279" s="294"/>
      <c r="P279" s="404">
        <f t="shared" si="26"/>
        <v>0</v>
      </c>
      <c r="Q279" s="66"/>
    </row>
    <row r="280" spans="1:17" ht="15" outlineLevel="1" x14ac:dyDescent="0.25">
      <c r="A280" s="619"/>
      <c r="B280" s="149">
        <v>22</v>
      </c>
      <c r="C280" s="255" t="s">
        <v>10</v>
      </c>
      <c r="D280" s="253" t="s">
        <v>33</v>
      </c>
      <c r="E280" s="253">
        <v>0</v>
      </c>
      <c r="F280" s="296">
        <v>1700</v>
      </c>
      <c r="G280" s="296"/>
      <c r="H280" s="293"/>
      <c r="I280" s="294"/>
      <c r="J280" s="295">
        <v>1</v>
      </c>
      <c r="K280" s="295">
        <v>0</v>
      </c>
      <c r="L280" s="294"/>
      <c r="M280" s="294"/>
      <c r="N280" s="294"/>
      <c r="O280" s="294"/>
      <c r="P280" s="404">
        <f t="shared" si="26"/>
        <v>1</v>
      </c>
      <c r="Q280" s="66"/>
    </row>
    <row r="281" spans="1:17" ht="15" outlineLevel="1" x14ac:dyDescent="0.25">
      <c r="A281" s="619"/>
      <c r="B281" s="149"/>
      <c r="C281" s="256" t="s">
        <v>259</v>
      </c>
      <c r="D281" s="253" t="s">
        <v>255</v>
      </c>
      <c r="E281" s="253"/>
      <c r="F281" s="296"/>
      <c r="G281" s="296"/>
      <c r="H281" s="293"/>
      <c r="I281" s="294"/>
      <c r="J281" s="294"/>
      <c r="K281" s="294"/>
      <c r="L281" s="294"/>
      <c r="M281" s="294"/>
      <c r="N281" s="294"/>
      <c r="O281" s="294"/>
      <c r="P281" s="404"/>
      <c r="Q281" s="66"/>
    </row>
    <row r="282" spans="1:17" ht="15" outlineLevel="1" x14ac:dyDescent="0.25">
      <c r="A282" s="619"/>
      <c r="B282" s="149"/>
      <c r="C282" s="609"/>
      <c r="D282" s="609"/>
      <c r="E282" s="268"/>
      <c r="F282" s="296"/>
      <c r="G282" s="296"/>
      <c r="H282" s="293"/>
      <c r="I282" s="294"/>
      <c r="J282" s="294"/>
      <c r="K282" s="294"/>
      <c r="L282" s="294"/>
      <c r="M282" s="294"/>
      <c r="N282" s="294"/>
      <c r="O282" s="294"/>
      <c r="P282" s="404"/>
      <c r="Q282" s="66"/>
    </row>
    <row r="283" spans="1:17" ht="15" outlineLevel="1" x14ac:dyDescent="0.25">
      <c r="A283" s="619"/>
      <c r="B283" s="149"/>
      <c r="C283" s="609"/>
      <c r="D283" s="609"/>
      <c r="E283" s="268"/>
      <c r="F283" s="296"/>
      <c r="G283" s="296"/>
      <c r="H283" s="293"/>
      <c r="I283" s="294"/>
      <c r="J283" s="294"/>
      <c r="K283" s="294"/>
      <c r="L283" s="294"/>
      <c r="M283" s="294"/>
      <c r="N283" s="294"/>
      <c r="O283" s="294"/>
      <c r="P283" s="404"/>
      <c r="Q283" s="66"/>
    </row>
    <row r="284" spans="1:17" ht="15" outlineLevel="1" x14ac:dyDescent="0.25">
      <c r="A284" s="619"/>
      <c r="B284" s="149"/>
      <c r="C284" s="609"/>
      <c r="D284" s="609"/>
      <c r="E284" s="268"/>
      <c r="F284" s="296"/>
      <c r="G284" s="296"/>
      <c r="H284" s="293"/>
      <c r="I284" s="294"/>
      <c r="J284" s="294"/>
      <c r="K284" s="294"/>
      <c r="L284" s="294"/>
      <c r="M284" s="294"/>
      <c r="N284" s="294"/>
      <c r="O284" s="294"/>
      <c r="P284" s="404"/>
      <c r="Q284" s="66"/>
    </row>
    <row r="285" spans="1:17" s="42" customFormat="1" ht="15" outlineLevel="1" x14ac:dyDescent="0.25">
      <c r="A285" s="619"/>
      <c r="B285" s="382"/>
      <c r="C285" s="620" t="s">
        <v>15</v>
      </c>
      <c r="D285" s="620"/>
      <c r="E285" s="383"/>
      <c r="F285" s="384"/>
      <c r="G285" s="384"/>
      <c r="H285" s="384"/>
      <c r="I285" s="384"/>
      <c r="J285" s="384"/>
      <c r="K285" s="384"/>
      <c r="L285" s="384"/>
      <c r="M285" s="384"/>
      <c r="N285" s="384"/>
      <c r="O285" s="384"/>
      <c r="P285" s="385"/>
      <c r="Q285" s="148"/>
    </row>
    <row r="286" spans="1:17" ht="15" outlineLevel="1" x14ac:dyDescent="0.25">
      <c r="A286" s="619"/>
      <c r="B286" s="274">
        <v>23</v>
      </c>
      <c r="C286" s="255" t="s">
        <v>15</v>
      </c>
      <c r="D286" s="253" t="s">
        <v>33</v>
      </c>
      <c r="E286" s="253"/>
      <c r="F286" s="296"/>
      <c r="G286" s="296">
        <v>79269</v>
      </c>
      <c r="H286" s="295">
        <v>1</v>
      </c>
      <c r="I286" s="294"/>
      <c r="J286" s="294"/>
      <c r="K286" s="294"/>
      <c r="L286" s="294"/>
      <c r="M286" s="294"/>
      <c r="N286" s="294"/>
      <c r="O286" s="294"/>
      <c r="P286" s="404">
        <f t="shared" ref="P286" si="27">SUM(H286:O286)</f>
        <v>1</v>
      </c>
      <c r="Q286" s="66"/>
    </row>
    <row r="287" spans="1:17" ht="15" outlineLevel="1" x14ac:dyDescent="0.25">
      <c r="A287" s="619"/>
      <c r="B287" s="274"/>
      <c r="C287" s="256" t="s">
        <v>259</v>
      </c>
      <c r="D287" s="253" t="s">
        <v>255</v>
      </c>
      <c r="E287" s="253"/>
      <c r="F287" s="296"/>
      <c r="G287" s="296"/>
      <c r="H287" s="293"/>
      <c r="I287" s="294"/>
      <c r="J287" s="294"/>
      <c r="K287" s="294"/>
      <c r="L287" s="294"/>
      <c r="M287" s="294"/>
      <c r="N287" s="294"/>
      <c r="O287" s="294"/>
      <c r="P287" s="404"/>
      <c r="Q287" s="66"/>
    </row>
    <row r="288" spans="1:17" ht="15" outlineLevel="1" x14ac:dyDescent="0.25">
      <c r="A288" s="619"/>
      <c r="B288" s="274"/>
      <c r="C288" s="609"/>
      <c r="D288" s="609"/>
      <c r="E288" s="268"/>
      <c r="F288" s="296"/>
      <c r="G288" s="296"/>
      <c r="H288" s="293"/>
      <c r="I288" s="294"/>
      <c r="J288" s="294"/>
      <c r="K288" s="294"/>
      <c r="L288" s="294"/>
      <c r="M288" s="294"/>
      <c r="N288" s="294"/>
      <c r="O288" s="294"/>
      <c r="P288" s="404"/>
      <c r="Q288" s="66"/>
    </row>
    <row r="289" spans="1:17" ht="15" outlineLevel="1" x14ac:dyDescent="0.25">
      <c r="A289" s="619"/>
      <c r="B289" s="274"/>
      <c r="C289" s="609"/>
      <c r="D289" s="609"/>
      <c r="E289" s="268"/>
      <c r="F289" s="296"/>
      <c r="G289" s="296"/>
      <c r="H289" s="293"/>
      <c r="I289" s="294"/>
      <c r="J289" s="294"/>
      <c r="K289" s="294"/>
      <c r="L289" s="294"/>
      <c r="M289" s="294"/>
      <c r="N289" s="294"/>
      <c r="O289" s="294"/>
      <c r="P289" s="404"/>
      <c r="Q289" s="66"/>
    </row>
    <row r="290" spans="1:17" s="42" customFormat="1" ht="15" outlineLevel="1" x14ac:dyDescent="0.25">
      <c r="A290" s="619"/>
      <c r="B290" s="382"/>
      <c r="C290" s="620" t="s">
        <v>16</v>
      </c>
      <c r="D290" s="620"/>
      <c r="E290" s="383"/>
      <c r="F290" s="384"/>
      <c r="G290" s="384"/>
      <c r="H290" s="384"/>
      <c r="I290" s="384"/>
      <c r="J290" s="384"/>
      <c r="K290" s="384"/>
      <c r="L290" s="384"/>
      <c r="M290" s="384"/>
      <c r="N290" s="384"/>
      <c r="O290" s="384"/>
      <c r="P290" s="385"/>
      <c r="Q290" s="148"/>
    </row>
    <row r="291" spans="1:17" ht="15" outlineLevel="1" x14ac:dyDescent="0.25">
      <c r="A291" s="619"/>
      <c r="B291" s="274">
        <v>24</v>
      </c>
      <c r="C291" s="255" t="s">
        <v>17</v>
      </c>
      <c r="D291" s="253" t="s">
        <v>33</v>
      </c>
      <c r="E291" s="253"/>
      <c r="F291" s="296"/>
      <c r="G291" s="296"/>
      <c r="H291" s="293"/>
      <c r="I291" s="294"/>
      <c r="J291" s="295">
        <v>0</v>
      </c>
      <c r="K291" s="295">
        <v>0</v>
      </c>
      <c r="L291" s="294"/>
      <c r="M291" s="294"/>
      <c r="N291" s="294"/>
      <c r="O291" s="294"/>
      <c r="P291" s="404">
        <f t="shared" ref="P291:P295" si="28">SUM(H291:O291)</f>
        <v>0</v>
      </c>
      <c r="Q291" s="66"/>
    </row>
    <row r="292" spans="1:17" ht="15" outlineLevel="1" x14ac:dyDescent="0.25">
      <c r="A292" s="619"/>
      <c r="B292" s="274">
        <v>25</v>
      </c>
      <c r="C292" s="255" t="s">
        <v>18</v>
      </c>
      <c r="D292" s="253" t="s">
        <v>33</v>
      </c>
      <c r="E292" s="253"/>
      <c r="F292" s="296"/>
      <c r="G292" s="296"/>
      <c r="H292" s="293"/>
      <c r="I292" s="294"/>
      <c r="J292" s="295">
        <v>0</v>
      </c>
      <c r="K292" s="295">
        <v>0</v>
      </c>
      <c r="L292" s="294"/>
      <c r="M292" s="294"/>
      <c r="N292" s="294"/>
      <c r="O292" s="294"/>
      <c r="P292" s="404">
        <f t="shared" si="28"/>
        <v>0</v>
      </c>
      <c r="Q292" s="66"/>
    </row>
    <row r="293" spans="1:17" ht="15" outlineLevel="1" x14ac:dyDescent="0.25">
      <c r="A293" s="619"/>
      <c r="B293" s="274">
        <v>26</v>
      </c>
      <c r="C293" s="255" t="s">
        <v>19</v>
      </c>
      <c r="D293" s="253" t="s">
        <v>33</v>
      </c>
      <c r="E293" s="253"/>
      <c r="F293" s="296"/>
      <c r="G293" s="296"/>
      <c r="H293" s="293"/>
      <c r="I293" s="294"/>
      <c r="J293" s="295">
        <v>0</v>
      </c>
      <c r="K293" s="295">
        <v>0</v>
      </c>
      <c r="L293" s="294"/>
      <c r="M293" s="294"/>
      <c r="N293" s="294"/>
      <c r="O293" s="294"/>
      <c r="P293" s="404">
        <f t="shared" si="28"/>
        <v>0</v>
      </c>
      <c r="Q293" s="66"/>
    </row>
    <row r="294" spans="1:17" ht="15" outlineLevel="1" x14ac:dyDescent="0.25">
      <c r="A294" s="619"/>
      <c r="B294" s="274">
        <v>27</v>
      </c>
      <c r="C294" s="255" t="s">
        <v>20</v>
      </c>
      <c r="D294" s="253" t="s">
        <v>33</v>
      </c>
      <c r="E294" s="253"/>
      <c r="F294" s="296"/>
      <c r="G294" s="296"/>
      <c r="H294" s="293"/>
      <c r="I294" s="294"/>
      <c r="J294" s="295">
        <v>0</v>
      </c>
      <c r="K294" s="295">
        <v>0</v>
      </c>
      <c r="L294" s="294"/>
      <c r="M294" s="294"/>
      <c r="N294" s="294"/>
      <c r="O294" s="294"/>
      <c r="P294" s="404">
        <f t="shared" si="28"/>
        <v>0</v>
      </c>
      <c r="Q294" s="66"/>
    </row>
    <row r="295" spans="1:17" ht="15" outlineLevel="1" x14ac:dyDescent="0.25">
      <c r="A295" s="619"/>
      <c r="B295" s="274">
        <v>28</v>
      </c>
      <c r="C295" s="255" t="s">
        <v>104</v>
      </c>
      <c r="D295" s="253" t="s">
        <v>33</v>
      </c>
      <c r="E295" s="253"/>
      <c r="F295" s="296"/>
      <c r="G295" s="296"/>
      <c r="H295" s="293"/>
      <c r="I295" s="294"/>
      <c r="J295" s="295">
        <v>0</v>
      </c>
      <c r="K295" s="295">
        <v>0</v>
      </c>
      <c r="L295" s="294"/>
      <c r="M295" s="294"/>
      <c r="N295" s="294"/>
      <c r="O295" s="294"/>
      <c r="P295" s="404">
        <f t="shared" si="28"/>
        <v>0</v>
      </c>
      <c r="Q295" s="66"/>
    </row>
    <row r="296" spans="1:17" ht="15" outlineLevel="1" x14ac:dyDescent="0.25">
      <c r="A296" s="619"/>
      <c r="B296" s="274"/>
      <c r="C296" s="256" t="s">
        <v>259</v>
      </c>
      <c r="D296" s="253" t="s">
        <v>255</v>
      </c>
      <c r="E296" s="253"/>
      <c r="F296" s="296"/>
      <c r="G296" s="296"/>
      <c r="H296" s="293"/>
      <c r="I296" s="294"/>
      <c r="J296" s="294"/>
      <c r="K296" s="294"/>
      <c r="L296" s="294"/>
      <c r="M296" s="294"/>
      <c r="N296" s="294"/>
      <c r="O296" s="294"/>
      <c r="P296" s="404"/>
      <c r="Q296" s="66"/>
    </row>
    <row r="297" spans="1:17" ht="15" outlineLevel="1" x14ac:dyDescent="0.25">
      <c r="A297" s="619"/>
      <c r="B297" s="274"/>
      <c r="C297" s="609"/>
      <c r="D297" s="609"/>
      <c r="E297" s="268"/>
      <c r="F297" s="296"/>
      <c r="G297" s="296"/>
      <c r="H297" s="293"/>
      <c r="I297" s="294"/>
      <c r="J297" s="294"/>
      <c r="K297" s="294"/>
      <c r="L297" s="294"/>
      <c r="M297" s="294"/>
      <c r="N297" s="294"/>
      <c r="O297" s="294"/>
      <c r="P297" s="404"/>
      <c r="Q297" s="66"/>
    </row>
    <row r="298" spans="1:17" ht="15" outlineLevel="1" x14ac:dyDescent="0.25">
      <c r="A298" s="619"/>
      <c r="B298" s="274"/>
      <c r="C298" s="609"/>
      <c r="D298" s="609"/>
      <c r="E298" s="268"/>
      <c r="F298" s="296"/>
      <c r="G298" s="296"/>
      <c r="H298" s="293"/>
      <c r="I298" s="294"/>
      <c r="J298" s="294"/>
      <c r="K298" s="294"/>
      <c r="L298" s="294"/>
      <c r="M298" s="294"/>
      <c r="N298" s="294"/>
      <c r="O298" s="294"/>
      <c r="P298" s="404"/>
      <c r="Q298" s="66"/>
    </row>
    <row r="299" spans="1:17" ht="15" outlineLevel="1" x14ac:dyDescent="0.25">
      <c r="A299" s="619"/>
      <c r="B299" s="274"/>
      <c r="C299" s="609"/>
      <c r="D299" s="609"/>
      <c r="E299" s="268"/>
      <c r="F299" s="296"/>
      <c r="G299" s="296"/>
      <c r="H299" s="293"/>
      <c r="I299" s="294"/>
      <c r="J299" s="294"/>
      <c r="K299" s="294"/>
      <c r="L299" s="294"/>
      <c r="M299" s="294"/>
      <c r="N299" s="294"/>
      <c r="O299" s="294"/>
      <c r="P299" s="404"/>
      <c r="Q299" s="66"/>
    </row>
    <row r="300" spans="1:17" s="42" customFormat="1" ht="15" outlineLevel="1" x14ac:dyDescent="0.25">
      <c r="A300" s="619"/>
      <c r="B300" s="382"/>
      <c r="C300" s="620" t="s">
        <v>105</v>
      </c>
      <c r="D300" s="620"/>
      <c r="E300" s="383"/>
      <c r="F300" s="384"/>
      <c r="G300" s="384"/>
      <c r="H300" s="384"/>
      <c r="I300" s="384"/>
      <c r="J300" s="384"/>
      <c r="K300" s="384"/>
      <c r="L300" s="384"/>
      <c r="M300" s="384"/>
      <c r="N300" s="384"/>
      <c r="O300" s="384"/>
      <c r="P300" s="385"/>
      <c r="Q300" s="148"/>
    </row>
    <row r="301" spans="1:17" ht="15" outlineLevel="1" x14ac:dyDescent="0.25">
      <c r="A301" s="619"/>
      <c r="B301" s="149">
        <v>29</v>
      </c>
      <c r="C301" s="255" t="s">
        <v>107</v>
      </c>
      <c r="D301" s="253" t="s">
        <v>33</v>
      </c>
      <c r="E301" s="253"/>
      <c r="F301" s="296"/>
      <c r="G301" s="296"/>
      <c r="H301" s="293"/>
      <c r="I301" s="294"/>
      <c r="J301" s="294"/>
      <c r="K301" s="294"/>
      <c r="L301" s="294"/>
      <c r="M301" s="294"/>
      <c r="N301" s="294"/>
      <c r="O301" s="294"/>
      <c r="P301" s="404">
        <f t="shared" ref="P301:P302" si="29">SUM(H301:O301)</f>
        <v>0</v>
      </c>
      <c r="Q301" s="66"/>
    </row>
    <row r="302" spans="1:17" ht="15" outlineLevel="1" x14ac:dyDescent="0.25">
      <c r="A302" s="619"/>
      <c r="B302" s="149">
        <v>30</v>
      </c>
      <c r="C302" s="255" t="s">
        <v>106</v>
      </c>
      <c r="D302" s="253" t="s">
        <v>33</v>
      </c>
      <c r="E302" s="253"/>
      <c r="F302" s="296"/>
      <c r="G302" s="296"/>
      <c r="H302" s="293"/>
      <c r="I302" s="294"/>
      <c r="J302" s="294"/>
      <c r="K302" s="294"/>
      <c r="L302" s="294"/>
      <c r="M302" s="294"/>
      <c r="N302" s="294"/>
      <c r="O302" s="294"/>
      <c r="P302" s="404">
        <f t="shared" si="29"/>
        <v>0</v>
      </c>
      <c r="Q302" s="66"/>
    </row>
    <row r="303" spans="1:17" ht="15" outlineLevel="1" x14ac:dyDescent="0.25">
      <c r="A303" s="619"/>
      <c r="B303" s="149"/>
      <c r="C303" s="256" t="s">
        <v>259</v>
      </c>
      <c r="D303" s="253" t="s">
        <v>255</v>
      </c>
      <c r="E303" s="253"/>
      <c r="F303" s="296"/>
      <c r="G303" s="296"/>
      <c r="H303" s="293"/>
      <c r="I303" s="294"/>
      <c r="J303" s="294"/>
      <c r="K303" s="294"/>
      <c r="L303" s="294"/>
      <c r="M303" s="294"/>
      <c r="N303" s="294"/>
      <c r="O303" s="294"/>
      <c r="P303" s="404"/>
      <c r="Q303" s="66"/>
    </row>
    <row r="304" spans="1:17" ht="15" outlineLevel="1" x14ac:dyDescent="0.25">
      <c r="A304" s="619"/>
      <c r="B304" s="149"/>
      <c r="C304" s="609"/>
      <c r="D304" s="609"/>
      <c r="E304" s="268"/>
      <c r="F304" s="296"/>
      <c r="G304" s="296"/>
      <c r="H304" s="293"/>
      <c r="I304" s="294"/>
      <c r="J304" s="294"/>
      <c r="K304" s="294"/>
      <c r="L304" s="294"/>
      <c r="M304" s="294"/>
      <c r="N304" s="294"/>
      <c r="O304" s="294"/>
      <c r="P304" s="404"/>
      <c r="Q304" s="66"/>
    </row>
    <row r="305" spans="1:17" s="42" customFormat="1" ht="15" outlineLevel="1" x14ac:dyDescent="0.25">
      <c r="A305" s="619"/>
      <c r="B305" s="150"/>
      <c r="C305" s="609"/>
      <c r="D305" s="609"/>
      <c r="E305" s="268"/>
      <c r="F305" s="296"/>
      <c r="G305" s="296"/>
      <c r="H305" s="401"/>
      <c r="I305" s="402"/>
      <c r="J305" s="402"/>
      <c r="K305" s="402"/>
      <c r="L305" s="402"/>
      <c r="M305" s="402"/>
      <c r="N305" s="402"/>
      <c r="O305" s="402"/>
      <c r="P305" s="405"/>
      <c r="Q305" s="148"/>
    </row>
    <row r="306" spans="1:17" ht="15" x14ac:dyDescent="0.25">
      <c r="A306" s="619"/>
      <c r="B306" s="352"/>
      <c r="C306" s="608" t="s">
        <v>223</v>
      </c>
      <c r="D306" s="608"/>
      <c r="E306" s="353"/>
      <c r="F306" s="354"/>
      <c r="G306" s="354"/>
      <c r="H306" s="355">
        <f>SUM(G249*H249,G250*H250,G251*H251,G252*H252,G253*H253,G254*H254,G257*H257,G286*H286,G255*H255,G256*H256)</f>
        <v>1554607.946</v>
      </c>
      <c r="I306" s="355">
        <f>SUM(G263*I263,G264*I264,G266*I266,G267*I267,G268*I268,G269*I269,G270*I270,G265*I265)</f>
        <v>832302.6</v>
      </c>
      <c r="J306" s="356"/>
      <c r="K306" s="353"/>
      <c r="L306" s="353"/>
      <c r="M306" s="353"/>
      <c r="N306" s="355"/>
      <c r="O306" s="353"/>
      <c r="P306" s="357">
        <f>SUM(H306:O306)</f>
        <v>2386910.5460000001</v>
      </c>
      <c r="Q306" s="66"/>
    </row>
    <row r="307" spans="1:17" ht="15" x14ac:dyDescent="0.25">
      <c r="A307" s="619"/>
      <c r="B307" s="492"/>
      <c r="C307" s="493" t="s">
        <v>508</v>
      </c>
      <c r="D307" s="493"/>
      <c r="E307" s="494"/>
      <c r="F307" s="495"/>
      <c r="G307" s="495"/>
      <c r="H307" s="496">
        <f>H306-SUM(G255*H255,G256*H256)</f>
        <v>1554607.946</v>
      </c>
      <c r="I307" s="496">
        <f>I306-SUM(G268*I268,G269*I269,G270*I270)</f>
        <v>832302.6</v>
      </c>
      <c r="J307" s="497"/>
      <c r="K307" s="494"/>
      <c r="L307" s="494"/>
      <c r="M307" s="494"/>
      <c r="N307" s="494"/>
      <c r="O307" s="494"/>
      <c r="P307" s="498"/>
      <c r="Q307" s="66"/>
    </row>
    <row r="308" spans="1:17" ht="15" x14ac:dyDescent="0.25">
      <c r="A308" s="619"/>
      <c r="B308" s="275"/>
      <c r="C308" s="609" t="s">
        <v>320</v>
      </c>
      <c r="D308" s="609"/>
      <c r="E308" s="269"/>
      <c r="F308" s="267"/>
      <c r="G308" s="267"/>
      <c r="H308" s="269"/>
      <c r="I308" s="269"/>
      <c r="J308" s="270">
        <f>SUM($E$263*$F$263*J263,$E$264*$F$264*J264,$E$265*$F$265*J265,$E$266*$F$266*J266,$E$267*$F$267*J267,$E$276*$F$276*J276,$E$277*$F$277*J277,$E$278*$F$278*J278,$E$279*$F$279*J279,$F$291*J291,$F$292*J292,$F$293*J293,$F$294*J294,$F$295*J295)</f>
        <v>2410.56</v>
      </c>
      <c r="K308" s="270">
        <f>SUM($E$263*$F$263*K263,$E$264*$F$264*K264,$E$265*$F$265*K265,$E$266*$F$266*K266,$E$267*$F$267*K267,$E$276*$F$276*K276,$E$277*$F$277*K277,$E$278*$F$278*K278,$E$279*$F$279*K279,$F$291*K291,$F$292*K292,$F$293*K293,$F$294*K294,$F$295*K295)</f>
        <v>814.56</v>
      </c>
      <c r="L308" s="270"/>
      <c r="M308" s="270"/>
      <c r="N308" s="269"/>
      <c r="O308" s="532">
        <f>SUM($E$263*$F$263*O263,$E$264*$F$264*O264,$E$265*$F$265*O265,$E$266*$F$266*O266,$E$267*$F$267*O267,$E$276*$F$276*O276,$E$277*$F$277*O277,$E$278*$F$278*O278,$E$279*$F$279*O279,$F$291*O291,$F$292*O292,$F$293*O293,$F$294*O294,$F$295*O295)</f>
        <v>208.32000000000002</v>
      </c>
      <c r="P308" s="276">
        <f>SUM(H308:O308)</f>
        <v>3433.44</v>
      </c>
      <c r="Q308" s="66"/>
    </row>
    <row r="309" spans="1:17" ht="15" x14ac:dyDescent="0.25">
      <c r="A309" s="619"/>
      <c r="B309" s="275"/>
      <c r="C309" s="609" t="s">
        <v>504</v>
      </c>
      <c r="D309" s="609"/>
      <c r="E309" s="269"/>
      <c r="F309" s="267"/>
      <c r="G309" s="267"/>
      <c r="H309" s="269"/>
      <c r="I309" s="269"/>
      <c r="J309" s="270">
        <f>J308-($E$265*$F$265*J265)</f>
        <v>2410.56</v>
      </c>
      <c r="K309" s="270">
        <f>K308-($E$265*$F$265*K265)</f>
        <v>814.56</v>
      </c>
      <c r="L309" s="269"/>
      <c r="M309" s="269"/>
      <c r="N309" s="269"/>
      <c r="O309" s="532">
        <f>O308-($E$265*$F$265*O265)</f>
        <v>208.32000000000002</v>
      </c>
      <c r="P309" s="276"/>
      <c r="Q309" s="66"/>
    </row>
    <row r="310" spans="1:17" ht="15" x14ac:dyDescent="0.25">
      <c r="A310" s="619"/>
      <c r="B310" s="277"/>
      <c r="C310" s="515"/>
      <c r="D310" s="262"/>
      <c r="E310" s="262"/>
      <c r="F310" s="260"/>
      <c r="G310" s="260"/>
      <c r="H310" s="262"/>
      <c r="I310" s="262"/>
      <c r="J310" s="262"/>
      <c r="K310" s="262"/>
      <c r="L310" s="262"/>
      <c r="M310" s="262"/>
      <c r="N310" s="262"/>
      <c r="O310" s="262"/>
      <c r="P310" s="278"/>
      <c r="Q310" s="66"/>
    </row>
    <row r="311" spans="1:17" ht="15" x14ac:dyDescent="0.25">
      <c r="A311" s="619"/>
      <c r="B311" s="380"/>
      <c r="C311" s="611" t="s">
        <v>325</v>
      </c>
      <c r="D311" s="611"/>
      <c r="E311" s="253"/>
      <c r="F311" s="264"/>
      <c r="G311" s="253"/>
      <c r="H311" s="265">
        <f>'3.  Distribution Rates'!H33</f>
        <v>2.1299999999999999E-2</v>
      </c>
      <c r="I311" s="265">
        <f>'3.  Distribution Rates'!H34</f>
        <v>1.8800000000000001E-2</v>
      </c>
      <c r="J311" s="265">
        <f>'3.  Distribution Rates'!H35</f>
        <v>4.1654333333333335</v>
      </c>
      <c r="K311" s="265">
        <f>'3.  Distribution Rates'!H36</f>
        <v>1.6992333333333332</v>
      </c>
      <c r="L311" s="265">
        <f>'3.  Distribution Rates'!H37</f>
        <v>25.621433333333332</v>
      </c>
      <c r="M311" s="265">
        <f>'3.  Distribution Rates'!H38</f>
        <v>18.739166666666666</v>
      </c>
      <c r="N311" s="265">
        <f>'3.  Distribution Rates'!H39</f>
        <v>3.2833333333333332E-2</v>
      </c>
      <c r="O311" s="554">
        <f>'3.  Distribution Rates'!H40</f>
        <v>1.8516333333333332</v>
      </c>
      <c r="P311" s="381"/>
      <c r="Q311" s="66"/>
    </row>
    <row r="312" spans="1:17" ht="15" x14ac:dyDescent="0.25">
      <c r="A312" s="619"/>
      <c r="B312" s="380"/>
      <c r="C312" s="611" t="s">
        <v>240</v>
      </c>
      <c r="D312" s="611"/>
      <c r="E312" s="262"/>
      <c r="F312" s="264"/>
      <c r="G312" s="264"/>
      <c r="H312" s="377">
        <f>H76*H311</f>
        <v>27137.895853112826</v>
      </c>
      <c r="I312" s="377">
        <f t="shared" ref="I312:M312" si="30">I76*I311</f>
        <v>5841.121048209121</v>
      </c>
      <c r="J312" s="377">
        <f t="shared" si="30"/>
        <v>25599.482353130228</v>
      </c>
      <c r="K312" s="377">
        <f t="shared" si="30"/>
        <v>0</v>
      </c>
      <c r="L312" s="377">
        <f t="shared" si="30"/>
        <v>0</v>
      </c>
      <c r="M312" s="377">
        <f t="shared" si="30"/>
        <v>0</v>
      </c>
      <c r="N312" s="377">
        <f>N76*N311</f>
        <v>0</v>
      </c>
      <c r="O312" s="555">
        <f t="shared" ref="O312" si="31">O76*O311</f>
        <v>0</v>
      </c>
      <c r="P312" s="279">
        <f>SUM(H312:O312)</f>
        <v>58578.499254452181</v>
      </c>
      <c r="Q312" s="66"/>
    </row>
    <row r="313" spans="1:17" ht="15" x14ac:dyDescent="0.25">
      <c r="A313" s="619"/>
      <c r="B313" s="380"/>
      <c r="C313" s="611" t="s">
        <v>241</v>
      </c>
      <c r="D313" s="611"/>
      <c r="E313" s="262"/>
      <c r="F313" s="264"/>
      <c r="G313" s="264"/>
      <c r="H313" s="377">
        <f>H155*H311</f>
        <v>15544.945245604866</v>
      </c>
      <c r="I313" s="377">
        <f t="shared" ref="I313:N313" si="32">I155*I311</f>
        <v>20674.990655040092</v>
      </c>
      <c r="J313" s="377">
        <f t="shared" si="32"/>
        <v>23976.836916496362</v>
      </c>
      <c r="K313" s="377">
        <f t="shared" si="32"/>
        <v>0</v>
      </c>
      <c r="L313" s="377">
        <f t="shared" si="32"/>
        <v>0</v>
      </c>
      <c r="M313" s="377">
        <f t="shared" si="32"/>
        <v>0</v>
      </c>
      <c r="N313" s="377">
        <f t="shared" si="32"/>
        <v>0</v>
      </c>
      <c r="O313" s="555">
        <f t="shared" ref="O313" si="33">O155*O311</f>
        <v>0</v>
      </c>
      <c r="P313" s="279">
        <f>SUM(H313:O313)</f>
        <v>60196.772817141318</v>
      </c>
      <c r="Q313" s="66"/>
    </row>
    <row r="314" spans="1:17" ht="15" x14ac:dyDescent="0.25">
      <c r="A314" s="619"/>
      <c r="B314" s="380"/>
      <c r="C314" s="611" t="s">
        <v>242</v>
      </c>
      <c r="D314" s="611"/>
      <c r="E314" s="262"/>
      <c r="F314" s="264"/>
      <c r="G314" s="264"/>
      <c r="H314" s="377">
        <f>H235*H311</f>
        <v>18802.440857384838</v>
      </c>
      <c r="I314" s="377">
        <f t="shared" ref="I314:N314" si="34">I235*I311</f>
        <v>10249.854926619484</v>
      </c>
      <c r="J314" s="377">
        <f t="shared" si="34"/>
        <v>12325.047002934978</v>
      </c>
      <c r="K314" s="377">
        <f t="shared" si="34"/>
        <v>1270.6611204197955</v>
      </c>
      <c r="L314" s="377">
        <f t="shared" si="34"/>
        <v>0</v>
      </c>
      <c r="M314" s="377">
        <f t="shared" si="34"/>
        <v>0</v>
      </c>
      <c r="N314" s="377">
        <f t="shared" si="34"/>
        <v>0</v>
      </c>
      <c r="O314" s="555">
        <f t="shared" ref="O314" si="35">O235*O311</f>
        <v>449.00731650433727</v>
      </c>
      <c r="P314" s="279">
        <f t="shared" ref="P314" si="36">SUM(H314:O314)</f>
        <v>43097.011223863439</v>
      </c>
      <c r="Q314" s="66"/>
    </row>
    <row r="315" spans="1:17" ht="15" x14ac:dyDescent="0.25">
      <c r="A315" s="619"/>
      <c r="B315" s="380"/>
      <c r="C315" s="611" t="s">
        <v>243</v>
      </c>
      <c r="D315" s="611"/>
      <c r="E315" s="262"/>
      <c r="F315" s="264"/>
      <c r="G315" s="264"/>
      <c r="H315" s="377">
        <f>H306*H311</f>
        <v>33113.149249800001</v>
      </c>
      <c r="I315" s="377">
        <f>I306*I311</f>
        <v>15647.28888</v>
      </c>
      <c r="J315" s="377">
        <f>J308*J311</f>
        <v>10041.026976000001</v>
      </c>
      <c r="K315" s="377">
        <f>K308*K311</f>
        <v>1384.1275039999998</v>
      </c>
      <c r="L315" s="377">
        <f>L308*L311</f>
        <v>0</v>
      </c>
      <c r="M315" s="377">
        <f>M308*M311</f>
        <v>0</v>
      </c>
      <c r="N315" s="377">
        <f>N306*N311</f>
        <v>0</v>
      </c>
      <c r="O315" s="555">
        <f>O308*O311</f>
        <v>385.73225600000001</v>
      </c>
      <c r="P315" s="279">
        <f>SUM(H315:O315)</f>
        <v>60571.324865800001</v>
      </c>
      <c r="Q315" s="66"/>
    </row>
    <row r="316" spans="1:17" ht="15" x14ac:dyDescent="0.25">
      <c r="A316" s="619"/>
      <c r="B316" s="277"/>
      <c r="C316" s="378" t="s">
        <v>207</v>
      </c>
      <c r="D316" s="262"/>
      <c r="E316" s="262"/>
      <c r="F316" s="260"/>
      <c r="G316" s="260"/>
      <c r="H316" s="266">
        <f>SUM(H312:H315)</f>
        <v>94598.431205902525</v>
      </c>
      <c r="I316" s="266">
        <f>SUM(I312:I315)</f>
        <v>52413.255509868693</v>
      </c>
      <c r="J316" s="266">
        <f>SUM(J312:J315)</f>
        <v>71942.393248561566</v>
      </c>
      <c r="K316" s="266">
        <f>SUM(K312:K315)</f>
        <v>2654.7886244197953</v>
      </c>
      <c r="L316" s="266">
        <f t="shared" ref="L316:N316" si="37">SUM(L312:L315)</f>
        <v>0</v>
      </c>
      <c r="M316" s="266">
        <f t="shared" si="37"/>
        <v>0</v>
      </c>
      <c r="N316" s="266">
        <f t="shared" si="37"/>
        <v>0</v>
      </c>
      <c r="O316" s="556">
        <f>SUM(O312:O315)</f>
        <v>834.73957250433727</v>
      </c>
      <c r="P316" s="280">
        <f>SUM(P312:P315)</f>
        <v>222443.60816125694</v>
      </c>
      <c r="Q316" s="66"/>
    </row>
    <row r="317" spans="1:17" x14ac:dyDescent="0.25">
      <c r="B317" s="406"/>
      <c r="C317" s="611" t="s">
        <v>440</v>
      </c>
      <c r="D317" s="611"/>
      <c r="E317" s="54"/>
      <c r="F317" s="44"/>
      <c r="G317" s="44"/>
      <c r="H317" s="253">
        <f>$H$307*'6.  Persistence Rates'!$H$28</f>
        <v>1551301.3865051745</v>
      </c>
      <c r="I317" s="253">
        <f>I307*'6.  Persistence Rates'!$H$28</f>
        <v>830532.3414137892</v>
      </c>
      <c r="J317" s="253">
        <f>$J$309*'6.  Persistence Rates'!$T$28</f>
        <v>2399.6013036568502</v>
      </c>
      <c r="K317" s="253">
        <f>$K$309*'6.  Persistence Rates'!$T$28</f>
        <v>810.85691204812326</v>
      </c>
      <c r="L317" s="253">
        <f>$L$308*'6.  Persistence Rates'!$T$28</f>
        <v>0</v>
      </c>
      <c r="M317" s="253">
        <f>$M$308*'6.  Persistence Rates'!$T$28</f>
        <v>0</v>
      </c>
      <c r="N317" s="253">
        <f>$N$306*'6.  Persistence Rates'!$H$28</f>
        <v>0</v>
      </c>
      <c r="O317" s="533">
        <f>$O$309*'6.  Persistence Rates'!$T$28</f>
        <v>207.37295216787598</v>
      </c>
      <c r="P317" s="407"/>
    </row>
    <row r="318" spans="1:17" x14ac:dyDescent="0.25">
      <c r="B318" s="406"/>
      <c r="C318" s="611" t="s">
        <v>441</v>
      </c>
      <c r="D318" s="611"/>
      <c r="E318" s="54"/>
      <c r="F318" s="44"/>
      <c r="G318" s="44"/>
      <c r="H318" s="253">
        <f>$H$307*'6.  Persistence Rates'!$I$28</f>
        <v>0</v>
      </c>
      <c r="I318" s="253">
        <f>$I$307*'6.  Persistence Rates'!$I$28</f>
        <v>0</v>
      </c>
      <c r="J318" s="253">
        <f>$J$309*'6.  Persistence Rates'!$U$28</f>
        <v>0</v>
      </c>
      <c r="K318" s="253">
        <f>$K$309*'6.  Persistence Rates'!$U$28</f>
        <v>0</v>
      </c>
      <c r="L318" s="253">
        <f>$L$308*'6.  Persistence Rates'!$U$28</f>
        <v>0</v>
      </c>
      <c r="M318" s="253">
        <f>$M$308*'6.  Persistence Rates'!$U$28</f>
        <v>0</v>
      </c>
      <c r="N318" s="253">
        <f>$N$306*'6.  Persistence Rates'!$I$28</f>
        <v>0</v>
      </c>
      <c r="O318" s="44"/>
      <c r="P318" s="407"/>
    </row>
    <row r="319" spans="1:17" x14ac:dyDescent="0.25">
      <c r="B319" s="406"/>
      <c r="C319" s="611" t="s">
        <v>442</v>
      </c>
      <c r="D319" s="611"/>
      <c r="E319" s="54"/>
      <c r="F319" s="44"/>
      <c r="G319" s="44"/>
      <c r="H319" s="253">
        <f>$H$307*'6.  Persistence Rates'!$J$28</f>
        <v>0</v>
      </c>
      <c r="I319" s="253">
        <f>$I$307*'6.  Persistence Rates'!$J$28</f>
        <v>0</v>
      </c>
      <c r="J319" s="253">
        <f>$J$309*'6.  Persistence Rates'!$V$28</f>
        <v>0</v>
      </c>
      <c r="K319" s="253">
        <f>$K$309*'6.  Persistence Rates'!$V$28</f>
        <v>0</v>
      </c>
      <c r="L319" s="253">
        <f>$L$308*'6.  Persistence Rates'!$V$28</f>
        <v>0</v>
      </c>
      <c r="M319" s="253">
        <f>$M$308*'6.  Persistence Rates'!$V$28</f>
        <v>0</v>
      </c>
      <c r="N319" s="253">
        <f>$N$306*'6.  Persistence Rates'!$J$28</f>
        <v>0</v>
      </c>
      <c r="O319" s="44"/>
      <c r="P319" s="407"/>
    </row>
    <row r="320" spans="1:17" x14ac:dyDescent="0.25">
      <c r="B320" s="406"/>
      <c r="C320" s="611" t="s">
        <v>443</v>
      </c>
      <c r="D320" s="611"/>
      <c r="E320" s="54"/>
      <c r="F320" s="44"/>
      <c r="G320" s="44"/>
      <c r="H320" s="253">
        <f>$H$307*'6.  Persistence Rates'!$K$28</f>
        <v>0</v>
      </c>
      <c r="I320" s="253">
        <f>$I$307*'6.  Persistence Rates'!$K$28</f>
        <v>0</v>
      </c>
      <c r="J320" s="253">
        <f>$J$309*'6.  Persistence Rates'!$W$28</f>
        <v>0</v>
      </c>
      <c r="K320" s="253">
        <f>$K$309*'6.  Persistence Rates'!$W$28</f>
        <v>0</v>
      </c>
      <c r="L320" s="253">
        <f>$L$308*'6.  Persistence Rates'!$W$28</f>
        <v>0</v>
      </c>
      <c r="M320" s="253">
        <f>$M$308*'6.  Persistence Rates'!$W$28</f>
        <v>0</v>
      </c>
      <c r="N320" s="253">
        <f>$N$306*'6.  Persistence Rates'!$K$28</f>
        <v>0</v>
      </c>
      <c r="O320" s="44"/>
      <c r="P320" s="407"/>
    </row>
    <row r="321" spans="2:16" x14ac:dyDescent="0.25">
      <c r="B321" s="406"/>
      <c r="C321" s="611" t="s">
        <v>444</v>
      </c>
      <c r="D321" s="611"/>
      <c r="E321" s="54"/>
      <c r="F321" s="44"/>
      <c r="G321" s="44"/>
      <c r="H321" s="253">
        <f>$H$307*'6.  Persistence Rates'!$L$28</f>
        <v>0</v>
      </c>
      <c r="I321" s="253">
        <f>$I$307*'6.  Persistence Rates'!$L$28</f>
        <v>0</v>
      </c>
      <c r="J321" s="253">
        <f>$J$309*'6.  Persistence Rates'!$X$28</f>
        <v>0</v>
      </c>
      <c r="K321" s="253">
        <f>$K$309*'6.  Persistence Rates'!$X$28</f>
        <v>0</v>
      </c>
      <c r="L321" s="253">
        <f>$L$308*'6.  Persistence Rates'!$X$28</f>
        <v>0</v>
      </c>
      <c r="M321" s="253">
        <f>$M$308*'6.  Persistence Rates'!$X$28</f>
        <v>0</v>
      </c>
      <c r="N321" s="253">
        <f>$N$306*'6.  Persistence Rates'!$L$28</f>
        <v>0</v>
      </c>
      <c r="O321" s="44"/>
      <c r="P321" s="407"/>
    </row>
    <row r="322" spans="2:16" x14ac:dyDescent="0.25">
      <c r="B322" s="408"/>
      <c r="C322" s="623" t="s">
        <v>445</v>
      </c>
      <c r="D322" s="623"/>
      <c r="E322" s="409"/>
      <c r="F322" s="111"/>
      <c r="G322" s="111"/>
      <c r="H322" s="524">
        <f>$H$307*'6.  Persistence Rates'!$M$28</f>
        <v>0</v>
      </c>
      <c r="I322" s="524">
        <f>$I$307*'6.  Persistence Rates'!$M$28</f>
        <v>0</v>
      </c>
      <c r="J322" s="524">
        <f>$J$309*'6.  Persistence Rates'!$Y$28</f>
        <v>0</v>
      </c>
      <c r="K322" s="524">
        <f>$K$309*'6.  Persistence Rates'!$Y$28</f>
        <v>0</v>
      </c>
      <c r="L322" s="524">
        <f>$L$308*'6.  Persistence Rates'!$Y$28</f>
        <v>0</v>
      </c>
      <c r="M322" s="524">
        <f>$M$308*'6.  Persistence Rates'!$Y$28</f>
        <v>0</v>
      </c>
      <c r="N322" s="524">
        <f>$N$306*'6.  Persistence Rates'!$M$28</f>
        <v>0</v>
      </c>
      <c r="O322" s="111"/>
      <c r="P322" s="410"/>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topLeftCell="A7" zoomScale="90" zoomScaleNormal="90" workbookViewId="0">
      <pane ySplit="10" topLeftCell="A17" activePane="bottomLeft" state="frozen"/>
      <selection activeCell="A7" sqref="A7"/>
      <selection pane="bottomLeft" activeCell="B11" sqref="B11"/>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5">
      <c r="A1" s="624"/>
      <c r="B1" s="624"/>
      <c r="C1" s="624"/>
      <c r="D1" s="624"/>
      <c r="E1" s="624"/>
      <c r="F1" s="624"/>
      <c r="G1" s="624"/>
      <c r="H1" s="624"/>
      <c r="I1" s="624"/>
      <c r="J1" s="624"/>
      <c r="K1" s="624"/>
      <c r="L1" s="624"/>
      <c r="M1" s="624"/>
      <c r="N1" s="624"/>
      <c r="O1" s="624"/>
    </row>
    <row r="2" spans="1:18" ht="20.45" x14ac:dyDescent="0.35">
      <c r="B2" s="638" t="s">
        <v>266</v>
      </c>
      <c r="C2" s="638"/>
      <c r="D2" s="638"/>
      <c r="E2" s="638"/>
      <c r="F2" s="638"/>
      <c r="G2" s="638"/>
      <c r="H2" s="638"/>
      <c r="I2" s="638"/>
      <c r="J2" s="638"/>
      <c r="K2" s="638"/>
      <c r="L2" s="638"/>
      <c r="M2" s="638"/>
      <c r="N2" s="638"/>
      <c r="O2" s="638"/>
      <c r="P2" s="638"/>
    </row>
    <row r="3" spans="1:18" ht="13.5" customHeight="1" outlineLevel="1" x14ac:dyDescent="0.35">
      <c r="B3" s="35"/>
      <c r="C3" s="176"/>
      <c r="D3" s="46"/>
      <c r="E3" s="35"/>
      <c r="F3" s="35"/>
      <c r="G3" s="35"/>
      <c r="H3" s="35"/>
      <c r="I3" s="35"/>
      <c r="J3" s="35"/>
      <c r="K3" s="35"/>
      <c r="L3" s="35"/>
      <c r="M3" s="35"/>
      <c r="N3" s="35"/>
      <c r="O3" s="35"/>
      <c r="P3" s="35"/>
    </row>
    <row r="4" spans="1:18" ht="24.75" customHeight="1" outlineLevel="1" x14ac:dyDescent="0.35">
      <c r="A4" s="65"/>
      <c r="B4" s="63"/>
      <c r="C4" s="368" t="s">
        <v>403</v>
      </c>
      <c r="D4" s="390"/>
      <c r="E4" s="630" t="s">
        <v>500</v>
      </c>
      <c r="F4" s="630"/>
      <c r="G4" s="630"/>
      <c r="H4" s="630"/>
      <c r="I4" s="630"/>
      <c r="J4" s="630"/>
      <c r="K4" s="630"/>
      <c r="L4" s="630"/>
      <c r="M4" s="630"/>
      <c r="N4" s="630"/>
      <c r="O4" s="630"/>
      <c r="P4" s="630"/>
    </row>
    <row r="5" spans="1:18" ht="36" customHeight="1" outlineLevel="1" x14ac:dyDescent="0.35">
      <c r="A5" s="65"/>
      <c r="B5" s="468"/>
      <c r="C5" s="368"/>
      <c r="D5" s="390"/>
      <c r="E5" s="630" t="s">
        <v>501</v>
      </c>
      <c r="F5" s="630"/>
      <c r="G5" s="630"/>
      <c r="H5" s="630"/>
      <c r="I5" s="630"/>
      <c r="J5" s="630"/>
      <c r="K5" s="630"/>
      <c r="L5" s="630"/>
      <c r="M5" s="630"/>
      <c r="N5" s="630"/>
      <c r="O5" s="630"/>
      <c r="P5" s="630"/>
    </row>
    <row r="6" spans="1:18" ht="18" outlineLevel="1" x14ac:dyDescent="0.35">
      <c r="B6" s="63"/>
      <c r="C6" s="391"/>
      <c r="D6" s="390"/>
      <c r="E6" s="645" t="s">
        <v>360</v>
      </c>
      <c r="F6" s="645"/>
      <c r="G6" s="645"/>
      <c r="H6" s="645"/>
      <c r="I6" s="645"/>
      <c r="J6" s="645"/>
      <c r="K6" s="645"/>
      <c r="L6" s="645"/>
      <c r="M6" s="645"/>
      <c r="N6" s="645"/>
      <c r="O6" s="645"/>
      <c r="P6" s="645"/>
    </row>
    <row r="7" spans="1:18" ht="18" outlineLevel="1" x14ac:dyDescent="0.35">
      <c r="B7" s="240"/>
      <c r="C7" s="391"/>
      <c r="D7" s="390"/>
      <c r="E7" s="645" t="s">
        <v>361</v>
      </c>
      <c r="F7" s="645"/>
      <c r="G7" s="645"/>
      <c r="H7" s="645"/>
      <c r="I7" s="645"/>
      <c r="J7" s="645"/>
      <c r="K7" s="645"/>
      <c r="L7" s="645"/>
      <c r="M7" s="645"/>
      <c r="N7" s="645"/>
      <c r="O7" s="645"/>
      <c r="P7" s="645"/>
    </row>
    <row r="8" spans="1:18" ht="18" outlineLevel="1" x14ac:dyDescent="0.35">
      <c r="B8" s="63"/>
      <c r="C8" s="391"/>
      <c r="D8" s="390"/>
      <c r="E8" s="645" t="s">
        <v>490</v>
      </c>
      <c r="F8" s="645"/>
      <c r="G8" s="645"/>
      <c r="H8" s="645"/>
      <c r="I8" s="645"/>
      <c r="J8" s="645"/>
      <c r="K8" s="645"/>
      <c r="L8" s="645"/>
      <c r="M8" s="645"/>
      <c r="N8" s="645"/>
      <c r="O8" s="645"/>
      <c r="P8" s="645"/>
      <c r="R8" s="82"/>
    </row>
    <row r="9" spans="1:18" ht="14.25" customHeight="1" outlineLevel="1" x14ac:dyDescent="0.35">
      <c r="B9" s="240"/>
      <c r="C9" s="391"/>
      <c r="D9" s="390"/>
      <c r="E9" s="47"/>
      <c r="F9" s="390"/>
      <c r="G9" s="390"/>
      <c r="H9" s="390"/>
      <c r="I9" s="390"/>
      <c r="J9" s="390"/>
      <c r="K9" s="390"/>
      <c r="L9" s="390"/>
      <c r="M9" s="390"/>
      <c r="N9" s="390"/>
      <c r="O9" s="390"/>
      <c r="P9" s="390"/>
      <c r="R9" s="82"/>
    </row>
    <row r="10" spans="1:18" ht="9" customHeight="1" outlineLevel="1" x14ac:dyDescent="0.35">
      <c r="B10" s="63"/>
      <c r="C10" s="176"/>
      <c r="D10" s="63"/>
      <c r="E10" s="169"/>
      <c r="F10" s="63"/>
      <c r="G10" s="63"/>
      <c r="H10" s="63"/>
      <c r="I10" s="63"/>
      <c r="J10" s="63"/>
      <c r="K10" s="63"/>
      <c r="L10" s="63"/>
      <c r="M10" s="63"/>
      <c r="N10" s="63"/>
      <c r="O10" s="63"/>
      <c r="P10" s="63"/>
      <c r="R10" s="82"/>
    </row>
    <row r="11" spans="1:18" ht="15.75" customHeight="1" outlineLevel="1" x14ac:dyDescent="0.35">
      <c r="B11" s="63"/>
      <c r="C11" s="84" t="s">
        <v>339</v>
      </c>
      <c r="D11" s="63"/>
      <c r="E11" s="639" t="s">
        <v>367</v>
      </c>
      <c r="F11" s="639"/>
      <c r="G11" s="63"/>
      <c r="H11" s="63"/>
      <c r="I11" s="63"/>
      <c r="J11" s="63"/>
      <c r="K11" s="63"/>
      <c r="L11" s="63"/>
      <c r="M11" s="63"/>
      <c r="N11" s="63"/>
      <c r="O11" s="63"/>
      <c r="P11" s="63"/>
      <c r="R11" s="82"/>
    </row>
    <row r="12" spans="1:18" ht="14.25" customHeight="1" outlineLevel="1" x14ac:dyDescent="0.35">
      <c r="B12" s="63"/>
      <c r="C12" s="63"/>
      <c r="D12" s="63"/>
      <c r="E12" s="574" t="s">
        <v>340</v>
      </c>
      <c r="F12" s="574"/>
      <c r="G12" s="63"/>
      <c r="H12" s="63"/>
      <c r="I12" s="63"/>
      <c r="J12" s="63"/>
      <c r="K12" s="63"/>
      <c r="L12" s="63"/>
      <c r="M12" s="63"/>
      <c r="N12" s="63"/>
      <c r="O12" s="63"/>
      <c r="P12" s="63"/>
    </row>
    <row r="13" spans="1:18" ht="12" customHeight="1" outlineLevel="1" x14ac:dyDescent="0.35">
      <c r="B13" s="63"/>
      <c r="C13" s="63"/>
      <c r="D13" s="63"/>
      <c r="E13" s="137"/>
      <c r="G13" s="63"/>
      <c r="H13" s="63"/>
      <c r="I13" s="63"/>
      <c r="J13" s="63"/>
      <c r="K13" s="63"/>
      <c r="L13" s="63"/>
      <c r="M13" s="63"/>
      <c r="N13" s="63"/>
      <c r="O13" s="63"/>
      <c r="P13" s="63"/>
    </row>
    <row r="14" spans="1:18" ht="18" customHeight="1" x14ac:dyDescent="0.3">
      <c r="A14" s="33"/>
      <c r="B14" s="190" t="s">
        <v>478</v>
      </c>
      <c r="C14" s="49"/>
      <c r="D14" s="51"/>
      <c r="E14" s="51"/>
    </row>
    <row r="15" spans="1:18" ht="45" x14ac:dyDescent="0.25">
      <c r="B15" s="634" t="s">
        <v>58</v>
      </c>
      <c r="C15" s="625" t="s">
        <v>0</v>
      </c>
      <c r="D15" s="625" t="s">
        <v>44</v>
      </c>
      <c r="E15" s="625" t="s">
        <v>206</v>
      </c>
      <c r="F15" s="426" t="s">
        <v>203</v>
      </c>
      <c r="G15" s="426" t="s">
        <v>45</v>
      </c>
      <c r="H15" s="636" t="s">
        <v>59</v>
      </c>
      <c r="I15" s="636"/>
      <c r="J15" s="636"/>
      <c r="K15" s="636"/>
      <c r="L15" s="636"/>
      <c r="M15" s="636"/>
      <c r="N15" s="636"/>
      <c r="O15" s="636"/>
      <c r="P15" s="637"/>
    </row>
    <row r="16" spans="1:18" ht="60" x14ac:dyDescent="0.25">
      <c r="B16" s="635"/>
      <c r="C16" s="626"/>
      <c r="D16" s="626"/>
      <c r="E16" s="626"/>
      <c r="F16" s="177" t="s">
        <v>215</v>
      </c>
      <c r="G16" s="177" t="s">
        <v>216</v>
      </c>
      <c r="H16" s="139" t="s">
        <v>37</v>
      </c>
      <c r="I16" s="139" t="s">
        <v>39</v>
      </c>
      <c r="J16" s="139" t="s">
        <v>108</v>
      </c>
      <c r="K16" s="139" t="s">
        <v>109</v>
      </c>
      <c r="L16" s="139" t="s">
        <v>40</v>
      </c>
      <c r="M16" s="139" t="s">
        <v>41</v>
      </c>
      <c r="N16" s="139" t="s">
        <v>42</v>
      </c>
      <c r="O16" s="138" t="s">
        <v>514</v>
      </c>
      <c r="P16" s="427" t="s">
        <v>34</v>
      </c>
    </row>
    <row r="17" spans="1:16" ht="22.5" customHeight="1" x14ac:dyDescent="0.3">
      <c r="B17" s="631" t="s">
        <v>142</v>
      </c>
      <c r="C17" s="632"/>
      <c r="D17" s="632"/>
      <c r="E17" s="632"/>
      <c r="F17" s="632"/>
      <c r="G17" s="632"/>
      <c r="H17" s="632"/>
      <c r="I17" s="632"/>
      <c r="J17" s="632"/>
      <c r="K17" s="632"/>
      <c r="L17" s="632"/>
      <c r="M17" s="632"/>
      <c r="N17" s="632"/>
      <c r="O17" s="632"/>
      <c r="P17" s="633"/>
    </row>
    <row r="18" spans="1:16" ht="26.25" customHeight="1" x14ac:dyDescent="0.3">
      <c r="A18" s="34"/>
      <c r="B18" s="640" t="s">
        <v>143</v>
      </c>
      <c r="C18" s="641"/>
      <c r="D18" s="641"/>
      <c r="E18" s="641"/>
      <c r="F18" s="641"/>
      <c r="G18" s="641"/>
      <c r="H18" s="641"/>
      <c r="I18" s="641"/>
      <c r="J18" s="641"/>
      <c r="K18" s="641"/>
      <c r="L18" s="641"/>
      <c r="M18" s="641"/>
      <c r="N18" s="641"/>
      <c r="O18" s="641"/>
      <c r="P18" s="642"/>
    </row>
    <row r="19" spans="1:16" ht="15" customHeight="1" x14ac:dyDescent="0.3">
      <c r="A19" s="34"/>
      <c r="B19" s="428">
        <v>1</v>
      </c>
      <c r="C19" s="413" t="s">
        <v>144</v>
      </c>
      <c r="D19" s="253" t="s">
        <v>33</v>
      </c>
      <c r="E19" s="414"/>
      <c r="F19" s="296">
        <v>322695</v>
      </c>
      <c r="G19" s="296"/>
      <c r="H19" s="425">
        <v>1</v>
      </c>
      <c r="I19" s="415"/>
      <c r="J19" s="415"/>
      <c r="K19" s="415"/>
      <c r="L19" s="415"/>
      <c r="M19" s="415"/>
      <c r="N19" s="415"/>
      <c r="O19" s="415"/>
      <c r="P19" s="429">
        <f>SUM(H19:O19)</f>
        <v>1</v>
      </c>
    </row>
    <row r="20" spans="1:16" ht="14.45" x14ac:dyDescent="0.3">
      <c r="A20" s="8"/>
      <c r="B20" s="428">
        <v>2</v>
      </c>
      <c r="C20" s="413" t="s">
        <v>145</v>
      </c>
      <c r="D20" s="253" t="s">
        <v>33</v>
      </c>
      <c r="E20" s="416"/>
      <c r="F20" s="296">
        <v>596157</v>
      </c>
      <c r="G20" s="296"/>
      <c r="H20" s="425">
        <v>1</v>
      </c>
      <c r="I20" s="415"/>
      <c r="J20" s="415"/>
      <c r="K20" s="415"/>
      <c r="L20" s="415"/>
      <c r="M20" s="415"/>
      <c r="N20" s="415"/>
      <c r="O20" s="415"/>
      <c r="P20" s="429">
        <f t="shared" ref="P20:P81" si="0">SUM(H20:O20)</f>
        <v>1</v>
      </c>
    </row>
    <row r="21" spans="1:16" ht="14.45" x14ac:dyDescent="0.3">
      <c r="A21" s="34"/>
      <c r="B21" s="428">
        <v>3</v>
      </c>
      <c r="C21" s="413" t="s">
        <v>146</v>
      </c>
      <c r="D21" s="253" t="s">
        <v>33</v>
      </c>
      <c r="E21" s="416"/>
      <c r="F21" s="296">
        <v>62028</v>
      </c>
      <c r="G21" s="296"/>
      <c r="H21" s="425">
        <v>1</v>
      </c>
      <c r="I21" s="415"/>
      <c r="J21" s="415"/>
      <c r="K21" s="415"/>
      <c r="L21" s="415"/>
      <c r="M21" s="415"/>
      <c r="N21" s="415"/>
      <c r="O21" s="415"/>
      <c r="P21" s="429">
        <f t="shared" si="0"/>
        <v>1</v>
      </c>
    </row>
    <row r="22" spans="1:16" ht="14.45" x14ac:dyDescent="0.3">
      <c r="A22" s="34"/>
      <c r="B22" s="428">
        <v>4</v>
      </c>
      <c r="C22" s="413" t="s">
        <v>147</v>
      </c>
      <c r="D22" s="253" t="s">
        <v>33</v>
      </c>
      <c r="E22" s="416"/>
      <c r="F22" s="296">
        <v>0</v>
      </c>
      <c r="G22" s="296"/>
      <c r="H22" s="425">
        <v>0</v>
      </c>
      <c r="I22" s="415"/>
      <c r="J22" s="415"/>
      <c r="K22" s="415"/>
      <c r="L22" s="415"/>
      <c r="M22" s="415"/>
      <c r="N22" s="415"/>
      <c r="O22" s="415"/>
      <c r="P22" s="429">
        <f t="shared" si="0"/>
        <v>0</v>
      </c>
    </row>
    <row r="23" spans="1:16" ht="14.45" x14ac:dyDescent="0.3">
      <c r="A23" s="34"/>
      <c r="B23" s="428">
        <v>5</v>
      </c>
      <c r="C23" s="413" t="s">
        <v>148</v>
      </c>
      <c r="D23" s="253" t="s">
        <v>33</v>
      </c>
      <c r="E23" s="416"/>
      <c r="F23" s="296">
        <v>387380</v>
      </c>
      <c r="G23" s="296"/>
      <c r="H23" s="425">
        <v>1</v>
      </c>
      <c r="I23" s="415"/>
      <c r="J23" s="415"/>
      <c r="K23" s="415"/>
      <c r="L23" s="415"/>
      <c r="M23" s="415"/>
      <c r="N23" s="415"/>
      <c r="O23" s="415"/>
      <c r="P23" s="429">
        <f t="shared" si="0"/>
        <v>1</v>
      </c>
    </row>
    <row r="24" spans="1:16" ht="27.6" x14ac:dyDescent="0.3">
      <c r="A24" s="34"/>
      <c r="B24" s="428">
        <v>6</v>
      </c>
      <c r="C24" s="413" t="s">
        <v>149</v>
      </c>
      <c r="D24" s="253" t="s">
        <v>33</v>
      </c>
      <c r="E24" s="416"/>
      <c r="F24" s="296"/>
      <c r="G24" s="296"/>
      <c r="H24" s="425">
        <v>0</v>
      </c>
      <c r="I24" s="415"/>
      <c r="J24" s="415"/>
      <c r="K24" s="415"/>
      <c r="L24" s="415"/>
      <c r="M24" s="415"/>
      <c r="N24" s="415"/>
      <c r="O24" s="415"/>
      <c r="P24" s="429">
        <f t="shared" si="0"/>
        <v>0</v>
      </c>
    </row>
    <row r="25" spans="1:16" ht="14.45" x14ac:dyDescent="0.3">
      <c r="A25" s="34"/>
      <c r="B25" s="430" t="s">
        <v>260</v>
      </c>
      <c r="C25" s="500"/>
      <c r="D25" s="253" t="s">
        <v>255</v>
      </c>
      <c r="E25" s="416"/>
      <c r="F25" s="296"/>
      <c r="G25" s="296"/>
      <c r="H25" s="425"/>
      <c r="I25" s="415"/>
      <c r="J25" s="415"/>
      <c r="K25" s="415"/>
      <c r="L25" s="415"/>
      <c r="M25" s="415"/>
      <c r="N25" s="415"/>
      <c r="O25" s="415"/>
      <c r="P25" s="429"/>
    </row>
    <row r="26" spans="1:16" ht="14.45" x14ac:dyDescent="0.3">
      <c r="A26" s="34"/>
      <c r="B26" s="428"/>
      <c r="C26" s="609"/>
      <c r="D26" s="609"/>
      <c r="E26" s="268"/>
      <c r="F26" s="296"/>
      <c r="G26" s="296"/>
      <c r="H26" s="425"/>
      <c r="I26" s="415"/>
      <c r="J26" s="415"/>
      <c r="K26" s="415"/>
      <c r="L26" s="415"/>
      <c r="M26" s="415"/>
      <c r="N26" s="415"/>
      <c r="O26" s="415"/>
      <c r="P26" s="429"/>
    </row>
    <row r="27" spans="1:16" ht="14.45" x14ac:dyDescent="0.3">
      <c r="A27" s="34"/>
      <c r="B27" s="428"/>
      <c r="C27" s="609"/>
      <c r="D27" s="609"/>
      <c r="E27" s="268"/>
      <c r="F27" s="296"/>
      <c r="G27" s="296"/>
      <c r="H27" s="425"/>
      <c r="I27" s="415"/>
      <c r="J27" s="415"/>
      <c r="K27" s="415"/>
      <c r="L27" s="415"/>
      <c r="M27" s="415"/>
      <c r="N27" s="415"/>
      <c r="O27" s="415"/>
      <c r="P27" s="429"/>
    </row>
    <row r="28" spans="1:16" ht="14.45" x14ac:dyDescent="0.3">
      <c r="A28" s="34"/>
      <c r="B28" s="428"/>
      <c r="C28" s="609"/>
      <c r="D28" s="609"/>
      <c r="E28" s="268"/>
      <c r="F28" s="296"/>
      <c r="G28" s="296"/>
      <c r="H28" s="425"/>
      <c r="I28" s="415"/>
      <c r="J28" s="415"/>
      <c r="K28" s="415"/>
      <c r="L28" s="415"/>
      <c r="M28" s="415"/>
      <c r="N28" s="415"/>
      <c r="O28" s="415"/>
      <c r="P28" s="429"/>
    </row>
    <row r="29" spans="1:16" ht="25.5" customHeight="1" x14ac:dyDescent="0.3">
      <c r="A29" s="34"/>
      <c r="B29" s="640" t="s">
        <v>150</v>
      </c>
      <c r="C29" s="641"/>
      <c r="D29" s="641"/>
      <c r="E29" s="641"/>
      <c r="F29" s="641"/>
      <c r="G29" s="641"/>
      <c r="H29" s="641"/>
      <c r="I29" s="641"/>
      <c r="J29" s="641"/>
      <c r="K29" s="641"/>
      <c r="L29" s="641"/>
      <c r="M29" s="641"/>
      <c r="N29" s="641"/>
      <c r="O29" s="641"/>
      <c r="P29" s="642"/>
    </row>
    <row r="30" spans="1:16" ht="14.45" x14ac:dyDescent="0.3">
      <c r="A30" s="34"/>
      <c r="B30" s="428">
        <v>7</v>
      </c>
      <c r="C30" s="413" t="s">
        <v>151</v>
      </c>
      <c r="D30" s="253" t="s">
        <v>33</v>
      </c>
      <c r="E30" s="416">
        <v>12</v>
      </c>
      <c r="F30" s="296"/>
      <c r="G30" s="296"/>
      <c r="H30" s="415"/>
      <c r="I30" s="425">
        <v>0</v>
      </c>
      <c r="J30" s="425">
        <v>0</v>
      </c>
      <c r="K30" s="425">
        <v>0</v>
      </c>
      <c r="L30" s="415"/>
      <c r="M30" s="415"/>
      <c r="N30" s="415"/>
      <c r="O30" s="415"/>
      <c r="P30" s="429">
        <f t="shared" si="0"/>
        <v>0</v>
      </c>
    </row>
    <row r="31" spans="1:16" ht="27.6" x14ac:dyDescent="0.3">
      <c r="A31" s="34"/>
      <c r="B31" s="428">
        <v>8</v>
      </c>
      <c r="C31" s="413" t="s">
        <v>152</v>
      </c>
      <c r="D31" s="253" t="s">
        <v>33</v>
      </c>
      <c r="E31" s="416">
        <v>12</v>
      </c>
      <c r="F31" s="296">
        <v>5333302</v>
      </c>
      <c r="G31" s="296">
        <v>308</v>
      </c>
      <c r="H31" s="415"/>
      <c r="I31" s="425">
        <v>0.13</v>
      </c>
      <c r="J31" s="425">
        <v>0.83</v>
      </c>
      <c r="K31" s="425">
        <v>0.04</v>
      </c>
      <c r="L31" s="415"/>
      <c r="M31" s="415"/>
      <c r="N31" s="415"/>
      <c r="O31" s="425">
        <v>0</v>
      </c>
      <c r="P31" s="429">
        <f t="shared" si="0"/>
        <v>1</v>
      </c>
    </row>
    <row r="32" spans="1:16" ht="27.6" x14ac:dyDescent="0.3">
      <c r="A32" s="34"/>
      <c r="B32" s="428">
        <v>9</v>
      </c>
      <c r="C32" s="413" t="s">
        <v>153</v>
      </c>
      <c r="D32" s="253" t="s">
        <v>33</v>
      </c>
      <c r="E32" s="416">
        <v>12</v>
      </c>
      <c r="F32" s="296">
        <v>278584</v>
      </c>
      <c r="G32" s="296">
        <v>66</v>
      </c>
      <c r="H32" s="415"/>
      <c r="I32" s="425">
        <v>1</v>
      </c>
      <c r="J32" s="425">
        <v>0</v>
      </c>
      <c r="K32" s="425">
        <v>0</v>
      </c>
      <c r="L32" s="415"/>
      <c r="M32" s="415"/>
      <c r="N32" s="415"/>
      <c r="O32" s="415"/>
      <c r="P32" s="429">
        <f t="shared" si="0"/>
        <v>1</v>
      </c>
    </row>
    <row r="33" spans="1:16" ht="27.6" x14ac:dyDescent="0.3">
      <c r="A33" s="34"/>
      <c r="B33" s="428">
        <v>10</v>
      </c>
      <c r="C33" s="413" t="s">
        <v>154</v>
      </c>
      <c r="D33" s="253" t="s">
        <v>33</v>
      </c>
      <c r="E33" s="416">
        <v>12</v>
      </c>
      <c r="F33" s="296"/>
      <c r="G33" s="296"/>
      <c r="H33" s="415"/>
      <c r="I33" s="425">
        <v>0</v>
      </c>
      <c r="J33" s="425">
        <v>0</v>
      </c>
      <c r="K33" s="425">
        <v>0</v>
      </c>
      <c r="L33" s="415"/>
      <c r="M33" s="415"/>
      <c r="N33" s="415"/>
      <c r="O33" s="415"/>
      <c r="P33" s="429">
        <f t="shared" si="0"/>
        <v>0</v>
      </c>
    </row>
    <row r="34" spans="1:16" ht="27.6" x14ac:dyDescent="0.3">
      <c r="A34" s="34"/>
      <c r="B34" s="428">
        <v>11</v>
      </c>
      <c r="C34" s="413" t="s">
        <v>155</v>
      </c>
      <c r="D34" s="253" t="s">
        <v>33</v>
      </c>
      <c r="E34" s="416">
        <v>3</v>
      </c>
      <c r="F34" s="296"/>
      <c r="G34" s="296"/>
      <c r="H34" s="415"/>
      <c r="I34" s="425">
        <v>0</v>
      </c>
      <c r="J34" s="425">
        <v>0</v>
      </c>
      <c r="K34" s="425">
        <v>0</v>
      </c>
      <c r="L34" s="415"/>
      <c r="M34" s="415"/>
      <c r="N34" s="415"/>
      <c r="O34" s="415"/>
      <c r="P34" s="429">
        <f t="shared" si="0"/>
        <v>0</v>
      </c>
    </row>
    <row r="35" spans="1:16" ht="14.45" x14ac:dyDescent="0.3">
      <c r="A35" s="34"/>
      <c r="B35" s="430" t="s">
        <v>260</v>
      </c>
      <c r="C35" s="413"/>
      <c r="D35" s="253" t="s">
        <v>255</v>
      </c>
      <c r="E35" s="416"/>
      <c r="F35" s="296"/>
      <c r="G35" s="296"/>
      <c r="H35" s="415"/>
      <c r="I35" s="415"/>
      <c r="J35" s="415"/>
      <c r="K35" s="415"/>
      <c r="L35" s="415"/>
      <c r="M35" s="415"/>
      <c r="N35" s="415"/>
      <c r="O35" s="415"/>
      <c r="P35" s="429"/>
    </row>
    <row r="36" spans="1:16" ht="14.45" x14ac:dyDescent="0.3">
      <c r="A36" s="34"/>
      <c r="B36" s="428"/>
      <c r="C36" s="609"/>
      <c r="D36" s="609"/>
      <c r="E36" s="268"/>
      <c r="F36" s="296"/>
      <c r="G36" s="296"/>
      <c r="H36" s="415"/>
      <c r="I36" s="415"/>
      <c r="J36" s="415"/>
      <c r="K36" s="415"/>
      <c r="L36" s="415"/>
      <c r="M36" s="415"/>
      <c r="N36" s="415"/>
      <c r="O36" s="415"/>
      <c r="P36" s="429"/>
    </row>
    <row r="37" spans="1:16" ht="14.45" x14ac:dyDescent="0.3">
      <c r="A37" s="34"/>
      <c r="B37" s="428"/>
      <c r="C37" s="609"/>
      <c r="D37" s="609"/>
      <c r="E37" s="268"/>
      <c r="F37" s="296"/>
      <c r="G37" s="296"/>
      <c r="H37" s="415"/>
      <c r="I37" s="415"/>
      <c r="J37" s="415"/>
      <c r="K37" s="415"/>
      <c r="L37" s="415"/>
      <c r="M37" s="415"/>
      <c r="N37" s="415"/>
      <c r="O37" s="415"/>
      <c r="P37" s="429"/>
    </row>
    <row r="38" spans="1:16" ht="14.45" x14ac:dyDescent="0.3">
      <c r="A38" s="34"/>
      <c r="B38" s="428"/>
      <c r="C38" s="609"/>
      <c r="D38" s="609"/>
      <c r="E38" s="268"/>
      <c r="F38" s="296"/>
      <c r="G38" s="296"/>
      <c r="H38" s="415"/>
      <c r="I38" s="415"/>
      <c r="J38" s="415"/>
      <c r="K38" s="415"/>
      <c r="L38" s="415"/>
      <c r="M38" s="415"/>
      <c r="N38" s="415"/>
      <c r="O38" s="415"/>
      <c r="P38" s="429"/>
    </row>
    <row r="39" spans="1:16" ht="26.25" customHeight="1" x14ac:dyDescent="0.3">
      <c r="A39" s="34"/>
      <c r="B39" s="640" t="s">
        <v>11</v>
      </c>
      <c r="C39" s="641"/>
      <c r="D39" s="641"/>
      <c r="E39" s="641"/>
      <c r="F39" s="641"/>
      <c r="G39" s="641"/>
      <c r="H39" s="641"/>
      <c r="I39" s="641"/>
      <c r="J39" s="641"/>
      <c r="K39" s="641"/>
      <c r="L39" s="641"/>
      <c r="M39" s="641"/>
      <c r="N39" s="641"/>
      <c r="O39" s="641"/>
      <c r="P39" s="642"/>
    </row>
    <row r="40" spans="1:16" ht="27.6" x14ac:dyDescent="0.3">
      <c r="A40" s="34"/>
      <c r="B40" s="428">
        <v>12</v>
      </c>
      <c r="C40" s="413" t="s">
        <v>156</v>
      </c>
      <c r="D40" s="253" t="s">
        <v>33</v>
      </c>
      <c r="E40" s="416">
        <v>12</v>
      </c>
      <c r="F40" s="296">
        <v>164500</v>
      </c>
      <c r="G40" s="296">
        <v>19</v>
      </c>
      <c r="H40" s="415"/>
      <c r="I40" s="415"/>
      <c r="J40" s="425">
        <v>0</v>
      </c>
      <c r="K40" s="425">
        <v>1</v>
      </c>
      <c r="L40" s="415"/>
      <c r="M40" s="415"/>
      <c r="N40" s="415"/>
      <c r="O40" s="415"/>
      <c r="P40" s="429">
        <f t="shared" si="0"/>
        <v>1</v>
      </c>
    </row>
    <row r="41" spans="1:16" ht="27.6" x14ac:dyDescent="0.3">
      <c r="A41" s="34"/>
      <c r="B41" s="428">
        <v>13</v>
      </c>
      <c r="C41" s="413" t="s">
        <v>157</v>
      </c>
      <c r="D41" s="253" t="s">
        <v>33</v>
      </c>
      <c r="E41" s="416">
        <v>12</v>
      </c>
      <c r="F41" s="296"/>
      <c r="G41" s="296"/>
      <c r="H41" s="415"/>
      <c r="I41" s="415"/>
      <c r="J41" s="425">
        <v>0</v>
      </c>
      <c r="K41" s="425">
        <v>0</v>
      </c>
      <c r="L41" s="415"/>
      <c r="M41" s="415"/>
      <c r="N41" s="415"/>
      <c r="O41" s="415"/>
      <c r="P41" s="429">
        <f t="shared" si="0"/>
        <v>0</v>
      </c>
    </row>
    <row r="42" spans="1:16" ht="27.6" x14ac:dyDescent="0.3">
      <c r="A42" s="34"/>
      <c r="B42" s="428">
        <v>14</v>
      </c>
      <c r="C42" s="413" t="s">
        <v>158</v>
      </c>
      <c r="D42" s="253" t="s">
        <v>33</v>
      </c>
      <c r="E42" s="416">
        <v>12</v>
      </c>
      <c r="F42" s="296">
        <v>22293</v>
      </c>
      <c r="G42" s="296">
        <v>8</v>
      </c>
      <c r="H42" s="415"/>
      <c r="I42" s="415"/>
      <c r="J42" s="425">
        <v>0</v>
      </c>
      <c r="K42" s="425">
        <v>1</v>
      </c>
      <c r="L42" s="415"/>
      <c r="M42" s="415"/>
      <c r="N42" s="415"/>
      <c r="O42" s="415"/>
      <c r="P42" s="429">
        <f t="shared" si="0"/>
        <v>1</v>
      </c>
    </row>
    <row r="43" spans="1:16" ht="14.45" x14ac:dyDescent="0.3">
      <c r="A43" s="34"/>
      <c r="B43" s="430" t="s">
        <v>260</v>
      </c>
      <c r="C43" s="413"/>
      <c r="D43" s="253" t="s">
        <v>255</v>
      </c>
      <c r="E43" s="416"/>
      <c r="F43" s="296"/>
      <c r="G43" s="296"/>
      <c r="H43" s="415"/>
      <c r="I43" s="415"/>
      <c r="J43" s="415"/>
      <c r="K43" s="415"/>
      <c r="L43" s="415"/>
      <c r="M43" s="415"/>
      <c r="N43" s="415"/>
      <c r="O43" s="415"/>
      <c r="P43" s="429"/>
    </row>
    <row r="44" spans="1:16" ht="14.45" x14ac:dyDescent="0.3">
      <c r="A44" s="34"/>
      <c r="B44" s="428"/>
      <c r="C44" s="609"/>
      <c r="D44" s="609"/>
      <c r="E44" s="268"/>
      <c r="F44" s="296"/>
      <c r="G44" s="296"/>
      <c r="H44" s="415"/>
      <c r="I44" s="415"/>
      <c r="J44" s="415"/>
      <c r="K44" s="415"/>
      <c r="L44" s="415"/>
      <c r="M44" s="415"/>
      <c r="N44" s="415"/>
      <c r="O44" s="415"/>
      <c r="P44" s="429"/>
    </row>
    <row r="45" spans="1:16" ht="14.45" x14ac:dyDescent="0.3">
      <c r="A45" s="34"/>
      <c r="B45" s="428"/>
      <c r="C45" s="609"/>
      <c r="D45" s="609"/>
      <c r="E45" s="268"/>
      <c r="F45" s="296"/>
      <c r="G45" s="296"/>
      <c r="H45" s="415"/>
      <c r="I45" s="415"/>
      <c r="J45" s="415"/>
      <c r="K45" s="415"/>
      <c r="L45" s="415"/>
      <c r="M45" s="415"/>
      <c r="N45" s="415"/>
      <c r="O45" s="415"/>
      <c r="P45" s="429"/>
    </row>
    <row r="46" spans="1:16" ht="14.45" x14ac:dyDescent="0.3">
      <c r="A46" s="34"/>
      <c r="B46" s="428"/>
      <c r="C46" s="609"/>
      <c r="D46" s="609"/>
      <c r="E46" s="268"/>
      <c r="F46" s="296"/>
      <c r="G46" s="296"/>
      <c r="H46" s="415"/>
      <c r="I46" s="415"/>
      <c r="J46" s="415"/>
      <c r="K46" s="415"/>
      <c r="L46" s="415"/>
      <c r="M46" s="415"/>
      <c r="N46" s="415"/>
      <c r="O46" s="415"/>
      <c r="P46" s="429"/>
    </row>
    <row r="47" spans="1:16" ht="24" customHeight="1" x14ac:dyDescent="0.3">
      <c r="A47" s="34"/>
      <c r="B47" s="640" t="s">
        <v>159</v>
      </c>
      <c r="C47" s="641"/>
      <c r="D47" s="641"/>
      <c r="E47" s="641"/>
      <c r="F47" s="641"/>
      <c r="G47" s="641"/>
      <c r="H47" s="641"/>
      <c r="I47" s="641"/>
      <c r="J47" s="641"/>
      <c r="K47" s="641"/>
      <c r="L47" s="641"/>
      <c r="M47" s="641"/>
      <c r="N47" s="641"/>
      <c r="O47" s="641"/>
      <c r="P47" s="642"/>
    </row>
    <row r="48" spans="1:16" ht="14.45" x14ac:dyDescent="0.3">
      <c r="A48" s="34"/>
      <c r="B48" s="428">
        <v>15</v>
      </c>
      <c r="C48" s="413" t="s">
        <v>160</v>
      </c>
      <c r="D48" s="253" t="s">
        <v>33</v>
      </c>
      <c r="E48" s="416"/>
      <c r="F48" s="296">
        <v>45402</v>
      </c>
      <c r="G48" s="296"/>
      <c r="H48" s="425">
        <v>1</v>
      </c>
      <c r="I48" s="415"/>
      <c r="J48" s="415"/>
      <c r="K48" s="415"/>
      <c r="L48" s="415"/>
      <c r="M48" s="415"/>
      <c r="N48" s="415"/>
      <c r="O48" s="415"/>
      <c r="P48" s="429">
        <f t="shared" si="0"/>
        <v>1</v>
      </c>
    </row>
    <row r="49" spans="1:16" ht="14.45" x14ac:dyDescent="0.3">
      <c r="A49" s="34"/>
      <c r="B49" s="430" t="s">
        <v>260</v>
      </c>
      <c r="C49" s="413"/>
      <c r="D49" s="253" t="s">
        <v>255</v>
      </c>
      <c r="E49" s="416"/>
      <c r="F49" s="296"/>
      <c r="G49" s="296"/>
      <c r="H49" s="425"/>
      <c r="I49" s="415"/>
      <c r="J49" s="415"/>
      <c r="K49" s="415"/>
      <c r="L49" s="415"/>
      <c r="M49" s="415"/>
      <c r="N49" s="415"/>
      <c r="O49" s="415"/>
      <c r="P49" s="429">
        <f t="shared" si="0"/>
        <v>0</v>
      </c>
    </row>
    <row r="50" spans="1:16" ht="14.45" x14ac:dyDescent="0.3">
      <c r="A50" s="34"/>
      <c r="B50" s="428"/>
      <c r="C50" s="609"/>
      <c r="D50" s="609"/>
      <c r="E50" s="268"/>
      <c r="F50" s="296"/>
      <c r="G50" s="296"/>
      <c r="H50" s="425"/>
      <c r="I50" s="415"/>
      <c r="J50" s="415"/>
      <c r="K50" s="415"/>
      <c r="L50" s="415"/>
      <c r="M50" s="415"/>
      <c r="N50" s="415"/>
      <c r="O50" s="415"/>
      <c r="P50" s="429">
        <f t="shared" si="0"/>
        <v>0</v>
      </c>
    </row>
    <row r="51" spans="1:16" ht="14.45" x14ac:dyDescent="0.3">
      <c r="A51" s="34"/>
      <c r="B51" s="428"/>
      <c r="C51" s="609"/>
      <c r="D51" s="609"/>
      <c r="E51" s="268"/>
      <c r="F51" s="296"/>
      <c r="G51" s="296"/>
      <c r="H51" s="425"/>
      <c r="I51" s="415"/>
      <c r="J51" s="415"/>
      <c r="K51" s="415"/>
      <c r="L51" s="415"/>
      <c r="M51" s="415"/>
      <c r="N51" s="415"/>
      <c r="O51" s="415"/>
      <c r="P51" s="429"/>
    </row>
    <row r="52" spans="1:16" x14ac:dyDescent="0.25">
      <c r="A52" s="34"/>
      <c r="B52" s="428"/>
      <c r="C52" s="609"/>
      <c r="D52" s="609"/>
      <c r="E52" s="268"/>
      <c r="F52" s="296"/>
      <c r="G52" s="296"/>
      <c r="H52" s="425"/>
      <c r="I52" s="415"/>
      <c r="J52" s="415"/>
      <c r="K52" s="415"/>
      <c r="L52" s="415"/>
      <c r="M52" s="415"/>
      <c r="N52" s="415"/>
      <c r="O52" s="415"/>
      <c r="P52" s="429">
        <f t="shared" si="0"/>
        <v>0</v>
      </c>
    </row>
    <row r="53" spans="1:16" ht="21" customHeight="1" x14ac:dyDescent="0.25">
      <c r="A53" s="33"/>
      <c r="B53" s="640" t="s">
        <v>161</v>
      </c>
      <c r="C53" s="641"/>
      <c r="D53" s="641"/>
      <c r="E53" s="641"/>
      <c r="F53" s="641"/>
      <c r="G53" s="641"/>
      <c r="H53" s="641"/>
      <c r="I53" s="641"/>
      <c r="J53" s="641"/>
      <c r="K53" s="641"/>
      <c r="L53" s="641"/>
      <c r="M53" s="641"/>
      <c r="N53" s="641"/>
      <c r="O53" s="641"/>
      <c r="P53" s="642"/>
    </row>
    <row r="54" spans="1:16" x14ac:dyDescent="0.25">
      <c r="A54" s="34"/>
      <c r="B54" s="428">
        <v>16</v>
      </c>
      <c r="C54" s="413" t="s">
        <v>162</v>
      </c>
      <c r="D54" s="253" t="s">
        <v>33</v>
      </c>
      <c r="E54" s="535">
        <v>12</v>
      </c>
      <c r="F54" s="296">
        <v>770101</v>
      </c>
      <c r="G54" s="296">
        <v>50</v>
      </c>
      <c r="H54" s="415"/>
      <c r="I54" s="415"/>
      <c r="J54" s="534">
        <v>1</v>
      </c>
      <c r="K54" s="415"/>
      <c r="L54" s="415"/>
      <c r="M54" s="415"/>
      <c r="N54" s="415"/>
      <c r="O54" s="415"/>
      <c r="P54" s="429">
        <f t="shared" si="0"/>
        <v>1</v>
      </c>
    </row>
    <row r="55" spans="1:16" x14ac:dyDescent="0.25">
      <c r="A55" s="34"/>
      <c r="B55" s="428">
        <v>17</v>
      </c>
      <c r="C55" s="413" t="s">
        <v>163</v>
      </c>
      <c r="D55" s="253" t="s">
        <v>33</v>
      </c>
      <c r="E55" s="416"/>
      <c r="F55" s="296"/>
      <c r="G55" s="296"/>
      <c r="H55" s="415"/>
      <c r="I55" s="415"/>
      <c r="J55" s="415"/>
      <c r="K55" s="415"/>
      <c r="L55" s="415"/>
      <c r="M55" s="415"/>
      <c r="N55" s="415"/>
      <c r="O55" s="415"/>
      <c r="P55" s="429">
        <f t="shared" si="0"/>
        <v>0</v>
      </c>
    </row>
    <row r="56" spans="1:16" x14ac:dyDescent="0.25">
      <c r="A56" s="34"/>
      <c r="B56" s="428">
        <v>18</v>
      </c>
      <c r="C56" s="413" t="s">
        <v>164</v>
      </c>
      <c r="D56" s="253" t="s">
        <v>33</v>
      </c>
      <c r="E56" s="416"/>
      <c r="F56" s="296"/>
      <c r="G56" s="296"/>
      <c r="H56" s="415"/>
      <c r="I56" s="415"/>
      <c r="J56" s="415"/>
      <c r="K56" s="415"/>
      <c r="L56" s="415"/>
      <c r="M56" s="415"/>
      <c r="N56" s="415"/>
      <c r="O56" s="415"/>
      <c r="P56" s="429">
        <f t="shared" si="0"/>
        <v>0</v>
      </c>
    </row>
    <row r="57" spans="1:16" x14ac:dyDescent="0.25">
      <c r="A57" s="34"/>
      <c r="B57" s="428">
        <v>19</v>
      </c>
      <c r="C57" s="413" t="s">
        <v>165</v>
      </c>
      <c r="D57" s="253" t="s">
        <v>33</v>
      </c>
      <c r="E57" s="416"/>
      <c r="F57" s="296"/>
      <c r="G57" s="296"/>
      <c r="H57" s="415"/>
      <c r="I57" s="415"/>
      <c r="J57" s="415"/>
      <c r="K57" s="415"/>
      <c r="L57" s="415"/>
      <c r="M57" s="415"/>
      <c r="N57" s="415"/>
      <c r="O57" s="415"/>
      <c r="P57" s="429">
        <f t="shared" si="0"/>
        <v>0</v>
      </c>
    </row>
    <row r="58" spans="1:16" x14ac:dyDescent="0.25">
      <c r="A58" s="34"/>
      <c r="B58" s="430" t="s">
        <v>260</v>
      </c>
      <c r="C58" s="413"/>
      <c r="D58" s="253" t="s">
        <v>255</v>
      </c>
      <c r="E58" s="416"/>
      <c r="F58" s="296"/>
      <c r="G58" s="296"/>
      <c r="H58" s="415"/>
      <c r="I58" s="415"/>
      <c r="J58" s="415"/>
      <c r="K58" s="415"/>
      <c r="L58" s="415"/>
      <c r="M58" s="415"/>
      <c r="N58" s="415"/>
      <c r="O58" s="415"/>
      <c r="P58" s="429">
        <f t="shared" si="0"/>
        <v>0</v>
      </c>
    </row>
    <row r="59" spans="1:16" x14ac:dyDescent="0.25">
      <c r="A59" s="34"/>
      <c r="B59" s="430"/>
      <c r="C59" s="609"/>
      <c r="D59" s="609"/>
      <c r="E59" s="268"/>
      <c r="F59" s="296"/>
      <c r="G59" s="296"/>
      <c r="H59" s="415"/>
      <c r="I59" s="415"/>
      <c r="J59" s="415"/>
      <c r="K59" s="415"/>
      <c r="L59" s="415"/>
      <c r="M59" s="415"/>
      <c r="N59" s="415"/>
      <c r="O59" s="415"/>
      <c r="P59" s="429"/>
    </row>
    <row r="60" spans="1:16" x14ac:dyDescent="0.25">
      <c r="A60" s="34"/>
      <c r="B60" s="430"/>
      <c r="C60" s="609"/>
      <c r="D60" s="609"/>
      <c r="E60" s="268"/>
      <c r="F60" s="296"/>
      <c r="G60" s="296"/>
      <c r="H60" s="415"/>
      <c r="I60" s="415"/>
      <c r="J60" s="415"/>
      <c r="K60" s="415"/>
      <c r="L60" s="415"/>
      <c r="M60" s="415"/>
      <c r="N60" s="415"/>
      <c r="O60" s="415"/>
      <c r="P60" s="429"/>
    </row>
    <row r="61" spans="1:16" x14ac:dyDescent="0.25">
      <c r="A61" s="33"/>
      <c r="B61" s="431"/>
      <c r="C61" s="609"/>
      <c r="D61" s="609"/>
      <c r="E61" s="268"/>
      <c r="F61" s="296"/>
      <c r="G61" s="296"/>
      <c r="H61" s="419"/>
      <c r="I61" s="419"/>
      <c r="J61" s="419"/>
      <c r="K61" s="419"/>
      <c r="L61" s="419"/>
      <c r="M61" s="419"/>
      <c r="N61" s="419"/>
      <c r="O61" s="419"/>
      <c r="P61" s="429"/>
    </row>
    <row r="62" spans="1:16" ht="27" customHeight="1" x14ac:dyDescent="0.25">
      <c r="B62" s="627" t="s">
        <v>166</v>
      </c>
      <c r="C62" s="628"/>
      <c r="D62" s="628"/>
      <c r="E62" s="628"/>
      <c r="F62" s="628"/>
      <c r="G62" s="628"/>
      <c r="H62" s="628"/>
      <c r="I62" s="628"/>
      <c r="J62" s="628"/>
      <c r="K62" s="628"/>
      <c r="L62" s="628"/>
      <c r="M62" s="628"/>
      <c r="N62" s="628"/>
      <c r="O62" s="628"/>
      <c r="P62" s="629"/>
    </row>
    <row r="63" spans="1:16" ht="16.5" x14ac:dyDescent="0.25">
      <c r="B63" s="432"/>
      <c r="C63" s="413"/>
      <c r="D63" s="416"/>
      <c r="E63" s="416"/>
      <c r="F63" s="412"/>
      <c r="G63" s="412"/>
      <c r="H63" s="412"/>
      <c r="I63" s="412"/>
      <c r="J63" s="412"/>
      <c r="K63" s="412"/>
      <c r="L63" s="412"/>
      <c r="M63" s="412"/>
      <c r="N63" s="412"/>
      <c r="O63" s="412"/>
      <c r="P63" s="433"/>
    </row>
    <row r="64" spans="1:16" ht="25.5" customHeight="1" x14ac:dyDescent="0.25">
      <c r="A64" s="34"/>
      <c r="B64" s="643" t="s">
        <v>167</v>
      </c>
      <c r="C64" s="620"/>
      <c r="D64" s="620"/>
      <c r="E64" s="620"/>
      <c r="F64" s="620"/>
      <c r="G64" s="620"/>
      <c r="H64" s="620"/>
      <c r="I64" s="620"/>
      <c r="J64" s="620"/>
      <c r="K64" s="620"/>
      <c r="L64" s="620"/>
      <c r="M64" s="620"/>
      <c r="N64" s="620"/>
      <c r="O64" s="620"/>
      <c r="P64" s="644"/>
    </row>
    <row r="65" spans="1:16" x14ac:dyDescent="0.25">
      <c r="A65" s="34"/>
      <c r="B65" s="428">
        <v>21</v>
      </c>
      <c r="C65" s="413" t="s">
        <v>168</v>
      </c>
      <c r="D65" s="253" t="s">
        <v>33</v>
      </c>
      <c r="E65" s="416"/>
      <c r="F65" s="296"/>
      <c r="G65" s="296"/>
      <c r="H65" s="425">
        <v>0</v>
      </c>
      <c r="I65" s="415"/>
      <c r="J65" s="415"/>
      <c r="K65" s="415"/>
      <c r="L65" s="415"/>
      <c r="M65" s="415"/>
      <c r="N65" s="415"/>
      <c r="O65" s="415"/>
      <c r="P65" s="429">
        <f t="shared" si="0"/>
        <v>0</v>
      </c>
    </row>
    <row r="66" spans="1:16" ht="28.5" x14ac:dyDescent="0.25">
      <c r="A66" s="34"/>
      <c r="B66" s="428">
        <v>22</v>
      </c>
      <c r="C66" s="413" t="s">
        <v>169</v>
      </c>
      <c r="D66" s="253" t="s">
        <v>33</v>
      </c>
      <c r="E66" s="416"/>
      <c r="F66" s="296"/>
      <c r="G66" s="296"/>
      <c r="H66" s="425">
        <v>0</v>
      </c>
      <c r="I66" s="415"/>
      <c r="J66" s="415"/>
      <c r="K66" s="415"/>
      <c r="L66" s="415"/>
      <c r="M66" s="415"/>
      <c r="N66" s="415"/>
      <c r="O66" s="415"/>
      <c r="P66" s="429">
        <f t="shared" si="0"/>
        <v>0</v>
      </c>
    </row>
    <row r="67" spans="1:16" x14ac:dyDescent="0.25">
      <c r="A67" s="34"/>
      <c r="B67" s="428">
        <v>23</v>
      </c>
      <c r="C67" s="413" t="s">
        <v>170</v>
      </c>
      <c r="D67" s="253" t="s">
        <v>33</v>
      </c>
      <c r="E67" s="416"/>
      <c r="F67" s="296"/>
      <c r="G67" s="296"/>
      <c r="H67" s="425">
        <v>0</v>
      </c>
      <c r="I67" s="415"/>
      <c r="J67" s="415"/>
      <c r="K67" s="415"/>
      <c r="L67" s="415"/>
      <c r="M67" s="415"/>
      <c r="N67" s="415"/>
      <c r="O67" s="415"/>
      <c r="P67" s="429">
        <f t="shared" si="0"/>
        <v>0</v>
      </c>
    </row>
    <row r="68" spans="1:16" x14ac:dyDescent="0.25">
      <c r="A68" s="34"/>
      <c r="B68" s="428">
        <v>24</v>
      </c>
      <c r="C68" s="413" t="s">
        <v>171</v>
      </c>
      <c r="D68" s="253" t="s">
        <v>33</v>
      </c>
      <c r="E68" s="416"/>
      <c r="F68" s="296"/>
      <c r="G68" s="296"/>
      <c r="H68" s="425">
        <v>0</v>
      </c>
      <c r="I68" s="415"/>
      <c r="J68" s="415"/>
      <c r="K68" s="415"/>
      <c r="L68" s="415"/>
      <c r="M68" s="415"/>
      <c r="N68" s="415"/>
      <c r="O68" s="415"/>
      <c r="P68" s="429">
        <f t="shared" si="0"/>
        <v>0</v>
      </c>
    </row>
    <row r="69" spans="1:16" x14ac:dyDescent="0.25">
      <c r="A69" s="34"/>
      <c r="B69" s="430" t="s">
        <v>260</v>
      </c>
      <c r="C69" s="413"/>
      <c r="D69" s="253" t="s">
        <v>255</v>
      </c>
      <c r="E69" s="416"/>
      <c r="F69" s="296"/>
      <c r="G69" s="296"/>
      <c r="H69" s="425"/>
      <c r="I69" s="415"/>
      <c r="J69" s="415"/>
      <c r="K69" s="415"/>
      <c r="L69" s="415"/>
      <c r="M69" s="415"/>
      <c r="N69" s="415"/>
      <c r="O69" s="415"/>
      <c r="P69" s="429"/>
    </row>
    <row r="70" spans="1:16" x14ac:dyDescent="0.25">
      <c r="A70" s="34"/>
      <c r="B70" s="428"/>
      <c r="C70" s="609"/>
      <c r="D70" s="609"/>
      <c r="E70" s="268"/>
      <c r="F70" s="296"/>
      <c r="G70" s="296"/>
      <c r="H70" s="425"/>
      <c r="I70" s="415"/>
      <c r="J70" s="415"/>
      <c r="K70" s="415"/>
      <c r="L70" s="415"/>
      <c r="M70" s="415"/>
      <c r="N70" s="415"/>
      <c r="O70" s="415"/>
      <c r="P70" s="429"/>
    </row>
    <row r="71" spans="1:16" x14ac:dyDescent="0.25">
      <c r="A71" s="34"/>
      <c r="B71" s="428"/>
      <c r="C71" s="609"/>
      <c r="D71" s="609"/>
      <c r="E71" s="268"/>
      <c r="F71" s="296"/>
      <c r="G71" s="296"/>
      <c r="H71" s="425"/>
      <c r="I71" s="415"/>
      <c r="J71" s="415"/>
      <c r="K71" s="415"/>
      <c r="L71" s="415"/>
      <c r="M71" s="415"/>
      <c r="N71" s="415"/>
      <c r="O71" s="415"/>
      <c r="P71" s="429"/>
    </row>
    <row r="72" spans="1:16" x14ac:dyDescent="0.25">
      <c r="A72" s="34"/>
      <c r="B72" s="428"/>
      <c r="C72" s="609"/>
      <c r="D72" s="609"/>
      <c r="E72" s="268"/>
      <c r="F72" s="296"/>
      <c r="G72" s="296"/>
      <c r="H72" s="415"/>
      <c r="I72" s="415"/>
      <c r="J72" s="415"/>
      <c r="K72" s="415"/>
      <c r="L72" s="415"/>
      <c r="M72" s="415"/>
      <c r="N72" s="415"/>
      <c r="O72" s="415"/>
      <c r="P72" s="429"/>
    </row>
    <row r="73" spans="1:16" ht="28.5" customHeight="1" x14ac:dyDescent="0.25">
      <c r="A73" s="34"/>
      <c r="B73" s="643" t="s">
        <v>172</v>
      </c>
      <c r="C73" s="620"/>
      <c r="D73" s="620"/>
      <c r="E73" s="620"/>
      <c r="F73" s="620"/>
      <c r="G73" s="620"/>
      <c r="H73" s="620"/>
      <c r="I73" s="620"/>
      <c r="J73" s="620"/>
      <c r="K73" s="620"/>
      <c r="L73" s="620"/>
      <c r="M73" s="620"/>
      <c r="N73" s="620"/>
      <c r="O73" s="620"/>
      <c r="P73" s="644"/>
    </row>
    <row r="74" spans="1:16" x14ac:dyDescent="0.25">
      <c r="A74" s="34"/>
      <c r="B74" s="428">
        <v>25</v>
      </c>
      <c r="C74" s="413" t="s">
        <v>173</v>
      </c>
      <c r="D74" s="253" t="s">
        <v>33</v>
      </c>
      <c r="E74" s="416">
        <v>12</v>
      </c>
      <c r="F74" s="296"/>
      <c r="G74" s="296"/>
      <c r="H74" s="415"/>
      <c r="I74" s="425">
        <v>0</v>
      </c>
      <c r="J74" s="425">
        <v>0</v>
      </c>
      <c r="K74" s="425">
        <v>0</v>
      </c>
      <c r="L74" s="415"/>
      <c r="M74" s="415"/>
      <c r="N74" s="415"/>
      <c r="O74" s="415"/>
      <c r="P74" s="429">
        <f t="shared" si="0"/>
        <v>0</v>
      </c>
    </row>
    <row r="75" spans="1:16" x14ac:dyDescent="0.25">
      <c r="A75" s="34"/>
      <c r="B75" s="428">
        <v>26</v>
      </c>
      <c r="C75" s="413" t="s">
        <v>174</v>
      </c>
      <c r="D75" s="253" t="s">
        <v>33</v>
      </c>
      <c r="E75" s="416">
        <v>12</v>
      </c>
      <c r="F75" s="296"/>
      <c r="G75" s="296"/>
      <c r="H75" s="415"/>
      <c r="I75" s="425">
        <v>0</v>
      </c>
      <c r="J75" s="425">
        <v>0</v>
      </c>
      <c r="K75" s="425">
        <v>0</v>
      </c>
      <c r="L75" s="415"/>
      <c r="M75" s="415"/>
      <c r="N75" s="415"/>
      <c r="O75" s="415"/>
      <c r="P75" s="429">
        <f t="shared" si="0"/>
        <v>0</v>
      </c>
    </row>
    <row r="76" spans="1:16" ht="28.5" x14ac:dyDescent="0.25">
      <c r="A76" s="34"/>
      <c r="B76" s="428">
        <v>27</v>
      </c>
      <c r="C76" s="413" t="s">
        <v>175</v>
      </c>
      <c r="D76" s="253" t="s">
        <v>33</v>
      </c>
      <c r="E76" s="416">
        <v>12</v>
      </c>
      <c r="F76" s="296"/>
      <c r="G76" s="296"/>
      <c r="H76" s="415"/>
      <c r="I76" s="425">
        <v>0</v>
      </c>
      <c r="J76" s="425">
        <v>0</v>
      </c>
      <c r="K76" s="425">
        <v>0</v>
      </c>
      <c r="L76" s="415"/>
      <c r="M76" s="415"/>
      <c r="N76" s="415"/>
      <c r="O76" s="415"/>
      <c r="P76" s="429">
        <f t="shared" si="0"/>
        <v>0</v>
      </c>
    </row>
    <row r="77" spans="1:16" ht="28.5" x14ac:dyDescent="0.25">
      <c r="A77" s="34"/>
      <c r="B77" s="428">
        <v>28</v>
      </c>
      <c r="C77" s="413" t="s">
        <v>176</v>
      </c>
      <c r="D77" s="253" t="s">
        <v>33</v>
      </c>
      <c r="E77" s="416">
        <v>12</v>
      </c>
      <c r="F77" s="296"/>
      <c r="G77" s="296"/>
      <c r="H77" s="415"/>
      <c r="I77" s="425">
        <v>0</v>
      </c>
      <c r="J77" s="425">
        <v>0</v>
      </c>
      <c r="K77" s="425">
        <v>0</v>
      </c>
      <c r="L77" s="415"/>
      <c r="M77" s="415"/>
      <c r="N77" s="415"/>
      <c r="O77" s="415"/>
      <c r="P77" s="429">
        <f t="shared" si="0"/>
        <v>0</v>
      </c>
    </row>
    <row r="78" spans="1:16" ht="28.5" x14ac:dyDescent="0.25">
      <c r="A78" s="34"/>
      <c r="B78" s="428">
        <v>29</v>
      </c>
      <c r="C78" s="413" t="s">
        <v>177</v>
      </c>
      <c r="D78" s="253" t="s">
        <v>33</v>
      </c>
      <c r="E78" s="416">
        <v>3</v>
      </c>
      <c r="F78" s="296"/>
      <c r="G78" s="296"/>
      <c r="H78" s="415"/>
      <c r="I78" s="425">
        <v>0</v>
      </c>
      <c r="J78" s="425">
        <v>0</v>
      </c>
      <c r="K78" s="425">
        <v>0</v>
      </c>
      <c r="L78" s="415"/>
      <c r="M78" s="415"/>
      <c r="N78" s="415"/>
      <c r="O78" s="415"/>
      <c r="P78" s="429">
        <f t="shared" si="0"/>
        <v>0</v>
      </c>
    </row>
    <row r="79" spans="1:16" ht="28.5" x14ac:dyDescent="0.25">
      <c r="A79" s="34"/>
      <c r="B79" s="428">
        <v>30</v>
      </c>
      <c r="C79" s="413" t="s">
        <v>178</v>
      </c>
      <c r="D79" s="253" t="s">
        <v>33</v>
      </c>
      <c r="E79" s="416">
        <v>12</v>
      </c>
      <c r="F79" s="296"/>
      <c r="G79" s="296"/>
      <c r="H79" s="415"/>
      <c r="I79" s="425">
        <v>0</v>
      </c>
      <c r="J79" s="425">
        <v>0</v>
      </c>
      <c r="K79" s="425">
        <v>0</v>
      </c>
      <c r="L79" s="415"/>
      <c r="M79" s="415"/>
      <c r="N79" s="415"/>
      <c r="O79" s="415"/>
      <c r="P79" s="429">
        <f t="shared" si="0"/>
        <v>0</v>
      </c>
    </row>
    <row r="80" spans="1:16" ht="28.5" x14ac:dyDescent="0.25">
      <c r="A80" s="34"/>
      <c r="B80" s="428">
        <v>31</v>
      </c>
      <c r="C80" s="413" t="s">
        <v>179</v>
      </c>
      <c r="D80" s="253" t="s">
        <v>33</v>
      </c>
      <c r="E80" s="416">
        <v>12</v>
      </c>
      <c r="F80" s="296"/>
      <c r="G80" s="296"/>
      <c r="H80" s="415"/>
      <c r="I80" s="425">
        <v>0</v>
      </c>
      <c r="J80" s="425">
        <v>0</v>
      </c>
      <c r="K80" s="425">
        <v>0</v>
      </c>
      <c r="L80" s="415"/>
      <c r="M80" s="415"/>
      <c r="N80" s="415"/>
      <c r="O80" s="415"/>
      <c r="P80" s="429">
        <f t="shared" si="0"/>
        <v>0</v>
      </c>
    </row>
    <row r="81" spans="1:16" x14ac:dyDescent="0.25">
      <c r="A81" s="34"/>
      <c r="B81" s="428">
        <v>32</v>
      </c>
      <c r="C81" s="413" t="s">
        <v>180</v>
      </c>
      <c r="D81" s="253" t="s">
        <v>33</v>
      </c>
      <c r="E81" s="416">
        <v>12</v>
      </c>
      <c r="F81" s="296"/>
      <c r="G81" s="296"/>
      <c r="H81" s="415"/>
      <c r="I81" s="425">
        <v>0</v>
      </c>
      <c r="J81" s="425">
        <v>0</v>
      </c>
      <c r="K81" s="425">
        <v>0</v>
      </c>
      <c r="L81" s="415"/>
      <c r="M81" s="415"/>
      <c r="N81" s="415"/>
      <c r="O81" s="415"/>
      <c r="P81" s="429">
        <f t="shared" si="0"/>
        <v>0</v>
      </c>
    </row>
    <row r="82" spans="1:16" x14ac:dyDescent="0.25">
      <c r="A82" s="34"/>
      <c r="B82" s="430" t="s">
        <v>260</v>
      </c>
      <c r="C82" s="413"/>
      <c r="D82" s="253" t="s">
        <v>255</v>
      </c>
      <c r="E82" s="416"/>
      <c r="F82" s="296"/>
      <c r="G82" s="296"/>
      <c r="H82" s="415"/>
      <c r="I82" s="415"/>
      <c r="J82" s="415"/>
      <c r="K82" s="415"/>
      <c r="L82" s="415"/>
      <c r="M82" s="415"/>
      <c r="N82" s="415"/>
      <c r="O82" s="415"/>
      <c r="P82" s="429"/>
    </row>
    <row r="83" spans="1:16" x14ac:dyDescent="0.25">
      <c r="A83" s="34"/>
      <c r="B83" s="428"/>
      <c r="C83" s="609"/>
      <c r="D83" s="609"/>
      <c r="E83" s="268"/>
      <c r="F83" s="296"/>
      <c r="G83" s="296"/>
      <c r="H83" s="415"/>
      <c r="I83" s="415"/>
      <c r="J83" s="415"/>
      <c r="K83" s="415"/>
      <c r="L83" s="415"/>
      <c r="M83" s="415"/>
      <c r="N83" s="415"/>
      <c r="O83" s="415"/>
      <c r="P83" s="429"/>
    </row>
    <row r="84" spans="1:16" x14ac:dyDescent="0.25">
      <c r="A84" s="34"/>
      <c r="B84" s="428"/>
      <c r="C84" s="609"/>
      <c r="D84" s="609"/>
      <c r="E84" s="268"/>
      <c r="F84" s="296"/>
      <c r="G84" s="296"/>
      <c r="H84" s="415"/>
      <c r="I84" s="415"/>
      <c r="J84" s="415"/>
      <c r="K84" s="415"/>
      <c r="L84" s="415"/>
      <c r="M84" s="415"/>
      <c r="N84" s="415"/>
      <c r="O84" s="415"/>
      <c r="P84" s="429"/>
    </row>
    <row r="85" spans="1:16" x14ac:dyDescent="0.25">
      <c r="A85" s="34"/>
      <c r="B85" s="428"/>
      <c r="C85" s="609"/>
      <c r="D85" s="609"/>
      <c r="E85" s="268"/>
      <c r="F85" s="296"/>
      <c r="G85" s="296"/>
      <c r="H85" s="415"/>
      <c r="I85" s="415"/>
      <c r="J85" s="415"/>
      <c r="K85" s="415"/>
      <c r="L85" s="415"/>
      <c r="M85" s="415"/>
      <c r="N85" s="415"/>
      <c r="O85" s="415"/>
      <c r="P85" s="429"/>
    </row>
    <row r="86" spans="1:16" ht="25.5" customHeight="1" x14ac:dyDescent="0.25">
      <c r="A86" s="34"/>
      <c r="B86" s="643" t="s">
        <v>181</v>
      </c>
      <c r="C86" s="620"/>
      <c r="D86" s="620"/>
      <c r="E86" s="620"/>
      <c r="F86" s="620"/>
      <c r="G86" s="620"/>
      <c r="H86" s="620"/>
      <c r="I86" s="620"/>
      <c r="J86" s="620"/>
      <c r="K86" s="620"/>
      <c r="L86" s="620"/>
      <c r="M86" s="620"/>
      <c r="N86" s="620"/>
      <c r="O86" s="620"/>
      <c r="P86" s="644"/>
    </row>
    <row r="87" spans="1:16" x14ac:dyDescent="0.25">
      <c r="A87" s="34"/>
      <c r="B87" s="428">
        <v>33</v>
      </c>
      <c r="C87" s="413" t="s">
        <v>182</v>
      </c>
      <c r="D87" s="253" t="s">
        <v>33</v>
      </c>
      <c r="E87" s="416">
        <v>12</v>
      </c>
      <c r="F87" s="296"/>
      <c r="G87" s="296"/>
      <c r="H87" s="421"/>
      <c r="I87" s="421"/>
      <c r="J87" s="421"/>
      <c r="K87" s="421"/>
      <c r="L87" s="421"/>
      <c r="M87" s="421"/>
      <c r="N87" s="421"/>
      <c r="O87" s="421"/>
      <c r="P87" s="429">
        <f t="shared" ref="P87:P108" si="1">SUM(H87:O87)</f>
        <v>0</v>
      </c>
    </row>
    <row r="88" spans="1:16" x14ac:dyDescent="0.25">
      <c r="A88" s="34"/>
      <c r="B88" s="428">
        <v>34</v>
      </c>
      <c r="C88" s="413" t="s">
        <v>183</v>
      </c>
      <c r="D88" s="253" t="s">
        <v>33</v>
      </c>
      <c r="E88" s="416"/>
      <c r="F88" s="296"/>
      <c r="G88" s="296"/>
      <c r="H88" s="421"/>
      <c r="I88" s="421"/>
      <c r="J88" s="421"/>
      <c r="K88" s="421"/>
      <c r="L88" s="421"/>
      <c r="M88" s="421"/>
      <c r="N88" s="421"/>
      <c r="O88" s="421"/>
      <c r="P88" s="429">
        <f t="shared" si="1"/>
        <v>0</v>
      </c>
    </row>
    <row r="89" spans="1:16" x14ac:dyDescent="0.25">
      <c r="A89" s="34"/>
      <c r="B89" s="428">
        <v>35</v>
      </c>
      <c r="C89" s="413" t="s">
        <v>184</v>
      </c>
      <c r="D89" s="253" t="s">
        <v>33</v>
      </c>
      <c r="E89" s="416"/>
      <c r="F89" s="296"/>
      <c r="G89" s="296"/>
      <c r="H89" s="421"/>
      <c r="I89" s="421"/>
      <c r="J89" s="421"/>
      <c r="K89" s="421"/>
      <c r="L89" s="421"/>
      <c r="M89" s="421"/>
      <c r="N89" s="421"/>
      <c r="O89" s="421"/>
      <c r="P89" s="429">
        <f t="shared" si="1"/>
        <v>0</v>
      </c>
    </row>
    <row r="90" spans="1:16" x14ac:dyDescent="0.25">
      <c r="A90" s="34"/>
      <c r="B90" s="430" t="s">
        <v>260</v>
      </c>
      <c r="C90" s="413"/>
      <c r="D90" s="253" t="s">
        <v>255</v>
      </c>
      <c r="E90" s="416"/>
      <c r="F90" s="296"/>
      <c r="G90" s="296"/>
      <c r="H90" s="421"/>
      <c r="I90" s="421"/>
      <c r="J90" s="421"/>
      <c r="K90" s="421"/>
      <c r="L90" s="421"/>
      <c r="M90" s="421"/>
      <c r="N90" s="421"/>
      <c r="O90" s="421"/>
      <c r="P90" s="429"/>
    </row>
    <row r="91" spans="1:16" x14ac:dyDescent="0.25">
      <c r="A91" s="34"/>
      <c r="B91" s="428"/>
      <c r="C91" s="609"/>
      <c r="D91" s="609"/>
      <c r="E91" s="268"/>
      <c r="F91" s="296"/>
      <c r="G91" s="296"/>
      <c r="H91" s="421"/>
      <c r="I91" s="421"/>
      <c r="J91" s="421"/>
      <c r="K91" s="421"/>
      <c r="L91" s="421"/>
      <c r="M91" s="421"/>
      <c r="N91" s="421"/>
      <c r="O91" s="421"/>
      <c r="P91" s="429"/>
    </row>
    <row r="92" spans="1:16" x14ac:dyDescent="0.25">
      <c r="A92" s="34"/>
      <c r="B92" s="428"/>
      <c r="C92" s="609"/>
      <c r="D92" s="609"/>
      <c r="E92" s="268"/>
      <c r="F92" s="296"/>
      <c r="G92" s="296"/>
      <c r="H92" s="421"/>
      <c r="I92" s="421"/>
      <c r="J92" s="421"/>
      <c r="K92" s="421"/>
      <c r="L92" s="421"/>
      <c r="M92" s="421"/>
      <c r="N92" s="421"/>
      <c r="O92" s="421"/>
      <c r="P92" s="429"/>
    </row>
    <row r="93" spans="1:16" x14ac:dyDescent="0.25">
      <c r="A93" s="34"/>
      <c r="B93" s="428"/>
      <c r="C93" s="609"/>
      <c r="D93" s="609"/>
      <c r="E93" s="268"/>
      <c r="F93" s="296"/>
      <c r="G93" s="296"/>
      <c r="H93" s="421"/>
      <c r="I93" s="421"/>
      <c r="J93" s="421"/>
      <c r="K93" s="421"/>
      <c r="L93" s="421"/>
      <c r="M93" s="421"/>
      <c r="N93" s="421"/>
      <c r="O93" s="421"/>
      <c r="P93" s="429"/>
    </row>
    <row r="94" spans="1:16" ht="24" customHeight="1" x14ac:dyDescent="0.25">
      <c r="A94" s="34"/>
      <c r="B94" s="643" t="s">
        <v>185</v>
      </c>
      <c r="C94" s="620"/>
      <c r="D94" s="620"/>
      <c r="E94" s="620"/>
      <c r="F94" s="620"/>
      <c r="G94" s="620"/>
      <c r="H94" s="620"/>
      <c r="I94" s="620"/>
      <c r="J94" s="620"/>
      <c r="K94" s="620"/>
      <c r="L94" s="620"/>
      <c r="M94" s="620"/>
      <c r="N94" s="620"/>
      <c r="O94" s="620"/>
      <c r="P94" s="644"/>
    </row>
    <row r="95" spans="1:16" ht="42.75" x14ac:dyDescent="0.25">
      <c r="A95" s="34"/>
      <c r="B95" s="428">
        <v>36</v>
      </c>
      <c r="C95" s="413" t="s">
        <v>186</v>
      </c>
      <c r="D95" s="253" t="s">
        <v>33</v>
      </c>
      <c r="E95" s="416"/>
      <c r="F95" s="296"/>
      <c r="G95" s="296"/>
      <c r="H95" s="421"/>
      <c r="I95" s="421"/>
      <c r="J95" s="421"/>
      <c r="K95" s="421"/>
      <c r="L95" s="421"/>
      <c r="M95" s="421"/>
      <c r="N95" s="421"/>
      <c r="O95" s="421"/>
      <c r="P95" s="429">
        <f t="shared" si="1"/>
        <v>0</v>
      </c>
    </row>
    <row r="96" spans="1:16" ht="28.5" x14ac:dyDescent="0.25">
      <c r="A96" s="34"/>
      <c r="B96" s="428">
        <v>37</v>
      </c>
      <c r="C96" s="413" t="s">
        <v>187</v>
      </c>
      <c r="D96" s="253" t="s">
        <v>33</v>
      </c>
      <c r="E96" s="416"/>
      <c r="F96" s="296"/>
      <c r="G96" s="296"/>
      <c r="H96" s="421"/>
      <c r="I96" s="421"/>
      <c r="J96" s="421"/>
      <c r="K96" s="421"/>
      <c r="L96" s="421"/>
      <c r="M96" s="421"/>
      <c r="N96" s="421"/>
      <c r="O96" s="421"/>
      <c r="P96" s="429">
        <f t="shared" si="1"/>
        <v>0</v>
      </c>
    </row>
    <row r="97" spans="1:16" x14ac:dyDescent="0.25">
      <c r="A97" s="34"/>
      <c r="B97" s="428">
        <v>38</v>
      </c>
      <c r="C97" s="413" t="s">
        <v>188</v>
      </c>
      <c r="D97" s="253" t="s">
        <v>33</v>
      </c>
      <c r="E97" s="416"/>
      <c r="F97" s="296"/>
      <c r="G97" s="296"/>
      <c r="H97" s="421"/>
      <c r="I97" s="421"/>
      <c r="J97" s="421"/>
      <c r="K97" s="421"/>
      <c r="L97" s="421"/>
      <c r="M97" s="421"/>
      <c r="N97" s="421"/>
      <c r="O97" s="421"/>
      <c r="P97" s="429">
        <f t="shared" si="1"/>
        <v>0</v>
      </c>
    </row>
    <row r="98" spans="1:16" ht="28.5" x14ac:dyDescent="0.25">
      <c r="A98" s="34"/>
      <c r="B98" s="428">
        <v>39</v>
      </c>
      <c r="C98" s="413" t="s">
        <v>189</v>
      </c>
      <c r="D98" s="253" t="s">
        <v>33</v>
      </c>
      <c r="E98" s="416"/>
      <c r="F98" s="296"/>
      <c r="G98" s="296"/>
      <c r="H98" s="421"/>
      <c r="I98" s="421"/>
      <c r="J98" s="421"/>
      <c r="K98" s="421"/>
      <c r="L98" s="421"/>
      <c r="M98" s="421"/>
      <c r="N98" s="421"/>
      <c r="O98" s="421"/>
      <c r="P98" s="429">
        <f t="shared" si="1"/>
        <v>0</v>
      </c>
    </row>
    <row r="99" spans="1:16" ht="28.5" x14ac:dyDescent="0.25">
      <c r="A99" s="34"/>
      <c r="B99" s="428">
        <v>40</v>
      </c>
      <c r="C99" s="413" t="s">
        <v>190</v>
      </c>
      <c r="D99" s="253" t="s">
        <v>33</v>
      </c>
      <c r="E99" s="416"/>
      <c r="F99" s="296"/>
      <c r="G99" s="296"/>
      <c r="H99" s="421"/>
      <c r="I99" s="421"/>
      <c r="J99" s="421"/>
      <c r="K99" s="421"/>
      <c r="L99" s="421"/>
      <c r="M99" s="421"/>
      <c r="N99" s="421"/>
      <c r="O99" s="421"/>
      <c r="P99" s="429">
        <f t="shared" si="1"/>
        <v>0</v>
      </c>
    </row>
    <row r="100" spans="1:16" ht="28.5" x14ac:dyDescent="0.25">
      <c r="A100" s="34"/>
      <c r="B100" s="428">
        <v>41</v>
      </c>
      <c r="C100" s="413" t="s">
        <v>191</v>
      </c>
      <c r="D100" s="253" t="s">
        <v>33</v>
      </c>
      <c r="E100" s="416"/>
      <c r="F100" s="296"/>
      <c r="G100" s="296"/>
      <c r="H100" s="421"/>
      <c r="I100" s="421"/>
      <c r="J100" s="421"/>
      <c r="K100" s="421"/>
      <c r="L100" s="421"/>
      <c r="M100" s="421"/>
      <c r="N100" s="421"/>
      <c r="O100" s="421"/>
      <c r="P100" s="429">
        <f t="shared" si="1"/>
        <v>0</v>
      </c>
    </row>
    <row r="101" spans="1:16" ht="28.5" x14ac:dyDescent="0.25">
      <c r="A101" s="34"/>
      <c r="B101" s="428">
        <v>42</v>
      </c>
      <c r="C101" s="413" t="s">
        <v>192</v>
      </c>
      <c r="D101" s="253" t="s">
        <v>33</v>
      </c>
      <c r="E101" s="416"/>
      <c r="F101" s="296"/>
      <c r="G101" s="296"/>
      <c r="H101" s="421"/>
      <c r="I101" s="421"/>
      <c r="J101" s="421"/>
      <c r="K101" s="421"/>
      <c r="L101" s="421"/>
      <c r="M101" s="421"/>
      <c r="N101" s="421"/>
      <c r="O101" s="421"/>
      <c r="P101" s="429">
        <f t="shared" si="1"/>
        <v>0</v>
      </c>
    </row>
    <row r="102" spans="1:16" x14ac:dyDescent="0.25">
      <c r="A102" s="34"/>
      <c r="B102" s="428">
        <v>43</v>
      </c>
      <c r="C102" s="413" t="s">
        <v>193</v>
      </c>
      <c r="D102" s="253" t="s">
        <v>33</v>
      </c>
      <c r="E102" s="416"/>
      <c r="F102" s="296"/>
      <c r="G102" s="296"/>
      <c r="H102" s="421"/>
      <c r="I102" s="421"/>
      <c r="J102" s="421"/>
      <c r="K102" s="421"/>
      <c r="L102" s="421"/>
      <c r="M102" s="421"/>
      <c r="N102" s="421"/>
      <c r="O102" s="421"/>
      <c r="P102" s="429">
        <f t="shared" si="1"/>
        <v>0</v>
      </c>
    </row>
    <row r="103" spans="1:16" ht="42.75" x14ac:dyDescent="0.25">
      <c r="A103" s="34"/>
      <c r="B103" s="428">
        <v>44</v>
      </c>
      <c r="C103" s="413" t="s">
        <v>194</v>
      </c>
      <c r="D103" s="253" t="s">
        <v>33</v>
      </c>
      <c r="E103" s="416"/>
      <c r="F103" s="296"/>
      <c r="G103" s="296"/>
      <c r="H103" s="421"/>
      <c r="I103" s="421"/>
      <c r="J103" s="421"/>
      <c r="K103" s="421"/>
      <c r="L103" s="421"/>
      <c r="M103" s="421"/>
      <c r="N103" s="421"/>
      <c r="O103" s="421"/>
      <c r="P103" s="429">
        <f t="shared" si="1"/>
        <v>0</v>
      </c>
    </row>
    <row r="104" spans="1:16" ht="28.5" x14ac:dyDescent="0.25">
      <c r="A104" s="34"/>
      <c r="B104" s="428">
        <v>45</v>
      </c>
      <c r="C104" s="413" t="s">
        <v>195</v>
      </c>
      <c r="D104" s="253" t="s">
        <v>33</v>
      </c>
      <c r="E104" s="416"/>
      <c r="F104" s="296"/>
      <c r="G104" s="296"/>
      <c r="H104" s="421"/>
      <c r="I104" s="421"/>
      <c r="J104" s="421"/>
      <c r="K104" s="421"/>
      <c r="L104" s="421"/>
      <c r="M104" s="421"/>
      <c r="N104" s="421"/>
      <c r="O104" s="421"/>
      <c r="P104" s="429">
        <f t="shared" si="1"/>
        <v>0</v>
      </c>
    </row>
    <row r="105" spans="1:16" ht="28.5" x14ac:dyDescent="0.25">
      <c r="A105" s="34"/>
      <c r="B105" s="428">
        <v>46</v>
      </c>
      <c r="C105" s="413" t="s">
        <v>196</v>
      </c>
      <c r="D105" s="253" t="s">
        <v>33</v>
      </c>
      <c r="E105" s="416"/>
      <c r="F105" s="296"/>
      <c r="G105" s="296"/>
      <c r="H105" s="421"/>
      <c r="I105" s="421"/>
      <c r="J105" s="421"/>
      <c r="K105" s="421"/>
      <c r="L105" s="421"/>
      <c r="M105" s="421"/>
      <c r="N105" s="421"/>
      <c r="O105" s="421"/>
      <c r="P105" s="429">
        <f t="shared" si="1"/>
        <v>0</v>
      </c>
    </row>
    <row r="106" spans="1:16" ht="28.5" x14ac:dyDescent="0.25">
      <c r="A106" s="34"/>
      <c r="B106" s="428">
        <v>47</v>
      </c>
      <c r="C106" s="413" t="s">
        <v>197</v>
      </c>
      <c r="D106" s="253" t="s">
        <v>33</v>
      </c>
      <c r="E106" s="416"/>
      <c r="F106" s="296"/>
      <c r="G106" s="296"/>
      <c r="H106" s="421"/>
      <c r="I106" s="421"/>
      <c r="J106" s="421"/>
      <c r="K106" s="421"/>
      <c r="L106" s="421"/>
      <c r="M106" s="421"/>
      <c r="N106" s="421"/>
      <c r="O106" s="421"/>
      <c r="P106" s="429">
        <f t="shared" si="1"/>
        <v>0</v>
      </c>
    </row>
    <row r="107" spans="1:16" ht="28.5" x14ac:dyDescent="0.25">
      <c r="A107" s="34"/>
      <c r="B107" s="428">
        <v>48</v>
      </c>
      <c r="C107" s="413" t="s">
        <v>198</v>
      </c>
      <c r="D107" s="253" t="s">
        <v>33</v>
      </c>
      <c r="E107" s="416"/>
      <c r="F107" s="296"/>
      <c r="G107" s="296"/>
      <c r="H107" s="421"/>
      <c r="I107" s="421"/>
      <c r="J107" s="421"/>
      <c r="K107" s="421"/>
      <c r="L107" s="421"/>
      <c r="M107" s="421"/>
      <c r="N107" s="421"/>
      <c r="O107" s="421"/>
      <c r="P107" s="429">
        <f t="shared" si="1"/>
        <v>0</v>
      </c>
    </row>
    <row r="108" spans="1:16" ht="28.5" x14ac:dyDescent="0.25">
      <c r="A108" s="34"/>
      <c r="B108" s="428">
        <v>49</v>
      </c>
      <c r="C108" s="413" t="s">
        <v>199</v>
      </c>
      <c r="D108" s="253" t="s">
        <v>33</v>
      </c>
      <c r="E108" s="416"/>
      <c r="F108" s="296"/>
      <c r="G108" s="296"/>
      <c r="H108" s="421"/>
      <c r="I108" s="421"/>
      <c r="J108" s="421"/>
      <c r="K108" s="421"/>
      <c r="L108" s="421"/>
      <c r="M108" s="421"/>
      <c r="N108" s="421"/>
      <c r="O108" s="421"/>
      <c r="P108" s="429">
        <f t="shared" si="1"/>
        <v>0</v>
      </c>
    </row>
    <row r="109" spans="1:16" x14ac:dyDescent="0.25">
      <c r="A109" s="34"/>
      <c r="B109" s="430" t="s">
        <v>260</v>
      </c>
      <c r="C109" s="413"/>
      <c r="D109" s="253" t="s">
        <v>255</v>
      </c>
      <c r="E109" s="416"/>
      <c r="F109" s="296"/>
      <c r="G109" s="296"/>
      <c r="H109" s="421"/>
      <c r="I109" s="421"/>
      <c r="J109" s="421"/>
      <c r="K109" s="421"/>
      <c r="L109" s="421"/>
      <c r="M109" s="421"/>
      <c r="N109" s="421"/>
      <c r="O109" s="421"/>
      <c r="P109" s="429"/>
    </row>
    <row r="110" spans="1:16" x14ac:dyDescent="0.25">
      <c r="A110" s="34"/>
      <c r="B110" s="428"/>
      <c r="C110" s="609"/>
      <c r="D110" s="609"/>
      <c r="E110" s="268"/>
      <c r="F110" s="296"/>
      <c r="G110" s="296"/>
      <c r="H110" s="421"/>
      <c r="I110" s="421"/>
      <c r="J110" s="421"/>
      <c r="K110" s="421"/>
      <c r="L110" s="421"/>
      <c r="M110" s="421"/>
      <c r="N110" s="421"/>
      <c r="O110" s="421"/>
      <c r="P110" s="429"/>
    </row>
    <row r="111" spans="1:16" x14ac:dyDescent="0.25">
      <c r="A111" s="34"/>
      <c r="B111" s="428"/>
      <c r="C111" s="609"/>
      <c r="D111" s="609"/>
      <c r="E111" s="268"/>
      <c r="F111" s="296"/>
      <c r="G111" s="296"/>
      <c r="H111" s="421"/>
      <c r="I111" s="421"/>
      <c r="J111" s="421"/>
      <c r="K111" s="421"/>
      <c r="L111" s="421"/>
      <c r="M111" s="421"/>
      <c r="N111" s="421"/>
      <c r="O111" s="421"/>
      <c r="P111" s="429"/>
    </row>
    <row r="112" spans="1:16" x14ac:dyDescent="0.25">
      <c r="A112" s="34"/>
      <c r="B112" s="434"/>
      <c r="C112" s="609"/>
      <c r="D112" s="609"/>
      <c r="E112" s="268"/>
      <c r="F112" s="403"/>
      <c r="G112" s="403"/>
      <c r="H112" s="435"/>
      <c r="I112" s="435"/>
      <c r="J112" s="435"/>
      <c r="K112" s="435"/>
      <c r="L112" s="435"/>
      <c r="M112" s="435"/>
      <c r="N112" s="435"/>
      <c r="O112" s="435"/>
      <c r="P112" s="436"/>
    </row>
    <row r="113" spans="2:17" x14ac:dyDescent="0.25">
      <c r="B113" s="352"/>
      <c r="C113" s="608" t="s">
        <v>223</v>
      </c>
      <c r="D113" s="608"/>
      <c r="E113" s="353"/>
      <c r="F113" s="354">
        <f>SUM(F19:F25,F30:F35,F40:F43,F48:F52,F54:F61)</f>
        <v>7982442</v>
      </c>
      <c r="G113" s="354">
        <f>SUM(G19:G25,G30:G35,G40:G43,G48:G52,G54:G61)</f>
        <v>451</v>
      </c>
      <c r="H113" s="355">
        <f>SUM(F19*H19,F20*H20,F21*H21,F22*H22,F23*H23,F24*H24,F48*H48,F65*H65,F66*H66,F67*H67,F68*H68)</f>
        <v>1413662</v>
      </c>
      <c r="I113" s="355">
        <f>SUM(F30*I30,F31*I31,F32*I32,F33*I33,F34*I34,F74*I74,F75*I75,F76*I76,F77*I77,F78*I78,F79*I79,F80*I80,F81*I81,F87*I87,F88*I88,F89*I89)</f>
        <v>971913.26</v>
      </c>
      <c r="J113" s="356"/>
      <c r="K113" s="353"/>
      <c r="L113" s="353"/>
      <c r="M113" s="353"/>
      <c r="N113" s="355"/>
      <c r="O113" s="353"/>
      <c r="P113" s="357">
        <f>SUM(H113:O113)</f>
        <v>2385575.2599999998</v>
      </c>
    </row>
    <row r="114" spans="2:17" x14ac:dyDescent="0.25">
      <c r="B114" s="275"/>
      <c r="C114" s="609" t="s">
        <v>262</v>
      </c>
      <c r="D114" s="609"/>
      <c r="E114" s="269"/>
      <c r="F114" s="267"/>
      <c r="G114" s="267"/>
      <c r="H114" s="269"/>
      <c r="I114" s="269"/>
      <c r="J114" s="532">
        <f>SUM($E$30*$G$30*J30,$E$31*$G$31*J31,$E$32*$G$32*J32,$E$33*$G$33*J33,$E$34*$G$34*J34,$E$40*$G$40*J40,$E$41*$G$41*J41,$E$42*$G$42*J42,$E$74*$G$74*J74,$E$75*$G$75*J75,$E$76*$G$76*J76,$E$77*$G$77*J77,$E$78*$G$78*J78,$E$79*$G$79*J79,$E$80*$G$80*J80,$E$81*$G$81*J81,$E$54*$G$54*J54)</f>
        <v>3667.68</v>
      </c>
      <c r="K114" s="270">
        <f>SUM($E$30*$G$30*K30,$E$31*$G$31*K31,$E$32*$G$32*K32,$E$33*$G$33*K33,$E$34*$G$34*K34,$E$40*$G$40*K40,$E$41*$G$41*K41,$E$42*$G$42*K42,$E$74*$G$74*K74,$E$75*$G$75*K75,$E$76*$G$76*K76,$E$77*$G$77*K77,$E$78*$G$78*K78,$E$79*$G$79*K79,$E$80*$G$80*K80,$E$81*$G$81*K81)</f>
        <v>471.84000000000003</v>
      </c>
      <c r="L114" s="270"/>
      <c r="M114" s="270"/>
      <c r="N114" s="269"/>
      <c r="O114" s="270">
        <f>SUM($E$30*$G$30*O30,$E$31*$G$31*O31,$E$32*$G$32*O32,$E$33*$G$33*O33,$E$34*$G$34*O34,$E$40*$G$40*O40,$E$41*$G$41*O41,$E$42*$G$42*O42,$E$74*$G$74*O74,$E$75*$G$75*O75,$E$76*$G$76*O76,$E$77*$G$77*O77,$E$78*$G$78*O78,$E$79*$G$79*O79,$E$80*$G$80*O80,$E$81*$G$81*O81)</f>
        <v>0</v>
      </c>
      <c r="P114" s="276">
        <f>SUM(H114:O114)</f>
        <v>4139.5199999999995</v>
      </c>
    </row>
    <row r="115" spans="2:17" x14ac:dyDescent="0.25">
      <c r="B115" s="275"/>
      <c r="C115" s="609" t="s">
        <v>504</v>
      </c>
      <c r="D115" s="609"/>
      <c r="E115" s="269"/>
      <c r="F115" s="267"/>
      <c r="G115" s="267"/>
      <c r="H115" s="269"/>
      <c r="I115" s="269"/>
      <c r="J115" s="270">
        <f>J114-SUM($E$34*$G$34*J34,$E$78*$G$78*J78)</f>
        <v>3667.68</v>
      </c>
      <c r="K115" s="270">
        <f>K114-SUM($E$34*$G$34*K34,$E$78*$G$78*K78)</f>
        <v>471.84000000000003</v>
      </c>
      <c r="L115" s="269"/>
      <c r="M115" s="269"/>
      <c r="N115" s="269"/>
      <c r="O115" s="270">
        <f>O114-SUM($E$34*$G$34*O34,$E$78*$G$78*O78)</f>
        <v>0</v>
      </c>
      <c r="P115" s="276"/>
    </row>
    <row r="116" spans="2:17" x14ac:dyDescent="0.25">
      <c r="B116" s="277"/>
      <c r="C116" s="610"/>
      <c r="D116" s="610"/>
      <c r="E116" s="262"/>
      <c r="F116" s="260"/>
      <c r="G116" s="260"/>
      <c r="H116" s="262"/>
      <c r="I116" s="262"/>
      <c r="J116" s="262"/>
      <c r="K116" s="262"/>
      <c r="L116" s="262"/>
      <c r="M116" s="262"/>
      <c r="N116" s="262"/>
      <c r="O116" s="262"/>
      <c r="P116" s="278"/>
    </row>
    <row r="117" spans="2:17" x14ac:dyDescent="0.25">
      <c r="B117" s="277"/>
      <c r="C117" s="515"/>
      <c r="D117" s="262"/>
      <c r="E117" s="262"/>
      <c r="F117" s="260"/>
      <c r="G117" s="260"/>
      <c r="H117" s="262"/>
      <c r="I117" s="262"/>
      <c r="J117" s="262"/>
      <c r="K117" s="262"/>
      <c r="L117" s="262"/>
      <c r="M117" s="262"/>
      <c r="N117" s="262"/>
      <c r="O117" s="262"/>
      <c r="P117" s="278"/>
    </row>
    <row r="118" spans="2:17" x14ac:dyDescent="0.25">
      <c r="B118" s="380"/>
      <c r="C118" s="611" t="s">
        <v>326</v>
      </c>
      <c r="D118" s="611"/>
      <c r="E118" s="253"/>
      <c r="F118" s="264"/>
      <c r="G118" s="253"/>
      <c r="H118" s="265">
        <f>'3.  Distribution Rates'!I33</f>
        <v>2.1599999999999998E-2</v>
      </c>
      <c r="I118" s="265">
        <f>'3.  Distribution Rates'!I34</f>
        <v>1.9033333333333333E-2</v>
      </c>
      <c r="J118" s="265">
        <f>'3.  Distribution Rates'!I35</f>
        <v>4.2209666666666665</v>
      </c>
      <c r="K118" s="265">
        <f>'3.  Distribution Rates'!I36</f>
        <v>1.7219</v>
      </c>
      <c r="L118" s="265">
        <f>'3.  Distribution Rates'!I37</f>
        <v>25.96296666666667</v>
      </c>
      <c r="M118" s="265">
        <f>'3.  Distribution Rates'!I38</f>
        <v>18.988933333333332</v>
      </c>
      <c r="N118" s="265">
        <f>'3.  Distribution Rates'!I39</f>
        <v>3.3266666666666667E-2</v>
      </c>
      <c r="O118" s="265">
        <f>'3.  Distribution Rates'!I40</f>
        <v>1.8763333333333334</v>
      </c>
      <c r="P118" s="381"/>
    </row>
    <row r="119" spans="2:17" x14ac:dyDescent="0.25">
      <c r="B119" s="380"/>
      <c r="C119" s="611" t="s">
        <v>230</v>
      </c>
      <c r="D119" s="611"/>
      <c r="E119" s="262"/>
      <c r="F119" s="264"/>
      <c r="G119" s="264"/>
      <c r="H119" s="377">
        <f>'4.  2011-14 LRAM'!H$77*H118</f>
        <v>27461.586065325944</v>
      </c>
      <c r="I119" s="377">
        <f>'4.  2011-14 LRAM'!I$77*I118</f>
        <v>5901.0393160441827</v>
      </c>
      <c r="J119" s="377">
        <f>'4.  2011-14 LRAM'!J$77*J118</f>
        <v>25822.843393678901</v>
      </c>
      <c r="K119" s="377">
        <f>'4.  2011-14 LRAM'!K$77*K118</f>
        <v>0</v>
      </c>
      <c r="L119" s="377">
        <f>'4.  2011-14 LRAM'!L$77*L118</f>
        <v>0</v>
      </c>
      <c r="M119" s="377">
        <f>'4.  2011-14 LRAM'!M$77*M118</f>
        <v>0</v>
      </c>
      <c r="N119" s="377">
        <f>'4.  2011-14 LRAM'!N$77*N118</f>
        <v>0</v>
      </c>
      <c r="O119" s="377">
        <f>'4.  2011-14 LRAM'!O$77*O118</f>
        <v>0</v>
      </c>
      <c r="P119" s="279">
        <f>SUM(H119:O119)</f>
        <v>59185.468775049027</v>
      </c>
      <c r="Q119" s="17"/>
    </row>
    <row r="120" spans="2:17" x14ac:dyDescent="0.25">
      <c r="B120" s="380"/>
      <c r="C120" s="611" t="s">
        <v>231</v>
      </c>
      <c r="D120" s="611"/>
      <c r="E120" s="262"/>
      <c r="F120" s="264"/>
      <c r="G120" s="264"/>
      <c r="H120" s="377">
        <f>'4.  2011-14 LRAM'!H$156*H118</f>
        <v>15730.359275219618</v>
      </c>
      <c r="I120" s="377">
        <f>'4.  2011-14 LRAM'!I$156*I118</f>
        <v>20887.074879512016</v>
      </c>
      <c r="J120" s="377">
        <f>'4.  2011-14 LRAM'!J$156*J118</f>
        <v>24186.040023374011</v>
      </c>
      <c r="K120" s="377">
        <f>'4.  2011-14 LRAM'!K$156*K118</f>
        <v>0</v>
      </c>
      <c r="L120" s="377">
        <f>'4.  2011-14 LRAM'!L$156*L118</f>
        <v>0</v>
      </c>
      <c r="M120" s="377">
        <f>'4.  2011-14 LRAM'!M$156*M118</f>
        <v>0</v>
      </c>
      <c r="N120" s="377">
        <f>'4.  2011-14 LRAM'!N$156*N118</f>
        <v>0</v>
      </c>
      <c r="O120" s="377">
        <f>'4.  2011-14 LRAM'!O$156*O118</f>
        <v>0</v>
      </c>
      <c r="P120" s="279">
        <f>SUM(H120:O120)</f>
        <v>60803.474178105651</v>
      </c>
    </row>
    <row r="121" spans="2:17" x14ac:dyDescent="0.25">
      <c r="B121" s="380"/>
      <c r="C121" s="611" t="s">
        <v>232</v>
      </c>
      <c r="D121" s="611"/>
      <c r="E121" s="262"/>
      <c r="F121" s="264"/>
      <c r="G121" s="264"/>
      <c r="H121" s="377">
        <f>'4.  2011-14 LRAM'!H$236*H118</f>
        <v>19026.709021143502</v>
      </c>
      <c r="I121" s="377">
        <f>'4.  2011-14 LRAM'!I$236*I118</f>
        <v>10354.998022900976</v>
      </c>
      <c r="J121" s="377">
        <f>'4.  2011-14 LRAM'!J$236*J118</f>
        <v>12432.585713499966</v>
      </c>
      <c r="K121" s="377">
        <f>'4.  2011-14 LRAM'!K$236*K118</f>
        <v>1281.7572782905995</v>
      </c>
      <c r="L121" s="377">
        <f>'4.  2011-14 LRAM'!L$236*L118</f>
        <v>0</v>
      </c>
      <c r="M121" s="377">
        <f>'4.  2011-14 LRAM'!M$236*M118</f>
        <v>0</v>
      </c>
      <c r="N121" s="377">
        <f>'4.  2011-14 LRAM'!N$236*N118</f>
        <v>0</v>
      </c>
      <c r="O121" s="377">
        <f>'4.  2011-14 LRAM'!O$236*O118</f>
        <v>452.92841218320399</v>
      </c>
      <c r="P121" s="279">
        <f t="shared" ref="P121" si="2">SUM(H121:O121)</f>
        <v>43548.97844801825</v>
      </c>
    </row>
    <row r="122" spans="2:17" x14ac:dyDescent="0.25">
      <c r="B122" s="380"/>
      <c r="C122" s="611" t="s">
        <v>233</v>
      </c>
      <c r="D122" s="611"/>
      <c r="E122" s="262"/>
      <c r="F122" s="264"/>
      <c r="G122" s="264"/>
      <c r="H122" s="377">
        <f>'4.  2011-14 LRAM'!H$317*H118</f>
        <v>33508.109948511767</v>
      </c>
      <c r="I122" s="377">
        <f>'4.  2011-14 LRAM'!I$317*I118</f>
        <v>15807.798898242454</v>
      </c>
      <c r="J122" s="377">
        <f>'4.  2011-14 LRAM'!J$317*J118</f>
        <v>10128.637116025442</v>
      </c>
      <c r="K122" s="377">
        <f>'4.  2011-14 LRAM'!K$317*K118</f>
        <v>1396.2145168556635</v>
      </c>
      <c r="L122" s="377">
        <f>'4.  2011-14 LRAM'!L$317*L118</f>
        <v>0</v>
      </c>
      <c r="M122" s="377">
        <f>'4.  2011-14 LRAM'!M$317*M118</f>
        <v>0</v>
      </c>
      <c r="N122" s="377">
        <f>'4.  2011-14 LRAM'!N$317*N118</f>
        <v>0</v>
      </c>
      <c r="O122" s="377">
        <f>'4.  2011-14 LRAM'!O$317*O118</f>
        <v>389.10078258432463</v>
      </c>
      <c r="P122" s="279">
        <f>SUM(H122:O122)</f>
        <v>61229.861262219652</v>
      </c>
    </row>
    <row r="123" spans="2:17" x14ac:dyDescent="0.25">
      <c r="B123" s="380"/>
      <c r="C123" s="611" t="s">
        <v>234</v>
      </c>
      <c r="D123" s="611"/>
      <c r="E123" s="262"/>
      <c r="F123" s="264"/>
      <c r="G123" s="264"/>
      <c r="H123" s="377">
        <f>H113*H118</f>
        <v>30535.099199999997</v>
      </c>
      <c r="I123" s="377">
        <f>I113*I118</f>
        <v>18498.749048666665</v>
      </c>
      <c r="J123" s="377">
        <f>J114*J118</f>
        <v>15481.155024</v>
      </c>
      <c r="K123" s="377">
        <f>K114*K118</f>
        <v>812.46129600000006</v>
      </c>
      <c r="L123" s="377">
        <f>L114*L118</f>
        <v>0</v>
      </c>
      <c r="M123" s="377">
        <f>M114*M118</f>
        <v>0</v>
      </c>
      <c r="N123" s="377">
        <f>N113*N118</f>
        <v>0</v>
      </c>
      <c r="O123" s="377">
        <f>O113*O118</f>
        <v>0</v>
      </c>
      <c r="P123" s="279">
        <f>SUM(H123:O123)</f>
        <v>65327.464568666663</v>
      </c>
    </row>
    <row r="124" spans="2:17" x14ac:dyDescent="0.25">
      <c r="B124" s="277"/>
      <c r="C124" s="378" t="s">
        <v>224</v>
      </c>
      <c r="D124" s="262"/>
      <c r="E124" s="262"/>
      <c r="F124" s="260"/>
      <c r="G124" s="260"/>
      <c r="H124" s="266">
        <f>SUM(H119:H123)</f>
        <v>126261.86351020084</v>
      </c>
      <c r="I124" s="266">
        <f>SUM(I119:I123)</f>
        <v>71449.660165366295</v>
      </c>
      <c r="J124" s="266">
        <f t="shared" ref="J124:O124" si="3">SUM(J119:J123)</f>
        <v>88051.261270578339</v>
      </c>
      <c r="K124" s="266">
        <f t="shared" si="3"/>
        <v>3490.433091146263</v>
      </c>
      <c r="L124" s="266">
        <f t="shared" si="3"/>
        <v>0</v>
      </c>
      <c r="M124" s="266">
        <f t="shared" si="3"/>
        <v>0</v>
      </c>
      <c r="N124" s="266">
        <f t="shared" si="3"/>
        <v>0</v>
      </c>
      <c r="O124" s="266">
        <f t="shared" si="3"/>
        <v>842.02919476752868</v>
      </c>
      <c r="P124" s="280">
        <f>SUM(P119:P123)</f>
        <v>290095.24723205925</v>
      </c>
    </row>
    <row r="125" spans="2:17" x14ac:dyDescent="0.25">
      <c r="B125" s="281"/>
      <c r="C125" s="452"/>
      <c r="D125" s="282"/>
      <c r="E125" s="282"/>
      <c r="F125" s="283"/>
      <c r="G125" s="283"/>
      <c r="H125" s="453"/>
      <c r="I125" s="453"/>
      <c r="J125" s="453"/>
      <c r="K125" s="453"/>
      <c r="L125" s="453"/>
      <c r="M125" s="453"/>
      <c r="N125" s="453"/>
      <c r="O125" s="282"/>
      <c r="P125" s="454"/>
    </row>
    <row r="126" spans="2:17" ht="14.45" hidden="1" x14ac:dyDescent="0.3">
      <c r="B126" s="422"/>
      <c r="C126" s="611" t="s">
        <v>225</v>
      </c>
      <c r="D126" s="611"/>
      <c r="E126" s="414"/>
      <c r="F126" s="158"/>
      <c r="G126" s="158"/>
      <c r="H126" s="501" t="e">
        <f>$H$113*'6.  Persistence Rates'!$E$44</f>
        <v>#DIV/0!</v>
      </c>
      <c r="I126" s="501" t="e">
        <f>I113*'6.  Persistence Rates'!$E$44</f>
        <v>#DIV/0!</v>
      </c>
      <c r="J126" s="501" t="e">
        <f>$J$115*'6.  Persistence Rates'!$R$44</f>
        <v>#DIV/0!</v>
      </c>
      <c r="K126" s="501" t="e">
        <f>$K$115*'6.  Persistence Rates'!$R$44</f>
        <v>#DIV/0!</v>
      </c>
      <c r="L126" s="501" t="e">
        <f>$L$114*'6.  Persistence Rates'!$R$44</f>
        <v>#DIV/0!</v>
      </c>
      <c r="M126" s="501" t="e">
        <f>$M$114*'6.  Persistence Rates'!$R$44</f>
        <v>#DIV/0!</v>
      </c>
      <c r="N126" s="501" t="e">
        <f>$N$113*'6.  Persistence Rates'!$E$44</f>
        <v>#DIV/0!</v>
      </c>
      <c r="O126" s="158"/>
      <c r="P126" s="350"/>
      <c r="Q126" s="17"/>
    </row>
    <row r="127" spans="2:17" ht="14.45" hidden="1" x14ac:dyDescent="0.3">
      <c r="B127" s="422"/>
      <c r="C127" s="611" t="s">
        <v>226</v>
      </c>
      <c r="D127" s="611"/>
      <c r="E127" s="414"/>
      <c r="F127" s="158"/>
      <c r="G127" s="158"/>
      <c r="H127" s="501" t="e">
        <f>H113*'6.  Persistence Rates'!F$44</f>
        <v>#DIV/0!</v>
      </c>
      <c r="I127" s="501" t="e">
        <f>I113*'6.  Persistence Rates'!F$44</f>
        <v>#DIV/0!</v>
      </c>
      <c r="J127" s="501" t="e">
        <f>$J$115*'6.  Persistence Rates'!$S$44</f>
        <v>#DIV/0!</v>
      </c>
      <c r="K127" s="501" t="e">
        <f>$K$115*'6.  Persistence Rates'!$S$44</f>
        <v>#DIV/0!</v>
      </c>
      <c r="L127" s="501" t="e">
        <f>$L$114*'6.  Persistence Rates'!$S$44</f>
        <v>#DIV/0!</v>
      </c>
      <c r="M127" s="501" t="e">
        <f>$M$114*'6.  Persistence Rates'!$S$44</f>
        <v>#DIV/0!</v>
      </c>
      <c r="N127" s="501" t="e">
        <f>$N$113*'6.  Persistence Rates'!$F$44</f>
        <v>#DIV/0!</v>
      </c>
      <c r="O127" s="158"/>
      <c r="P127" s="350"/>
    </row>
    <row r="128" spans="2:17" ht="14.45" hidden="1" x14ac:dyDescent="0.3">
      <c r="B128" s="422"/>
      <c r="C128" s="611" t="s">
        <v>227</v>
      </c>
      <c r="D128" s="611"/>
      <c r="E128" s="414"/>
      <c r="F128" s="158"/>
      <c r="G128" s="158"/>
      <c r="H128" s="501" t="e">
        <f>H113*'6.  Persistence Rates'!G$44</f>
        <v>#DIV/0!</v>
      </c>
      <c r="I128" s="501" t="e">
        <f>I113*'6.  Persistence Rates'!G$44</f>
        <v>#DIV/0!</v>
      </c>
      <c r="J128" s="501" t="e">
        <f>$J$115*'6.  Persistence Rates'!$T$44</f>
        <v>#DIV/0!</v>
      </c>
      <c r="K128" s="501" t="e">
        <f>$K$115*'6.  Persistence Rates'!$T$44</f>
        <v>#DIV/0!</v>
      </c>
      <c r="L128" s="501" t="e">
        <f>$L$114*'6.  Persistence Rates'!$T$44</f>
        <v>#DIV/0!</v>
      </c>
      <c r="M128" s="501" t="e">
        <f>$M$114*'6.  Persistence Rates'!$T$44</f>
        <v>#DIV/0!</v>
      </c>
      <c r="N128" s="501" t="e">
        <f>$N$113*'6.  Persistence Rates'!$G$44</f>
        <v>#DIV/0!</v>
      </c>
      <c r="O128" s="158"/>
      <c r="P128" s="350"/>
    </row>
    <row r="129" spans="2:16" ht="14.45" hidden="1" x14ac:dyDescent="0.3">
      <c r="B129" s="422"/>
      <c r="C129" s="611" t="s">
        <v>228</v>
      </c>
      <c r="D129" s="611"/>
      <c r="E129" s="414"/>
      <c r="F129" s="158"/>
      <c r="G129" s="158"/>
      <c r="H129" s="501" t="e">
        <f>H113*'6.  Persistence Rates'!H$44</f>
        <v>#DIV/0!</v>
      </c>
      <c r="I129" s="501" t="e">
        <f>I113*'6.  Persistence Rates'!H$44</f>
        <v>#DIV/0!</v>
      </c>
      <c r="J129" s="501" t="e">
        <f>$J$115*'6.  Persistence Rates'!$U$44</f>
        <v>#DIV/0!</v>
      </c>
      <c r="K129" s="501" t="e">
        <f>$K$115*'6.  Persistence Rates'!$U$44</f>
        <v>#DIV/0!</v>
      </c>
      <c r="L129" s="501" t="e">
        <f>$L$114*'6.  Persistence Rates'!$U$44</f>
        <v>#DIV/0!</v>
      </c>
      <c r="M129" s="501" t="e">
        <f>$M$114*'6.  Persistence Rates'!$U$44</f>
        <v>#DIV/0!</v>
      </c>
      <c r="N129" s="501" t="e">
        <f>$N$113*'6.  Persistence Rates'!$H$44</f>
        <v>#DIV/0!</v>
      </c>
      <c r="O129" s="158"/>
      <c r="P129" s="350"/>
    </row>
    <row r="130" spans="2:16" ht="14.45" hidden="1" x14ac:dyDescent="0.3">
      <c r="B130" s="423"/>
      <c r="C130" s="623" t="s">
        <v>229</v>
      </c>
      <c r="D130" s="623"/>
      <c r="E130" s="424"/>
      <c r="F130" s="330"/>
      <c r="G130" s="330"/>
      <c r="H130" s="501" t="e">
        <f>H113*'6.  Persistence Rates'!I$44</f>
        <v>#DIV/0!</v>
      </c>
      <c r="I130" s="501" t="e">
        <f>I113*'6.  Persistence Rates'!I$44</f>
        <v>#DIV/0!</v>
      </c>
      <c r="J130" s="501" t="e">
        <f>$J$115*'6.  Persistence Rates'!$V$44</f>
        <v>#DIV/0!</v>
      </c>
      <c r="K130" s="501" t="e">
        <f>$K$115*'6.  Persistence Rates'!$V$44</f>
        <v>#DIV/0!</v>
      </c>
      <c r="L130" s="501" t="e">
        <f>$L$114*'6.  Persistence Rates'!$V$44</f>
        <v>#DIV/0!</v>
      </c>
      <c r="M130" s="501" t="e">
        <f>$M$114*'6.  Persistence Rates'!$V$44</f>
        <v>#DIV/0!</v>
      </c>
      <c r="N130" s="501" t="e">
        <f>$N$113*'6.  Persistence Rates'!$I$44</f>
        <v>#DIV/0!</v>
      </c>
      <c r="O130" s="330"/>
      <c r="P130" s="399"/>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0" fitToHeight="0" orientation="landscape"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3"/>
    <row r="2" spans="1:18" ht="18.75" customHeight="1" x14ac:dyDescent="0.35">
      <c r="B2" s="638" t="s">
        <v>267</v>
      </c>
      <c r="C2" s="638"/>
      <c r="D2" s="638"/>
      <c r="E2" s="638"/>
      <c r="F2" s="638"/>
      <c r="G2" s="638"/>
      <c r="H2" s="638"/>
      <c r="I2" s="638"/>
      <c r="J2" s="638"/>
      <c r="K2" s="638"/>
      <c r="L2" s="638"/>
      <c r="M2" s="638"/>
      <c r="N2" s="638"/>
      <c r="O2" s="638"/>
      <c r="P2" s="638"/>
    </row>
    <row r="3" spans="1:18" ht="18.75" customHeight="1" outlineLevel="1" x14ac:dyDescent="0.35">
      <c r="B3" s="63"/>
      <c r="C3" s="176"/>
      <c r="D3" s="63"/>
      <c r="E3" s="63"/>
      <c r="F3" s="63"/>
      <c r="G3" s="63"/>
      <c r="H3" s="63"/>
      <c r="I3" s="63"/>
      <c r="J3" s="63"/>
      <c r="K3" s="63"/>
      <c r="L3" s="63"/>
      <c r="M3" s="63"/>
      <c r="N3" s="63"/>
      <c r="O3" s="63"/>
      <c r="P3" s="63"/>
    </row>
    <row r="4" spans="1:18" ht="35.25" customHeight="1" outlineLevel="1" x14ac:dyDescent="0.35">
      <c r="A4" s="243"/>
      <c r="B4" s="390"/>
      <c r="C4" s="368" t="s">
        <v>403</v>
      </c>
      <c r="D4" s="390"/>
      <c r="E4" s="592" t="s">
        <v>366</v>
      </c>
      <c r="F4" s="592"/>
      <c r="G4" s="592"/>
      <c r="H4" s="592"/>
      <c r="I4" s="592"/>
      <c r="J4" s="592"/>
      <c r="K4" s="592"/>
      <c r="L4" s="592"/>
      <c r="M4" s="592"/>
      <c r="N4" s="592"/>
      <c r="O4" s="592"/>
      <c r="P4" s="592"/>
    </row>
    <row r="5" spans="1:18" ht="18.75" customHeight="1" outlineLevel="1" x14ac:dyDescent="0.35">
      <c r="A5" s="47"/>
      <c r="B5" s="390"/>
      <c r="C5" s="391"/>
      <c r="D5" s="390"/>
      <c r="E5" s="371" t="s">
        <v>360</v>
      </c>
      <c r="F5" s="390"/>
      <c r="G5" s="390"/>
      <c r="H5" s="390"/>
      <c r="I5" s="390"/>
      <c r="J5" s="390"/>
      <c r="K5" s="390"/>
      <c r="L5" s="390"/>
      <c r="M5" s="390"/>
      <c r="N5" s="390"/>
      <c r="O5" s="390"/>
      <c r="P5" s="390"/>
    </row>
    <row r="6" spans="1:18" ht="18.75" customHeight="1" outlineLevel="1" x14ac:dyDescent="0.35">
      <c r="A6" s="47"/>
      <c r="B6" s="390"/>
      <c r="C6" s="391"/>
      <c r="D6" s="390"/>
      <c r="E6" s="371" t="s">
        <v>361</v>
      </c>
      <c r="F6" s="390"/>
      <c r="G6" s="390"/>
      <c r="H6" s="390"/>
      <c r="I6" s="390"/>
      <c r="J6" s="390"/>
      <c r="K6" s="390"/>
      <c r="L6" s="390"/>
      <c r="M6" s="390"/>
      <c r="N6" s="390"/>
      <c r="O6" s="390"/>
      <c r="P6" s="390"/>
    </row>
    <row r="7" spans="1:18" ht="18.75" customHeight="1" outlineLevel="1" x14ac:dyDescent="0.35">
      <c r="A7" s="47"/>
      <c r="B7" s="390"/>
      <c r="C7" s="391"/>
      <c r="D7" s="390"/>
      <c r="E7" s="371" t="s">
        <v>421</v>
      </c>
      <c r="F7" s="390"/>
      <c r="G7" s="390"/>
      <c r="H7" s="390"/>
      <c r="I7" s="390"/>
      <c r="J7" s="390"/>
      <c r="K7" s="390"/>
      <c r="L7" s="390"/>
      <c r="M7" s="390"/>
      <c r="N7" s="390"/>
      <c r="O7" s="390"/>
      <c r="P7" s="390"/>
    </row>
    <row r="8" spans="1:18" ht="18.75" customHeight="1" outlineLevel="1" x14ac:dyDescent="0.35">
      <c r="A8" s="47"/>
      <c r="B8" s="390"/>
      <c r="C8" s="391"/>
      <c r="D8" s="390"/>
      <c r="E8" s="371"/>
      <c r="F8" s="390"/>
      <c r="G8" s="390"/>
      <c r="H8" s="390"/>
      <c r="I8" s="390"/>
      <c r="J8" s="390"/>
      <c r="K8" s="390"/>
      <c r="L8" s="390"/>
      <c r="M8" s="390"/>
      <c r="N8" s="390"/>
      <c r="O8" s="390"/>
      <c r="P8" s="390"/>
    </row>
    <row r="9" spans="1:18" ht="18.75" customHeight="1" outlineLevel="1" x14ac:dyDescent="0.35">
      <c r="A9" s="47"/>
      <c r="B9" s="390"/>
      <c r="C9" s="392" t="s">
        <v>339</v>
      </c>
      <c r="D9" s="390"/>
      <c r="E9" s="652" t="s">
        <v>367</v>
      </c>
      <c r="F9" s="652"/>
      <c r="G9" s="390"/>
      <c r="H9" s="390"/>
      <c r="I9" s="390"/>
      <c r="J9" s="390"/>
      <c r="K9" s="390"/>
      <c r="L9" s="390"/>
      <c r="M9" s="390"/>
      <c r="N9" s="390"/>
      <c r="O9" s="390"/>
      <c r="P9" s="390"/>
      <c r="R9" s="82"/>
    </row>
    <row r="10" spans="1:18" ht="18.75" customHeight="1" outlineLevel="1" x14ac:dyDescent="0.35">
      <c r="A10" s="47"/>
      <c r="B10" s="390"/>
      <c r="C10" s="391"/>
      <c r="D10" s="390"/>
      <c r="E10" s="653" t="s">
        <v>340</v>
      </c>
      <c r="F10" s="653"/>
      <c r="G10" s="390"/>
      <c r="H10" s="390"/>
      <c r="I10" s="390"/>
      <c r="J10" s="390"/>
      <c r="K10" s="390"/>
      <c r="L10" s="390"/>
      <c r="M10" s="390"/>
      <c r="N10" s="390"/>
      <c r="O10" s="390"/>
      <c r="P10" s="390"/>
    </row>
    <row r="11" spans="1:18" ht="18.75" customHeight="1" x14ac:dyDescent="0.35">
      <c r="B11" s="63"/>
      <c r="C11" s="63"/>
      <c r="D11" s="63"/>
      <c r="E11" s="137"/>
      <c r="G11" s="63"/>
      <c r="H11" s="63"/>
      <c r="I11" s="63"/>
      <c r="J11" s="63"/>
      <c r="K11" s="63"/>
      <c r="L11" s="63"/>
      <c r="M11" s="63"/>
      <c r="N11" s="63"/>
      <c r="O11" s="63"/>
      <c r="P11" s="63"/>
    </row>
    <row r="12" spans="1:18" ht="18.75" customHeight="1" x14ac:dyDescent="0.35">
      <c r="B12" s="190" t="s">
        <v>479</v>
      </c>
      <c r="C12" s="63"/>
      <c r="D12" s="63"/>
      <c r="E12" s="169"/>
      <c r="F12" s="63"/>
      <c r="G12" s="63"/>
      <c r="H12" s="63"/>
      <c r="I12" s="63"/>
      <c r="J12" s="63"/>
      <c r="K12" s="63"/>
      <c r="L12" s="63"/>
      <c r="M12" s="63"/>
      <c r="N12" s="63"/>
      <c r="O12" s="63"/>
      <c r="P12" s="63"/>
    </row>
    <row r="13" spans="1:18" ht="45" x14ac:dyDescent="0.25">
      <c r="B13" s="646" t="s">
        <v>58</v>
      </c>
      <c r="C13" s="648" t="s">
        <v>0</v>
      </c>
      <c r="D13" s="648" t="s">
        <v>44</v>
      </c>
      <c r="E13" s="648" t="s">
        <v>206</v>
      </c>
      <c r="F13" s="238" t="s">
        <v>203</v>
      </c>
      <c r="G13" s="238" t="s">
        <v>45</v>
      </c>
      <c r="H13" s="650" t="s">
        <v>59</v>
      </c>
      <c r="I13" s="650"/>
      <c r="J13" s="650"/>
      <c r="K13" s="650"/>
      <c r="L13" s="650"/>
      <c r="M13" s="650"/>
      <c r="N13" s="650"/>
      <c r="O13" s="650"/>
      <c r="P13" s="651"/>
    </row>
    <row r="14" spans="1:18" ht="60" x14ac:dyDescent="0.25">
      <c r="B14" s="647"/>
      <c r="C14" s="649"/>
      <c r="D14" s="649"/>
      <c r="E14" s="649"/>
      <c r="F14" s="437" t="s">
        <v>215</v>
      </c>
      <c r="G14" s="437" t="s">
        <v>216</v>
      </c>
      <c r="H14" s="438" t="s">
        <v>37</v>
      </c>
      <c r="I14" s="438" t="s">
        <v>39</v>
      </c>
      <c r="J14" s="438" t="s">
        <v>108</v>
      </c>
      <c r="K14" s="438" t="s">
        <v>109</v>
      </c>
      <c r="L14" s="438" t="s">
        <v>40</v>
      </c>
      <c r="M14" s="438" t="s">
        <v>41</v>
      </c>
      <c r="N14" s="438" t="s">
        <v>42</v>
      </c>
      <c r="O14" s="438" t="s">
        <v>105</v>
      </c>
      <c r="P14" s="441" t="s">
        <v>34</v>
      </c>
    </row>
    <row r="15" spans="1:18" ht="29.25" customHeight="1" x14ac:dyDescent="0.3">
      <c r="B15" s="627" t="s">
        <v>142</v>
      </c>
      <c r="C15" s="628"/>
      <c r="D15" s="628"/>
      <c r="E15" s="628"/>
      <c r="F15" s="628"/>
      <c r="G15" s="628"/>
      <c r="H15" s="628"/>
      <c r="I15" s="628"/>
      <c r="J15" s="628"/>
      <c r="K15" s="628"/>
      <c r="L15" s="628"/>
      <c r="M15" s="628"/>
      <c r="N15" s="628"/>
      <c r="O15" s="628"/>
      <c r="P15" s="629"/>
    </row>
    <row r="16" spans="1:18" ht="26.25" customHeight="1" x14ac:dyDescent="0.3">
      <c r="A16" s="50"/>
      <c r="B16" s="640" t="s">
        <v>143</v>
      </c>
      <c r="C16" s="641"/>
      <c r="D16" s="641"/>
      <c r="E16" s="641"/>
      <c r="F16" s="641"/>
      <c r="G16" s="641"/>
      <c r="H16" s="641"/>
      <c r="I16" s="641"/>
      <c r="J16" s="641"/>
      <c r="K16" s="641"/>
      <c r="L16" s="641"/>
      <c r="M16" s="641"/>
      <c r="N16" s="641"/>
      <c r="O16" s="641"/>
      <c r="P16" s="642"/>
    </row>
    <row r="17" spans="1:16" ht="14.45" x14ac:dyDescent="0.3">
      <c r="A17" s="34"/>
      <c r="B17" s="428">
        <v>1</v>
      </c>
      <c r="C17" s="413" t="s">
        <v>144</v>
      </c>
      <c r="D17" s="253" t="s">
        <v>33</v>
      </c>
      <c r="E17" s="414"/>
      <c r="F17" s="296"/>
      <c r="G17" s="296"/>
      <c r="H17" s="425">
        <v>1</v>
      </c>
      <c r="I17" s="415"/>
      <c r="J17" s="415"/>
      <c r="K17" s="415"/>
      <c r="L17" s="415"/>
      <c r="M17" s="415"/>
      <c r="N17" s="415"/>
      <c r="O17" s="415"/>
      <c r="P17" s="429">
        <f>SUM(H17:O17)</f>
        <v>1</v>
      </c>
    </row>
    <row r="18" spans="1:16" ht="14.45" x14ac:dyDescent="0.3">
      <c r="A18" s="8"/>
      <c r="B18" s="428">
        <v>2</v>
      </c>
      <c r="C18" s="413" t="s">
        <v>145</v>
      </c>
      <c r="D18" s="253" t="s">
        <v>33</v>
      </c>
      <c r="E18" s="416"/>
      <c r="F18" s="296"/>
      <c r="G18" s="296"/>
      <c r="H18" s="425">
        <v>1</v>
      </c>
      <c r="I18" s="415"/>
      <c r="J18" s="415"/>
      <c r="K18" s="415"/>
      <c r="L18" s="415"/>
      <c r="M18" s="415"/>
      <c r="N18" s="415"/>
      <c r="O18" s="415"/>
      <c r="P18" s="429">
        <f t="shared" ref="P18:P79" si="0">SUM(H18:O18)</f>
        <v>1</v>
      </c>
    </row>
    <row r="19" spans="1:16" ht="14.45" x14ac:dyDescent="0.3">
      <c r="A19" s="34"/>
      <c r="B19" s="428">
        <v>3</v>
      </c>
      <c r="C19" s="413" t="s">
        <v>146</v>
      </c>
      <c r="D19" s="253" t="s">
        <v>33</v>
      </c>
      <c r="E19" s="416"/>
      <c r="F19" s="296"/>
      <c r="G19" s="296"/>
      <c r="H19" s="425">
        <v>1</v>
      </c>
      <c r="I19" s="415"/>
      <c r="J19" s="415"/>
      <c r="K19" s="415"/>
      <c r="L19" s="415"/>
      <c r="M19" s="415"/>
      <c r="N19" s="415"/>
      <c r="O19" s="415"/>
      <c r="P19" s="429">
        <f t="shared" si="0"/>
        <v>1</v>
      </c>
    </row>
    <row r="20" spans="1:16" ht="14.45" x14ac:dyDescent="0.3">
      <c r="A20" s="34"/>
      <c r="B20" s="428">
        <v>4</v>
      </c>
      <c r="C20" s="413" t="s">
        <v>147</v>
      </c>
      <c r="D20" s="253" t="s">
        <v>33</v>
      </c>
      <c r="E20" s="416"/>
      <c r="F20" s="296"/>
      <c r="G20" s="296"/>
      <c r="H20" s="425">
        <v>1</v>
      </c>
      <c r="I20" s="415"/>
      <c r="J20" s="415"/>
      <c r="K20" s="415"/>
      <c r="L20" s="415"/>
      <c r="M20" s="415"/>
      <c r="N20" s="415"/>
      <c r="O20" s="415"/>
      <c r="P20" s="429">
        <f t="shared" si="0"/>
        <v>1</v>
      </c>
    </row>
    <row r="21" spans="1:16" ht="14.45" x14ac:dyDescent="0.3">
      <c r="A21" s="34"/>
      <c r="B21" s="428">
        <v>5</v>
      </c>
      <c r="C21" s="413" t="s">
        <v>148</v>
      </c>
      <c r="D21" s="253" t="s">
        <v>33</v>
      </c>
      <c r="E21" s="416"/>
      <c r="F21" s="296"/>
      <c r="G21" s="296"/>
      <c r="H21" s="425">
        <v>1</v>
      </c>
      <c r="I21" s="415"/>
      <c r="J21" s="415"/>
      <c r="K21" s="415"/>
      <c r="L21" s="415"/>
      <c r="M21" s="415"/>
      <c r="N21" s="415"/>
      <c r="O21" s="415"/>
      <c r="P21" s="429">
        <f t="shared" si="0"/>
        <v>1</v>
      </c>
    </row>
    <row r="22" spans="1:16" ht="27.6" x14ac:dyDescent="0.3">
      <c r="A22" s="34"/>
      <c r="B22" s="428">
        <v>6</v>
      </c>
      <c r="C22" s="413" t="s">
        <v>149</v>
      </c>
      <c r="D22" s="253" t="s">
        <v>33</v>
      </c>
      <c r="E22" s="416"/>
      <c r="F22" s="296"/>
      <c r="G22" s="296"/>
      <c r="H22" s="425">
        <v>1</v>
      </c>
      <c r="I22" s="415"/>
      <c r="J22" s="415"/>
      <c r="K22" s="415"/>
      <c r="L22" s="415"/>
      <c r="M22" s="415"/>
      <c r="N22" s="415"/>
      <c r="O22" s="415"/>
      <c r="P22" s="429">
        <f t="shared" si="0"/>
        <v>1</v>
      </c>
    </row>
    <row r="23" spans="1:16" ht="14.45" x14ac:dyDescent="0.3">
      <c r="A23" s="34"/>
      <c r="B23" s="430" t="s">
        <v>265</v>
      </c>
      <c r="C23" s="413"/>
      <c r="D23" s="253" t="s">
        <v>255</v>
      </c>
      <c r="E23" s="416"/>
      <c r="F23" s="296"/>
      <c r="G23" s="296"/>
      <c r="H23" s="425"/>
      <c r="I23" s="415"/>
      <c r="J23" s="415"/>
      <c r="K23" s="415"/>
      <c r="L23" s="415"/>
      <c r="M23" s="415"/>
      <c r="N23" s="415"/>
      <c r="O23" s="415"/>
      <c r="P23" s="429">
        <f t="shared" si="0"/>
        <v>0</v>
      </c>
    </row>
    <row r="24" spans="1:16" ht="14.45" x14ac:dyDescent="0.3">
      <c r="A24" s="34"/>
      <c r="B24" s="428"/>
      <c r="C24" s="609"/>
      <c r="D24" s="609"/>
      <c r="E24" s="268"/>
      <c r="F24" s="296"/>
      <c r="G24" s="296"/>
      <c r="H24" s="425"/>
      <c r="I24" s="415"/>
      <c r="J24" s="415"/>
      <c r="K24" s="415"/>
      <c r="L24" s="415"/>
      <c r="M24" s="415"/>
      <c r="N24" s="415"/>
      <c r="O24" s="415"/>
      <c r="P24" s="429">
        <f t="shared" si="0"/>
        <v>0</v>
      </c>
    </row>
    <row r="25" spans="1:16" ht="14.45" x14ac:dyDescent="0.3">
      <c r="A25" s="34"/>
      <c r="B25" s="428"/>
      <c r="C25" s="609"/>
      <c r="D25" s="609"/>
      <c r="E25" s="268"/>
      <c r="F25" s="296"/>
      <c r="G25" s="296"/>
      <c r="H25" s="425"/>
      <c r="I25" s="415"/>
      <c r="J25" s="415"/>
      <c r="K25" s="415"/>
      <c r="L25" s="415"/>
      <c r="M25" s="415"/>
      <c r="N25" s="415"/>
      <c r="O25" s="415"/>
      <c r="P25" s="429">
        <f t="shared" si="0"/>
        <v>0</v>
      </c>
    </row>
    <row r="26" spans="1:16" ht="14.45" x14ac:dyDescent="0.3">
      <c r="A26" s="34"/>
      <c r="B26" s="428"/>
      <c r="C26" s="609"/>
      <c r="D26" s="609"/>
      <c r="E26" s="268"/>
      <c r="F26" s="296"/>
      <c r="G26" s="296"/>
      <c r="H26" s="425"/>
      <c r="I26" s="415"/>
      <c r="J26" s="415"/>
      <c r="K26" s="415"/>
      <c r="L26" s="415"/>
      <c r="M26" s="415"/>
      <c r="N26" s="415"/>
      <c r="O26" s="415"/>
      <c r="P26" s="429">
        <f t="shared" si="0"/>
        <v>0</v>
      </c>
    </row>
    <row r="27" spans="1:16" ht="25.5" customHeight="1" x14ac:dyDescent="0.3">
      <c r="A27" s="50"/>
      <c r="B27" s="640" t="s">
        <v>150</v>
      </c>
      <c r="C27" s="641"/>
      <c r="D27" s="641"/>
      <c r="E27" s="641"/>
      <c r="F27" s="641"/>
      <c r="G27" s="641"/>
      <c r="H27" s="641"/>
      <c r="I27" s="641"/>
      <c r="J27" s="641"/>
      <c r="K27" s="641"/>
      <c r="L27" s="641"/>
      <c r="M27" s="641"/>
      <c r="N27" s="641"/>
      <c r="O27" s="641"/>
      <c r="P27" s="642"/>
    </row>
    <row r="28" spans="1:16" ht="14.45" x14ac:dyDescent="0.3">
      <c r="A28" s="34"/>
      <c r="B28" s="428">
        <v>7</v>
      </c>
      <c r="C28" s="413" t="s">
        <v>151</v>
      </c>
      <c r="D28" s="253" t="s">
        <v>33</v>
      </c>
      <c r="E28" s="416">
        <v>12</v>
      </c>
      <c r="F28" s="296"/>
      <c r="G28" s="296">
        <v>50</v>
      </c>
      <c r="H28" s="415"/>
      <c r="I28" s="425">
        <v>0.2</v>
      </c>
      <c r="J28" s="425">
        <v>0.5</v>
      </c>
      <c r="K28" s="425">
        <v>0.3</v>
      </c>
      <c r="L28" s="415"/>
      <c r="M28" s="415"/>
      <c r="N28" s="415"/>
      <c r="O28" s="415"/>
      <c r="P28" s="429">
        <f t="shared" si="0"/>
        <v>1</v>
      </c>
    </row>
    <row r="29" spans="1:16" ht="27.6" x14ac:dyDescent="0.3">
      <c r="A29" s="34"/>
      <c r="B29" s="428">
        <v>8</v>
      </c>
      <c r="C29" s="413" t="s">
        <v>152</v>
      </c>
      <c r="D29" s="253" t="s">
        <v>33</v>
      </c>
      <c r="E29" s="416">
        <v>12</v>
      </c>
      <c r="F29" s="296"/>
      <c r="G29" s="296"/>
      <c r="H29" s="415"/>
      <c r="I29" s="425">
        <v>0.8</v>
      </c>
      <c r="J29" s="425">
        <v>0.2</v>
      </c>
      <c r="K29" s="415"/>
      <c r="L29" s="415"/>
      <c r="M29" s="415"/>
      <c r="N29" s="415"/>
      <c r="O29" s="415"/>
      <c r="P29" s="429">
        <f t="shared" si="0"/>
        <v>1</v>
      </c>
    </row>
    <row r="30" spans="1:16" ht="27.6" x14ac:dyDescent="0.3">
      <c r="A30" s="34"/>
      <c r="B30" s="428">
        <v>9</v>
      </c>
      <c r="C30" s="413" t="s">
        <v>153</v>
      </c>
      <c r="D30" s="253" t="s">
        <v>33</v>
      </c>
      <c r="E30" s="416">
        <v>12</v>
      </c>
      <c r="F30" s="296"/>
      <c r="G30" s="296"/>
      <c r="H30" s="415"/>
      <c r="I30" s="425">
        <v>0.5</v>
      </c>
      <c r="J30" s="425">
        <v>0.5</v>
      </c>
      <c r="K30" s="415"/>
      <c r="L30" s="415"/>
      <c r="M30" s="415"/>
      <c r="N30" s="415"/>
      <c r="O30" s="415"/>
      <c r="P30" s="429">
        <f t="shared" si="0"/>
        <v>1</v>
      </c>
    </row>
    <row r="31" spans="1:16" ht="27.6" x14ac:dyDescent="0.3">
      <c r="A31" s="34"/>
      <c r="B31" s="428">
        <v>10</v>
      </c>
      <c r="C31" s="413" t="s">
        <v>154</v>
      </c>
      <c r="D31" s="253" t="s">
        <v>33</v>
      </c>
      <c r="E31" s="416">
        <v>12</v>
      </c>
      <c r="F31" s="296"/>
      <c r="G31" s="296"/>
      <c r="H31" s="415"/>
      <c r="I31" s="425">
        <v>1</v>
      </c>
      <c r="J31" s="415"/>
      <c r="K31" s="415"/>
      <c r="L31" s="415"/>
      <c r="M31" s="415"/>
      <c r="N31" s="415"/>
      <c r="O31" s="415"/>
      <c r="P31" s="429">
        <f t="shared" si="0"/>
        <v>1</v>
      </c>
    </row>
    <row r="32" spans="1:16" ht="27.6" x14ac:dyDescent="0.3">
      <c r="A32" s="34"/>
      <c r="B32" s="428">
        <v>11</v>
      </c>
      <c r="C32" s="413" t="s">
        <v>155</v>
      </c>
      <c r="D32" s="253" t="s">
        <v>33</v>
      </c>
      <c r="E32" s="416">
        <v>3</v>
      </c>
      <c r="F32" s="296"/>
      <c r="G32" s="296"/>
      <c r="H32" s="415"/>
      <c r="I32" s="415"/>
      <c r="J32" s="425">
        <v>0.9</v>
      </c>
      <c r="K32" s="425">
        <v>0.1</v>
      </c>
      <c r="L32" s="415"/>
      <c r="M32" s="415"/>
      <c r="N32" s="415"/>
      <c r="O32" s="415"/>
      <c r="P32" s="429">
        <f t="shared" si="0"/>
        <v>1</v>
      </c>
    </row>
    <row r="33" spans="1:16" ht="14.45" x14ac:dyDescent="0.3">
      <c r="A33" s="34"/>
      <c r="B33" s="430" t="s">
        <v>265</v>
      </c>
      <c r="C33" s="413"/>
      <c r="D33" s="253" t="s">
        <v>255</v>
      </c>
      <c r="E33" s="416"/>
      <c r="F33" s="296"/>
      <c r="G33" s="296"/>
      <c r="H33" s="415"/>
      <c r="I33" s="415"/>
      <c r="J33" s="415"/>
      <c r="K33" s="415"/>
      <c r="L33" s="415"/>
      <c r="M33" s="415"/>
      <c r="N33" s="415"/>
      <c r="O33" s="415"/>
      <c r="P33" s="429">
        <f t="shared" si="0"/>
        <v>0</v>
      </c>
    </row>
    <row r="34" spans="1:16" ht="14.45" x14ac:dyDescent="0.3">
      <c r="A34" s="34"/>
      <c r="B34" s="428"/>
      <c r="C34" s="609"/>
      <c r="D34" s="609"/>
      <c r="E34" s="268"/>
      <c r="F34" s="296"/>
      <c r="G34" s="296"/>
      <c r="H34" s="415"/>
      <c r="I34" s="415"/>
      <c r="J34" s="415"/>
      <c r="K34" s="415"/>
      <c r="L34" s="415"/>
      <c r="M34" s="415"/>
      <c r="N34" s="415"/>
      <c r="O34" s="415"/>
      <c r="P34" s="429">
        <f t="shared" si="0"/>
        <v>0</v>
      </c>
    </row>
    <row r="35" spans="1:16" ht="14.45" x14ac:dyDescent="0.3">
      <c r="A35" s="34"/>
      <c r="B35" s="428"/>
      <c r="C35" s="609"/>
      <c r="D35" s="609"/>
      <c r="E35" s="268"/>
      <c r="F35" s="296"/>
      <c r="G35" s="296"/>
      <c r="H35" s="415"/>
      <c r="I35" s="415"/>
      <c r="J35" s="415"/>
      <c r="K35" s="415"/>
      <c r="L35" s="415"/>
      <c r="M35" s="415"/>
      <c r="N35" s="415"/>
      <c r="O35" s="415"/>
      <c r="P35" s="429">
        <f t="shared" si="0"/>
        <v>0</v>
      </c>
    </row>
    <row r="36" spans="1:16" ht="14.45" x14ac:dyDescent="0.3">
      <c r="A36" s="34"/>
      <c r="B36" s="428"/>
      <c r="C36" s="609"/>
      <c r="D36" s="609"/>
      <c r="E36" s="268"/>
      <c r="F36" s="296"/>
      <c r="G36" s="296"/>
      <c r="H36" s="415"/>
      <c r="I36" s="415"/>
      <c r="J36" s="415"/>
      <c r="K36" s="415"/>
      <c r="L36" s="415"/>
      <c r="M36" s="415"/>
      <c r="N36" s="415"/>
      <c r="O36" s="415"/>
      <c r="P36" s="429">
        <f t="shared" si="0"/>
        <v>0</v>
      </c>
    </row>
    <row r="37" spans="1:16" ht="26.25" customHeight="1" x14ac:dyDescent="0.3">
      <c r="A37" s="50"/>
      <c r="B37" s="640" t="s">
        <v>11</v>
      </c>
      <c r="C37" s="641"/>
      <c r="D37" s="641"/>
      <c r="E37" s="641"/>
      <c r="F37" s="641"/>
      <c r="G37" s="641"/>
      <c r="H37" s="641"/>
      <c r="I37" s="641"/>
      <c r="J37" s="641"/>
      <c r="K37" s="641"/>
      <c r="L37" s="641"/>
      <c r="M37" s="641"/>
      <c r="N37" s="641"/>
      <c r="O37" s="641"/>
      <c r="P37" s="642"/>
    </row>
    <row r="38" spans="1:16" ht="27.6" x14ac:dyDescent="0.3">
      <c r="A38" s="34"/>
      <c r="B38" s="428">
        <v>12</v>
      </c>
      <c r="C38" s="413" t="s">
        <v>156</v>
      </c>
      <c r="D38" s="253" t="s">
        <v>33</v>
      </c>
      <c r="E38" s="416">
        <v>12</v>
      </c>
      <c r="F38" s="296"/>
      <c r="G38" s="296"/>
      <c r="H38" s="415"/>
      <c r="I38" s="415"/>
      <c r="J38" s="425">
        <v>1</v>
      </c>
      <c r="K38" s="415"/>
      <c r="L38" s="415"/>
      <c r="M38" s="415"/>
      <c r="N38" s="415"/>
      <c r="O38" s="415"/>
      <c r="P38" s="429">
        <f t="shared" si="0"/>
        <v>1</v>
      </c>
    </row>
    <row r="39" spans="1:16" ht="27.6" x14ac:dyDescent="0.3">
      <c r="A39" s="34"/>
      <c r="B39" s="428">
        <v>13</v>
      </c>
      <c r="C39" s="413" t="s">
        <v>157</v>
      </c>
      <c r="D39" s="253" t="s">
        <v>33</v>
      </c>
      <c r="E39" s="416">
        <v>12</v>
      </c>
      <c r="F39" s="296"/>
      <c r="G39" s="296"/>
      <c r="H39" s="415"/>
      <c r="I39" s="415"/>
      <c r="J39" s="425">
        <v>1</v>
      </c>
      <c r="K39" s="415"/>
      <c r="L39" s="415"/>
      <c r="M39" s="415"/>
      <c r="N39" s="415"/>
      <c r="O39" s="415"/>
      <c r="P39" s="429">
        <f t="shared" si="0"/>
        <v>1</v>
      </c>
    </row>
    <row r="40" spans="1:16" ht="27.6" x14ac:dyDescent="0.3">
      <c r="A40" s="34"/>
      <c r="B40" s="428">
        <v>14</v>
      </c>
      <c r="C40" s="413" t="s">
        <v>158</v>
      </c>
      <c r="D40" s="253" t="s">
        <v>33</v>
      </c>
      <c r="E40" s="416">
        <v>12</v>
      </c>
      <c r="F40" s="296"/>
      <c r="G40" s="296"/>
      <c r="H40" s="415"/>
      <c r="I40" s="415"/>
      <c r="J40" s="425">
        <v>1</v>
      </c>
      <c r="K40" s="415"/>
      <c r="L40" s="415"/>
      <c r="M40" s="415"/>
      <c r="N40" s="415"/>
      <c r="O40" s="415"/>
      <c r="P40" s="429">
        <f t="shared" si="0"/>
        <v>1</v>
      </c>
    </row>
    <row r="41" spans="1:16" ht="14.45" x14ac:dyDescent="0.3">
      <c r="A41" s="34"/>
      <c r="B41" s="430" t="s">
        <v>265</v>
      </c>
      <c r="C41" s="413"/>
      <c r="D41" s="253" t="s">
        <v>255</v>
      </c>
      <c r="E41" s="416"/>
      <c r="F41" s="296"/>
      <c r="G41" s="296"/>
      <c r="H41" s="415"/>
      <c r="I41" s="415"/>
      <c r="J41" s="415"/>
      <c r="K41" s="415"/>
      <c r="L41" s="415"/>
      <c r="M41" s="415"/>
      <c r="N41" s="415"/>
      <c r="O41" s="415"/>
      <c r="P41" s="429">
        <f t="shared" si="0"/>
        <v>0</v>
      </c>
    </row>
    <row r="42" spans="1:16" ht="14.45" x14ac:dyDescent="0.3">
      <c r="A42" s="34"/>
      <c r="B42" s="428"/>
      <c r="C42" s="609"/>
      <c r="D42" s="609"/>
      <c r="E42" s="268"/>
      <c r="F42" s="296"/>
      <c r="G42" s="296"/>
      <c r="H42" s="415"/>
      <c r="I42" s="415"/>
      <c r="J42" s="415"/>
      <c r="K42" s="415"/>
      <c r="L42" s="415"/>
      <c r="M42" s="415"/>
      <c r="N42" s="415"/>
      <c r="O42" s="415"/>
      <c r="P42" s="429">
        <f t="shared" si="0"/>
        <v>0</v>
      </c>
    </row>
    <row r="43" spans="1:16" ht="14.45" x14ac:dyDescent="0.3">
      <c r="A43" s="34"/>
      <c r="B43" s="428"/>
      <c r="C43" s="609"/>
      <c r="D43" s="609"/>
      <c r="E43" s="268"/>
      <c r="F43" s="296"/>
      <c r="G43" s="296"/>
      <c r="H43" s="415"/>
      <c r="I43" s="415"/>
      <c r="J43" s="415"/>
      <c r="K43" s="415"/>
      <c r="L43" s="415"/>
      <c r="M43" s="415"/>
      <c r="N43" s="415"/>
      <c r="O43" s="415"/>
      <c r="P43" s="429">
        <f t="shared" si="0"/>
        <v>0</v>
      </c>
    </row>
    <row r="44" spans="1:16" ht="14.45" x14ac:dyDescent="0.3">
      <c r="A44" s="34"/>
      <c r="B44" s="428"/>
      <c r="C44" s="609"/>
      <c r="D44" s="609"/>
      <c r="E44" s="268"/>
      <c r="F44" s="296"/>
      <c r="G44" s="296"/>
      <c r="H44" s="415"/>
      <c r="I44" s="415"/>
      <c r="J44" s="415"/>
      <c r="K44" s="415"/>
      <c r="L44" s="415"/>
      <c r="M44" s="415"/>
      <c r="N44" s="415"/>
      <c r="O44" s="415"/>
      <c r="P44" s="429">
        <f t="shared" si="0"/>
        <v>0</v>
      </c>
    </row>
    <row r="45" spans="1:16" ht="24" customHeight="1" x14ac:dyDescent="0.3">
      <c r="A45" s="50"/>
      <c r="B45" s="640" t="s">
        <v>159</v>
      </c>
      <c r="C45" s="641"/>
      <c r="D45" s="641"/>
      <c r="E45" s="641"/>
      <c r="F45" s="641"/>
      <c r="G45" s="641"/>
      <c r="H45" s="641"/>
      <c r="I45" s="641"/>
      <c r="J45" s="641"/>
      <c r="K45" s="641"/>
      <c r="L45" s="641"/>
      <c r="M45" s="641"/>
      <c r="N45" s="641"/>
      <c r="O45" s="641"/>
      <c r="P45" s="642"/>
    </row>
    <row r="46" spans="1:16" ht="14.45" x14ac:dyDescent="0.3">
      <c r="A46" s="34"/>
      <c r="B46" s="428">
        <v>15</v>
      </c>
      <c r="C46" s="413" t="s">
        <v>160</v>
      </c>
      <c r="D46" s="253" t="s">
        <v>33</v>
      </c>
      <c r="E46" s="416"/>
      <c r="F46" s="296"/>
      <c r="G46" s="296"/>
      <c r="H46" s="425">
        <v>1</v>
      </c>
      <c r="I46" s="415"/>
      <c r="J46" s="415"/>
      <c r="K46" s="415"/>
      <c r="L46" s="415"/>
      <c r="M46" s="415"/>
      <c r="N46" s="415"/>
      <c r="O46" s="415"/>
      <c r="P46" s="429">
        <f t="shared" si="0"/>
        <v>1</v>
      </c>
    </row>
    <row r="47" spans="1:16" ht="14.45" x14ac:dyDescent="0.3">
      <c r="A47" s="34"/>
      <c r="B47" s="430" t="s">
        <v>265</v>
      </c>
      <c r="C47" s="413"/>
      <c r="D47" s="253" t="s">
        <v>255</v>
      </c>
      <c r="E47" s="416"/>
      <c r="F47" s="296"/>
      <c r="G47" s="296"/>
      <c r="H47" s="425"/>
      <c r="I47" s="415"/>
      <c r="J47" s="415"/>
      <c r="K47" s="415"/>
      <c r="L47" s="415"/>
      <c r="M47" s="415"/>
      <c r="N47" s="415"/>
      <c r="O47" s="415"/>
      <c r="P47" s="429">
        <f t="shared" si="0"/>
        <v>0</v>
      </c>
    </row>
    <row r="48" spans="1:16" ht="14.45" x14ac:dyDescent="0.3">
      <c r="A48" s="34"/>
      <c r="B48" s="428"/>
      <c r="C48" s="609"/>
      <c r="D48" s="609"/>
      <c r="E48" s="268"/>
      <c r="F48" s="296"/>
      <c r="G48" s="296"/>
      <c r="H48" s="425"/>
      <c r="I48" s="415"/>
      <c r="J48" s="415"/>
      <c r="K48" s="415"/>
      <c r="L48" s="415"/>
      <c r="M48" s="415"/>
      <c r="N48" s="415"/>
      <c r="O48" s="415"/>
      <c r="P48" s="429">
        <f t="shared" si="0"/>
        <v>0</v>
      </c>
    </row>
    <row r="49" spans="1:16" ht="14.45" x14ac:dyDescent="0.3">
      <c r="A49" s="34"/>
      <c r="B49" s="428"/>
      <c r="C49" s="609"/>
      <c r="D49" s="609"/>
      <c r="E49" s="268"/>
      <c r="F49" s="296"/>
      <c r="G49" s="296"/>
      <c r="H49" s="425"/>
      <c r="I49" s="415"/>
      <c r="J49" s="415"/>
      <c r="K49" s="415"/>
      <c r="L49" s="415"/>
      <c r="M49" s="415"/>
      <c r="N49" s="415"/>
      <c r="O49" s="415"/>
      <c r="P49" s="429"/>
    </row>
    <row r="50" spans="1:16" ht="14.45" x14ac:dyDescent="0.3">
      <c r="A50" s="34"/>
      <c r="B50" s="428"/>
      <c r="C50" s="609"/>
      <c r="D50" s="609"/>
      <c r="E50" s="268"/>
      <c r="F50" s="296"/>
      <c r="G50" s="296"/>
      <c r="H50" s="425"/>
      <c r="I50" s="415"/>
      <c r="J50" s="415"/>
      <c r="K50" s="415"/>
      <c r="L50" s="415"/>
      <c r="M50" s="415"/>
      <c r="N50" s="415"/>
      <c r="O50" s="415"/>
      <c r="P50" s="429">
        <f t="shared" si="0"/>
        <v>0</v>
      </c>
    </row>
    <row r="51" spans="1:16" ht="21" customHeight="1" x14ac:dyDescent="0.25">
      <c r="A51" s="48"/>
      <c r="B51" s="640" t="s">
        <v>161</v>
      </c>
      <c r="C51" s="641"/>
      <c r="D51" s="641"/>
      <c r="E51" s="641"/>
      <c r="F51" s="641"/>
      <c r="G51" s="641"/>
      <c r="H51" s="641"/>
      <c r="I51" s="641"/>
      <c r="J51" s="641"/>
      <c r="K51" s="641"/>
      <c r="L51" s="641"/>
      <c r="M51" s="641"/>
      <c r="N51" s="641"/>
      <c r="O51" s="641"/>
      <c r="P51" s="642"/>
    </row>
    <row r="52" spans="1:16" x14ac:dyDescent="0.25">
      <c r="A52" s="34"/>
      <c r="B52" s="428">
        <v>16</v>
      </c>
      <c r="C52" s="413" t="s">
        <v>162</v>
      </c>
      <c r="D52" s="253" t="s">
        <v>33</v>
      </c>
      <c r="E52" s="416"/>
      <c r="F52" s="296"/>
      <c r="G52" s="296"/>
      <c r="H52" s="415"/>
      <c r="I52" s="415"/>
      <c r="J52" s="415"/>
      <c r="K52" s="415"/>
      <c r="L52" s="415"/>
      <c r="M52" s="415"/>
      <c r="N52" s="415"/>
      <c r="O52" s="415"/>
      <c r="P52" s="429">
        <f t="shared" si="0"/>
        <v>0</v>
      </c>
    </row>
    <row r="53" spans="1:16" x14ac:dyDescent="0.25">
      <c r="A53" s="34"/>
      <c r="B53" s="428">
        <v>17</v>
      </c>
      <c r="C53" s="413" t="s">
        <v>163</v>
      </c>
      <c r="D53" s="253" t="s">
        <v>33</v>
      </c>
      <c r="E53" s="416"/>
      <c r="F53" s="296"/>
      <c r="G53" s="296"/>
      <c r="H53" s="415"/>
      <c r="I53" s="415"/>
      <c r="J53" s="415"/>
      <c r="K53" s="415"/>
      <c r="L53" s="415"/>
      <c r="M53" s="415"/>
      <c r="N53" s="415"/>
      <c r="O53" s="415"/>
      <c r="P53" s="429">
        <f t="shared" si="0"/>
        <v>0</v>
      </c>
    </row>
    <row r="54" spans="1:16" x14ac:dyDescent="0.25">
      <c r="A54" s="34"/>
      <c r="B54" s="428">
        <v>18</v>
      </c>
      <c r="C54" s="413" t="s">
        <v>164</v>
      </c>
      <c r="D54" s="253" t="s">
        <v>33</v>
      </c>
      <c r="E54" s="416"/>
      <c r="F54" s="296"/>
      <c r="G54" s="296"/>
      <c r="H54" s="415"/>
      <c r="I54" s="415"/>
      <c r="J54" s="415"/>
      <c r="K54" s="415"/>
      <c r="L54" s="415"/>
      <c r="M54" s="415"/>
      <c r="N54" s="415"/>
      <c r="O54" s="415"/>
      <c r="P54" s="429">
        <f t="shared" si="0"/>
        <v>0</v>
      </c>
    </row>
    <row r="55" spans="1:16" x14ac:dyDescent="0.25">
      <c r="A55" s="34"/>
      <c r="B55" s="428">
        <v>19</v>
      </c>
      <c r="C55" s="413" t="s">
        <v>165</v>
      </c>
      <c r="D55" s="253" t="s">
        <v>33</v>
      </c>
      <c r="E55" s="416"/>
      <c r="F55" s="296"/>
      <c r="G55" s="296"/>
      <c r="H55" s="415"/>
      <c r="I55" s="415"/>
      <c r="J55" s="415"/>
      <c r="K55" s="415"/>
      <c r="L55" s="415"/>
      <c r="M55" s="415"/>
      <c r="N55" s="415"/>
      <c r="O55" s="415"/>
      <c r="P55" s="429">
        <f t="shared" si="0"/>
        <v>0</v>
      </c>
    </row>
    <row r="56" spans="1:16" x14ac:dyDescent="0.25">
      <c r="A56" s="34"/>
      <c r="B56" s="430" t="s">
        <v>265</v>
      </c>
      <c r="C56" s="413"/>
      <c r="D56" s="253" t="s">
        <v>255</v>
      </c>
      <c r="E56" s="416"/>
      <c r="F56" s="296"/>
      <c r="G56" s="296"/>
      <c r="H56" s="415"/>
      <c r="I56" s="415"/>
      <c r="J56" s="415"/>
      <c r="K56" s="415"/>
      <c r="L56" s="415"/>
      <c r="M56" s="415"/>
      <c r="N56" s="415"/>
      <c r="O56" s="415"/>
      <c r="P56" s="429">
        <f t="shared" si="0"/>
        <v>0</v>
      </c>
    </row>
    <row r="57" spans="1:16" x14ac:dyDescent="0.25">
      <c r="A57" s="34"/>
      <c r="B57" s="430"/>
      <c r="C57" s="609"/>
      <c r="D57" s="609"/>
      <c r="E57" s="268"/>
      <c r="F57" s="296"/>
      <c r="G57" s="296"/>
      <c r="H57" s="415"/>
      <c r="I57" s="415"/>
      <c r="J57" s="415"/>
      <c r="K57" s="415"/>
      <c r="L57" s="415"/>
      <c r="M57" s="415"/>
      <c r="N57" s="415"/>
      <c r="O57" s="415"/>
      <c r="P57" s="429"/>
    </row>
    <row r="58" spans="1:16" x14ac:dyDescent="0.25">
      <c r="A58" s="34"/>
      <c r="B58" s="430"/>
      <c r="C58" s="609"/>
      <c r="D58" s="609"/>
      <c r="E58" s="268"/>
      <c r="F58" s="296"/>
      <c r="G58" s="296"/>
      <c r="H58" s="415"/>
      <c r="I58" s="415"/>
      <c r="J58" s="415"/>
      <c r="K58" s="415"/>
      <c r="L58" s="415"/>
      <c r="M58" s="415"/>
      <c r="N58" s="415"/>
      <c r="O58" s="415"/>
      <c r="P58" s="429"/>
    </row>
    <row r="59" spans="1:16" x14ac:dyDescent="0.25">
      <c r="A59" s="33"/>
      <c r="B59" s="431"/>
      <c r="C59" s="609"/>
      <c r="D59" s="609"/>
      <c r="E59" s="268"/>
      <c r="F59" s="296"/>
      <c r="G59" s="296"/>
      <c r="H59" s="419"/>
      <c r="I59" s="419"/>
      <c r="J59" s="419"/>
      <c r="K59" s="419"/>
      <c r="L59" s="419"/>
      <c r="M59" s="419"/>
      <c r="N59" s="419"/>
      <c r="O59" s="419"/>
      <c r="P59" s="429"/>
    </row>
    <row r="60" spans="1:16" ht="27" customHeight="1" x14ac:dyDescent="0.25">
      <c r="B60" s="627" t="s">
        <v>166</v>
      </c>
      <c r="C60" s="628"/>
      <c r="D60" s="628"/>
      <c r="E60" s="628"/>
      <c r="F60" s="628"/>
      <c r="G60" s="628"/>
      <c r="H60" s="628"/>
      <c r="I60" s="628"/>
      <c r="J60" s="628"/>
      <c r="K60" s="628"/>
      <c r="L60" s="628"/>
      <c r="M60" s="628"/>
      <c r="N60" s="628"/>
      <c r="O60" s="628"/>
      <c r="P60" s="629"/>
    </row>
    <row r="61" spans="1:16" ht="16.5" x14ac:dyDescent="0.25">
      <c r="B61" s="432"/>
      <c r="C61" s="413"/>
      <c r="D61" s="416"/>
      <c r="E61" s="416"/>
      <c r="F61" s="412"/>
      <c r="G61" s="412"/>
      <c r="H61" s="412"/>
      <c r="I61" s="412"/>
      <c r="J61" s="412"/>
      <c r="K61" s="412"/>
      <c r="L61" s="412"/>
      <c r="M61" s="412"/>
      <c r="N61" s="412"/>
      <c r="O61" s="412"/>
      <c r="P61" s="433"/>
    </row>
    <row r="62" spans="1:16" ht="25.5" customHeight="1" x14ac:dyDescent="0.25">
      <c r="A62" s="50"/>
      <c r="B62" s="643" t="s">
        <v>167</v>
      </c>
      <c r="C62" s="620"/>
      <c r="D62" s="620"/>
      <c r="E62" s="620"/>
      <c r="F62" s="620"/>
      <c r="G62" s="620"/>
      <c r="H62" s="620"/>
      <c r="I62" s="620"/>
      <c r="J62" s="620"/>
      <c r="K62" s="620"/>
      <c r="L62" s="620"/>
      <c r="M62" s="620"/>
      <c r="N62" s="620"/>
      <c r="O62" s="620"/>
      <c r="P62" s="644"/>
    </row>
    <row r="63" spans="1:16" x14ac:dyDescent="0.25">
      <c r="A63" s="34"/>
      <c r="B63" s="428">
        <v>21</v>
      </c>
      <c r="C63" s="413" t="s">
        <v>168</v>
      </c>
      <c r="D63" s="253" t="s">
        <v>33</v>
      </c>
      <c r="E63" s="416"/>
      <c r="F63" s="296"/>
      <c r="G63" s="296"/>
      <c r="H63" s="425">
        <v>1</v>
      </c>
      <c r="I63" s="415"/>
      <c r="J63" s="415"/>
      <c r="K63" s="415"/>
      <c r="L63" s="415"/>
      <c r="M63" s="415"/>
      <c r="N63" s="415"/>
      <c r="O63" s="415"/>
      <c r="P63" s="429">
        <f t="shared" si="0"/>
        <v>1</v>
      </c>
    </row>
    <row r="64" spans="1:16" ht="28.5" x14ac:dyDescent="0.25">
      <c r="A64" s="34"/>
      <c r="B64" s="428">
        <v>22</v>
      </c>
      <c r="C64" s="413" t="s">
        <v>169</v>
      </c>
      <c r="D64" s="253" t="s">
        <v>33</v>
      </c>
      <c r="E64" s="416"/>
      <c r="F64" s="296"/>
      <c r="G64" s="296"/>
      <c r="H64" s="425">
        <v>1</v>
      </c>
      <c r="I64" s="415"/>
      <c r="J64" s="415"/>
      <c r="K64" s="415"/>
      <c r="L64" s="415"/>
      <c r="M64" s="415"/>
      <c r="N64" s="415"/>
      <c r="O64" s="415"/>
      <c r="P64" s="429">
        <f t="shared" si="0"/>
        <v>1</v>
      </c>
    </row>
    <row r="65" spans="1:16" x14ac:dyDescent="0.25">
      <c r="A65" s="34"/>
      <c r="B65" s="428">
        <v>23</v>
      </c>
      <c r="C65" s="413" t="s">
        <v>170</v>
      </c>
      <c r="D65" s="253" t="s">
        <v>33</v>
      </c>
      <c r="E65" s="416"/>
      <c r="F65" s="296"/>
      <c r="G65" s="296"/>
      <c r="H65" s="425">
        <v>1</v>
      </c>
      <c r="I65" s="415"/>
      <c r="J65" s="415"/>
      <c r="K65" s="415"/>
      <c r="L65" s="415"/>
      <c r="M65" s="415"/>
      <c r="N65" s="415"/>
      <c r="O65" s="415"/>
      <c r="P65" s="429">
        <f t="shared" si="0"/>
        <v>1</v>
      </c>
    </row>
    <row r="66" spans="1:16" x14ac:dyDescent="0.25">
      <c r="A66" s="34"/>
      <c r="B66" s="428">
        <v>24</v>
      </c>
      <c r="C66" s="413" t="s">
        <v>171</v>
      </c>
      <c r="D66" s="253" t="s">
        <v>33</v>
      </c>
      <c r="E66" s="416"/>
      <c r="F66" s="296"/>
      <c r="G66" s="296"/>
      <c r="H66" s="425">
        <v>1</v>
      </c>
      <c r="I66" s="415"/>
      <c r="J66" s="415"/>
      <c r="K66" s="415"/>
      <c r="L66" s="415"/>
      <c r="M66" s="415"/>
      <c r="N66" s="415"/>
      <c r="O66" s="415"/>
      <c r="P66" s="429">
        <f t="shared" si="0"/>
        <v>1</v>
      </c>
    </row>
    <row r="67" spans="1:16" x14ac:dyDescent="0.25">
      <c r="A67" s="34"/>
      <c r="B67" s="430" t="s">
        <v>265</v>
      </c>
      <c r="C67" s="413"/>
      <c r="D67" s="253" t="s">
        <v>255</v>
      </c>
      <c r="E67" s="416"/>
      <c r="F67" s="296"/>
      <c r="G67" s="296"/>
      <c r="H67" s="425"/>
      <c r="I67" s="415"/>
      <c r="J67" s="415"/>
      <c r="K67" s="415"/>
      <c r="L67" s="415"/>
      <c r="M67" s="415"/>
      <c r="N67" s="415"/>
      <c r="O67" s="415"/>
      <c r="P67" s="429"/>
    </row>
    <row r="68" spans="1:16" x14ac:dyDescent="0.25">
      <c r="A68" s="34"/>
      <c r="B68" s="428"/>
      <c r="C68" s="609"/>
      <c r="D68" s="609"/>
      <c r="E68" s="268"/>
      <c r="F68" s="296"/>
      <c r="G68" s="296"/>
      <c r="H68" s="425"/>
      <c r="I68" s="415"/>
      <c r="J68" s="415"/>
      <c r="K68" s="415"/>
      <c r="L68" s="415"/>
      <c r="M68" s="415"/>
      <c r="N68" s="415"/>
      <c r="O68" s="415"/>
      <c r="P68" s="429"/>
    </row>
    <row r="69" spans="1:16" x14ac:dyDescent="0.25">
      <c r="A69" s="34"/>
      <c r="B69" s="428"/>
      <c r="C69" s="609"/>
      <c r="D69" s="609"/>
      <c r="E69" s="268"/>
      <c r="F69" s="296"/>
      <c r="G69" s="296"/>
      <c r="H69" s="425"/>
      <c r="I69" s="415"/>
      <c r="J69" s="415"/>
      <c r="K69" s="415"/>
      <c r="L69" s="415"/>
      <c r="M69" s="415"/>
      <c r="N69" s="415"/>
      <c r="O69" s="415"/>
      <c r="P69" s="429"/>
    </row>
    <row r="70" spans="1:16" x14ac:dyDescent="0.25">
      <c r="A70" s="34"/>
      <c r="B70" s="428"/>
      <c r="C70" s="609"/>
      <c r="D70" s="609"/>
      <c r="E70" s="268"/>
      <c r="F70" s="296"/>
      <c r="G70" s="296"/>
      <c r="H70" s="415"/>
      <c r="I70" s="415"/>
      <c r="J70" s="415"/>
      <c r="K70" s="415"/>
      <c r="L70" s="415"/>
      <c r="M70" s="415"/>
      <c r="N70" s="415"/>
      <c r="O70" s="415"/>
      <c r="P70" s="429">
        <f t="shared" si="0"/>
        <v>0</v>
      </c>
    </row>
    <row r="71" spans="1:16" ht="28.5" customHeight="1" x14ac:dyDescent="0.25">
      <c r="A71" s="50"/>
      <c r="B71" s="643" t="s">
        <v>172</v>
      </c>
      <c r="C71" s="620"/>
      <c r="D71" s="620"/>
      <c r="E71" s="620"/>
      <c r="F71" s="620"/>
      <c r="G71" s="620"/>
      <c r="H71" s="620"/>
      <c r="I71" s="620"/>
      <c r="J71" s="620"/>
      <c r="K71" s="620"/>
      <c r="L71" s="620"/>
      <c r="M71" s="620"/>
      <c r="N71" s="620"/>
      <c r="O71" s="620"/>
      <c r="P71" s="644"/>
    </row>
    <row r="72" spans="1:16" x14ac:dyDescent="0.25">
      <c r="A72" s="34"/>
      <c r="B72" s="428">
        <v>25</v>
      </c>
      <c r="C72" s="413" t="s">
        <v>173</v>
      </c>
      <c r="D72" s="253" t="s">
        <v>33</v>
      </c>
      <c r="E72" s="416"/>
      <c r="F72" s="296"/>
      <c r="G72" s="296"/>
      <c r="H72" s="415"/>
      <c r="I72" s="425">
        <v>1</v>
      </c>
      <c r="J72" s="415"/>
      <c r="K72" s="415"/>
      <c r="L72" s="415"/>
      <c r="M72" s="415"/>
      <c r="N72" s="415"/>
      <c r="O72" s="415"/>
      <c r="P72" s="429">
        <f t="shared" si="0"/>
        <v>1</v>
      </c>
    </row>
    <row r="73" spans="1:16" x14ac:dyDescent="0.25">
      <c r="A73" s="34"/>
      <c r="B73" s="428">
        <v>26</v>
      </c>
      <c r="C73" s="413" t="s">
        <v>174</v>
      </c>
      <c r="D73" s="253" t="s">
        <v>33</v>
      </c>
      <c r="E73" s="416"/>
      <c r="F73" s="296"/>
      <c r="G73" s="296"/>
      <c r="H73" s="415"/>
      <c r="I73" s="425">
        <v>1</v>
      </c>
      <c r="J73" s="415"/>
      <c r="K73" s="415"/>
      <c r="L73" s="415"/>
      <c r="M73" s="415"/>
      <c r="N73" s="415"/>
      <c r="O73" s="415"/>
      <c r="P73" s="429">
        <f t="shared" si="0"/>
        <v>1</v>
      </c>
    </row>
    <row r="74" spans="1:16" ht="28.5" x14ac:dyDescent="0.25">
      <c r="A74" s="34"/>
      <c r="B74" s="428">
        <v>27</v>
      </c>
      <c r="C74" s="413" t="s">
        <v>175</v>
      </c>
      <c r="D74" s="253" t="s">
        <v>33</v>
      </c>
      <c r="E74" s="416"/>
      <c r="F74" s="296"/>
      <c r="G74" s="296"/>
      <c r="H74" s="415"/>
      <c r="I74" s="425">
        <v>0.8</v>
      </c>
      <c r="J74" s="425">
        <v>0.2</v>
      </c>
      <c r="K74" s="415"/>
      <c r="L74" s="415"/>
      <c r="M74" s="415"/>
      <c r="N74" s="415"/>
      <c r="O74" s="415"/>
      <c r="P74" s="429">
        <f t="shared" si="0"/>
        <v>1</v>
      </c>
    </row>
    <row r="75" spans="1:16" ht="28.5" x14ac:dyDescent="0.25">
      <c r="A75" s="34"/>
      <c r="B75" s="428">
        <v>28</v>
      </c>
      <c r="C75" s="413" t="s">
        <v>176</v>
      </c>
      <c r="D75" s="253" t="s">
        <v>33</v>
      </c>
      <c r="E75" s="416"/>
      <c r="F75" s="296"/>
      <c r="G75" s="296"/>
      <c r="H75" s="415"/>
      <c r="I75" s="415"/>
      <c r="J75" s="415"/>
      <c r="K75" s="415"/>
      <c r="L75" s="415"/>
      <c r="M75" s="415"/>
      <c r="N75" s="415"/>
      <c r="O75" s="415"/>
      <c r="P75" s="429">
        <f t="shared" si="0"/>
        <v>0</v>
      </c>
    </row>
    <row r="76" spans="1:16" ht="28.5" x14ac:dyDescent="0.25">
      <c r="A76" s="34"/>
      <c r="B76" s="428">
        <v>29</v>
      </c>
      <c r="C76" s="413" t="s">
        <v>177</v>
      </c>
      <c r="D76" s="253" t="s">
        <v>33</v>
      </c>
      <c r="E76" s="416"/>
      <c r="F76" s="296"/>
      <c r="G76" s="296"/>
      <c r="H76" s="415"/>
      <c r="I76" s="415"/>
      <c r="J76" s="415"/>
      <c r="K76" s="415"/>
      <c r="L76" s="415"/>
      <c r="M76" s="415"/>
      <c r="N76" s="415"/>
      <c r="O76" s="415"/>
      <c r="P76" s="429">
        <f t="shared" si="0"/>
        <v>0</v>
      </c>
    </row>
    <row r="77" spans="1:16" ht="28.5" x14ac:dyDescent="0.25">
      <c r="A77" s="34"/>
      <c r="B77" s="428">
        <v>30</v>
      </c>
      <c r="C77" s="413" t="s">
        <v>178</v>
      </c>
      <c r="D77" s="253" t="s">
        <v>33</v>
      </c>
      <c r="E77" s="416"/>
      <c r="F77" s="296"/>
      <c r="G77" s="296"/>
      <c r="H77" s="415"/>
      <c r="I77" s="415"/>
      <c r="J77" s="415"/>
      <c r="K77" s="415"/>
      <c r="L77" s="415"/>
      <c r="M77" s="415"/>
      <c r="N77" s="415"/>
      <c r="O77" s="415"/>
      <c r="P77" s="429">
        <f t="shared" si="0"/>
        <v>0</v>
      </c>
    </row>
    <row r="78" spans="1:16" ht="28.5" x14ac:dyDescent="0.25">
      <c r="A78" s="34"/>
      <c r="B78" s="428">
        <v>31</v>
      </c>
      <c r="C78" s="413" t="s">
        <v>179</v>
      </c>
      <c r="D78" s="253" t="s">
        <v>33</v>
      </c>
      <c r="E78" s="416"/>
      <c r="F78" s="296"/>
      <c r="G78" s="296"/>
      <c r="H78" s="415"/>
      <c r="I78" s="415"/>
      <c r="J78" s="415"/>
      <c r="K78" s="415"/>
      <c r="L78" s="415"/>
      <c r="M78" s="415"/>
      <c r="N78" s="415"/>
      <c r="O78" s="415"/>
      <c r="P78" s="429">
        <f t="shared" si="0"/>
        <v>0</v>
      </c>
    </row>
    <row r="79" spans="1:16" x14ac:dyDescent="0.25">
      <c r="A79" s="34"/>
      <c r="B79" s="428">
        <v>32</v>
      </c>
      <c r="C79" s="413" t="s">
        <v>180</v>
      </c>
      <c r="D79" s="253" t="s">
        <v>33</v>
      </c>
      <c r="E79" s="416"/>
      <c r="F79" s="296"/>
      <c r="G79" s="296"/>
      <c r="H79" s="415"/>
      <c r="I79" s="415"/>
      <c r="J79" s="415"/>
      <c r="K79" s="415"/>
      <c r="L79" s="415"/>
      <c r="M79" s="415"/>
      <c r="N79" s="415"/>
      <c r="O79" s="415"/>
      <c r="P79" s="429">
        <f t="shared" si="0"/>
        <v>0</v>
      </c>
    </row>
    <row r="80" spans="1:16" x14ac:dyDescent="0.25">
      <c r="A80" s="34"/>
      <c r="B80" s="430" t="s">
        <v>265</v>
      </c>
      <c r="C80" s="413"/>
      <c r="D80" s="253" t="s">
        <v>255</v>
      </c>
      <c r="E80" s="416"/>
      <c r="F80" s="296"/>
      <c r="G80" s="296"/>
      <c r="H80" s="415"/>
      <c r="I80" s="415"/>
      <c r="J80" s="415"/>
      <c r="K80" s="415"/>
      <c r="L80" s="415"/>
      <c r="M80" s="415"/>
      <c r="N80" s="415"/>
      <c r="O80" s="415"/>
      <c r="P80" s="429"/>
    </row>
    <row r="81" spans="1:16" x14ac:dyDescent="0.25">
      <c r="A81" s="34"/>
      <c r="B81" s="428"/>
      <c r="C81" s="609"/>
      <c r="D81" s="609"/>
      <c r="E81" s="268"/>
      <c r="F81" s="296"/>
      <c r="G81" s="296"/>
      <c r="H81" s="415"/>
      <c r="I81" s="415"/>
      <c r="J81" s="415"/>
      <c r="K81" s="415"/>
      <c r="L81" s="415"/>
      <c r="M81" s="415"/>
      <c r="N81" s="415"/>
      <c r="O81" s="415"/>
      <c r="P81" s="429"/>
    </row>
    <row r="82" spans="1:16" x14ac:dyDescent="0.25">
      <c r="A82" s="34"/>
      <c r="B82" s="428"/>
      <c r="C82" s="609"/>
      <c r="D82" s="609"/>
      <c r="E82" s="268"/>
      <c r="F82" s="296"/>
      <c r="G82" s="296"/>
      <c r="H82" s="415"/>
      <c r="I82" s="415"/>
      <c r="J82" s="415"/>
      <c r="K82" s="415"/>
      <c r="L82" s="415"/>
      <c r="M82" s="415"/>
      <c r="N82" s="415"/>
      <c r="O82" s="415"/>
      <c r="P82" s="429"/>
    </row>
    <row r="83" spans="1:16" x14ac:dyDescent="0.25">
      <c r="A83" s="34"/>
      <c r="B83" s="428"/>
      <c r="C83" s="609"/>
      <c r="D83" s="609"/>
      <c r="E83" s="268"/>
      <c r="F83" s="296"/>
      <c r="G83" s="296"/>
      <c r="H83" s="415"/>
      <c r="I83" s="415"/>
      <c r="J83" s="415"/>
      <c r="K83" s="415"/>
      <c r="L83" s="415"/>
      <c r="M83" s="415"/>
      <c r="N83" s="415"/>
      <c r="O83" s="415"/>
      <c r="P83" s="429">
        <f t="shared" ref="P83:P106" si="1">SUM(H83:O83)</f>
        <v>0</v>
      </c>
    </row>
    <row r="84" spans="1:16" ht="25.5" customHeight="1" x14ac:dyDescent="0.25">
      <c r="A84" s="50"/>
      <c r="B84" s="643" t="s">
        <v>181</v>
      </c>
      <c r="C84" s="620"/>
      <c r="D84" s="620"/>
      <c r="E84" s="620"/>
      <c r="F84" s="620"/>
      <c r="G84" s="620"/>
      <c r="H84" s="620"/>
      <c r="I84" s="620"/>
      <c r="J84" s="620"/>
      <c r="K84" s="620"/>
      <c r="L84" s="620"/>
      <c r="M84" s="620"/>
      <c r="N84" s="620"/>
      <c r="O84" s="620"/>
      <c r="P84" s="644"/>
    </row>
    <row r="85" spans="1:16" x14ac:dyDescent="0.25">
      <c r="A85" s="34"/>
      <c r="B85" s="428">
        <v>33</v>
      </c>
      <c r="C85" s="413" t="s">
        <v>182</v>
      </c>
      <c r="D85" s="253" t="s">
        <v>33</v>
      </c>
      <c r="E85" s="416"/>
      <c r="F85" s="296"/>
      <c r="G85" s="296"/>
      <c r="H85" s="421"/>
      <c r="I85" s="421"/>
      <c r="J85" s="421"/>
      <c r="K85" s="421"/>
      <c r="L85" s="421"/>
      <c r="M85" s="421"/>
      <c r="N85" s="421"/>
      <c r="O85" s="421"/>
      <c r="P85" s="429">
        <f t="shared" si="1"/>
        <v>0</v>
      </c>
    </row>
    <row r="86" spans="1:16" x14ac:dyDescent="0.25">
      <c r="A86" s="34"/>
      <c r="B86" s="428">
        <v>34</v>
      </c>
      <c r="C86" s="413" t="s">
        <v>183</v>
      </c>
      <c r="D86" s="253" t="s">
        <v>33</v>
      </c>
      <c r="E86" s="416"/>
      <c r="F86" s="296"/>
      <c r="G86" s="296"/>
      <c r="H86" s="421"/>
      <c r="I86" s="421"/>
      <c r="J86" s="421"/>
      <c r="K86" s="421"/>
      <c r="L86" s="421"/>
      <c r="M86" s="421"/>
      <c r="N86" s="421"/>
      <c r="O86" s="421"/>
      <c r="P86" s="429">
        <f t="shared" si="1"/>
        <v>0</v>
      </c>
    </row>
    <row r="87" spans="1:16" x14ac:dyDescent="0.25">
      <c r="A87" s="34"/>
      <c r="B87" s="428">
        <v>35</v>
      </c>
      <c r="C87" s="413" t="s">
        <v>184</v>
      </c>
      <c r="D87" s="253" t="s">
        <v>33</v>
      </c>
      <c r="E87" s="416"/>
      <c r="F87" s="296"/>
      <c r="G87" s="296"/>
      <c r="H87" s="421"/>
      <c r="I87" s="421"/>
      <c r="J87" s="421"/>
      <c r="K87" s="421"/>
      <c r="L87" s="421"/>
      <c r="M87" s="421"/>
      <c r="N87" s="421"/>
      <c r="O87" s="421"/>
      <c r="P87" s="429">
        <f t="shared" si="1"/>
        <v>0</v>
      </c>
    </row>
    <row r="88" spans="1:16" x14ac:dyDescent="0.25">
      <c r="A88" s="34"/>
      <c r="B88" s="430" t="s">
        <v>265</v>
      </c>
      <c r="C88" s="413"/>
      <c r="D88" s="253" t="s">
        <v>255</v>
      </c>
      <c r="E88" s="416"/>
      <c r="F88" s="296"/>
      <c r="G88" s="296"/>
      <c r="H88" s="421"/>
      <c r="I88" s="421"/>
      <c r="J88" s="421"/>
      <c r="K88" s="421"/>
      <c r="L88" s="421"/>
      <c r="M88" s="421"/>
      <c r="N88" s="421"/>
      <c r="O88" s="421"/>
      <c r="P88" s="429"/>
    </row>
    <row r="89" spans="1:16" x14ac:dyDescent="0.25">
      <c r="A89" s="34"/>
      <c r="B89" s="428"/>
      <c r="C89" s="609"/>
      <c r="D89" s="609"/>
      <c r="E89" s="268"/>
      <c r="F89" s="296"/>
      <c r="G89" s="296"/>
      <c r="H89" s="421"/>
      <c r="I89" s="421"/>
      <c r="J89" s="421"/>
      <c r="K89" s="421"/>
      <c r="L89" s="421"/>
      <c r="M89" s="421"/>
      <c r="N89" s="421"/>
      <c r="O89" s="421"/>
      <c r="P89" s="429"/>
    </row>
    <row r="90" spans="1:16" x14ac:dyDescent="0.25">
      <c r="A90" s="34"/>
      <c r="B90" s="428"/>
      <c r="C90" s="609"/>
      <c r="D90" s="609"/>
      <c r="E90" s="268"/>
      <c r="F90" s="296"/>
      <c r="G90" s="296"/>
      <c r="H90" s="421"/>
      <c r="I90" s="421"/>
      <c r="J90" s="421"/>
      <c r="K90" s="421"/>
      <c r="L90" s="421"/>
      <c r="M90" s="421"/>
      <c r="N90" s="421"/>
      <c r="O90" s="421"/>
      <c r="P90" s="429"/>
    </row>
    <row r="91" spans="1:16" x14ac:dyDescent="0.25">
      <c r="A91" s="34"/>
      <c r="B91" s="428"/>
      <c r="C91" s="609"/>
      <c r="D91" s="609"/>
      <c r="E91" s="268"/>
      <c r="F91" s="296"/>
      <c r="G91" s="296"/>
      <c r="H91" s="421"/>
      <c r="I91" s="421"/>
      <c r="J91" s="421"/>
      <c r="K91" s="421"/>
      <c r="L91" s="421"/>
      <c r="M91" s="421"/>
      <c r="N91" s="421"/>
      <c r="O91" s="421"/>
      <c r="P91" s="429">
        <f t="shared" si="1"/>
        <v>0</v>
      </c>
    </row>
    <row r="92" spans="1:16" ht="24" customHeight="1" x14ac:dyDescent="0.25">
      <c r="A92" s="50"/>
      <c r="B92" s="643" t="s">
        <v>185</v>
      </c>
      <c r="C92" s="620"/>
      <c r="D92" s="620"/>
      <c r="E92" s="620"/>
      <c r="F92" s="620"/>
      <c r="G92" s="620"/>
      <c r="H92" s="620"/>
      <c r="I92" s="620"/>
      <c r="J92" s="620"/>
      <c r="K92" s="620"/>
      <c r="L92" s="620"/>
      <c r="M92" s="620"/>
      <c r="N92" s="620"/>
      <c r="O92" s="620"/>
      <c r="P92" s="644"/>
    </row>
    <row r="93" spans="1:16" ht="42.75" x14ac:dyDescent="0.25">
      <c r="A93" s="34"/>
      <c r="B93" s="428">
        <v>36</v>
      </c>
      <c r="C93" s="413" t="s">
        <v>186</v>
      </c>
      <c r="D93" s="253" t="s">
        <v>33</v>
      </c>
      <c r="E93" s="416"/>
      <c r="F93" s="296"/>
      <c r="G93" s="296"/>
      <c r="H93" s="421"/>
      <c r="I93" s="421"/>
      <c r="J93" s="421"/>
      <c r="K93" s="421"/>
      <c r="L93" s="421"/>
      <c r="M93" s="421"/>
      <c r="N93" s="421"/>
      <c r="O93" s="421"/>
      <c r="P93" s="429">
        <f t="shared" si="1"/>
        <v>0</v>
      </c>
    </row>
    <row r="94" spans="1:16" ht="28.5" x14ac:dyDescent="0.25">
      <c r="A94" s="34"/>
      <c r="B94" s="428">
        <v>37</v>
      </c>
      <c r="C94" s="413" t="s">
        <v>187</v>
      </c>
      <c r="D94" s="253" t="s">
        <v>33</v>
      </c>
      <c r="E94" s="416"/>
      <c r="F94" s="296"/>
      <c r="G94" s="296"/>
      <c r="H94" s="421"/>
      <c r="I94" s="421"/>
      <c r="J94" s="421"/>
      <c r="K94" s="421"/>
      <c r="L94" s="421"/>
      <c r="M94" s="421"/>
      <c r="N94" s="421"/>
      <c r="O94" s="421"/>
      <c r="P94" s="429">
        <f t="shared" si="1"/>
        <v>0</v>
      </c>
    </row>
    <row r="95" spans="1:16" x14ac:dyDescent="0.25">
      <c r="A95" s="34"/>
      <c r="B95" s="428">
        <v>38</v>
      </c>
      <c r="C95" s="413" t="s">
        <v>188</v>
      </c>
      <c r="D95" s="253" t="s">
        <v>33</v>
      </c>
      <c r="E95" s="416"/>
      <c r="F95" s="296"/>
      <c r="G95" s="296"/>
      <c r="H95" s="421"/>
      <c r="I95" s="421"/>
      <c r="J95" s="421"/>
      <c r="K95" s="421"/>
      <c r="L95" s="421"/>
      <c r="M95" s="421"/>
      <c r="N95" s="421"/>
      <c r="O95" s="421"/>
      <c r="P95" s="429">
        <f t="shared" si="1"/>
        <v>0</v>
      </c>
    </row>
    <row r="96" spans="1:16" ht="28.5" x14ac:dyDescent="0.25">
      <c r="A96" s="34"/>
      <c r="B96" s="428">
        <v>39</v>
      </c>
      <c r="C96" s="413" t="s">
        <v>189</v>
      </c>
      <c r="D96" s="253" t="s">
        <v>33</v>
      </c>
      <c r="E96" s="416"/>
      <c r="F96" s="296"/>
      <c r="G96" s="296"/>
      <c r="H96" s="421"/>
      <c r="I96" s="421"/>
      <c r="J96" s="421"/>
      <c r="K96" s="421"/>
      <c r="L96" s="421"/>
      <c r="M96" s="421"/>
      <c r="N96" s="421"/>
      <c r="O96" s="421"/>
      <c r="P96" s="429">
        <f t="shared" si="1"/>
        <v>0</v>
      </c>
    </row>
    <row r="97" spans="1:16" ht="28.5" x14ac:dyDescent="0.25">
      <c r="A97" s="34"/>
      <c r="B97" s="428">
        <v>40</v>
      </c>
      <c r="C97" s="413" t="s">
        <v>190</v>
      </c>
      <c r="D97" s="253" t="s">
        <v>33</v>
      </c>
      <c r="E97" s="416"/>
      <c r="F97" s="296"/>
      <c r="G97" s="296"/>
      <c r="H97" s="421"/>
      <c r="I97" s="421"/>
      <c r="J97" s="421"/>
      <c r="K97" s="421"/>
      <c r="L97" s="421"/>
      <c r="M97" s="421"/>
      <c r="N97" s="421"/>
      <c r="O97" s="421"/>
      <c r="P97" s="429">
        <f t="shared" si="1"/>
        <v>0</v>
      </c>
    </row>
    <row r="98" spans="1:16" ht="28.5" x14ac:dyDescent="0.25">
      <c r="A98" s="34"/>
      <c r="B98" s="428">
        <v>41</v>
      </c>
      <c r="C98" s="413" t="s">
        <v>191</v>
      </c>
      <c r="D98" s="253" t="s">
        <v>33</v>
      </c>
      <c r="E98" s="416"/>
      <c r="F98" s="296"/>
      <c r="G98" s="296"/>
      <c r="H98" s="421"/>
      <c r="I98" s="421"/>
      <c r="J98" s="421"/>
      <c r="K98" s="421"/>
      <c r="L98" s="421"/>
      <c r="M98" s="421"/>
      <c r="N98" s="421"/>
      <c r="O98" s="421"/>
      <c r="P98" s="429">
        <f t="shared" si="1"/>
        <v>0</v>
      </c>
    </row>
    <row r="99" spans="1:16" ht="28.5" x14ac:dyDescent="0.25">
      <c r="A99" s="34"/>
      <c r="B99" s="428">
        <v>42</v>
      </c>
      <c r="C99" s="413" t="s">
        <v>192</v>
      </c>
      <c r="D99" s="253" t="s">
        <v>33</v>
      </c>
      <c r="E99" s="416"/>
      <c r="F99" s="296"/>
      <c r="G99" s="296"/>
      <c r="H99" s="421"/>
      <c r="I99" s="421"/>
      <c r="J99" s="421"/>
      <c r="K99" s="421"/>
      <c r="L99" s="421"/>
      <c r="M99" s="421"/>
      <c r="N99" s="421"/>
      <c r="O99" s="421"/>
      <c r="P99" s="429">
        <f t="shared" si="1"/>
        <v>0</v>
      </c>
    </row>
    <row r="100" spans="1:16" x14ac:dyDescent="0.25">
      <c r="A100" s="34"/>
      <c r="B100" s="428">
        <v>43</v>
      </c>
      <c r="C100" s="413" t="s">
        <v>193</v>
      </c>
      <c r="D100" s="253" t="s">
        <v>33</v>
      </c>
      <c r="E100" s="416"/>
      <c r="F100" s="296"/>
      <c r="G100" s="296"/>
      <c r="H100" s="421"/>
      <c r="I100" s="421"/>
      <c r="J100" s="421"/>
      <c r="K100" s="421"/>
      <c r="L100" s="421"/>
      <c r="M100" s="421"/>
      <c r="N100" s="421"/>
      <c r="O100" s="421"/>
      <c r="P100" s="429">
        <f t="shared" si="1"/>
        <v>0</v>
      </c>
    </row>
    <row r="101" spans="1:16" ht="42.75" x14ac:dyDescent="0.25">
      <c r="A101" s="34"/>
      <c r="B101" s="428">
        <v>44</v>
      </c>
      <c r="C101" s="413" t="s">
        <v>194</v>
      </c>
      <c r="D101" s="253" t="s">
        <v>33</v>
      </c>
      <c r="E101" s="416"/>
      <c r="F101" s="296"/>
      <c r="G101" s="296"/>
      <c r="H101" s="421"/>
      <c r="I101" s="421"/>
      <c r="J101" s="421"/>
      <c r="K101" s="421"/>
      <c r="L101" s="421"/>
      <c r="M101" s="421"/>
      <c r="N101" s="421"/>
      <c r="O101" s="421"/>
      <c r="P101" s="429">
        <f t="shared" si="1"/>
        <v>0</v>
      </c>
    </row>
    <row r="102" spans="1:16" ht="28.5" x14ac:dyDescent="0.25">
      <c r="A102" s="34"/>
      <c r="B102" s="428">
        <v>45</v>
      </c>
      <c r="C102" s="413" t="s">
        <v>195</v>
      </c>
      <c r="D102" s="253" t="s">
        <v>33</v>
      </c>
      <c r="E102" s="416"/>
      <c r="F102" s="296"/>
      <c r="G102" s="296"/>
      <c r="H102" s="421"/>
      <c r="I102" s="421"/>
      <c r="J102" s="421"/>
      <c r="K102" s="421"/>
      <c r="L102" s="421"/>
      <c r="M102" s="421"/>
      <c r="N102" s="421"/>
      <c r="O102" s="421"/>
      <c r="P102" s="429">
        <f t="shared" si="1"/>
        <v>0</v>
      </c>
    </row>
    <row r="103" spans="1:16" ht="28.5" x14ac:dyDescent="0.25">
      <c r="A103" s="34"/>
      <c r="B103" s="428">
        <v>46</v>
      </c>
      <c r="C103" s="413" t="s">
        <v>196</v>
      </c>
      <c r="D103" s="253" t="s">
        <v>33</v>
      </c>
      <c r="E103" s="416"/>
      <c r="F103" s="296"/>
      <c r="G103" s="296"/>
      <c r="H103" s="421"/>
      <c r="I103" s="421"/>
      <c r="J103" s="421"/>
      <c r="K103" s="421"/>
      <c r="L103" s="421"/>
      <c r="M103" s="421"/>
      <c r="N103" s="421"/>
      <c r="O103" s="421"/>
      <c r="P103" s="429">
        <f t="shared" si="1"/>
        <v>0</v>
      </c>
    </row>
    <row r="104" spans="1:16" ht="28.5" x14ac:dyDescent="0.25">
      <c r="A104" s="34"/>
      <c r="B104" s="428">
        <v>47</v>
      </c>
      <c r="C104" s="413" t="s">
        <v>197</v>
      </c>
      <c r="D104" s="253" t="s">
        <v>33</v>
      </c>
      <c r="E104" s="416"/>
      <c r="F104" s="296"/>
      <c r="G104" s="296"/>
      <c r="H104" s="421"/>
      <c r="I104" s="421"/>
      <c r="J104" s="421"/>
      <c r="K104" s="421"/>
      <c r="L104" s="421"/>
      <c r="M104" s="421"/>
      <c r="N104" s="421"/>
      <c r="O104" s="421"/>
      <c r="P104" s="429">
        <f t="shared" si="1"/>
        <v>0</v>
      </c>
    </row>
    <row r="105" spans="1:16" ht="28.5" x14ac:dyDescent="0.25">
      <c r="A105" s="34"/>
      <c r="B105" s="428">
        <v>48</v>
      </c>
      <c r="C105" s="413" t="s">
        <v>198</v>
      </c>
      <c r="D105" s="253" t="s">
        <v>33</v>
      </c>
      <c r="E105" s="416"/>
      <c r="F105" s="296"/>
      <c r="G105" s="296"/>
      <c r="H105" s="421"/>
      <c r="I105" s="421"/>
      <c r="J105" s="421"/>
      <c r="K105" s="421"/>
      <c r="L105" s="421"/>
      <c r="M105" s="421"/>
      <c r="N105" s="421"/>
      <c r="O105" s="421"/>
      <c r="P105" s="429">
        <f t="shared" si="1"/>
        <v>0</v>
      </c>
    </row>
    <row r="106" spans="1:16" ht="28.5" x14ac:dyDescent="0.25">
      <c r="A106" s="34"/>
      <c r="B106" s="428">
        <v>49</v>
      </c>
      <c r="C106" s="413" t="s">
        <v>199</v>
      </c>
      <c r="D106" s="253" t="s">
        <v>33</v>
      </c>
      <c r="E106" s="416"/>
      <c r="F106" s="296"/>
      <c r="G106" s="296"/>
      <c r="H106" s="421"/>
      <c r="I106" s="421"/>
      <c r="J106" s="421"/>
      <c r="K106" s="421"/>
      <c r="L106" s="421"/>
      <c r="M106" s="421"/>
      <c r="N106" s="421"/>
      <c r="O106" s="421"/>
      <c r="P106" s="429">
        <f t="shared" si="1"/>
        <v>0</v>
      </c>
    </row>
    <row r="107" spans="1:16" x14ac:dyDescent="0.25">
      <c r="A107" s="34"/>
      <c r="B107" s="430" t="s">
        <v>265</v>
      </c>
      <c r="C107" s="413"/>
      <c r="D107" s="253" t="s">
        <v>255</v>
      </c>
      <c r="E107" s="416"/>
      <c r="F107" s="296"/>
      <c r="G107" s="296"/>
      <c r="H107" s="421"/>
      <c r="I107" s="421"/>
      <c r="J107" s="421"/>
      <c r="K107" s="421"/>
      <c r="L107" s="421"/>
      <c r="M107" s="421"/>
      <c r="N107" s="421"/>
      <c r="O107" s="421"/>
      <c r="P107" s="429"/>
    </row>
    <row r="108" spans="1:16" x14ac:dyDescent="0.25">
      <c r="A108" s="34"/>
      <c r="B108" s="428"/>
      <c r="C108" s="609"/>
      <c r="D108" s="609"/>
      <c r="E108" s="268"/>
      <c r="F108" s="296"/>
      <c r="G108" s="296"/>
      <c r="H108" s="421"/>
      <c r="I108" s="421"/>
      <c r="J108" s="421"/>
      <c r="K108" s="421"/>
      <c r="L108" s="421"/>
      <c r="M108" s="421"/>
      <c r="N108" s="421"/>
      <c r="O108" s="421"/>
      <c r="P108" s="429"/>
    </row>
    <row r="109" spans="1:16" x14ac:dyDescent="0.25">
      <c r="A109" s="34"/>
      <c r="B109" s="428"/>
      <c r="C109" s="609"/>
      <c r="D109" s="609"/>
      <c r="E109" s="268"/>
      <c r="F109" s="296"/>
      <c r="G109" s="296"/>
      <c r="H109" s="421"/>
      <c r="I109" s="421"/>
      <c r="J109" s="421"/>
      <c r="K109" s="421"/>
      <c r="L109" s="421"/>
      <c r="M109" s="421"/>
      <c r="N109" s="421"/>
      <c r="O109" s="421"/>
      <c r="P109" s="429"/>
    </row>
    <row r="110" spans="1:16" x14ac:dyDescent="0.25">
      <c r="A110" s="34"/>
      <c r="B110" s="428"/>
      <c r="C110" s="609"/>
      <c r="D110" s="609"/>
      <c r="E110" s="268"/>
      <c r="F110" s="296"/>
      <c r="G110" s="296"/>
      <c r="H110" s="421"/>
      <c r="I110" s="421"/>
      <c r="J110" s="421"/>
      <c r="K110" s="421"/>
      <c r="L110" s="421"/>
      <c r="M110" s="421"/>
      <c r="N110" s="421"/>
      <c r="O110" s="421"/>
      <c r="P110" s="429"/>
    </row>
    <row r="111" spans="1:16" x14ac:dyDescent="0.25">
      <c r="B111" s="352"/>
      <c r="C111" s="608" t="s">
        <v>223</v>
      </c>
      <c r="D111" s="608"/>
      <c r="E111" s="353"/>
      <c r="F111" s="354"/>
      <c r="G111" s="354"/>
      <c r="H111" s="355">
        <f>SUM(F17*H17,F18*H18,F19*H19,F20*H20,F21*H21,F22*H22,F46*H46,F63*H63,F64*H64,F65*H65,F66*H66)</f>
        <v>0</v>
      </c>
      <c r="I111" s="355">
        <f>SUM(F28*I28,F29*I29,F30*I30,F31*I31,F32*I32,F72*I72,F73*I73,F74*I74,F75*I75,F76*I76,F77*I77,F78*I78,F79*I79,F85*I85,F86*I86,F87*I87)</f>
        <v>0</v>
      </c>
      <c r="J111" s="356"/>
      <c r="K111" s="353"/>
      <c r="L111" s="353"/>
      <c r="M111" s="353"/>
      <c r="N111" s="355"/>
      <c r="O111" s="353"/>
      <c r="P111" s="357">
        <f>SUM(H111:O111)</f>
        <v>0</v>
      </c>
    </row>
    <row r="112" spans="1:16" x14ac:dyDescent="0.25">
      <c r="B112" s="275"/>
      <c r="C112" s="609" t="s">
        <v>262</v>
      </c>
      <c r="D112" s="609"/>
      <c r="E112" s="269"/>
      <c r="F112" s="267"/>
      <c r="G112" s="267"/>
      <c r="H112" s="269"/>
      <c r="I112" s="269"/>
      <c r="J112" s="270">
        <f>SUM(E28*G28*J28,E29*G29*J29,E30*G30*J30,E31*G31,J31*E32*G32*J32,E38*G38*J38,E39*G39*J39,E40*G40*J40)</f>
        <v>300</v>
      </c>
      <c r="K112" s="270">
        <f>SUM(E28*G28*K28,E29*G29*K29,E30*G30*K30,E31*G31*K31,E32*G32*K32,E38*G38*K38,E39*G39*K39,E40*G40*K40)</f>
        <v>180</v>
      </c>
      <c r="L112" s="270"/>
      <c r="M112" s="270"/>
      <c r="N112" s="269"/>
      <c r="O112" s="269"/>
      <c r="P112" s="276">
        <f>SUM(H112:O112)</f>
        <v>480</v>
      </c>
    </row>
    <row r="113" spans="2:16" x14ac:dyDescent="0.25">
      <c r="B113" s="275"/>
      <c r="C113" s="609" t="s">
        <v>263</v>
      </c>
      <c r="D113" s="609"/>
      <c r="E113" s="269"/>
      <c r="F113" s="267"/>
      <c r="G113" s="267"/>
      <c r="H113" s="269"/>
      <c r="I113" s="269"/>
      <c r="J113" s="270">
        <f>J112-(E32*G32*J32)</f>
        <v>300</v>
      </c>
      <c r="K113" s="269">
        <f>K112-(E32*G32*K32)</f>
        <v>180</v>
      </c>
      <c r="L113" s="269"/>
      <c r="M113" s="269"/>
      <c r="N113" s="269"/>
      <c r="O113" s="269"/>
      <c r="P113" s="276"/>
    </row>
    <row r="114" spans="2:16" x14ac:dyDescent="0.25">
      <c r="B114" s="277"/>
      <c r="C114" s="610"/>
      <c r="D114" s="610"/>
      <c r="E114" s="262"/>
      <c r="F114" s="260"/>
      <c r="G114" s="260"/>
      <c r="H114" s="262"/>
      <c r="I114" s="262"/>
      <c r="J114" s="262"/>
      <c r="K114" s="262"/>
      <c r="L114" s="262"/>
      <c r="M114" s="262"/>
      <c r="N114" s="262"/>
      <c r="O114" s="262"/>
      <c r="P114" s="278"/>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0"/>
      <c r="C116" s="611" t="s">
        <v>327</v>
      </c>
      <c r="D116" s="611"/>
      <c r="E116" s="253"/>
      <c r="F116" s="264"/>
      <c r="G116" s="253"/>
      <c r="H116" s="265">
        <f>'3.  Distribution Rates'!$J33</f>
        <v>0</v>
      </c>
      <c r="I116" s="265">
        <f>'3.  Distribution Rates'!J34</f>
        <v>0</v>
      </c>
      <c r="J116" s="265">
        <f>'3.  Distribution Rates'!J35</f>
        <v>0</v>
      </c>
      <c r="K116" s="265">
        <f>'3.  Distribution Rates'!J36</f>
        <v>0</v>
      </c>
      <c r="L116" s="265">
        <f>'3.  Distribution Rates'!J37</f>
        <v>0</v>
      </c>
      <c r="M116" s="265">
        <f>'3.  Distribution Rates'!J38</f>
        <v>0</v>
      </c>
      <c r="N116" s="265">
        <f>'3.  Distribution Rates'!J39</f>
        <v>0</v>
      </c>
      <c r="O116" s="265"/>
      <c r="P116" s="381"/>
    </row>
    <row r="117" spans="2:16" x14ac:dyDescent="0.25">
      <c r="B117" s="380"/>
      <c r="C117" s="611" t="s">
        <v>244</v>
      </c>
      <c r="D117" s="611"/>
      <c r="E117" s="262"/>
      <c r="F117" s="264"/>
      <c r="G117" s="264"/>
      <c r="H117" s="296"/>
      <c r="I117" s="296"/>
      <c r="J117" s="296"/>
      <c r="K117" s="296"/>
      <c r="L117" s="296"/>
      <c r="M117" s="296"/>
      <c r="N117" s="296"/>
      <c r="O117" s="253"/>
      <c r="P117" s="279">
        <f>SUM(H117:O117)</f>
        <v>0</v>
      </c>
    </row>
    <row r="118" spans="2:16" x14ac:dyDescent="0.25">
      <c r="B118" s="380"/>
      <c r="C118" s="611" t="s">
        <v>245</v>
      </c>
      <c r="D118" s="611"/>
      <c r="E118" s="262"/>
      <c r="F118" s="264"/>
      <c r="G118" s="264"/>
      <c r="H118" s="296"/>
      <c r="I118" s="296"/>
      <c r="J118" s="296"/>
      <c r="K118" s="296"/>
      <c r="L118" s="296"/>
      <c r="M118" s="296"/>
      <c r="N118" s="296"/>
      <c r="O118" s="253"/>
      <c r="P118" s="279">
        <f>SUM(H118:O118)</f>
        <v>0</v>
      </c>
    </row>
    <row r="119" spans="2:16" x14ac:dyDescent="0.25">
      <c r="B119" s="380"/>
      <c r="C119" s="611" t="s">
        <v>246</v>
      </c>
      <c r="D119" s="611"/>
      <c r="E119" s="262"/>
      <c r="F119" s="264"/>
      <c r="G119" s="264"/>
      <c r="H119" s="296"/>
      <c r="I119" s="296"/>
      <c r="J119" s="296"/>
      <c r="K119" s="296"/>
      <c r="L119" s="296"/>
      <c r="M119" s="296"/>
      <c r="N119" s="296"/>
      <c r="O119" s="253"/>
      <c r="P119" s="279">
        <f>SUM(H119:O119)</f>
        <v>0</v>
      </c>
    </row>
    <row r="120" spans="2:16" x14ac:dyDescent="0.25">
      <c r="B120" s="380"/>
      <c r="C120" s="611" t="s">
        <v>247</v>
      </c>
      <c r="D120" s="611"/>
      <c r="E120" s="262"/>
      <c r="F120" s="264"/>
      <c r="G120" s="264"/>
      <c r="H120" s="296"/>
      <c r="I120" s="296"/>
      <c r="J120" s="296"/>
      <c r="K120" s="296"/>
      <c r="L120" s="296"/>
      <c r="M120" s="296"/>
      <c r="N120" s="296"/>
      <c r="O120" s="253"/>
      <c r="P120" s="279">
        <f>SUM(H120:O120)</f>
        <v>0</v>
      </c>
    </row>
    <row r="121" spans="2:16" x14ac:dyDescent="0.25">
      <c r="B121" s="380"/>
      <c r="C121" s="611" t="s">
        <v>248</v>
      </c>
      <c r="D121" s="611"/>
      <c r="E121" s="262"/>
      <c r="F121" s="264"/>
      <c r="G121" s="264"/>
      <c r="H121" s="377" t="e">
        <f>'5.  2015 LRAM'!H126*H116</f>
        <v>#DIV/0!</v>
      </c>
      <c r="I121" s="377" t="e">
        <f>'5.  2015 LRAM'!I126*I116</f>
        <v>#DIV/0!</v>
      </c>
      <c r="J121" s="377" t="e">
        <f>'5.  2015 LRAM'!J126*J116</f>
        <v>#DIV/0!</v>
      </c>
      <c r="K121" s="377" t="e">
        <f>'5.  2015 LRAM'!K126*K116</f>
        <v>#DIV/0!</v>
      </c>
      <c r="L121" s="377" t="e">
        <f>'5.  2015 LRAM'!L126*L116</f>
        <v>#DIV/0!</v>
      </c>
      <c r="M121" s="377" t="e">
        <f>'5.  2015 LRAM'!M126*M116</f>
        <v>#DIV/0!</v>
      </c>
      <c r="N121" s="377" t="e">
        <f>'5.  2015 LRAM'!N126*N116</f>
        <v>#DIV/0!</v>
      </c>
      <c r="O121" s="253"/>
      <c r="P121" s="279" t="e">
        <f t="shared" ref="P121:P122" si="2">SUM(H121:O121)</f>
        <v>#DIV/0!</v>
      </c>
    </row>
    <row r="122" spans="2:16" x14ac:dyDescent="0.25">
      <c r="B122" s="380"/>
      <c r="C122" s="611" t="s">
        <v>254</v>
      </c>
      <c r="D122" s="611"/>
      <c r="E122" s="262"/>
      <c r="F122" s="264"/>
      <c r="G122" s="264"/>
      <c r="H122" s="377">
        <f>H111*H116</f>
        <v>0</v>
      </c>
      <c r="I122" s="377">
        <f>I111*I116</f>
        <v>0</v>
      </c>
      <c r="J122" s="377">
        <f>J112*J116</f>
        <v>0</v>
      </c>
      <c r="K122" s="377">
        <f>K112*K116</f>
        <v>0</v>
      </c>
      <c r="L122" s="377">
        <f>L112*L116</f>
        <v>0</v>
      </c>
      <c r="M122" s="377">
        <f>M112*M116</f>
        <v>0</v>
      </c>
      <c r="N122" s="377">
        <f>N111*N116</f>
        <v>0</v>
      </c>
      <c r="O122" s="253"/>
      <c r="P122" s="279">
        <f t="shared" si="2"/>
        <v>0</v>
      </c>
    </row>
    <row r="123" spans="2:16" x14ac:dyDescent="0.25">
      <c r="B123" s="277"/>
      <c r="C123" s="378" t="s">
        <v>249</v>
      </c>
      <c r="D123" s="262"/>
      <c r="E123" s="262"/>
      <c r="F123" s="260"/>
      <c r="G123" s="260"/>
      <c r="H123" s="266" t="e">
        <f t="shared" ref="H123:N123" si="3">SUM(H117:H122)</f>
        <v>#DIV/0!</v>
      </c>
      <c r="I123" s="266" t="e">
        <f t="shared" si="3"/>
        <v>#DIV/0!</v>
      </c>
      <c r="J123" s="266" t="e">
        <f t="shared" si="3"/>
        <v>#DIV/0!</v>
      </c>
      <c r="K123" s="266" t="e">
        <f t="shared" si="3"/>
        <v>#DIV/0!</v>
      </c>
      <c r="L123" s="266" t="e">
        <f t="shared" si="3"/>
        <v>#DIV/0!</v>
      </c>
      <c r="M123" s="266" t="e">
        <f t="shared" si="3"/>
        <v>#DIV/0!</v>
      </c>
      <c r="N123" s="266" t="e">
        <f t="shared" si="3"/>
        <v>#DIV/0!</v>
      </c>
      <c r="O123" s="262"/>
      <c r="P123" s="280" t="e">
        <f>SUM(P117:P122)</f>
        <v>#DIV/0!</v>
      </c>
    </row>
    <row r="124" spans="2:16" x14ac:dyDescent="0.25">
      <c r="B124" s="277"/>
      <c r="C124" s="378"/>
      <c r="D124" s="262"/>
      <c r="E124" s="262"/>
      <c r="F124" s="260"/>
      <c r="G124" s="260"/>
      <c r="H124" s="266"/>
      <c r="I124" s="266"/>
      <c r="J124" s="266"/>
      <c r="K124" s="266"/>
      <c r="L124" s="266"/>
      <c r="M124" s="266"/>
      <c r="N124" s="266"/>
      <c r="O124" s="262"/>
      <c r="P124" s="280"/>
    </row>
    <row r="125" spans="2:16" x14ac:dyDescent="0.25">
      <c r="B125" s="422"/>
      <c r="C125" s="611" t="s">
        <v>250</v>
      </c>
      <c r="D125" s="611"/>
      <c r="E125" s="414"/>
      <c r="F125" s="158"/>
      <c r="G125" s="158"/>
      <c r="H125" s="296" t="e">
        <f>H111*'6.  Persistence Rates'!$F$45</f>
        <v>#DIV/0!</v>
      </c>
      <c r="I125" s="296" t="e">
        <f>I111*'6.  Persistence Rates'!$F$45</f>
        <v>#DIV/0!</v>
      </c>
      <c r="J125" s="296" t="e">
        <f>J112*'6.  Persistence Rates'!S$45</f>
        <v>#DIV/0!</v>
      </c>
      <c r="K125" s="296" t="e">
        <f>K112*'6.  Persistence Rates'!$S$45</f>
        <v>#DIV/0!</v>
      </c>
      <c r="L125" s="296" t="e">
        <f>L112*'6.  Persistence Rates'!$R$44</f>
        <v>#DIV/0!</v>
      </c>
      <c r="M125" s="296" t="e">
        <f>M112*'6.  Persistence Rates'!$R$44</f>
        <v>#DIV/0!</v>
      </c>
      <c r="N125" s="296" t="e">
        <f>N111*'6.  Persistence Rates'!$F$45</f>
        <v>#DIV/0!</v>
      </c>
      <c r="O125" s="158"/>
      <c r="P125" s="350"/>
    </row>
    <row r="126" spans="2:16" x14ac:dyDescent="0.25">
      <c r="B126" s="422"/>
      <c r="C126" s="611" t="s">
        <v>251</v>
      </c>
      <c r="D126" s="611"/>
      <c r="E126" s="414"/>
      <c r="F126" s="158"/>
      <c r="G126" s="158"/>
      <c r="H126" s="296" t="e">
        <f>H111*'6.  Persistence Rates'!$G$45</f>
        <v>#DIV/0!</v>
      </c>
      <c r="I126" s="296" t="e">
        <f>I111*'6.  Persistence Rates'!$G$45</f>
        <v>#DIV/0!</v>
      </c>
      <c r="J126" s="296" t="e">
        <f>$J$113*'6.  Persistence Rates'!$T$45</f>
        <v>#DIV/0!</v>
      </c>
      <c r="K126" s="296" t="e">
        <f>$K$113*'6.  Persistence Rates'!$T$45</f>
        <v>#DIV/0!</v>
      </c>
      <c r="L126" s="296"/>
      <c r="M126" s="296"/>
      <c r="N126" s="296"/>
      <c r="O126" s="158"/>
      <c r="P126" s="350"/>
    </row>
    <row r="127" spans="2:16" x14ac:dyDescent="0.25">
      <c r="B127" s="422"/>
      <c r="C127" s="611" t="s">
        <v>252</v>
      </c>
      <c r="D127" s="611"/>
      <c r="E127" s="414"/>
      <c r="F127" s="158"/>
      <c r="G127" s="158"/>
      <c r="H127" s="296" t="e">
        <f>H111*'6.  Persistence Rates'!$H$45</f>
        <v>#DIV/0!</v>
      </c>
      <c r="I127" s="296" t="e">
        <f>I111*'6.  Persistence Rates'!$H$45</f>
        <v>#DIV/0!</v>
      </c>
      <c r="J127" s="296" t="e">
        <f>$J$113*'6.  Persistence Rates'!$U$45</f>
        <v>#DIV/0!</v>
      </c>
      <c r="K127" s="296" t="e">
        <f>$K$113*'6.  Persistence Rates'!$U$45</f>
        <v>#DIV/0!</v>
      </c>
      <c r="L127" s="296"/>
      <c r="M127" s="296"/>
      <c r="N127" s="296"/>
      <c r="O127" s="158"/>
      <c r="P127" s="350"/>
    </row>
    <row r="128" spans="2:16" x14ac:dyDescent="0.25">
      <c r="B128" s="423"/>
      <c r="C128" s="623" t="s">
        <v>253</v>
      </c>
      <c r="D128" s="623"/>
      <c r="E128" s="424"/>
      <c r="F128" s="330"/>
      <c r="G128" s="330"/>
      <c r="H128" s="296" t="e">
        <f>H111*'6.  Persistence Rates'!$I$45</f>
        <v>#DIV/0!</v>
      </c>
      <c r="I128" s="296" t="e">
        <f>I111*'6.  Persistence Rates'!$I$45</f>
        <v>#DIV/0!</v>
      </c>
      <c r="J128" s="296" t="e">
        <f>$J$113*'6.  Persistence Rates'!$V$45</f>
        <v>#DIV/0!</v>
      </c>
      <c r="K128" s="296" t="e">
        <f>$K$113*'6.  Persistence Rates'!$V$45</f>
        <v>#DIV/0!</v>
      </c>
      <c r="L128" s="296"/>
      <c r="M128" s="296"/>
      <c r="N128" s="296"/>
      <c r="O128" s="330"/>
      <c r="P128" s="399"/>
    </row>
    <row r="129" spans="2:16" x14ac:dyDescent="0.25">
      <c r="B129" s="68"/>
      <c r="C129" s="439"/>
      <c r="D129" s="440"/>
      <c r="E129" s="440"/>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45" x14ac:dyDescent="0.35">
      <c r="B2" s="638" t="s">
        <v>268</v>
      </c>
      <c r="C2" s="638"/>
      <c r="D2" s="638"/>
      <c r="E2" s="638"/>
      <c r="F2" s="638"/>
      <c r="G2" s="638"/>
      <c r="H2" s="638"/>
      <c r="I2" s="638"/>
      <c r="J2" s="638"/>
      <c r="K2" s="638"/>
      <c r="L2" s="638"/>
      <c r="M2" s="638"/>
      <c r="N2" s="638"/>
      <c r="O2" s="638"/>
      <c r="P2" s="638"/>
    </row>
    <row r="3" spans="1:18" ht="18" outlineLevel="1" x14ac:dyDescent="0.35">
      <c r="B3" s="390"/>
      <c r="C3" s="390"/>
      <c r="D3" s="390"/>
      <c r="E3" s="390"/>
      <c r="F3" s="390"/>
      <c r="G3" s="390"/>
      <c r="H3" s="390"/>
      <c r="I3" s="390"/>
      <c r="J3" s="390"/>
      <c r="K3" s="390"/>
      <c r="L3" s="390"/>
      <c r="M3" s="390"/>
      <c r="N3" s="390"/>
      <c r="O3" s="390"/>
      <c r="P3" s="390"/>
    </row>
    <row r="4" spans="1:18" ht="35.25" customHeight="1" outlineLevel="1" x14ac:dyDescent="0.35">
      <c r="A4" s="65"/>
      <c r="B4" s="390"/>
      <c r="C4" s="368" t="s">
        <v>403</v>
      </c>
      <c r="D4" s="390"/>
      <c r="E4" s="592" t="s">
        <v>366</v>
      </c>
      <c r="F4" s="592"/>
      <c r="G4" s="592"/>
      <c r="H4" s="592"/>
      <c r="I4" s="592"/>
      <c r="J4" s="592"/>
      <c r="K4" s="592"/>
      <c r="L4" s="592"/>
      <c r="M4" s="592"/>
      <c r="N4" s="592"/>
      <c r="O4" s="592"/>
      <c r="P4" s="592"/>
    </row>
    <row r="5" spans="1:18" ht="18.75" customHeight="1" outlineLevel="1" x14ac:dyDescent="0.35">
      <c r="B5" s="390"/>
      <c r="C5" s="391"/>
      <c r="D5" s="390"/>
      <c r="E5" s="371" t="s">
        <v>360</v>
      </c>
      <c r="F5" s="390"/>
      <c r="G5" s="390"/>
      <c r="H5" s="390"/>
      <c r="I5" s="390"/>
      <c r="J5" s="390"/>
      <c r="K5" s="390"/>
      <c r="L5" s="390"/>
      <c r="M5" s="390"/>
      <c r="N5" s="390"/>
      <c r="O5" s="390"/>
      <c r="P5" s="390"/>
    </row>
    <row r="6" spans="1:18" ht="18.75" customHeight="1" outlineLevel="1" x14ac:dyDescent="0.35">
      <c r="B6" s="390"/>
      <c r="C6" s="391"/>
      <c r="D6" s="390"/>
      <c r="E6" s="371" t="s">
        <v>361</v>
      </c>
      <c r="F6" s="390"/>
      <c r="G6" s="390"/>
      <c r="H6" s="390"/>
      <c r="I6" s="390"/>
      <c r="J6" s="390"/>
      <c r="K6" s="390"/>
      <c r="L6" s="390"/>
      <c r="M6" s="390"/>
      <c r="N6" s="390"/>
      <c r="O6" s="390"/>
      <c r="P6" s="390"/>
    </row>
    <row r="7" spans="1:18" ht="18.75" customHeight="1" outlineLevel="1" x14ac:dyDescent="0.35">
      <c r="B7" s="390"/>
      <c r="C7" s="391"/>
      <c r="D7" s="390"/>
      <c r="E7" s="371" t="s">
        <v>421</v>
      </c>
      <c r="F7" s="390"/>
      <c r="G7" s="390"/>
      <c r="H7" s="390"/>
      <c r="I7" s="390"/>
      <c r="J7" s="390"/>
      <c r="K7" s="390"/>
      <c r="L7" s="390"/>
      <c r="M7" s="390"/>
      <c r="N7" s="390"/>
      <c r="O7" s="390"/>
      <c r="P7" s="390"/>
    </row>
    <row r="8" spans="1:18" ht="18.75" customHeight="1" outlineLevel="1" x14ac:dyDescent="0.35">
      <c r="B8" s="390"/>
      <c r="C8" s="391"/>
      <c r="D8" s="390"/>
      <c r="E8" s="371"/>
      <c r="F8" s="390"/>
      <c r="G8" s="390"/>
      <c r="H8" s="390"/>
      <c r="I8" s="390"/>
      <c r="J8" s="390"/>
      <c r="K8" s="390"/>
      <c r="L8" s="390"/>
      <c r="M8" s="390"/>
      <c r="N8" s="390"/>
      <c r="O8" s="390"/>
      <c r="P8" s="390"/>
    </row>
    <row r="9" spans="1:18" ht="18.75" customHeight="1" outlineLevel="1" x14ac:dyDescent="0.35">
      <c r="B9" s="63"/>
      <c r="C9" s="84" t="s">
        <v>339</v>
      </c>
      <c r="D9" s="63"/>
      <c r="E9" s="639" t="s">
        <v>367</v>
      </c>
      <c r="F9" s="639"/>
      <c r="G9" s="63"/>
      <c r="H9" s="63"/>
      <c r="I9" s="63"/>
      <c r="J9" s="63"/>
      <c r="K9" s="63"/>
      <c r="L9" s="63"/>
      <c r="M9" s="63"/>
      <c r="N9" s="63"/>
      <c r="O9" s="63"/>
      <c r="P9" s="63"/>
      <c r="R9" s="82"/>
    </row>
    <row r="10" spans="1:18" ht="18.75" customHeight="1" outlineLevel="1" x14ac:dyDescent="0.35">
      <c r="B10" s="63"/>
      <c r="C10" s="63"/>
      <c r="D10" s="63"/>
      <c r="E10" s="574" t="s">
        <v>340</v>
      </c>
      <c r="F10" s="574"/>
      <c r="G10" s="63"/>
      <c r="H10" s="63"/>
      <c r="I10" s="63"/>
      <c r="J10" s="63"/>
      <c r="K10" s="63"/>
      <c r="L10" s="63"/>
      <c r="M10" s="63"/>
      <c r="N10" s="63"/>
      <c r="O10" s="63"/>
      <c r="P10" s="63"/>
    </row>
    <row r="11" spans="1:18" ht="18.75" customHeight="1" x14ac:dyDescent="0.35">
      <c r="B11" s="63"/>
      <c r="C11" s="63"/>
      <c r="D11" s="63"/>
      <c r="E11" s="137"/>
      <c r="G11" s="63"/>
      <c r="H11" s="63"/>
      <c r="I11" s="63"/>
      <c r="J11" s="63"/>
      <c r="K11" s="63"/>
      <c r="L11" s="63"/>
      <c r="M11" s="63"/>
      <c r="N11" s="63"/>
      <c r="O11" s="63"/>
      <c r="P11" s="63"/>
    </row>
    <row r="12" spans="1:18" ht="18" x14ac:dyDescent="0.35">
      <c r="B12" s="190" t="s">
        <v>480</v>
      </c>
      <c r="C12" s="46"/>
      <c r="D12" s="46"/>
      <c r="E12" s="46"/>
      <c r="F12" s="46"/>
      <c r="G12" s="46"/>
      <c r="H12" s="46"/>
      <c r="I12" s="46"/>
      <c r="J12" s="46"/>
      <c r="K12" s="46"/>
      <c r="L12" s="46"/>
      <c r="M12" s="46"/>
      <c r="N12" s="46"/>
      <c r="O12" s="46"/>
      <c r="P12" s="46"/>
    </row>
    <row r="13" spans="1:18" ht="45" x14ac:dyDescent="0.25">
      <c r="B13" s="646" t="s">
        <v>58</v>
      </c>
      <c r="C13" s="648" t="s">
        <v>0</v>
      </c>
      <c r="D13" s="648" t="s">
        <v>44</v>
      </c>
      <c r="E13" s="648" t="s">
        <v>206</v>
      </c>
      <c r="F13" s="238" t="s">
        <v>203</v>
      </c>
      <c r="G13" s="238" t="s">
        <v>45</v>
      </c>
      <c r="H13" s="650" t="s">
        <v>59</v>
      </c>
      <c r="I13" s="650"/>
      <c r="J13" s="650"/>
      <c r="K13" s="650"/>
      <c r="L13" s="650"/>
      <c r="M13" s="650"/>
      <c r="N13" s="650"/>
      <c r="O13" s="650"/>
      <c r="P13" s="651"/>
    </row>
    <row r="14" spans="1:18" ht="60" x14ac:dyDescent="0.25">
      <c r="B14" s="647"/>
      <c r="C14" s="649"/>
      <c r="D14" s="649"/>
      <c r="E14" s="649"/>
      <c r="F14" s="437" t="s">
        <v>215</v>
      </c>
      <c r="G14" s="437" t="s">
        <v>216</v>
      </c>
      <c r="H14" s="438" t="s">
        <v>37</v>
      </c>
      <c r="I14" s="438" t="s">
        <v>39</v>
      </c>
      <c r="J14" s="438" t="s">
        <v>108</v>
      </c>
      <c r="K14" s="438" t="s">
        <v>109</v>
      </c>
      <c r="L14" s="438" t="s">
        <v>40</v>
      </c>
      <c r="M14" s="438" t="s">
        <v>41</v>
      </c>
      <c r="N14" s="438" t="s">
        <v>42</v>
      </c>
      <c r="O14" s="438" t="s">
        <v>105</v>
      </c>
      <c r="P14" s="441" t="s">
        <v>34</v>
      </c>
    </row>
    <row r="15" spans="1:18" ht="29.25" customHeight="1" x14ac:dyDescent="0.3">
      <c r="B15" s="627" t="s">
        <v>142</v>
      </c>
      <c r="C15" s="628"/>
      <c r="D15" s="628"/>
      <c r="E15" s="628"/>
      <c r="F15" s="628"/>
      <c r="G15" s="628"/>
      <c r="H15" s="628"/>
      <c r="I15" s="628"/>
      <c r="J15" s="628"/>
      <c r="K15" s="628"/>
      <c r="L15" s="628"/>
      <c r="M15" s="628"/>
      <c r="N15" s="628"/>
      <c r="O15" s="628"/>
      <c r="P15" s="629"/>
    </row>
    <row r="16" spans="1:18" ht="26.25" customHeight="1" x14ac:dyDescent="0.3">
      <c r="A16" s="50"/>
      <c r="B16" s="640" t="s">
        <v>143</v>
      </c>
      <c r="C16" s="641"/>
      <c r="D16" s="641"/>
      <c r="E16" s="641"/>
      <c r="F16" s="641"/>
      <c r="G16" s="641"/>
      <c r="H16" s="641"/>
      <c r="I16" s="641"/>
      <c r="J16" s="641"/>
      <c r="K16" s="641"/>
      <c r="L16" s="641"/>
      <c r="M16" s="641"/>
      <c r="N16" s="641"/>
      <c r="O16" s="641"/>
      <c r="P16" s="642"/>
    </row>
    <row r="17" spans="1:16" ht="14.45" x14ac:dyDescent="0.3">
      <c r="A17" s="50"/>
      <c r="B17" s="428">
        <v>1</v>
      </c>
      <c r="C17" s="413" t="s">
        <v>144</v>
      </c>
      <c r="D17" s="253" t="s">
        <v>33</v>
      </c>
      <c r="E17" s="414"/>
      <c r="F17" s="296"/>
      <c r="G17" s="296"/>
      <c r="H17" s="425">
        <v>1</v>
      </c>
      <c r="I17" s="415"/>
      <c r="J17" s="415"/>
      <c r="K17" s="415"/>
      <c r="L17" s="415"/>
      <c r="M17" s="415"/>
      <c r="N17" s="415"/>
      <c r="O17" s="415"/>
      <c r="P17" s="429">
        <f>SUM(H17:O17)</f>
        <v>1</v>
      </c>
    </row>
    <row r="18" spans="1:16" ht="14.45" x14ac:dyDescent="0.3">
      <c r="A18" s="47"/>
      <c r="B18" s="428">
        <v>2</v>
      </c>
      <c r="C18" s="413" t="s">
        <v>145</v>
      </c>
      <c r="D18" s="253" t="s">
        <v>33</v>
      </c>
      <c r="E18" s="416"/>
      <c r="F18" s="296"/>
      <c r="G18" s="296"/>
      <c r="H18" s="425">
        <v>1</v>
      </c>
      <c r="I18" s="415"/>
      <c r="J18" s="415"/>
      <c r="K18" s="415"/>
      <c r="L18" s="415"/>
      <c r="M18" s="415"/>
      <c r="N18" s="415"/>
      <c r="O18" s="415"/>
      <c r="P18" s="429">
        <f t="shared" ref="P18:P80" si="0">SUM(H18:O18)</f>
        <v>1</v>
      </c>
    </row>
    <row r="19" spans="1:16" ht="14.45" x14ac:dyDescent="0.3">
      <c r="A19" s="50"/>
      <c r="B19" s="428">
        <v>3</v>
      </c>
      <c r="C19" s="413" t="s">
        <v>146</v>
      </c>
      <c r="D19" s="253" t="s">
        <v>33</v>
      </c>
      <c r="E19" s="416"/>
      <c r="F19" s="296"/>
      <c r="G19" s="296"/>
      <c r="H19" s="425">
        <v>1</v>
      </c>
      <c r="I19" s="415"/>
      <c r="J19" s="415"/>
      <c r="K19" s="415"/>
      <c r="L19" s="415"/>
      <c r="M19" s="415"/>
      <c r="N19" s="415"/>
      <c r="O19" s="415"/>
      <c r="P19" s="429">
        <f t="shared" si="0"/>
        <v>1</v>
      </c>
    </row>
    <row r="20" spans="1:16" ht="14.45" x14ac:dyDescent="0.3">
      <c r="A20" s="50"/>
      <c r="B20" s="428">
        <v>4</v>
      </c>
      <c r="C20" s="413" t="s">
        <v>147</v>
      </c>
      <c r="D20" s="253" t="s">
        <v>33</v>
      </c>
      <c r="E20" s="416"/>
      <c r="F20" s="296"/>
      <c r="G20" s="296"/>
      <c r="H20" s="425">
        <v>1</v>
      </c>
      <c r="I20" s="415"/>
      <c r="J20" s="415"/>
      <c r="K20" s="415"/>
      <c r="L20" s="415"/>
      <c r="M20" s="415"/>
      <c r="N20" s="415"/>
      <c r="O20" s="415"/>
      <c r="P20" s="429">
        <f t="shared" si="0"/>
        <v>1</v>
      </c>
    </row>
    <row r="21" spans="1:16" ht="14.45" x14ac:dyDescent="0.3">
      <c r="A21" s="50"/>
      <c r="B21" s="428">
        <v>5</v>
      </c>
      <c r="C21" s="413" t="s">
        <v>148</v>
      </c>
      <c r="D21" s="253" t="s">
        <v>33</v>
      </c>
      <c r="E21" s="416"/>
      <c r="F21" s="296"/>
      <c r="G21" s="296"/>
      <c r="H21" s="425">
        <v>1</v>
      </c>
      <c r="I21" s="415"/>
      <c r="J21" s="415"/>
      <c r="K21" s="415"/>
      <c r="L21" s="415"/>
      <c r="M21" s="415"/>
      <c r="N21" s="415"/>
      <c r="O21" s="415"/>
      <c r="P21" s="429">
        <f t="shared" si="0"/>
        <v>1</v>
      </c>
    </row>
    <row r="22" spans="1:16" ht="27.6" x14ac:dyDescent="0.3">
      <c r="A22" s="50"/>
      <c r="B22" s="428">
        <v>6</v>
      </c>
      <c r="C22" s="413" t="s">
        <v>149</v>
      </c>
      <c r="D22" s="253" t="s">
        <v>33</v>
      </c>
      <c r="E22" s="416"/>
      <c r="F22" s="296"/>
      <c r="G22" s="296"/>
      <c r="H22" s="425">
        <v>1</v>
      </c>
      <c r="I22" s="415"/>
      <c r="J22" s="415"/>
      <c r="K22" s="415"/>
      <c r="L22" s="415"/>
      <c r="M22" s="415"/>
      <c r="N22" s="415"/>
      <c r="O22" s="415"/>
      <c r="P22" s="429">
        <f t="shared" si="0"/>
        <v>1</v>
      </c>
    </row>
    <row r="23" spans="1:16" ht="14.45" x14ac:dyDescent="0.3">
      <c r="A23" s="50"/>
      <c r="B23" s="430" t="s">
        <v>269</v>
      </c>
      <c r="C23" s="413"/>
      <c r="D23" s="253" t="s">
        <v>255</v>
      </c>
      <c r="E23" s="416"/>
      <c r="F23" s="296"/>
      <c r="G23" s="296"/>
      <c r="H23" s="425"/>
      <c r="I23" s="415"/>
      <c r="J23" s="415"/>
      <c r="K23" s="415"/>
      <c r="L23" s="415"/>
      <c r="M23" s="415"/>
      <c r="N23" s="415"/>
      <c r="O23" s="415"/>
      <c r="P23" s="429">
        <f t="shared" si="0"/>
        <v>0</v>
      </c>
    </row>
    <row r="24" spans="1:16" ht="14.45" x14ac:dyDescent="0.3">
      <c r="A24" s="50"/>
      <c r="B24" s="428"/>
      <c r="C24" s="609"/>
      <c r="D24" s="609"/>
      <c r="E24" s="268"/>
      <c r="F24" s="296"/>
      <c r="G24" s="296"/>
      <c r="H24" s="425"/>
      <c r="I24" s="415"/>
      <c r="J24" s="415"/>
      <c r="K24" s="415"/>
      <c r="L24" s="415"/>
      <c r="M24" s="415"/>
      <c r="N24" s="415"/>
      <c r="O24" s="415"/>
      <c r="P24" s="429">
        <f t="shared" si="0"/>
        <v>0</v>
      </c>
    </row>
    <row r="25" spans="1:16" ht="14.45" x14ac:dyDescent="0.3">
      <c r="A25" s="50"/>
      <c r="B25" s="428"/>
      <c r="C25" s="609"/>
      <c r="D25" s="609"/>
      <c r="E25" s="268"/>
      <c r="F25" s="296"/>
      <c r="G25" s="296"/>
      <c r="H25" s="425"/>
      <c r="I25" s="415"/>
      <c r="J25" s="415"/>
      <c r="K25" s="415"/>
      <c r="L25" s="415"/>
      <c r="M25" s="415"/>
      <c r="N25" s="415"/>
      <c r="O25" s="415"/>
      <c r="P25" s="429">
        <f t="shared" si="0"/>
        <v>0</v>
      </c>
    </row>
    <row r="26" spans="1:16" ht="14.45" x14ac:dyDescent="0.3">
      <c r="A26" s="50"/>
      <c r="B26" s="428"/>
      <c r="C26" s="609"/>
      <c r="D26" s="609"/>
      <c r="E26" s="268"/>
      <c r="F26" s="296"/>
      <c r="G26" s="296"/>
      <c r="H26" s="425"/>
      <c r="I26" s="415"/>
      <c r="J26" s="415"/>
      <c r="K26" s="415"/>
      <c r="L26" s="415"/>
      <c r="M26" s="415"/>
      <c r="N26" s="415"/>
      <c r="O26" s="415"/>
      <c r="P26" s="429">
        <f t="shared" si="0"/>
        <v>0</v>
      </c>
    </row>
    <row r="27" spans="1:16" ht="25.5" customHeight="1" x14ac:dyDescent="0.3">
      <c r="A27" s="50"/>
      <c r="B27" s="640" t="s">
        <v>150</v>
      </c>
      <c r="C27" s="641"/>
      <c r="D27" s="641"/>
      <c r="E27" s="641"/>
      <c r="F27" s="641"/>
      <c r="G27" s="641"/>
      <c r="H27" s="641"/>
      <c r="I27" s="641"/>
      <c r="J27" s="641"/>
      <c r="K27" s="641"/>
      <c r="L27" s="641"/>
      <c r="M27" s="641"/>
      <c r="N27" s="641"/>
      <c r="O27" s="641"/>
      <c r="P27" s="642"/>
    </row>
    <row r="28" spans="1:16" ht="14.45" x14ac:dyDescent="0.3">
      <c r="A28" s="50"/>
      <c r="B28" s="428">
        <v>7</v>
      </c>
      <c r="C28" s="413" t="s">
        <v>151</v>
      </c>
      <c r="D28" s="253" t="s">
        <v>33</v>
      </c>
      <c r="E28" s="416">
        <v>12</v>
      </c>
      <c r="F28" s="296"/>
      <c r="G28" s="296">
        <v>50</v>
      </c>
      <c r="H28" s="415"/>
      <c r="I28" s="425">
        <v>0.2</v>
      </c>
      <c r="J28" s="425">
        <v>0.5</v>
      </c>
      <c r="K28" s="425">
        <v>0.3</v>
      </c>
      <c r="L28" s="415"/>
      <c r="M28" s="415"/>
      <c r="N28" s="415"/>
      <c r="O28" s="415"/>
      <c r="P28" s="429">
        <f t="shared" si="0"/>
        <v>1</v>
      </c>
    </row>
    <row r="29" spans="1:16" ht="27.6" x14ac:dyDescent="0.3">
      <c r="A29" s="50"/>
      <c r="B29" s="428">
        <v>8</v>
      </c>
      <c r="C29" s="413" t="s">
        <v>152</v>
      </c>
      <c r="D29" s="253" t="s">
        <v>33</v>
      </c>
      <c r="E29" s="416">
        <v>12</v>
      </c>
      <c r="F29" s="296"/>
      <c r="G29" s="296"/>
      <c r="H29" s="415"/>
      <c r="I29" s="425">
        <v>0.8</v>
      </c>
      <c r="J29" s="425">
        <v>0.2</v>
      </c>
      <c r="K29" s="415"/>
      <c r="L29" s="415"/>
      <c r="M29" s="415"/>
      <c r="N29" s="415"/>
      <c r="O29" s="415"/>
      <c r="P29" s="429">
        <f t="shared" si="0"/>
        <v>1</v>
      </c>
    </row>
    <row r="30" spans="1:16" ht="27.6" x14ac:dyDescent="0.3">
      <c r="A30" s="50"/>
      <c r="B30" s="428">
        <v>9</v>
      </c>
      <c r="C30" s="413" t="s">
        <v>153</v>
      </c>
      <c r="D30" s="253" t="s">
        <v>33</v>
      </c>
      <c r="E30" s="416">
        <v>12</v>
      </c>
      <c r="F30" s="296"/>
      <c r="G30" s="296"/>
      <c r="H30" s="415"/>
      <c r="I30" s="425">
        <v>0.5</v>
      </c>
      <c r="J30" s="425">
        <v>0.5</v>
      </c>
      <c r="K30" s="415"/>
      <c r="L30" s="415"/>
      <c r="M30" s="415"/>
      <c r="N30" s="415"/>
      <c r="O30" s="415"/>
      <c r="P30" s="429">
        <f t="shared" si="0"/>
        <v>1</v>
      </c>
    </row>
    <row r="31" spans="1:16" ht="27.6" x14ac:dyDescent="0.3">
      <c r="A31" s="50"/>
      <c r="B31" s="428">
        <v>10</v>
      </c>
      <c r="C31" s="413" t="s">
        <v>154</v>
      </c>
      <c r="D31" s="253" t="s">
        <v>33</v>
      </c>
      <c r="E31" s="416">
        <v>12</v>
      </c>
      <c r="F31" s="296"/>
      <c r="G31" s="296"/>
      <c r="H31" s="415"/>
      <c r="I31" s="425">
        <v>1</v>
      </c>
      <c r="J31" s="415"/>
      <c r="K31" s="415"/>
      <c r="L31" s="415"/>
      <c r="M31" s="415"/>
      <c r="N31" s="415"/>
      <c r="O31" s="415"/>
      <c r="P31" s="429">
        <f t="shared" si="0"/>
        <v>1</v>
      </c>
    </row>
    <row r="32" spans="1:16" ht="27.6" x14ac:dyDescent="0.3">
      <c r="A32" s="50"/>
      <c r="B32" s="428">
        <v>11</v>
      </c>
      <c r="C32" s="413" t="s">
        <v>155</v>
      </c>
      <c r="D32" s="253" t="s">
        <v>33</v>
      </c>
      <c r="E32" s="416">
        <v>3</v>
      </c>
      <c r="F32" s="296"/>
      <c r="G32" s="296"/>
      <c r="H32" s="415"/>
      <c r="I32" s="415"/>
      <c r="J32" s="425">
        <v>1</v>
      </c>
      <c r="K32" s="415"/>
      <c r="L32" s="415"/>
      <c r="M32" s="415"/>
      <c r="N32" s="415"/>
      <c r="O32" s="415"/>
      <c r="P32" s="429">
        <f t="shared" si="0"/>
        <v>1</v>
      </c>
    </row>
    <row r="33" spans="1:16" ht="14.45" x14ac:dyDescent="0.3">
      <c r="A33" s="50"/>
      <c r="B33" s="430" t="s">
        <v>269</v>
      </c>
      <c r="C33" s="413"/>
      <c r="D33" s="253" t="s">
        <v>255</v>
      </c>
      <c r="E33" s="416"/>
      <c r="F33" s="296"/>
      <c r="G33" s="296"/>
      <c r="H33" s="415"/>
      <c r="I33" s="415"/>
      <c r="J33" s="415"/>
      <c r="K33" s="415"/>
      <c r="L33" s="415"/>
      <c r="M33" s="415"/>
      <c r="N33" s="415"/>
      <c r="O33" s="415"/>
      <c r="P33" s="429">
        <f t="shared" si="0"/>
        <v>0</v>
      </c>
    </row>
    <row r="34" spans="1:16" ht="14.45" x14ac:dyDescent="0.3">
      <c r="A34" s="50"/>
      <c r="B34" s="428"/>
      <c r="C34" s="609"/>
      <c r="D34" s="609"/>
      <c r="E34" s="268"/>
      <c r="F34" s="296"/>
      <c r="G34" s="296"/>
      <c r="H34" s="415"/>
      <c r="I34" s="415"/>
      <c r="J34" s="415"/>
      <c r="K34" s="415"/>
      <c r="L34" s="415"/>
      <c r="M34" s="415"/>
      <c r="N34" s="415"/>
      <c r="O34" s="415"/>
      <c r="P34" s="429">
        <f t="shared" si="0"/>
        <v>0</v>
      </c>
    </row>
    <row r="35" spans="1:16" ht="14.45" x14ac:dyDescent="0.3">
      <c r="A35" s="50"/>
      <c r="B35" s="428"/>
      <c r="C35" s="609"/>
      <c r="D35" s="609"/>
      <c r="E35" s="268"/>
      <c r="F35" s="296"/>
      <c r="G35" s="296"/>
      <c r="H35" s="415"/>
      <c r="I35" s="415"/>
      <c r="J35" s="415"/>
      <c r="K35" s="415"/>
      <c r="L35" s="415"/>
      <c r="M35" s="415"/>
      <c r="N35" s="415"/>
      <c r="O35" s="415"/>
      <c r="P35" s="429">
        <f t="shared" si="0"/>
        <v>0</v>
      </c>
    </row>
    <row r="36" spans="1:16" ht="14.45" x14ac:dyDescent="0.3">
      <c r="A36" s="50"/>
      <c r="B36" s="428"/>
      <c r="C36" s="609"/>
      <c r="D36" s="609"/>
      <c r="E36" s="268"/>
      <c r="F36" s="296"/>
      <c r="G36" s="296"/>
      <c r="H36" s="415"/>
      <c r="I36" s="415"/>
      <c r="J36" s="415"/>
      <c r="K36" s="415"/>
      <c r="L36" s="415"/>
      <c r="M36" s="415"/>
      <c r="N36" s="415"/>
      <c r="O36" s="415"/>
      <c r="P36" s="429">
        <f t="shared" si="0"/>
        <v>0</v>
      </c>
    </row>
    <row r="37" spans="1:16" ht="26.25" customHeight="1" x14ac:dyDescent="0.3">
      <c r="A37" s="50"/>
      <c r="B37" s="640" t="s">
        <v>11</v>
      </c>
      <c r="C37" s="641"/>
      <c r="D37" s="641"/>
      <c r="E37" s="641"/>
      <c r="F37" s="641"/>
      <c r="G37" s="641"/>
      <c r="H37" s="641"/>
      <c r="I37" s="641"/>
      <c r="J37" s="641"/>
      <c r="K37" s="641"/>
      <c r="L37" s="641"/>
      <c r="M37" s="641"/>
      <c r="N37" s="641"/>
      <c r="O37" s="641"/>
      <c r="P37" s="642"/>
    </row>
    <row r="38" spans="1:16" ht="14.45" x14ac:dyDescent="0.3">
      <c r="A38" s="50"/>
      <c r="B38" s="430" t="s">
        <v>11</v>
      </c>
      <c r="C38" s="413"/>
      <c r="D38" s="416"/>
      <c r="E38" s="416"/>
      <c r="F38" s="296"/>
      <c r="G38" s="296"/>
      <c r="H38" s="420"/>
      <c r="I38" s="420"/>
      <c r="J38" s="420"/>
      <c r="K38" s="420"/>
      <c r="L38" s="420"/>
      <c r="M38" s="420"/>
      <c r="N38" s="420"/>
      <c r="O38" s="420"/>
      <c r="P38" s="429">
        <f t="shared" si="0"/>
        <v>0</v>
      </c>
    </row>
    <row r="39" spans="1:16" ht="27.6" x14ac:dyDescent="0.3">
      <c r="A39" s="50"/>
      <c r="B39" s="428">
        <v>12</v>
      </c>
      <c r="C39" s="413" t="s">
        <v>156</v>
      </c>
      <c r="D39" s="253" t="s">
        <v>33</v>
      </c>
      <c r="E39" s="416">
        <v>12</v>
      </c>
      <c r="F39" s="296"/>
      <c r="G39" s="296"/>
      <c r="H39" s="415"/>
      <c r="I39" s="415"/>
      <c r="J39" s="425">
        <v>1</v>
      </c>
      <c r="K39" s="415"/>
      <c r="L39" s="415"/>
      <c r="M39" s="415"/>
      <c r="N39" s="415"/>
      <c r="O39" s="415"/>
      <c r="P39" s="429">
        <f t="shared" si="0"/>
        <v>1</v>
      </c>
    </row>
    <row r="40" spans="1:16" ht="27.6" x14ac:dyDescent="0.3">
      <c r="A40" s="50"/>
      <c r="B40" s="428">
        <v>13</v>
      </c>
      <c r="C40" s="413" t="s">
        <v>157</v>
      </c>
      <c r="D40" s="253" t="s">
        <v>33</v>
      </c>
      <c r="E40" s="416">
        <v>12</v>
      </c>
      <c r="F40" s="296"/>
      <c r="G40" s="296"/>
      <c r="H40" s="415"/>
      <c r="I40" s="415"/>
      <c r="J40" s="425">
        <v>1</v>
      </c>
      <c r="K40" s="415"/>
      <c r="L40" s="415"/>
      <c r="M40" s="415"/>
      <c r="N40" s="415"/>
      <c r="O40" s="415"/>
      <c r="P40" s="429">
        <f t="shared" si="0"/>
        <v>1</v>
      </c>
    </row>
    <row r="41" spans="1:16" ht="27.6" x14ac:dyDescent="0.3">
      <c r="A41" s="50"/>
      <c r="B41" s="428">
        <v>14</v>
      </c>
      <c r="C41" s="413" t="s">
        <v>158</v>
      </c>
      <c r="D41" s="253" t="s">
        <v>33</v>
      </c>
      <c r="E41" s="416">
        <v>12</v>
      </c>
      <c r="F41" s="296"/>
      <c r="G41" s="296"/>
      <c r="H41" s="415"/>
      <c r="I41" s="415"/>
      <c r="J41" s="425">
        <v>1</v>
      </c>
      <c r="K41" s="415"/>
      <c r="L41" s="415"/>
      <c r="M41" s="415"/>
      <c r="N41" s="415"/>
      <c r="O41" s="415"/>
      <c r="P41" s="429">
        <f t="shared" si="0"/>
        <v>1</v>
      </c>
    </row>
    <row r="42" spans="1:16" ht="14.45" x14ac:dyDescent="0.3">
      <c r="A42" s="50"/>
      <c r="B42" s="430" t="s">
        <v>269</v>
      </c>
      <c r="C42" s="413"/>
      <c r="D42" s="253" t="s">
        <v>255</v>
      </c>
      <c r="E42" s="416"/>
      <c r="F42" s="296"/>
      <c r="G42" s="296"/>
      <c r="H42" s="415"/>
      <c r="I42" s="415"/>
      <c r="J42" s="415"/>
      <c r="K42" s="415"/>
      <c r="L42" s="415"/>
      <c r="M42" s="415"/>
      <c r="N42" s="415"/>
      <c r="O42" s="415"/>
      <c r="P42" s="429">
        <f t="shared" si="0"/>
        <v>0</v>
      </c>
    </row>
    <row r="43" spans="1:16" ht="14.45" x14ac:dyDescent="0.3">
      <c r="A43" s="50"/>
      <c r="B43" s="428"/>
      <c r="C43" s="609"/>
      <c r="D43" s="609"/>
      <c r="E43" s="268"/>
      <c r="F43" s="296"/>
      <c r="G43" s="296"/>
      <c r="H43" s="415"/>
      <c r="I43" s="415"/>
      <c r="J43" s="415"/>
      <c r="K43" s="415"/>
      <c r="L43" s="415"/>
      <c r="M43" s="415"/>
      <c r="N43" s="415"/>
      <c r="O43" s="415"/>
      <c r="P43" s="429">
        <f t="shared" si="0"/>
        <v>0</v>
      </c>
    </row>
    <row r="44" spans="1:16" ht="14.45" x14ac:dyDescent="0.3">
      <c r="A44" s="50"/>
      <c r="B44" s="428"/>
      <c r="C44" s="609"/>
      <c r="D44" s="609"/>
      <c r="E44" s="268"/>
      <c r="F44" s="296"/>
      <c r="G44" s="296"/>
      <c r="H44" s="415"/>
      <c r="I44" s="415"/>
      <c r="J44" s="415"/>
      <c r="K44" s="415"/>
      <c r="L44" s="415"/>
      <c r="M44" s="415"/>
      <c r="N44" s="415"/>
      <c r="O44" s="415"/>
      <c r="P44" s="429">
        <f t="shared" si="0"/>
        <v>0</v>
      </c>
    </row>
    <row r="45" spans="1:16" ht="14.45" x14ac:dyDescent="0.3">
      <c r="A45" s="50"/>
      <c r="B45" s="428"/>
      <c r="C45" s="609"/>
      <c r="D45" s="609"/>
      <c r="E45" s="268"/>
      <c r="F45" s="296"/>
      <c r="G45" s="296"/>
      <c r="H45" s="415"/>
      <c r="I45" s="415"/>
      <c r="J45" s="415"/>
      <c r="K45" s="415"/>
      <c r="L45" s="415"/>
      <c r="M45" s="415"/>
      <c r="N45" s="415"/>
      <c r="O45" s="415"/>
      <c r="P45" s="429">
        <f t="shared" si="0"/>
        <v>0</v>
      </c>
    </row>
    <row r="46" spans="1:16" ht="24" customHeight="1" x14ac:dyDescent="0.3">
      <c r="A46" s="50"/>
      <c r="B46" s="640" t="s">
        <v>159</v>
      </c>
      <c r="C46" s="641"/>
      <c r="D46" s="641"/>
      <c r="E46" s="641"/>
      <c r="F46" s="641"/>
      <c r="G46" s="641"/>
      <c r="H46" s="641"/>
      <c r="I46" s="641"/>
      <c r="J46" s="641"/>
      <c r="K46" s="641"/>
      <c r="L46" s="641"/>
      <c r="M46" s="641"/>
      <c r="N46" s="641"/>
      <c r="O46" s="641"/>
      <c r="P46" s="642"/>
    </row>
    <row r="47" spans="1:16" ht="14.45" x14ac:dyDescent="0.3">
      <c r="A47" s="50"/>
      <c r="B47" s="428">
        <v>15</v>
      </c>
      <c r="C47" s="413" t="s">
        <v>160</v>
      </c>
      <c r="D47" s="253" t="s">
        <v>33</v>
      </c>
      <c r="E47" s="416"/>
      <c r="F47" s="296"/>
      <c r="G47" s="296"/>
      <c r="H47" s="425">
        <v>1</v>
      </c>
      <c r="I47" s="415"/>
      <c r="J47" s="415"/>
      <c r="K47" s="415"/>
      <c r="L47" s="415"/>
      <c r="M47" s="415"/>
      <c r="N47" s="415"/>
      <c r="O47" s="415"/>
      <c r="P47" s="429">
        <f t="shared" si="0"/>
        <v>1</v>
      </c>
    </row>
    <row r="48" spans="1:16" ht="14.45" x14ac:dyDescent="0.3">
      <c r="A48" s="50"/>
      <c r="B48" s="430" t="s">
        <v>269</v>
      </c>
      <c r="C48" s="413"/>
      <c r="D48" s="253" t="s">
        <v>255</v>
      </c>
      <c r="E48" s="416"/>
      <c r="F48" s="296"/>
      <c r="G48" s="296"/>
      <c r="H48" s="425"/>
      <c r="I48" s="415"/>
      <c r="J48" s="415"/>
      <c r="K48" s="415"/>
      <c r="L48" s="415"/>
      <c r="M48" s="415"/>
      <c r="N48" s="415"/>
      <c r="O48" s="415"/>
      <c r="P48" s="429">
        <f t="shared" si="0"/>
        <v>0</v>
      </c>
    </row>
    <row r="49" spans="1:16" x14ac:dyDescent="0.25">
      <c r="A49" s="50"/>
      <c r="B49" s="428"/>
      <c r="C49" s="609"/>
      <c r="D49" s="609"/>
      <c r="E49" s="268"/>
      <c r="F49" s="296"/>
      <c r="G49" s="296"/>
      <c r="H49" s="425"/>
      <c r="I49" s="415"/>
      <c r="J49" s="415"/>
      <c r="K49" s="415"/>
      <c r="L49" s="415"/>
      <c r="M49" s="415"/>
      <c r="N49" s="415"/>
      <c r="O49" s="415"/>
      <c r="P49" s="429">
        <f t="shared" si="0"/>
        <v>0</v>
      </c>
    </row>
    <row r="50" spans="1:16" x14ac:dyDescent="0.25">
      <c r="A50" s="50"/>
      <c r="B50" s="428"/>
      <c r="C50" s="609"/>
      <c r="D50" s="609"/>
      <c r="E50" s="268"/>
      <c r="F50" s="296"/>
      <c r="G50" s="296"/>
      <c r="H50" s="425"/>
      <c r="I50" s="415"/>
      <c r="J50" s="415"/>
      <c r="K50" s="415"/>
      <c r="L50" s="415"/>
      <c r="M50" s="415"/>
      <c r="N50" s="415"/>
      <c r="O50" s="415"/>
      <c r="P50" s="429"/>
    </row>
    <row r="51" spans="1:16" x14ac:dyDescent="0.25">
      <c r="A51" s="50"/>
      <c r="B51" s="428"/>
      <c r="C51" s="609"/>
      <c r="D51" s="609"/>
      <c r="E51" s="268"/>
      <c r="F51" s="296"/>
      <c r="G51" s="296"/>
      <c r="H51" s="425"/>
      <c r="I51" s="415"/>
      <c r="J51" s="415"/>
      <c r="K51" s="415"/>
      <c r="L51" s="415"/>
      <c r="M51" s="415"/>
      <c r="N51" s="415"/>
      <c r="O51" s="415"/>
      <c r="P51" s="429">
        <f t="shared" si="0"/>
        <v>0</v>
      </c>
    </row>
    <row r="52" spans="1:16" ht="21" customHeight="1" x14ac:dyDescent="0.25">
      <c r="A52" s="48"/>
      <c r="B52" s="640" t="s">
        <v>161</v>
      </c>
      <c r="C52" s="641"/>
      <c r="D52" s="641"/>
      <c r="E52" s="641"/>
      <c r="F52" s="641"/>
      <c r="G52" s="641"/>
      <c r="H52" s="641"/>
      <c r="I52" s="641"/>
      <c r="J52" s="641"/>
      <c r="K52" s="641"/>
      <c r="L52" s="641"/>
      <c r="M52" s="641"/>
      <c r="N52" s="641"/>
      <c r="O52" s="641"/>
      <c r="P52" s="642"/>
    </row>
    <row r="53" spans="1:16" x14ac:dyDescent="0.25">
      <c r="A53" s="50"/>
      <c r="B53" s="428">
        <v>16</v>
      </c>
      <c r="C53" s="413" t="s">
        <v>162</v>
      </c>
      <c r="D53" s="253" t="s">
        <v>33</v>
      </c>
      <c r="E53" s="416"/>
      <c r="F53" s="296"/>
      <c r="G53" s="296"/>
      <c r="H53" s="415"/>
      <c r="I53" s="415"/>
      <c r="J53" s="415"/>
      <c r="K53" s="415"/>
      <c r="L53" s="415"/>
      <c r="M53" s="415"/>
      <c r="N53" s="415"/>
      <c r="O53" s="415"/>
      <c r="P53" s="429">
        <f t="shared" si="0"/>
        <v>0</v>
      </c>
    </row>
    <row r="54" spans="1:16" x14ac:dyDescent="0.25">
      <c r="A54" s="50"/>
      <c r="B54" s="428">
        <v>17</v>
      </c>
      <c r="C54" s="413" t="s">
        <v>163</v>
      </c>
      <c r="D54" s="253" t="s">
        <v>33</v>
      </c>
      <c r="E54" s="416"/>
      <c r="F54" s="296"/>
      <c r="G54" s="296"/>
      <c r="H54" s="415"/>
      <c r="I54" s="415"/>
      <c r="J54" s="415"/>
      <c r="K54" s="415"/>
      <c r="L54" s="415"/>
      <c r="M54" s="415"/>
      <c r="N54" s="415"/>
      <c r="O54" s="415"/>
      <c r="P54" s="429">
        <f t="shared" si="0"/>
        <v>0</v>
      </c>
    </row>
    <row r="55" spans="1:16" x14ac:dyDescent="0.25">
      <c r="A55" s="50"/>
      <c r="B55" s="428">
        <v>18</v>
      </c>
      <c r="C55" s="413" t="s">
        <v>164</v>
      </c>
      <c r="D55" s="253" t="s">
        <v>33</v>
      </c>
      <c r="E55" s="416"/>
      <c r="F55" s="296"/>
      <c r="G55" s="296"/>
      <c r="H55" s="415"/>
      <c r="I55" s="415"/>
      <c r="J55" s="415"/>
      <c r="K55" s="415"/>
      <c r="L55" s="415"/>
      <c r="M55" s="415"/>
      <c r="N55" s="415"/>
      <c r="O55" s="415"/>
      <c r="P55" s="429">
        <f t="shared" si="0"/>
        <v>0</v>
      </c>
    </row>
    <row r="56" spans="1:16" x14ac:dyDescent="0.25">
      <c r="A56" s="50"/>
      <c r="B56" s="428">
        <v>19</v>
      </c>
      <c r="C56" s="413" t="s">
        <v>165</v>
      </c>
      <c r="D56" s="253" t="s">
        <v>33</v>
      </c>
      <c r="E56" s="416"/>
      <c r="F56" s="296"/>
      <c r="G56" s="296"/>
      <c r="H56" s="415"/>
      <c r="I56" s="415"/>
      <c r="J56" s="415"/>
      <c r="K56" s="415"/>
      <c r="L56" s="415"/>
      <c r="M56" s="415"/>
      <c r="N56" s="415"/>
      <c r="O56" s="415"/>
      <c r="P56" s="429">
        <f t="shared" si="0"/>
        <v>0</v>
      </c>
    </row>
    <row r="57" spans="1:16" x14ac:dyDescent="0.25">
      <c r="A57" s="50"/>
      <c r="B57" s="430" t="s">
        <v>269</v>
      </c>
      <c r="C57" s="413"/>
      <c r="D57" s="253" t="s">
        <v>255</v>
      </c>
      <c r="E57" s="416"/>
      <c r="F57" s="296"/>
      <c r="G57" s="296"/>
      <c r="H57" s="415"/>
      <c r="I57" s="415"/>
      <c r="J57" s="415"/>
      <c r="K57" s="415"/>
      <c r="L57" s="415"/>
      <c r="M57" s="415"/>
      <c r="N57" s="415"/>
      <c r="O57" s="415"/>
      <c r="P57" s="429">
        <f t="shared" si="0"/>
        <v>0</v>
      </c>
    </row>
    <row r="58" spans="1:16" x14ac:dyDescent="0.25">
      <c r="A58" s="50"/>
      <c r="B58" s="430"/>
      <c r="C58" s="609"/>
      <c r="D58" s="609"/>
      <c r="E58" s="268"/>
      <c r="F58" s="296"/>
      <c r="G58" s="296"/>
      <c r="H58" s="415"/>
      <c r="I58" s="415"/>
      <c r="J58" s="415"/>
      <c r="K58" s="415"/>
      <c r="L58" s="415"/>
      <c r="M58" s="415"/>
      <c r="N58" s="415"/>
      <c r="O58" s="415"/>
      <c r="P58" s="429"/>
    </row>
    <row r="59" spans="1:16" x14ac:dyDescent="0.25">
      <c r="A59" s="50"/>
      <c r="B59" s="430"/>
      <c r="C59" s="609"/>
      <c r="D59" s="609"/>
      <c r="E59" s="268"/>
      <c r="F59" s="296"/>
      <c r="G59" s="296"/>
      <c r="H59" s="415"/>
      <c r="I59" s="415"/>
      <c r="J59" s="415"/>
      <c r="K59" s="415"/>
      <c r="L59" s="415"/>
      <c r="M59" s="415"/>
      <c r="N59" s="415"/>
      <c r="O59" s="415"/>
      <c r="P59" s="429"/>
    </row>
    <row r="60" spans="1:16" x14ac:dyDescent="0.25">
      <c r="A60" s="48"/>
      <c r="B60" s="431"/>
      <c r="C60" s="609"/>
      <c r="D60" s="609"/>
      <c r="E60" s="268"/>
      <c r="F60" s="296"/>
      <c r="G60" s="296"/>
      <c r="H60" s="419"/>
      <c r="I60" s="419"/>
      <c r="J60" s="419"/>
      <c r="K60" s="419"/>
      <c r="L60" s="419"/>
      <c r="M60" s="419"/>
      <c r="N60" s="419"/>
      <c r="O60" s="419"/>
      <c r="P60" s="429"/>
    </row>
    <row r="61" spans="1:16" ht="27" customHeight="1" x14ac:dyDescent="0.25">
      <c r="B61" s="627" t="s">
        <v>166</v>
      </c>
      <c r="C61" s="628"/>
      <c r="D61" s="628"/>
      <c r="E61" s="628"/>
      <c r="F61" s="628"/>
      <c r="G61" s="628"/>
      <c r="H61" s="628"/>
      <c r="I61" s="628"/>
      <c r="J61" s="628"/>
      <c r="K61" s="628"/>
      <c r="L61" s="628"/>
      <c r="M61" s="628"/>
      <c r="N61" s="628"/>
      <c r="O61" s="628"/>
      <c r="P61" s="629"/>
    </row>
    <row r="62" spans="1:16" ht="16.5" x14ac:dyDescent="0.25">
      <c r="B62" s="432"/>
      <c r="C62" s="413"/>
      <c r="D62" s="416"/>
      <c r="E62" s="416"/>
      <c r="F62" s="412"/>
      <c r="G62" s="412"/>
      <c r="H62" s="412"/>
      <c r="I62" s="412"/>
      <c r="J62" s="412"/>
      <c r="K62" s="412"/>
      <c r="L62" s="412"/>
      <c r="M62" s="412"/>
      <c r="N62" s="412"/>
      <c r="O62" s="412"/>
      <c r="P62" s="433"/>
    </row>
    <row r="63" spans="1:16" ht="25.5" customHeight="1" x14ac:dyDescent="0.25">
      <c r="A63" s="50"/>
      <c r="B63" s="643" t="s">
        <v>167</v>
      </c>
      <c r="C63" s="620"/>
      <c r="D63" s="620"/>
      <c r="E63" s="620"/>
      <c r="F63" s="620"/>
      <c r="G63" s="620"/>
      <c r="H63" s="620"/>
      <c r="I63" s="620"/>
      <c r="J63" s="620"/>
      <c r="K63" s="620"/>
      <c r="L63" s="620"/>
      <c r="M63" s="620"/>
      <c r="N63" s="620"/>
      <c r="O63" s="620"/>
      <c r="P63" s="644"/>
    </row>
    <row r="64" spans="1:16" x14ac:dyDescent="0.25">
      <c r="A64" s="50"/>
      <c r="B64" s="428">
        <v>21</v>
      </c>
      <c r="C64" s="413" t="s">
        <v>168</v>
      </c>
      <c r="D64" s="253" t="s">
        <v>33</v>
      </c>
      <c r="E64" s="416"/>
      <c r="F64" s="296"/>
      <c r="G64" s="296"/>
      <c r="H64" s="425">
        <v>1</v>
      </c>
      <c r="I64" s="415"/>
      <c r="J64" s="415"/>
      <c r="K64" s="415"/>
      <c r="L64" s="415"/>
      <c r="M64" s="415"/>
      <c r="N64" s="415"/>
      <c r="O64" s="415"/>
      <c r="P64" s="429">
        <f t="shared" si="0"/>
        <v>1</v>
      </c>
    </row>
    <row r="65" spans="1:16" ht="28.5" x14ac:dyDescent="0.25">
      <c r="A65" s="50"/>
      <c r="B65" s="428">
        <v>22</v>
      </c>
      <c r="C65" s="413" t="s">
        <v>169</v>
      </c>
      <c r="D65" s="253" t="s">
        <v>33</v>
      </c>
      <c r="E65" s="416"/>
      <c r="F65" s="296"/>
      <c r="G65" s="296"/>
      <c r="H65" s="425">
        <v>1</v>
      </c>
      <c r="I65" s="415"/>
      <c r="J65" s="415"/>
      <c r="K65" s="415"/>
      <c r="L65" s="415"/>
      <c r="M65" s="415"/>
      <c r="N65" s="415"/>
      <c r="O65" s="415"/>
      <c r="P65" s="429">
        <f t="shared" si="0"/>
        <v>1</v>
      </c>
    </row>
    <row r="66" spans="1:16" x14ac:dyDescent="0.25">
      <c r="A66" s="50"/>
      <c r="B66" s="428">
        <v>23</v>
      </c>
      <c r="C66" s="413" t="s">
        <v>170</v>
      </c>
      <c r="D66" s="253" t="s">
        <v>33</v>
      </c>
      <c r="E66" s="416"/>
      <c r="F66" s="296"/>
      <c r="G66" s="296"/>
      <c r="H66" s="425">
        <v>1</v>
      </c>
      <c r="I66" s="415"/>
      <c r="J66" s="415"/>
      <c r="K66" s="415"/>
      <c r="L66" s="415"/>
      <c r="M66" s="415"/>
      <c r="N66" s="415"/>
      <c r="O66" s="415"/>
      <c r="P66" s="429">
        <f t="shared" si="0"/>
        <v>1</v>
      </c>
    </row>
    <row r="67" spans="1:16" x14ac:dyDescent="0.25">
      <c r="A67" s="50"/>
      <c r="B67" s="428">
        <v>24</v>
      </c>
      <c r="C67" s="413" t="s">
        <v>171</v>
      </c>
      <c r="D67" s="253" t="s">
        <v>33</v>
      </c>
      <c r="E67" s="416"/>
      <c r="F67" s="296"/>
      <c r="G67" s="296"/>
      <c r="H67" s="425">
        <v>1</v>
      </c>
      <c r="I67" s="415"/>
      <c r="J67" s="415"/>
      <c r="K67" s="415"/>
      <c r="L67" s="415"/>
      <c r="M67" s="415"/>
      <c r="N67" s="415"/>
      <c r="O67" s="415"/>
      <c r="P67" s="429">
        <f t="shared" si="0"/>
        <v>1</v>
      </c>
    </row>
    <row r="68" spans="1:16" x14ac:dyDescent="0.25">
      <c r="A68" s="50"/>
      <c r="B68" s="430" t="s">
        <v>269</v>
      </c>
      <c r="C68" s="413"/>
      <c r="D68" s="253" t="s">
        <v>255</v>
      </c>
      <c r="E68" s="416"/>
      <c r="F68" s="296"/>
      <c r="G68" s="296"/>
      <c r="H68" s="425"/>
      <c r="I68" s="415"/>
      <c r="J68" s="415"/>
      <c r="K68" s="415"/>
      <c r="L68" s="415"/>
      <c r="M68" s="415"/>
      <c r="N68" s="415"/>
      <c r="O68" s="415"/>
      <c r="P68" s="429"/>
    </row>
    <row r="69" spans="1:16" x14ac:dyDescent="0.25">
      <c r="A69" s="50"/>
      <c r="B69" s="428"/>
      <c r="C69" s="609"/>
      <c r="D69" s="609"/>
      <c r="E69" s="268"/>
      <c r="F69" s="296"/>
      <c r="G69" s="296"/>
      <c r="H69" s="425"/>
      <c r="I69" s="415"/>
      <c r="J69" s="415"/>
      <c r="K69" s="415"/>
      <c r="L69" s="415"/>
      <c r="M69" s="415"/>
      <c r="N69" s="415"/>
      <c r="O69" s="415"/>
      <c r="P69" s="429"/>
    </row>
    <row r="70" spans="1:16" x14ac:dyDescent="0.25">
      <c r="A70" s="50"/>
      <c r="B70" s="428"/>
      <c r="C70" s="609"/>
      <c r="D70" s="609"/>
      <c r="E70" s="268"/>
      <c r="F70" s="296"/>
      <c r="G70" s="296"/>
      <c r="H70" s="425"/>
      <c r="I70" s="415"/>
      <c r="J70" s="415"/>
      <c r="K70" s="415"/>
      <c r="L70" s="415"/>
      <c r="M70" s="415"/>
      <c r="N70" s="415"/>
      <c r="O70" s="415"/>
      <c r="P70" s="429"/>
    </row>
    <row r="71" spans="1:16" x14ac:dyDescent="0.25">
      <c r="A71" s="50"/>
      <c r="B71" s="428"/>
      <c r="C71" s="609"/>
      <c r="D71" s="609"/>
      <c r="E71" s="268"/>
      <c r="F71" s="296"/>
      <c r="G71" s="296"/>
      <c r="H71" s="415"/>
      <c r="I71" s="415"/>
      <c r="J71" s="415"/>
      <c r="K71" s="415"/>
      <c r="L71" s="415"/>
      <c r="M71" s="415"/>
      <c r="N71" s="415"/>
      <c r="O71" s="415"/>
      <c r="P71" s="429">
        <f t="shared" si="0"/>
        <v>0</v>
      </c>
    </row>
    <row r="72" spans="1:16" ht="28.5" customHeight="1" x14ac:dyDescent="0.25">
      <c r="A72" s="50"/>
      <c r="B72" s="643" t="s">
        <v>172</v>
      </c>
      <c r="C72" s="620"/>
      <c r="D72" s="620"/>
      <c r="E72" s="620"/>
      <c r="F72" s="620"/>
      <c r="G72" s="620"/>
      <c r="H72" s="620"/>
      <c r="I72" s="620"/>
      <c r="J72" s="620"/>
      <c r="K72" s="620"/>
      <c r="L72" s="620"/>
      <c r="M72" s="620"/>
      <c r="N72" s="620"/>
      <c r="O72" s="620"/>
      <c r="P72" s="644"/>
    </row>
    <row r="73" spans="1:16" x14ac:dyDescent="0.25">
      <c r="A73" s="50"/>
      <c r="B73" s="428">
        <v>25</v>
      </c>
      <c r="C73" s="413" t="s">
        <v>173</v>
      </c>
      <c r="D73" s="253" t="s">
        <v>33</v>
      </c>
      <c r="E73" s="416"/>
      <c r="F73" s="296"/>
      <c r="G73" s="296"/>
      <c r="H73" s="415"/>
      <c r="I73" s="425">
        <v>1</v>
      </c>
      <c r="J73" s="415"/>
      <c r="K73" s="415"/>
      <c r="L73" s="415"/>
      <c r="M73" s="415"/>
      <c r="N73" s="415"/>
      <c r="O73" s="415"/>
      <c r="P73" s="429">
        <f t="shared" si="0"/>
        <v>1</v>
      </c>
    </row>
    <row r="74" spans="1:16" x14ac:dyDescent="0.25">
      <c r="A74" s="50"/>
      <c r="B74" s="428">
        <v>26</v>
      </c>
      <c r="C74" s="413" t="s">
        <v>174</v>
      </c>
      <c r="D74" s="253" t="s">
        <v>33</v>
      </c>
      <c r="E74" s="416"/>
      <c r="F74" s="296"/>
      <c r="G74" s="296"/>
      <c r="H74" s="415"/>
      <c r="I74" s="425">
        <v>1</v>
      </c>
      <c r="J74" s="415"/>
      <c r="K74" s="415"/>
      <c r="L74" s="415"/>
      <c r="M74" s="415"/>
      <c r="N74" s="415"/>
      <c r="O74" s="415"/>
      <c r="P74" s="429">
        <f t="shared" si="0"/>
        <v>1</v>
      </c>
    </row>
    <row r="75" spans="1:16" ht="28.5" x14ac:dyDescent="0.25">
      <c r="A75" s="50"/>
      <c r="B75" s="428">
        <v>27</v>
      </c>
      <c r="C75" s="413" t="s">
        <v>175</v>
      </c>
      <c r="D75" s="253" t="s">
        <v>33</v>
      </c>
      <c r="E75" s="416"/>
      <c r="F75" s="296"/>
      <c r="G75" s="296"/>
      <c r="H75" s="415"/>
      <c r="I75" s="425">
        <v>0.8</v>
      </c>
      <c r="J75" s="425">
        <v>0.2</v>
      </c>
      <c r="K75" s="415"/>
      <c r="L75" s="415"/>
      <c r="M75" s="415"/>
      <c r="N75" s="415"/>
      <c r="O75" s="415"/>
      <c r="P75" s="429">
        <f t="shared" si="0"/>
        <v>1</v>
      </c>
    </row>
    <row r="76" spans="1:16" ht="28.5" x14ac:dyDescent="0.25">
      <c r="A76" s="50"/>
      <c r="B76" s="428">
        <v>28</v>
      </c>
      <c r="C76" s="413" t="s">
        <v>176</v>
      </c>
      <c r="D76" s="253" t="s">
        <v>33</v>
      </c>
      <c r="E76" s="416"/>
      <c r="F76" s="296"/>
      <c r="G76" s="296"/>
      <c r="H76" s="415"/>
      <c r="I76" s="415"/>
      <c r="J76" s="415"/>
      <c r="K76" s="415"/>
      <c r="L76" s="415"/>
      <c r="M76" s="415"/>
      <c r="N76" s="415"/>
      <c r="O76" s="415"/>
      <c r="P76" s="429">
        <f t="shared" si="0"/>
        <v>0</v>
      </c>
    </row>
    <row r="77" spans="1:16" ht="28.5" x14ac:dyDescent="0.25">
      <c r="A77" s="50"/>
      <c r="B77" s="428">
        <v>29</v>
      </c>
      <c r="C77" s="413" t="s">
        <v>177</v>
      </c>
      <c r="D77" s="253" t="s">
        <v>33</v>
      </c>
      <c r="E77" s="416"/>
      <c r="F77" s="296"/>
      <c r="G77" s="296"/>
      <c r="H77" s="415"/>
      <c r="I77" s="415"/>
      <c r="J77" s="415"/>
      <c r="K77" s="415"/>
      <c r="L77" s="415"/>
      <c r="M77" s="415"/>
      <c r="N77" s="415"/>
      <c r="O77" s="415"/>
      <c r="P77" s="429">
        <f t="shared" si="0"/>
        <v>0</v>
      </c>
    </row>
    <row r="78" spans="1:16" ht="28.5" x14ac:dyDescent="0.25">
      <c r="A78" s="50"/>
      <c r="B78" s="428">
        <v>30</v>
      </c>
      <c r="C78" s="413" t="s">
        <v>178</v>
      </c>
      <c r="D78" s="253" t="s">
        <v>33</v>
      </c>
      <c r="E78" s="416"/>
      <c r="F78" s="296"/>
      <c r="G78" s="296"/>
      <c r="H78" s="415"/>
      <c r="I78" s="415"/>
      <c r="J78" s="415"/>
      <c r="K78" s="415"/>
      <c r="L78" s="415"/>
      <c r="M78" s="415"/>
      <c r="N78" s="415"/>
      <c r="O78" s="415"/>
      <c r="P78" s="429">
        <f t="shared" si="0"/>
        <v>0</v>
      </c>
    </row>
    <row r="79" spans="1:16" ht="28.5" x14ac:dyDescent="0.25">
      <c r="A79" s="50"/>
      <c r="B79" s="428">
        <v>31</v>
      </c>
      <c r="C79" s="413" t="s">
        <v>179</v>
      </c>
      <c r="D79" s="253" t="s">
        <v>33</v>
      </c>
      <c r="E79" s="416"/>
      <c r="F79" s="296"/>
      <c r="G79" s="296"/>
      <c r="H79" s="415"/>
      <c r="I79" s="415"/>
      <c r="J79" s="415"/>
      <c r="K79" s="415"/>
      <c r="L79" s="415"/>
      <c r="M79" s="415"/>
      <c r="N79" s="415"/>
      <c r="O79" s="415"/>
      <c r="P79" s="429">
        <f t="shared" si="0"/>
        <v>0</v>
      </c>
    </row>
    <row r="80" spans="1:16" x14ac:dyDescent="0.25">
      <c r="A80" s="50"/>
      <c r="B80" s="428">
        <v>32</v>
      </c>
      <c r="C80" s="413" t="s">
        <v>180</v>
      </c>
      <c r="D80" s="253" t="s">
        <v>33</v>
      </c>
      <c r="E80" s="416"/>
      <c r="F80" s="296"/>
      <c r="G80" s="296"/>
      <c r="H80" s="415"/>
      <c r="I80" s="415"/>
      <c r="J80" s="415"/>
      <c r="K80" s="415"/>
      <c r="L80" s="415"/>
      <c r="M80" s="415"/>
      <c r="N80" s="415"/>
      <c r="O80" s="415"/>
      <c r="P80" s="429">
        <f t="shared" si="0"/>
        <v>0</v>
      </c>
    </row>
    <row r="81" spans="1:16" x14ac:dyDescent="0.25">
      <c r="A81" s="50"/>
      <c r="B81" s="430" t="s">
        <v>269</v>
      </c>
      <c r="C81" s="413"/>
      <c r="D81" s="253" t="s">
        <v>255</v>
      </c>
      <c r="E81" s="416"/>
      <c r="F81" s="296"/>
      <c r="G81" s="296"/>
      <c r="H81" s="415"/>
      <c r="I81" s="415"/>
      <c r="J81" s="415"/>
      <c r="K81" s="415"/>
      <c r="L81" s="415"/>
      <c r="M81" s="415"/>
      <c r="N81" s="415"/>
      <c r="O81" s="415"/>
      <c r="P81" s="429"/>
    </row>
    <row r="82" spans="1:16" x14ac:dyDescent="0.25">
      <c r="A82" s="50"/>
      <c r="B82" s="428"/>
      <c r="C82" s="609"/>
      <c r="D82" s="609"/>
      <c r="E82" s="268"/>
      <c r="F82" s="296"/>
      <c r="G82" s="296"/>
      <c r="H82" s="415"/>
      <c r="I82" s="415"/>
      <c r="J82" s="415"/>
      <c r="K82" s="415"/>
      <c r="L82" s="415"/>
      <c r="M82" s="415"/>
      <c r="N82" s="415"/>
      <c r="O82" s="415"/>
      <c r="P82" s="429"/>
    </row>
    <row r="83" spans="1:16" x14ac:dyDescent="0.25">
      <c r="A83" s="50"/>
      <c r="B83" s="428"/>
      <c r="C83" s="609"/>
      <c r="D83" s="609"/>
      <c r="E83" s="268"/>
      <c r="F83" s="296"/>
      <c r="G83" s="296"/>
      <c r="H83" s="415"/>
      <c r="I83" s="415"/>
      <c r="J83" s="415"/>
      <c r="K83" s="415"/>
      <c r="L83" s="415"/>
      <c r="M83" s="415"/>
      <c r="N83" s="415"/>
      <c r="O83" s="415"/>
      <c r="P83" s="429"/>
    </row>
    <row r="84" spans="1:16" x14ac:dyDescent="0.25">
      <c r="A84" s="50"/>
      <c r="B84" s="428"/>
      <c r="C84" s="609"/>
      <c r="D84" s="609"/>
      <c r="E84" s="268"/>
      <c r="F84" s="296"/>
      <c r="G84" s="296"/>
      <c r="H84" s="415"/>
      <c r="I84" s="415"/>
      <c r="J84" s="415"/>
      <c r="K84" s="415"/>
      <c r="L84" s="415"/>
      <c r="M84" s="415"/>
      <c r="N84" s="415"/>
      <c r="O84" s="415"/>
      <c r="P84" s="429">
        <f t="shared" ref="P84:P107" si="1">SUM(H84:O84)</f>
        <v>0</v>
      </c>
    </row>
    <row r="85" spans="1:16" ht="25.5" customHeight="1" x14ac:dyDescent="0.25">
      <c r="A85" s="50"/>
      <c r="B85" s="643" t="s">
        <v>181</v>
      </c>
      <c r="C85" s="620"/>
      <c r="D85" s="620"/>
      <c r="E85" s="620"/>
      <c r="F85" s="620"/>
      <c r="G85" s="620"/>
      <c r="H85" s="620"/>
      <c r="I85" s="620"/>
      <c r="J85" s="620"/>
      <c r="K85" s="620"/>
      <c r="L85" s="620"/>
      <c r="M85" s="620"/>
      <c r="N85" s="620"/>
      <c r="O85" s="620"/>
      <c r="P85" s="644"/>
    </row>
    <row r="86" spans="1:16" x14ac:dyDescent="0.25">
      <c r="A86" s="50"/>
      <c r="B86" s="428">
        <v>33</v>
      </c>
      <c r="C86" s="413" t="s">
        <v>182</v>
      </c>
      <c r="D86" s="253" t="s">
        <v>33</v>
      </c>
      <c r="E86" s="416"/>
      <c r="F86" s="296"/>
      <c r="G86" s="296"/>
      <c r="H86" s="421"/>
      <c r="I86" s="421"/>
      <c r="J86" s="421"/>
      <c r="K86" s="421"/>
      <c r="L86" s="421"/>
      <c r="M86" s="421"/>
      <c r="N86" s="421"/>
      <c r="O86" s="421"/>
      <c r="P86" s="429">
        <f t="shared" si="1"/>
        <v>0</v>
      </c>
    </row>
    <row r="87" spans="1:16" x14ac:dyDescent="0.25">
      <c r="A87" s="50"/>
      <c r="B87" s="428">
        <v>34</v>
      </c>
      <c r="C87" s="413" t="s">
        <v>183</v>
      </c>
      <c r="D87" s="253" t="s">
        <v>33</v>
      </c>
      <c r="E87" s="416"/>
      <c r="F87" s="296"/>
      <c r="G87" s="296"/>
      <c r="H87" s="421"/>
      <c r="I87" s="421"/>
      <c r="J87" s="421"/>
      <c r="K87" s="421"/>
      <c r="L87" s="421"/>
      <c r="M87" s="421"/>
      <c r="N87" s="421"/>
      <c r="O87" s="421"/>
      <c r="P87" s="429">
        <f t="shared" si="1"/>
        <v>0</v>
      </c>
    </row>
    <row r="88" spans="1:16" x14ac:dyDescent="0.25">
      <c r="A88" s="50"/>
      <c r="B88" s="428">
        <v>35</v>
      </c>
      <c r="C88" s="413" t="s">
        <v>184</v>
      </c>
      <c r="D88" s="253" t="s">
        <v>33</v>
      </c>
      <c r="E88" s="416"/>
      <c r="F88" s="296"/>
      <c r="G88" s="296"/>
      <c r="H88" s="421"/>
      <c r="I88" s="421"/>
      <c r="J88" s="421"/>
      <c r="K88" s="421"/>
      <c r="L88" s="421"/>
      <c r="M88" s="421"/>
      <c r="N88" s="421"/>
      <c r="O88" s="421"/>
      <c r="P88" s="429">
        <f t="shared" si="1"/>
        <v>0</v>
      </c>
    </row>
    <row r="89" spans="1:16" x14ac:dyDescent="0.25">
      <c r="A89" s="50"/>
      <c r="B89" s="430" t="s">
        <v>269</v>
      </c>
      <c r="C89" s="413"/>
      <c r="D89" s="253" t="s">
        <v>255</v>
      </c>
      <c r="E89" s="416"/>
      <c r="F89" s="296"/>
      <c r="G89" s="296"/>
      <c r="H89" s="421"/>
      <c r="I89" s="421"/>
      <c r="J89" s="421"/>
      <c r="K89" s="421"/>
      <c r="L89" s="421"/>
      <c r="M89" s="421"/>
      <c r="N89" s="421"/>
      <c r="O89" s="421"/>
      <c r="P89" s="429"/>
    </row>
    <row r="90" spans="1:16" x14ac:dyDescent="0.25">
      <c r="A90" s="50"/>
      <c r="B90" s="428"/>
      <c r="C90" s="609"/>
      <c r="D90" s="609"/>
      <c r="E90" s="268"/>
      <c r="F90" s="296"/>
      <c r="G90" s="296"/>
      <c r="H90" s="421"/>
      <c r="I90" s="421"/>
      <c r="J90" s="421"/>
      <c r="K90" s="421"/>
      <c r="L90" s="421"/>
      <c r="M90" s="421"/>
      <c r="N90" s="421"/>
      <c r="O90" s="421"/>
      <c r="P90" s="429"/>
    </row>
    <row r="91" spans="1:16" x14ac:dyDescent="0.25">
      <c r="A91" s="50"/>
      <c r="B91" s="428"/>
      <c r="C91" s="609"/>
      <c r="D91" s="609"/>
      <c r="E91" s="268"/>
      <c r="F91" s="296"/>
      <c r="G91" s="296"/>
      <c r="H91" s="421"/>
      <c r="I91" s="421"/>
      <c r="J91" s="421"/>
      <c r="K91" s="421"/>
      <c r="L91" s="421"/>
      <c r="M91" s="421"/>
      <c r="N91" s="421"/>
      <c r="O91" s="421"/>
      <c r="P91" s="429"/>
    </row>
    <row r="92" spans="1:16" x14ac:dyDescent="0.25">
      <c r="A92" s="50"/>
      <c r="B92" s="428"/>
      <c r="C92" s="609"/>
      <c r="D92" s="609"/>
      <c r="E92" s="268"/>
      <c r="F92" s="296"/>
      <c r="G92" s="296"/>
      <c r="H92" s="421"/>
      <c r="I92" s="421"/>
      <c r="J92" s="421"/>
      <c r="K92" s="421"/>
      <c r="L92" s="421"/>
      <c r="M92" s="421"/>
      <c r="N92" s="421"/>
      <c r="O92" s="421"/>
      <c r="P92" s="429">
        <f t="shared" si="1"/>
        <v>0</v>
      </c>
    </row>
    <row r="93" spans="1:16" ht="24" customHeight="1" x14ac:dyDescent="0.25">
      <c r="A93" s="50"/>
      <c r="B93" s="643" t="s">
        <v>185</v>
      </c>
      <c r="C93" s="620"/>
      <c r="D93" s="620"/>
      <c r="E93" s="620"/>
      <c r="F93" s="620"/>
      <c r="G93" s="620"/>
      <c r="H93" s="620"/>
      <c r="I93" s="620"/>
      <c r="J93" s="620"/>
      <c r="K93" s="620"/>
      <c r="L93" s="620"/>
      <c r="M93" s="620"/>
      <c r="N93" s="620"/>
      <c r="O93" s="620"/>
      <c r="P93" s="644"/>
    </row>
    <row r="94" spans="1:16" ht="42.75" x14ac:dyDescent="0.25">
      <c r="A94" s="50"/>
      <c r="B94" s="428">
        <v>36</v>
      </c>
      <c r="C94" s="413" t="s">
        <v>186</v>
      </c>
      <c r="D94" s="253" t="s">
        <v>33</v>
      </c>
      <c r="E94" s="416"/>
      <c r="F94" s="296"/>
      <c r="G94" s="296"/>
      <c r="H94" s="421"/>
      <c r="I94" s="421"/>
      <c r="J94" s="421"/>
      <c r="K94" s="421"/>
      <c r="L94" s="421"/>
      <c r="M94" s="421"/>
      <c r="N94" s="421"/>
      <c r="O94" s="421"/>
      <c r="P94" s="429">
        <f t="shared" si="1"/>
        <v>0</v>
      </c>
    </row>
    <row r="95" spans="1:16" ht="28.5" x14ac:dyDescent="0.25">
      <c r="A95" s="50"/>
      <c r="B95" s="428">
        <v>37</v>
      </c>
      <c r="C95" s="413" t="s">
        <v>187</v>
      </c>
      <c r="D95" s="253" t="s">
        <v>33</v>
      </c>
      <c r="E95" s="416"/>
      <c r="F95" s="296"/>
      <c r="G95" s="296"/>
      <c r="H95" s="421"/>
      <c r="I95" s="421"/>
      <c r="J95" s="421"/>
      <c r="K95" s="421"/>
      <c r="L95" s="421"/>
      <c r="M95" s="421"/>
      <c r="N95" s="421"/>
      <c r="O95" s="421"/>
      <c r="P95" s="429">
        <f t="shared" si="1"/>
        <v>0</v>
      </c>
    </row>
    <row r="96" spans="1:16" x14ac:dyDescent="0.25">
      <c r="A96" s="50"/>
      <c r="B96" s="428">
        <v>38</v>
      </c>
      <c r="C96" s="413" t="s">
        <v>188</v>
      </c>
      <c r="D96" s="253" t="s">
        <v>33</v>
      </c>
      <c r="E96" s="416"/>
      <c r="F96" s="296"/>
      <c r="G96" s="296"/>
      <c r="H96" s="421"/>
      <c r="I96" s="421"/>
      <c r="J96" s="421"/>
      <c r="K96" s="421"/>
      <c r="L96" s="421"/>
      <c r="M96" s="421"/>
      <c r="N96" s="421"/>
      <c r="O96" s="421"/>
      <c r="P96" s="429">
        <f t="shared" si="1"/>
        <v>0</v>
      </c>
    </row>
    <row r="97" spans="1:16" ht="28.5" x14ac:dyDescent="0.25">
      <c r="A97" s="50"/>
      <c r="B97" s="428">
        <v>39</v>
      </c>
      <c r="C97" s="413" t="s">
        <v>189</v>
      </c>
      <c r="D97" s="253" t="s">
        <v>33</v>
      </c>
      <c r="E97" s="416"/>
      <c r="F97" s="296"/>
      <c r="G97" s="296"/>
      <c r="H97" s="421"/>
      <c r="I97" s="421"/>
      <c r="J97" s="421"/>
      <c r="K97" s="421"/>
      <c r="L97" s="421"/>
      <c r="M97" s="421"/>
      <c r="N97" s="421"/>
      <c r="O97" s="421"/>
      <c r="P97" s="429">
        <f t="shared" si="1"/>
        <v>0</v>
      </c>
    </row>
    <row r="98" spans="1:16" ht="28.5" x14ac:dyDescent="0.25">
      <c r="A98" s="50"/>
      <c r="B98" s="428">
        <v>40</v>
      </c>
      <c r="C98" s="413" t="s">
        <v>190</v>
      </c>
      <c r="D98" s="253" t="s">
        <v>33</v>
      </c>
      <c r="E98" s="416"/>
      <c r="F98" s="296"/>
      <c r="G98" s="296"/>
      <c r="H98" s="421"/>
      <c r="I98" s="421"/>
      <c r="J98" s="421"/>
      <c r="K98" s="421"/>
      <c r="L98" s="421"/>
      <c r="M98" s="421"/>
      <c r="N98" s="421"/>
      <c r="O98" s="421"/>
      <c r="P98" s="429">
        <f t="shared" si="1"/>
        <v>0</v>
      </c>
    </row>
    <row r="99" spans="1:16" ht="28.5" x14ac:dyDescent="0.25">
      <c r="A99" s="50"/>
      <c r="B99" s="428">
        <v>41</v>
      </c>
      <c r="C99" s="413" t="s">
        <v>191</v>
      </c>
      <c r="D99" s="253" t="s">
        <v>33</v>
      </c>
      <c r="E99" s="416"/>
      <c r="F99" s="296"/>
      <c r="G99" s="296"/>
      <c r="H99" s="421"/>
      <c r="I99" s="421"/>
      <c r="J99" s="421"/>
      <c r="K99" s="421"/>
      <c r="L99" s="421"/>
      <c r="M99" s="421"/>
      <c r="N99" s="421"/>
      <c r="O99" s="421"/>
      <c r="P99" s="429">
        <f t="shared" si="1"/>
        <v>0</v>
      </c>
    </row>
    <row r="100" spans="1:16" ht="28.5" x14ac:dyDescent="0.25">
      <c r="A100" s="50"/>
      <c r="B100" s="428">
        <v>42</v>
      </c>
      <c r="C100" s="413" t="s">
        <v>192</v>
      </c>
      <c r="D100" s="253" t="s">
        <v>33</v>
      </c>
      <c r="E100" s="416"/>
      <c r="F100" s="296"/>
      <c r="G100" s="296"/>
      <c r="H100" s="421"/>
      <c r="I100" s="421"/>
      <c r="J100" s="421"/>
      <c r="K100" s="421"/>
      <c r="L100" s="421"/>
      <c r="M100" s="421"/>
      <c r="N100" s="421"/>
      <c r="O100" s="421"/>
      <c r="P100" s="429">
        <f t="shared" si="1"/>
        <v>0</v>
      </c>
    </row>
    <row r="101" spans="1:16" x14ac:dyDescent="0.25">
      <c r="A101" s="50"/>
      <c r="B101" s="428">
        <v>43</v>
      </c>
      <c r="C101" s="413" t="s">
        <v>193</v>
      </c>
      <c r="D101" s="253" t="s">
        <v>33</v>
      </c>
      <c r="E101" s="416"/>
      <c r="F101" s="296"/>
      <c r="G101" s="296"/>
      <c r="H101" s="421"/>
      <c r="I101" s="421"/>
      <c r="J101" s="421"/>
      <c r="K101" s="421"/>
      <c r="L101" s="421"/>
      <c r="M101" s="421"/>
      <c r="N101" s="421"/>
      <c r="O101" s="421"/>
      <c r="P101" s="429">
        <f t="shared" si="1"/>
        <v>0</v>
      </c>
    </row>
    <row r="102" spans="1:16" ht="42.75" x14ac:dyDescent="0.25">
      <c r="A102" s="50"/>
      <c r="B102" s="428">
        <v>44</v>
      </c>
      <c r="C102" s="413" t="s">
        <v>194</v>
      </c>
      <c r="D102" s="253" t="s">
        <v>33</v>
      </c>
      <c r="E102" s="416"/>
      <c r="F102" s="296"/>
      <c r="G102" s="296"/>
      <c r="H102" s="421"/>
      <c r="I102" s="421"/>
      <c r="J102" s="421"/>
      <c r="K102" s="421"/>
      <c r="L102" s="421"/>
      <c r="M102" s="421"/>
      <c r="N102" s="421"/>
      <c r="O102" s="421"/>
      <c r="P102" s="429">
        <f t="shared" si="1"/>
        <v>0</v>
      </c>
    </row>
    <row r="103" spans="1:16" ht="28.5" x14ac:dyDescent="0.25">
      <c r="A103" s="50"/>
      <c r="B103" s="428">
        <v>45</v>
      </c>
      <c r="C103" s="413" t="s">
        <v>195</v>
      </c>
      <c r="D103" s="253" t="s">
        <v>33</v>
      </c>
      <c r="E103" s="416"/>
      <c r="F103" s="296"/>
      <c r="G103" s="296"/>
      <c r="H103" s="421"/>
      <c r="I103" s="421"/>
      <c r="J103" s="421"/>
      <c r="K103" s="421"/>
      <c r="L103" s="421"/>
      <c r="M103" s="421"/>
      <c r="N103" s="421"/>
      <c r="O103" s="421"/>
      <c r="P103" s="429">
        <f t="shared" si="1"/>
        <v>0</v>
      </c>
    </row>
    <row r="104" spans="1:16" ht="28.5" x14ac:dyDescent="0.25">
      <c r="A104" s="50"/>
      <c r="B104" s="428">
        <v>46</v>
      </c>
      <c r="C104" s="413" t="s">
        <v>196</v>
      </c>
      <c r="D104" s="253" t="s">
        <v>33</v>
      </c>
      <c r="E104" s="416"/>
      <c r="F104" s="296"/>
      <c r="G104" s="296"/>
      <c r="H104" s="421"/>
      <c r="I104" s="421"/>
      <c r="J104" s="421"/>
      <c r="K104" s="421"/>
      <c r="L104" s="421"/>
      <c r="M104" s="421"/>
      <c r="N104" s="421"/>
      <c r="O104" s="421"/>
      <c r="P104" s="429">
        <f t="shared" si="1"/>
        <v>0</v>
      </c>
    </row>
    <row r="105" spans="1:16" ht="28.5" x14ac:dyDescent="0.25">
      <c r="A105" s="50"/>
      <c r="B105" s="428">
        <v>47</v>
      </c>
      <c r="C105" s="413" t="s">
        <v>197</v>
      </c>
      <c r="D105" s="253" t="s">
        <v>33</v>
      </c>
      <c r="E105" s="416"/>
      <c r="F105" s="296"/>
      <c r="G105" s="296"/>
      <c r="H105" s="421"/>
      <c r="I105" s="421"/>
      <c r="J105" s="421"/>
      <c r="K105" s="421"/>
      <c r="L105" s="421"/>
      <c r="M105" s="421"/>
      <c r="N105" s="421"/>
      <c r="O105" s="421"/>
      <c r="P105" s="429">
        <f t="shared" si="1"/>
        <v>0</v>
      </c>
    </row>
    <row r="106" spans="1:16" ht="28.5" x14ac:dyDescent="0.25">
      <c r="A106" s="50"/>
      <c r="B106" s="428">
        <v>48</v>
      </c>
      <c r="C106" s="413" t="s">
        <v>198</v>
      </c>
      <c r="D106" s="253" t="s">
        <v>33</v>
      </c>
      <c r="E106" s="416"/>
      <c r="F106" s="296"/>
      <c r="G106" s="296"/>
      <c r="H106" s="421"/>
      <c r="I106" s="421"/>
      <c r="J106" s="421"/>
      <c r="K106" s="421"/>
      <c r="L106" s="421"/>
      <c r="M106" s="421"/>
      <c r="N106" s="421"/>
      <c r="O106" s="421"/>
      <c r="P106" s="429">
        <f t="shared" si="1"/>
        <v>0</v>
      </c>
    </row>
    <row r="107" spans="1:16" ht="28.5" x14ac:dyDescent="0.25">
      <c r="A107" s="50"/>
      <c r="B107" s="428">
        <v>49</v>
      </c>
      <c r="C107" s="413" t="s">
        <v>199</v>
      </c>
      <c r="D107" s="253" t="s">
        <v>33</v>
      </c>
      <c r="E107" s="416"/>
      <c r="F107" s="296"/>
      <c r="G107" s="296"/>
      <c r="H107" s="421"/>
      <c r="I107" s="421"/>
      <c r="J107" s="421"/>
      <c r="K107" s="421"/>
      <c r="L107" s="421"/>
      <c r="M107" s="421"/>
      <c r="N107" s="421"/>
      <c r="O107" s="421"/>
      <c r="P107" s="429">
        <f t="shared" si="1"/>
        <v>0</v>
      </c>
    </row>
    <row r="108" spans="1:16" x14ac:dyDescent="0.25">
      <c r="A108" s="50"/>
      <c r="B108" s="430" t="s">
        <v>269</v>
      </c>
      <c r="C108" s="413"/>
      <c r="D108" s="253" t="s">
        <v>255</v>
      </c>
      <c r="E108" s="416"/>
      <c r="F108" s="296"/>
      <c r="G108" s="296"/>
      <c r="H108" s="421"/>
      <c r="I108" s="421"/>
      <c r="J108" s="421"/>
      <c r="K108" s="421"/>
      <c r="L108" s="421"/>
      <c r="M108" s="421"/>
      <c r="N108" s="421"/>
      <c r="O108" s="421"/>
      <c r="P108" s="429"/>
    </row>
    <row r="109" spans="1:16" x14ac:dyDescent="0.25">
      <c r="A109" s="50"/>
      <c r="B109" s="428"/>
      <c r="C109" s="609"/>
      <c r="D109" s="609"/>
      <c r="E109" s="268"/>
      <c r="F109" s="296"/>
      <c r="G109" s="296"/>
      <c r="H109" s="421"/>
      <c r="I109" s="421"/>
      <c r="J109" s="421"/>
      <c r="K109" s="421"/>
      <c r="L109" s="421"/>
      <c r="M109" s="421"/>
      <c r="N109" s="421"/>
      <c r="O109" s="421"/>
      <c r="P109" s="429"/>
    </row>
    <row r="110" spans="1:16" x14ac:dyDescent="0.25">
      <c r="A110" s="50"/>
      <c r="B110" s="428"/>
      <c r="C110" s="609"/>
      <c r="D110" s="609"/>
      <c r="E110" s="268"/>
      <c r="F110" s="296"/>
      <c r="G110" s="296"/>
      <c r="H110" s="421"/>
      <c r="I110" s="421"/>
      <c r="J110" s="421"/>
      <c r="K110" s="421"/>
      <c r="L110" s="421"/>
      <c r="M110" s="421"/>
      <c r="N110" s="421"/>
      <c r="O110" s="421"/>
      <c r="P110" s="429"/>
    </row>
    <row r="111" spans="1:16" x14ac:dyDescent="0.25">
      <c r="A111" s="50"/>
      <c r="B111" s="428"/>
      <c r="C111" s="609"/>
      <c r="D111" s="609"/>
      <c r="E111" s="268"/>
      <c r="F111" s="296"/>
      <c r="G111" s="296"/>
      <c r="H111" s="421"/>
      <c r="I111" s="421"/>
      <c r="J111" s="421"/>
      <c r="K111" s="421"/>
      <c r="L111" s="421"/>
      <c r="M111" s="421"/>
      <c r="N111" s="421"/>
      <c r="O111" s="421"/>
      <c r="P111" s="429"/>
    </row>
    <row r="112" spans="1:16" x14ac:dyDescent="0.25">
      <c r="B112" s="352"/>
      <c r="C112" s="608" t="s">
        <v>223</v>
      </c>
      <c r="D112" s="608"/>
      <c r="E112" s="353"/>
      <c r="F112" s="354"/>
      <c r="G112" s="354"/>
      <c r="H112" s="355">
        <f>SUM(F17*H17,F18*H18,F19*H19,F20*H20,F21*H21,F22*H22,F47*H47,F64*H64,F65*H65,F66*H66,F67*H67)</f>
        <v>0</v>
      </c>
      <c r="I112" s="355">
        <f>SUM(F28*I28,F29*I29,F30*I30,F31*I31,F32*I32,F73*I73,F74*I74,F75*I75,F76*I76,F77*I77,F78*I78,F79*I79,F80*I80,F86*I86,F87*I87,F88*I88)</f>
        <v>0</v>
      </c>
      <c r="J112" s="356"/>
      <c r="K112" s="353"/>
      <c r="L112" s="353"/>
      <c r="M112" s="353"/>
      <c r="N112" s="355"/>
      <c r="O112" s="353"/>
      <c r="P112" s="357">
        <f>SUM(H112:O112)</f>
        <v>0</v>
      </c>
    </row>
    <row r="113" spans="2:16" x14ac:dyDescent="0.25">
      <c r="B113" s="275"/>
      <c r="C113" s="609" t="s">
        <v>262</v>
      </c>
      <c r="D113" s="609"/>
      <c r="E113" s="269"/>
      <c r="F113" s="267"/>
      <c r="G113" s="267"/>
      <c r="H113" s="269"/>
      <c r="I113" s="269"/>
      <c r="J113" s="270">
        <f>SUM(E28*G28*J28,E29*G29*J29,E30*G30*J30,E31*G31,J31*E32*G32*J32,E39*G39*J39,E40*G40*J40,E41*G41*J41)</f>
        <v>300</v>
      </c>
      <c r="K113" s="270">
        <f>SUM(E28*G28*K28,E29*G29*K29,E30*G30*K30,E31*G31*K31,E32*G32*K32,E39*G39*K39,E40*G40*K40,E41*G41*K41)</f>
        <v>180</v>
      </c>
      <c r="L113" s="270"/>
      <c r="M113" s="270"/>
      <c r="N113" s="269"/>
      <c r="O113" s="269"/>
      <c r="P113" s="276">
        <f>SUM(H113:O113)</f>
        <v>480</v>
      </c>
    </row>
    <row r="114" spans="2:16" x14ac:dyDescent="0.25">
      <c r="B114" s="275"/>
      <c r="C114" s="609" t="s">
        <v>263</v>
      </c>
      <c r="D114" s="609"/>
      <c r="E114" s="269"/>
      <c r="F114" s="267"/>
      <c r="G114" s="267"/>
      <c r="H114" s="269"/>
      <c r="I114" s="269"/>
      <c r="J114" s="270">
        <f>J113-(E32*G32*J32)</f>
        <v>300</v>
      </c>
      <c r="K114" s="269">
        <f>K113-(E32*G32*K32)</f>
        <v>180</v>
      </c>
      <c r="L114" s="269"/>
      <c r="M114" s="269"/>
      <c r="N114" s="269"/>
      <c r="O114" s="269"/>
      <c r="P114" s="276"/>
    </row>
    <row r="115" spans="2:16" x14ac:dyDescent="0.25">
      <c r="B115" s="277"/>
      <c r="C115" s="610"/>
      <c r="D115" s="610"/>
      <c r="E115" s="262"/>
      <c r="F115" s="260"/>
      <c r="G115" s="260"/>
      <c r="H115" s="262"/>
      <c r="I115" s="262"/>
      <c r="J115" s="262"/>
      <c r="K115" s="262"/>
      <c r="L115" s="262"/>
      <c r="M115" s="262"/>
      <c r="N115" s="262"/>
      <c r="O115" s="262"/>
      <c r="P115" s="278"/>
    </row>
    <row r="116" spans="2:16" x14ac:dyDescent="0.25">
      <c r="B116" s="277"/>
      <c r="C116" s="261"/>
      <c r="D116" s="262"/>
      <c r="E116" s="262"/>
      <c r="F116" s="260"/>
      <c r="G116" s="260"/>
      <c r="H116" s="262"/>
      <c r="I116" s="262"/>
      <c r="J116" s="262"/>
      <c r="K116" s="262"/>
      <c r="L116" s="262"/>
      <c r="M116" s="262"/>
      <c r="N116" s="262"/>
      <c r="O116" s="262"/>
      <c r="P116" s="278"/>
    </row>
    <row r="117" spans="2:16" x14ac:dyDescent="0.25">
      <c r="B117" s="380"/>
      <c r="C117" s="611" t="s">
        <v>328</v>
      </c>
      <c r="D117" s="611"/>
      <c r="E117" s="253"/>
      <c r="F117" s="264"/>
      <c r="G117" s="253"/>
      <c r="H117" s="265">
        <f>'3.  Distribution Rates'!$K33</f>
        <v>0</v>
      </c>
      <c r="I117" s="265">
        <f>'3.  Distribution Rates'!K34</f>
        <v>0</v>
      </c>
      <c r="J117" s="265">
        <f>'3.  Distribution Rates'!K35</f>
        <v>0</v>
      </c>
      <c r="K117" s="265">
        <f>'3.  Distribution Rates'!K36</f>
        <v>0</v>
      </c>
      <c r="L117" s="265">
        <f>'3.  Distribution Rates'!K37</f>
        <v>0</v>
      </c>
      <c r="M117" s="265">
        <f>'3.  Distribution Rates'!K38</f>
        <v>0</v>
      </c>
      <c r="N117" s="265">
        <f>'3.  Distribution Rates'!K39</f>
        <v>0</v>
      </c>
      <c r="O117" s="265"/>
      <c r="P117" s="381"/>
    </row>
    <row r="118" spans="2:16" x14ac:dyDescent="0.25">
      <c r="B118" s="380"/>
      <c r="C118" s="611" t="s">
        <v>270</v>
      </c>
      <c r="D118" s="611"/>
      <c r="E118" s="262"/>
      <c r="F118" s="264"/>
      <c r="G118" s="264"/>
      <c r="H118" s="296"/>
      <c r="I118" s="296"/>
      <c r="J118" s="296"/>
      <c r="K118" s="296"/>
      <c r="L118" s="296"/>
      <c r="M118" s="296"/>
      <c r="N118" s="296"/>
      <c r="O118" s="253"/>
      <c r="P118" s="279">
        <f>SUM(H118:O118)</f>
        <v>0</v>
      </c>
    </row>
    <row r="119" spans="2:16" x14ac:dyDescent="0.25">
      <c r="B119" s="380"/>
      <c r="C119" s="611" t="s">
        <v>271</v>
      </c>
      <c r="D119" s="611"/>
      <c r="E119" s="262"/>
      <c r="F119" s="264"/>
      <c r="G119" s="264"/>
      <c r="H119" s="296"/>
      <c r="I119" s="296"/>
      <c r="J119" s="296"/>
      <c r="K119" s="296"/>
      <c r="L119" s="296"/>
      <c r="M119" s="296"/>
      <c r="N119" s="296"/>
      <c r="O119" s="253"/>
      <c r="P119" s="279">
        <f>SUM(H119:O119)</f>
        <v>0</v>
      </c>
    </row>
    <row r="120" spans="2:16" x14ac:dyDescent="0.25">
      <c r="B120" s="380"/>
      <c r="C120" s="611" t="s">
        <v>272</v>
      </c>
      <c r="D120" s="611"/>
      <c r="E120" s="262"/>
      <c r="F120" s="264"/>
      <c r="G120" s="264"/>
      <c r="H120" s="296"/>
      <c r="I120" s="296"/>
      <c r="J120" s="296"/>
      <c r="K120" s="296"/>
      <c r="L120" s="296"/>
      <c r="M120" s="296"/>
      <c r="N120" s="296"/>
      <c r="O120" s="253"/>
      <c r="P120" s="279">
        <f t="shared" ref="P120" si="2">SUM(H120:O120)</f>
        <v>0</v>
      </c>
    </row>
    <row r="121" spans="2:16" x14ac:dyDescent="0.25">
      <c r="B121" s="380"/>
      <c r="C121" s="611" t="s">
        <v>273</v>
      </c>
      <c r="D121" s="611"/>
      <c r="E121" s="262"/>
      <c r="F121" s="264"/>
      <c r="G121" s="264"/>
      <c r="H121" s="296"/>
      <c r="I121" s="296"/>
      <c r="J121" s="296"/>
      <c r="K121" s="296"/>
      <c r="L121" s="296"/>
      <c r="M121" s="296"/>
      <c r="N121" s="296"/>
      <c r="O121" s="253"/>
      <c r="P121" s="279">
        <f>SUM(H121:O121)</f>
        <v>0</v>
      </c>
    </row>
    <row r="122" spans="2:16" x14ac:dyDescent="0.25">
      <c r="B122" s="380"/>
      <c r="C122" s="611" t="s">
        <v>274</v>
      </c>
      <c r="D122" s="611"/>
      <c r="E122" s="262"/>
      <c r="F122" s="264"/>
      <c r="G122" s="264"/>
      <c r="H122" s="377" t="e">
        <f>'5.  2015 LRAM'!H127*H117</f>
        <v>#DIV/0!</v>
      </c>
      <c r="I122" s="377" t="e">
        <f>'5.  2015 LRAM'!I127*I117</f>
        <v>#DIV/0!</v>
      </c>
      <c r="J122" s="377" t="e">
        <f>'5.  2015 LRAM'!J126*J117</f>
        <v>#DIV/0!</v>
      </c>
      <c r="K122" s="377" t="e">
        <f>'5.  2015 LRAM'!K126*K117</f>
        <v>#DIV/0!</v>
      </c>
      <c r="L122" s="377" t="e">
        <f>'5.  2015 LRAM'!L126*L117</f>
        <v>#DIV/0!</v>
      </c>
      <c r="M122" s="377" t="e">
        <f>'5.  2015 LRAM'!M126*M117</f>
        <v>#DIV/0!</v>
      </c>
      <c r="N122" s="377" t="e">
        <f>'5.  2015 LRAM'!N126*N117</f>
        <v>#DIV/0!</v>
      </c>
      <c r="O122" s="253"/>
      <c r="P122" s="279" t="e">
        <f t="shared" ref="P122:P123" si="3">SUM(H122:O122)</f>
        <v>#DIV/0!</v>
      </c>
    </row>
    <row r="123" spans="2:16" x14ac:dyDescent="0.25">
      <c r="B123" s="380"/>
      <c r="C123" s="611" t="s">
        <v>275</v>
      </c>
      <c r="D123" s="611"/>
      <c r="E123" s="262"/>
      <c r="F123" s="264"/>
      <c r="G123" s="264"/>
      <c r="H123" s="377" t="e">
        <f>'5-b. 2016 LRAM'!H125*H117</f>
        <v>#DIV/0!</v>
      </c>
      <c r="I123" s="377" t="e">
        <f>'5-b. 2016 LRAM'!I125*I117</f>
        <v>#DIV/0!</v>
      </c>
      <c r="J123" s="377" t="e">
        <f>'5-b. 2016 LRAM'!J125*J117</f>
        <v>#DIV/0!</v>
      </c>
      <c r="K123" s="377" t="e">
        <f>'5-b. 2016 LRAM'!K125*K117</f>
        <v>#DIV/0!</v>
      </c>
      <c r="L123" s="377" t="e">
        <f>'5-b. 2016 LRAM'!L125*L117</f>
        <v>#DIV/0!</v>
      </c>
      <c r="M123" s="377" t="e">
        <f>'5-b. 2016 LRAM'!M125*M117</f>
        <v>#DIV/0!</v>
      </c>
      <c r="N123" s="377" t="e">
        <f>'5-b. 2016 LRAM'!N125*N117</f>
        <v>#DIV/0!</v>
      </c>
      <c r="O123" s="253"/>
      <c r="P123" s="279" t="e">
        <f t="shared" si="3"/>
        <v>#DIV/0!</v>
      </c>
    </row>
    <row r="124" spans="2:16" x14ac:dyDescent="0.25">
      <c r="B124" s="380"/>
      <c r="C124" s="611" t="s">
        <v>280</v>
      </c>
      <c r="D124" s="611"/>
      <c r="E124" s="262"/>
      <c r="F124" s="264"/>
      <c r="G124" s="264"/>
      <c r="H124" s="377">
        <f>H112*H117</f>
        <v>0</v>
      </c>
      <c r="I124" s="377">
        <f>I112*I117</f>
        <v>0</v>
      </c>
      <c r="J124" s="377">
        <f>J113*J117</f>
        <v>0</v>
      </c>
      <c r="K124" s="377">
        <f>K113*K117</f>
        <v>0</v>
      </c>
      <c r="L124" s="377">
        <f>L113*L117</f>
        <v>0</v>
      </c>
      <c r="M124" s="377">
        <f>M113*M117</f>
        <v>0</v>
      </c>
      <c r="N124" s="377">
        <f>N112*N117</f>
        <v>0</v>
      </c>
      <c r="O124" s="253"/>
      <c r="P124" s="279">
        <f>SUM(H124:O124)</f>
        <v>0</v>
      </c>
    </row>
    <row r="125" spans="2:16" x14ac:dyDescent="0.25">
      <c r="B125" s="277"/>
      <c r="C125" s="378" t="s">
        <v>276</v>
      </c>
      <c r="D125" s="262"/>
      <c r="E125" s="262"/>
      <c r="F125" s="260"/>
      <c r="G125" s="260"/>
      <c r="H125" s="266" t="e">
        <f>SUM(H118:H124)</f>
        <v>#DIV/0!</v>
      </c>
      <c r="I125" s="266" t="e">
        <f>SUM(I118:I124)</f>
        <v>#DIV/0!</v>
      </c>
      <c r="J125" s="266" t="e">
        <f t="shared" ref="J125:N125" si="4">SUM(J118:J124)</f>
        <v>#DIV/0!</v>
      </c>
      <c r="K125" s="266" t="e">
        <f t="shared" si="4"/>
        <v>#DIV/0!</v>
      </c>
      <c r="L125" s="266" t="e">
        <f t="shared" si="4"/>
        <v>#DIV/0!</v>
      </c>
      <c r="M125" s="266" t="e">
        <f t="shared" si="4"/>
        <v>#DIV/0!</v>
      </c>
      <c r="N125" s="266" t="e">
        <f t="shared" si="4"/>
        <v>#DIV/0!</v>
      </c>
      <c r="O125" s="262"/>
      <c r="P125" s="280" t="e">
        <f>SUM(P118:P124)</f>
        <v>#DIV/0!</v>
      </c>
    </row>
    <row r="126" spans="2:16" x14ac:dyDescent="0.25">
      <c r="B126" s="277"/>
      <c r="C126" s="378"/>
      <c r="D126" s="262"/>
      <c r="E126" s="262"/>
      <c r="F126" s="260"/>
      <c r="G126" s="260"/>
      <c r="H126" s="266"/>
      <c r="I126" s="266"/>
      <c r="J126" s="266"/>
      <c r="K126" s="266"/>
      <c r="L126" s="266"/>
      <c r="M126" s="266"/>
      <c r="N126" s="266"/>
      <c r="O126" s="262"/>
      <c r="P126" s="280"/>
    </row>
    <row r="127" spans="2:16" x14ac:dyDescent="0.25">
      <c r="B127" s="422"/>
      <c r="C127" s="611" t="s">
        <v>277</v>
      </c>
      <c r="D127" s="611"/>
      <c r="E127" s="414"/>
      <c r="F127" s="158"/>
      <c r="G127" s="158"/>
      <c r="H127" s="296" t="e">
        <f>H112*'6.  Persistence Rates'!$G$46</f>
        <v>#DIV/0!</v>
      </c>
      <c r="I127" s="296" t="e">
        <f>I112*'6.  Persistence Rates'!$G$46</f>
        <v>#DIV/0!</v>
      </c>
      <c r="J127" s="296" t="e">
        <f>J113*'6.  Persistence Rates'!$T$46</f>
        <v>#DIV/0!</v>
      </c>
      <c r="K127" s="296" t="e">
        <f>K113*'6.  Persistence Rates'!$T$46</f>
        <v>#DIV/0!</v>
      </c>
      <c r="L127" s="296"/>
      <c r="M127" s="296"/>
      <c r="N127" s="296" t="e">
        <f>N112*'6.  Persistence Rates'!$G$46</f>
        <v>#DIV/0!</v>
      </c>
      <c r="O127" s="158"/>
      <c r="P127" s="350"/>
    </row>
    <row r="128" spans="2:16" x14ac:dyDescent="0.25">
      <c r="B128" s="422"/>
      <c r="C128" s="611" t="s">
        <v>278</v>
      </c>
      <c r="D128" s="611"/>
      <c r="E128" s="414"/>
      <c r="F128" s="158"/>
      <c r="G128" s="158"/>
      <c r="H128" s="296" t="e">
        <f>H112*'6.  Persistence Rates'!$H$46</f>
        <v>#DIV/0!</v>
      </c>
      <c r="I128" s="296" t="e">
        <f>I112*'6.  Persistence Rates'!$H$46</f>
        <v>#DIV/0!</v>
      </c>
      <c r="J128" s="296" t="e">
        <f>$J$114*'6.  Persistence Rates'!$U$46</f>
        <v>#DIV/0!</v>
      </c>
      <c r="K128" s="296" t="e">
        <f>$K$114*'6.  Persistence Rates'!$U$46</f>
        <v>#DIV/0!</v>
      </c>
      <c r="L128" s="296"/>
      <c r="M128" s="296"/>
      <c r="N128" s="296" t="e">
        <f>N112*'6.  Persistence Rates'!$H$46</f>
        <v>#DIV/0!</v>
      </c>
      <c r="O128" s="158"/>
      <c r="P128" s="350"/>
    </row>
    <row r="129" spans="2:16" x14ac:dyDescent="0.25">
      <c r="B129" s="423"/>
      <c r="C129" s="623" t="s">
        <v>279</v>
      </c>
      <c r="D129" s="623"/>
      <c r="E129" s="424"/>
      <c r="F129" s="330"/>
      <c r="G129" s="330"/>
      <c r="H129" s="403" t="e">
        <f>H112*'6.  Persistence Rates'!$I$46</f>
        <v>#DIV/0!</v>
      </c>
      <c r="I129" s="403" t="e">
        <f>I112*'6.  Persistence Rates'!$I$46</f>
        <v>#DIV/0!</v>
      </c>
      <c r="J129" s="403" t="e">
        <f>$J$114*'6.  Persistence Rates'!$V$46</f>
        <v>#DIV/0!</v>
      </c>
      <c r="K129" s="403" t="e">
        <f>$K$114*'6.  Persistence Rates'!$V$46</f>
        <v>#DIV/0!</v>
      </c>
      <c r="L129" s="403"/>
      <c r="M129" s="403"/>
      <c r="N129" s="403" t="e">
        <f>N112*'6.  Persistence Rates'!$I$46</f>
        <v>#DIV/0!</v>
      </c>
      <c r="O129" s="330"/>
      <c r="P129" s="399"/>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Leslie Dugas</cp:lastModifiedBy>
  <cp:lastPrinted>2016-09-13T20:28:38Z</cp:lastPrinted>
  <dcterms:created xsi:type="dcterms:W3CDTF">2012-03-05T18:56:04Z</dcterms:created>
  <dcterms:modified xsi:type="dcterms:W3CDTF">2016-09-26T15:30:30Z</dcterms:modified>
</cp:coreProperties>
</file>