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vadimtest\2017COS$\2017 Chapter 2 Apendices and Models\Models\"/>
    </mc:Choice>
  </mc:AlternateContent>
  <bookViews>
    <workbookView xWindow="0" yWindow="0" windowWidth="28800" windowHeight="1242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60" i="4"/>
  <c r="I21" i="4" l="1"/>
  <c r="I20" i="4"/>
  <c r="I135" i="1"/>
  <c r="H117" i="1"/>
  <c r="H118" i="1"/>
  <c r="I117" i="1"/>
  <c r="H21" i="4" l="1"/>
  <c r="H20" i="4"/>
  <c r="G88" i="1" l="1"/>
  <c r="I17" i="4" l="1"/>
  <c r="H17" i="4"/>
  <c r="I13" i="4" l="1"/>
  <c r="H13" i="4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H165" i="1" s="1"/>
  <c r="G157" i="1"/>
  <c r="G153" i="1"/>
  <c r="G144" i="1"/>
  <c r="G134" i="1"/>
  <c r="G128" i="1"/>
  <c r="G117" i="1"/>
  <c r="G113" i="1"/>
  <c r="G107" i="1"/>
  <c r="G96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37" i="4" s="1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J135" i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I97" i="1"/>
  <c r="H209" i="1"/>
  <c r="H213" i="1" s="1"/>
  <c r="H130" i="1"/>
  <c r="H113" i="1"/>
  <c r="H129" i="1"/>
  <c r="J112" i="1" l="1"/>
  <c r="K112" i="1" s="1"/>
  <c r="L112" i="1" s="1"/>
  <c r="I116" i="1"/>
  <c r="I118" i="1" s="1"/>
  <c r="M218" i="1"/>
  <c r="M136" i="1"/>
  <c r="M112" i="1"/>
  <c r="M116" i="1" s="1"/>
  <c r="K145" i="1"/>
  <c r="I113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139" i="1" l="1"/>
  <c r="I119" i="1"/>
  <c r="H119" i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J117" i="1"/>
  <c r="I31" i="4"/>
  <c r="I89" i="1" s="1"/>
  <c r="I107" i="1" s="1"/>
  <c r="I121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121" i="1" l="1"/>
  <c r="H256" i="1" s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G10" i="5" l="1"/>
  <c r="K31" i="4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229" i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61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H22" i="5" s="1"/>
  <c r="K245" i="1"/>
  <c r="K246" i="1" s="1"/>
  <c r="K248" i="1" s="1"/>
  <c r="K257" i="1" s="1"/>
  <c r="I14" i="5"/>
  <c r="I16" i="5" s="1"/>
  <c r="I10" i="5"/>
  <c r="I18" i="5" l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<sst xmlns="http://schemas.openxmlformats.org/spreadsheetml/2006/main" count="520" uniqueCount="278">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</sst>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zoomScaleNormal="100" workbookViewId="0">
      <selection activeCell="I14" sqref="I1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Northern Ontario Wires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250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424755</v>
      </c>
      <c r="H9" s="125">
        <v>995964</v>
      </c>
      <c r="I9" s="125">
        <f>827500</f>
        <v>827500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6075</v>
      </c>
      <c r="H13" s="125">
        <f>5218+785+71</f>
        <v>6074</v>
      </c>
      <c r="I13" s="125">
        <f>5216+784+71</f>
        <v>6071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120944395</v>
      </c>
      <c r="H14" s="125">
        <v>119147496</v>
      </c>
      <c r="I14" s="125">
        <v>118967287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23679</v>
      </c>
      <c r="H15" s="125">
        <v>23252</v>
      </c>
      <c r="I15" s="125">
        <v>23250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370</v>
      </c>
      <c r="H16" s="125">
        <v>370</v>
      </c>
      <c r="I16" s="125">
        <v>370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-2.0477265398258625E-2</v>
      </c>
      <c r="H17" s="119">
        <f>+(H13/6135)-1</f>
        <v>-9.9429502852486085E-3</v>
      </c>
      <c r="I17" s="119">
        <f>+(I13/6112)-1</f>
        <v>-6.7081151832460995E-3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+G20</f>
        <v>2.5639327969446551E-2</v>
      </c>
      <c r="I20" s="124">
        <f>+H20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+H21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6.0299999999999999E-2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170</v>
      </c>
      <c r="F27" s="76" t="s">
        <v>198</v>
      </c>
      <c r="G27" s="51">
        <f>G35-G36+G37</f>
        <v>2293522.0105000003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169</v>
      </c>
      <c r="F29" s="76" t="s">
        <v>202</v>
      </c>
      <c r="G29" s="51">
        <f t="shared" ref="G29:M29" si="1">G115-G121+G122</f>
        <v>2293522.0105000003</v>
      </c>
      <c r="H29" s="51">
        <f t="shared" si="1"/>
        <v>2659173</v>
      </c>
      <c r="I29" s="51">
        <f t="shared" si="1"/>
        <v>2869730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2293522.0105000003</v>
      </c>
      <c r="H31" s="51">
        <f t="shared" si="2"/>
        <v>2659173</v>
      </c>
      <c r="I31" s="51">
        <f t="shared" si="2"/>
        <v>2869730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2224139.6800000006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3596.37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72978.700500000006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103210.57</v>
      </c>
      <c r="H44" s="142">
        <v>105503</v>
      </c>
      <c r="I44" s="142">
        <v>184601</v>
      </c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2199.5100000000002</v>
      </c>
      <c r="H46" s="142">
        <v>2122</v>
      </c>
      <c r="I46" s="142">
        <v>1530</v>
      </c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1490.22</v>
      </c>
      <c r="H49" s="142">
        <v>1320</v>
      </c>
      <c r="I49" s="142">
        <v>1358</v>
      </c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9581.44</v>
      </c>
      <c r="H50" s="142">
        <v>10000</v>
      </c>
      <c r="I50" s="142">
        <v>10000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38979.800000000003</v>
      </c>
      <c r="H51" s="142">
        <v>66163</v>
      </c>
      <c r="I51" s="142">
        <v>62260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1171.1099999999999</v>
      </c>
      <c r="H52" s="142">
        <v>3464</v>
      </c>
      <c r="I52" s="142">
        <v>3333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10575</v>
      </c>
      <c r="H53" s="142">
        <v>15223</v>
      </c>
      <c r="I53" s="142">
        <v>15414</v>
      </c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/>
      <c r="I54" s="142"/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1655.03</v>
      </c>
      <c r="H56" s="142">
        <v>1226</v>
      </c>
      <c r="I56" s="142">
        <v>1262</v>
      </c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14790.21</v>
      </c>
      <c r="H57" s="142">
        <v>18308</v>
      </c>
      <c r="I57" s="142">
        <v>27032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127530.38</v>
      </c>
      <c r="H58" s="142">
        <v>159395</v>
      </c>
      <c r="I58" s="142">
        <v>191508</v>
      </c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42767.41</v>
      </c>
      <c r="H59" s="142">
        <v>50613</v>
      </c>
      <c r="I59" s="142">
        <v>71353</v>
      </c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220792.94</v>
      </c>
      <c r="H60" s="142">
        <v>222079</v>
      </c>
      <c r="I60" s="142">
        <f>284124</f>
        <v>284124</v>
      </c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13106.28</v>
      </c>
      <c r="H62" s="142">
        <v>15797</v>
      </c>
      <c r="I62" s="142">
        <v>16198</v>
      </c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634.88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588484.78000000014</v>
      </c>
      <c r="H64" s="81">
        <f>SUM(H44:H63)</f>
        <v>671213</v>
      </c>
      <c r="I64" s="81">
        <f t="shared" ref="I64:M64" si="3">SUM(I44:I63)</f>
        <v>869973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9914.25</v>
      </c>
      <c r="H65" s="142">
        <v>8293</v>
      </c>
      <c r="I65" s="142">
        <v>2992</v>
      </c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67.34</v>
      </c>
      <c r="H66" s="142"/>
      <c r="I66" s="142"/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3596.37</v>
      </c>
      <c r="H67" s="142">
        <v>2618</v>
      </c>
      <c r="I67" s="142">
        <v>10082</v>
      </c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7808.04</v>
      </c>
      <c r="H68" s="142">
        <v>6558</v>
      </c>
      <c r="I68" s="142">
        <v>7471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26970.27</v>
      </c>
      <c r="H69" s="142">
        <v>35986</v>
      </c>
      <c r="I69" s="142">
        <v>37128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143750.5</v>
      </c>
      <c r="H70" s="142">
        <v>165234</v>
      </c>
      <c r="I70" s="142">
        <v>215753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105866.96</v>
      </c>
      <c r="H71" s="142">
        <v>143862</v>
      </c>
      <c r="I71" s="142">
        <v>171917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81751.75</v>
      </c>
      <c r="H72" s="142">
        <v>103971</v>
      </c>
      <c r="I72" s="142">
        <v>120658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12084.19</v>
      </c>
      <c r="H73" s="142">
        <v>928</v>
      </c>
      <c r="I73" s="142">
        <v>956</v>
      </c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32500.52</v>
      </c>
      <c r="H74" s="142">
        <v>35471</v>
      </c>
      <c r="I74" s="142">
        <v>41542</v>
      </c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9081.82</v>
      </c>
      <c r="H75" s="142">
        <v>16333</v>
      </c>
      <c r="I75" s="142">
        <v>14491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11375.94</v>
      </c>
      <c r="H76" s="142">
        <v>17727</v>
      </c>
      <c r="I76" s="142">
        <v>18959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574.03</v>
      </c>
      <c r="H77" s="142">
        <v>496</v>
      </c>
      <c r="I77" s="142">
        <v>511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445341.9800000001</v>
      </c>
      <c r="H78" s="81">
        <f>SUM(H65:H77)</f>
        <v>537477</v>
      </c>
      <c r="I78" s="81">
        <f t="shared" ref="I78:M78" si="4">SUM(I65:I77)</f>
        <v>642460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83896.7</v>
      </c>
      <c r="H79" s="142">
        <v>103344</v>
      </c>
      <c r="I79" s="142">
        <v>110301</v>
      </c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178101.85</v>
      </c>
      <c r="H80" s="142">
        <v>191476</v>
      </c>
      <c r="I80" s="142">
        <v>198123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163828.26</v>
      </c>
      <c r="H81" s="142">
        <v>205999</v>
      </c>
      <c r="I81" s="142">
        <v>210505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114155</v>
      </c>
      <c r="H82" s="142">
        <v>142357</v>
      </c>
      <c r="I82" s="142">
        <v>145816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25.05</v>
      </c>
      <c r="H83" s="142">
        <v>26</v>
      </c>
      <c r="I83" s="142">
        <v>27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3944.55</v>
      </c>
      <c r="H84" s="142">
        <v>4024</v>
      </c>
      <c r="I84" s="142">
        <v>4145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2123.2600000000002</v>
      </c>
      <c r="H85" s="142">
        <v>2570</v>
      </c>
      <c r="I85" s="142">
        <v>2647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546074.67000000016</v>
      </c>
      <c r="H86" s="81">
        <f>SUM(H79:H85)</f>
        <v>649796</v>
      </c>
      <c r="I86" s="81">
        <f t="shared" ref="I86:M86" si="5">SUM(I79:I85)</f>
        <v>671564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0</v>
      </c>
      <c r="H88" s="142"/>
      <c r="I88" s="142"/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34192.49</v>
      </c>
      <c r="H92" s="142">
        <v>44864</v>
      </c>
      <c r="I92" s="142">
        <v>45568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126349.8</v>
      </c>
      <c r="H93" s="142">
        <v>145083</v>
      </c>
      <c r="I93" s="142">
        <v>146733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104931.8</v>
      </c>
      <c r="H94" s="142">
        <v>110677</v>
      </c>
      <c r="I94" s="142">
        <v>118729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102652.29</v>
      </c>
      <c r="H95" s="142">
        <v>103016</v>
      </c>
      <c r="I95" s="142">
        <v>104392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193377.04</v>
      </c>
      <c r="H97" s="142">
        <v>248621</v>
      </c>
      <c r="I97" s="142">
        <v>113133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9220.36</v>
      </c>
      <c r="H99" s="142"/>
      <c r="I99" s="142"/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25216.77</v>
      </c>
      <c r="H103" s="142">
        <v>32608</v>
      </c>
      <c r="I103" s="142">
        <v>47305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9733.66</v>
      </c>
      <c r="H104" s="142">
        <v>7857</v>
      </c>
      <c r="I104" s="142">
        <v>8093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4146.4799999999996</v>
      </c>
      <c r="H108" s="142">
        <v>4229</v>
      </c>
      <c r="I108" s="142">
        <v>4356</v>
      </c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609820.69000000006</v>
      </c>
      <c r="H109" s="81">
        <f>SUM(H92:H108)</f>
        <v>696955</v>
      </c>
      <c r="I109" s="81">
        <f t="shared" ref="I109:M109" si="7">SUM(I92:I108)</f>
        <v>588309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34417.56</v>
      </c>
      <c r="H110" s="142">
        <v>38536</v>
      </c>
      <c r="I110" s="142">
        <v>39692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34417.56</v>
      </c>
      <c r="H112" s="81">
        <f>H110+H111</f>
        <v>38536</v>
      </c>
      <c r="I112" s="81">
        <f t="shared" ref="I112:M112" si="8">I110+I111</f>
        <v>39692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2224139.6800000006</v>
      </c>
      <c r="H115" s="81">
        <f>H114+H112+H109+H91+H86+H78+H64</f>
        <v>2593977</v>
      </c>
      <c r="I115" s="81">
        <f t="shared" ref="I115:M115" si="10">I114+I112+I109+I91+I86+I78+I64</f>
        <v>2811998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3596.37</v>
      </c>
      <c r="H120" s="58">
        <f t="shared" ref="H120:L120" si="15">H67</f>
        <v>2618</v>
      </c>
      <c r="I120" s="58">
        <f t="shared" si="15"/>
        <v>10082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3596.37</v>
      </c>
      <c r="H121" s="110">
        <f>H47+H48+H67</f>
        <v>2618</v>
      </c>
      <c r="I121" s="110">
        <f t="shared" ref="I121:L121" si="17">I47+I48+I67</f>
        <v>10082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72978.700500000006</v>
      </c>
      <c r="H122" s="176">
        <v>67814</v>
      </c>
      <c r="I122" s="176">
        <v>67814</v>
      </c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scale="4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G110" sqref="G1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Northern Ontario Wires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103210.57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2199.5100000000002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1490.22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9581.44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38979.800000000003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1171.1099999999999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10575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1655.03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14790.21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127530.38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42767.41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220792.94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13106.28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634.88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588484.78000000014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9914.25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67.34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3596.37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7808.04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26970.27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143750.5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105866.96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81751.75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12084.19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32500.52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9081.82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11375.94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574.03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445341.9800000001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83896.7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178101.85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163828.26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114155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25.05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3944.55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2123.2600000000002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546074.67000000016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34192.49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126349.8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104931.8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102652.29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193377.04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9220.36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25216.77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9733.66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4146.4799999999996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609820.69000000006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34417.56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34417.56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2224139.6800000006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3596.37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3596.37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>HLOOKUP($E$3,$P$3:$CI$269,O88,FALSE)</f>
        <v>72978.700500000006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2293522.0105000003</v>
      </c>
      <c r="H89" s="186">
        <f>'Model Inputs'!H31</f>
        <v>2659173</v>
      </c>
      <c r="I89" s="187">
        <f>'Model Inputs'!I31</f>
        <v>2869730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424755</v>
      </c>
      <c r="H92" s="186">
        <f>'Model Inputs'!H9</f>
        <v>995964</v>
      </c>
      <c r="I92" s="187">
        <f>'Model Inputs'!I9</f>
        <v>827500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6075</v>
      </c>
      <c r="H96" s="186">
        <f>'Model Inputs'!H13</f>
        <v>6074</v>
      </c>
      <c r="I96" s="187">
        <f>'Model Inputs'!I13</f>
        <v>6071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120944395</v>
      </c>
      <c r="H97" s="186">
        <f>'Model Inputs'!H14</f>
        <v>119147496</v>
      </c>
      <c r="I97" s="187">
        <f>'Model Inputs'!I14</f>
        <v>118967287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23679</v>
      </c>
      <c r="H98" s="186">
        <f>'Model Inputs'!H15</f>
        <v>23252</v>
      </c>
      <c r="I98" s="187">
        <f>'Model Inputs'!I15</f>
        <v>23250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370</v>
      </c>
      <c r="H99" s="186">
        <f>'Model Inputs'!H16</f>
        <v>370</v>
      </c>
      <c r="I99" s="187">
        <f>'Model Inputs'!I16</f>
        <v>370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2293522.0105000003</v>
      </c>
      <c r="H107" s="29">
        <f t="shared" ref="H107:K107" si="4">H89</f>
        <v>2659173</v>
      </c>
      <c r="I107" s="29">
        <f>I89</f>
        <v>2869730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6.0299999999999999E-2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17.718773303471956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424755</v>
      </c>
      <c r="H114" s="207">
        <f>H92</f>
        <v>995964</v>
      </c>
      <c r="I114" s="208">
        <f t="shared" ref="I114:L114" si="8">I92</f>
        <v>827500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2603.9694780148052</v>
      </c>
      <c r="H116" s="8">
        <f t="shared" ref="H116:K116" si="12">(H114-H115)/H112</f>
        <v>6010.3962026047966</v>
      </c>
      <c r="I116" s="8">
        <f>(I114-I115)/I112</f>
        <v>4915.7471294615598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3623.7430079913361</v>
      </c>
      <c r="H117" s="25">
        <f>H111*G118</f>
        <v>3576.9354029654132</v>
      </c>
      <c r="I117" s="25">
        <f>I111*H118</f>
        <v>3688.6312536688606</v>
      </c>
      <c r="J117" s="25">
        <f t="shared" ref="J117:M117" si="14">J111*I118</f>
        <v>3744.9558723677451</v>
      </c>
      <c r="K117" s="25">
        <f t="shared" si="14"/>
        <v>3573.0623978260651</v>
      </c>
      <c r="L117" s="25">
        <f t="shared" si="14"/>
        <v>3409.0588337658487</v>
      </c>
      <c r="M117" s="25">
        <f t="shared" si="14"/>
        <v>3252.5830332959958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77928.875881599408</v>
      </c>
      <c r="H118" s="25">
        <f>G118+H116-H117</f>
        <v>80362.336681238783</v>
      </c>
      <c r="I118" s="25">
        <f>H118+I116-I117</f>
        <v>81589.452557031473</v>
      </c>
      <c r="J118" s="25">
        <f t="shared" ref="J118:M118" si="15">I118+J116-J117</f>
        <v>77844.496684663725</v>
      </c>
      <c r="K118" s="25">
        <f t="shared" si="15"/>
        <v>74271.434286837655</v>
      </c>
      <c r="L118" s="25">
        <f t="shared" si="15"/>
        <v>70862.3754530718</v>
      </c>
      <c r="M118" s="25">
        <f t="shared" si="15"/>
        <v>67609.792419775797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1397136.8123852497</v>
      </c>
      <c r="H119" s="25">
        <f t="shared" ref="H119:K119" si="16">H113*H118</f>
        <v>1464599.1855179665</v>
      </c>
      <c r="I119" s="25">
        <f>I113*I118</f>
        <v>1445665.0138124209</v>
      </c>
      <c r="J119" s="25">
        <f t="shared" si="16"/>
        <v>601477.06062433869</v>
      </c>
      <c r="K119" s="25">
        <f t="shared" si="16"/>
        <v>573869.26354168146</v>
      </c>
      <c r="L119" s="25">
        <f t="shared" ref="L119:M119" si="17">L113*L118</f>
        <v>547528.66434511822</v>
      </c>
      <c r="M119" s="25">
        <f t="shared" si="17"/>
        <v>522397.09865167725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3690658.8228852497</v>
      </c>
      <c r="H121" s="25">
        <f>H107+H119</f>
        <v>4123772.1855179667</v>
      </c>
      <c r="I121" s="25">
        <f>I107+I119</f>
        <v>4315395.0138124209</v>
      </c>
      <c r="J121" s="25">
        <f t="shared" ref="J121:K121" si="18">J107+J119</f>
        <v>601477.06062433869</v>
      </c>
      <c r="K121" s="25">
        <f t="shared" si="18"/>
        <v>573869.26354168146</v>
      </c>
      <c r="L121" s="25">
        <f t="shared" ref="L121:M121" si="19">L107+L119</f>
        <v>547528.66434511822</v>
      </c>
      <c r="M121" s="25">
        <f t="shared" si="19"/>
        <v>522397.09865167725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6075</v>
      </c>
      <c r="H128" s="8">
        <f t="shared" ref="H128:K130" si="20">H96</f>
        <v>6074</v>
      </c>
      <c r="I128" s="8">
        <f t="shared" si="20"/>
        <v>6071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120944395</v>
      </c>
      <c r="H129" s="39">
        <f t="shared" si="20"/>
        <v>119147496</v>
      </c>
      <c r="I129" s="39">
        <f t="shared" si="20"/>
        <v>118967287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23679</v>
      </c>
      <c r="H130" s="8">
        <f t="shared" si="20"/>
        <v>23252</v>
      </c>
      <c r="I130" s="8">
        <f t="shared" si="20"/>
        <v>23250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26895</v>
      </c>
      <c r="H131" s="8">
        <f t="shared" ref="H131:M131" si="24">MAX(G131,H130)</f>
        <v>26895</v>
      </c>
      <c r="I131" s="8">
        <f t="shared" si="24"/>
        <v>26895</v>
      </c>
      <c r="J131" s="8">
        <f t="shared" si="24"/>
        <v>26895</v>
      </c>
      <c r="K131" s="8">
        <f t="shared" si="24"/>
        <v>26895</v>
      </c>
      <c r="L131" s="8">
        <f t="shared" si="24"/>
        <v>26895</v>
      </c>
      <c r="M131" s="8">
        <f t="shared" si="24"/>
        <v>26895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124.57550597437343</v>
      </c>
      <c r="H137" s="29">
        <f t="shared" ref="H137:M137" si="26">G137*EXP(H136)</f>
        <v>127.43201532585269</v>
      </c>
      <c r="I137" s="29">
        <f t="shared" si="26"/>
        <v>130.35402427623998</v>
      </c>
      <c r="J137" s="29">
        <f t="shared" si="26"/>
        <v>130.35402427623998</v>
      </c>
      <c r="K137" s="29">
        <f t="shared" si="26"/>
        <v>130.35402427623998</v>
      </c>
      <c r="L137" s="29">
        <f t="shared" si="26"/>
        <v>130.35402427623998</v>
      </c>
      <c r="M137" s="29">
        <f t="shared" si="26"/>
        <v>130.35402427623998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17.718773303471956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370</v>
      </c>
      <c r="H142" s="42">
        <f>'Model Inputs'!H16</f>
        <v>370</v>
      </c>
      <c r="I142" s="42">
        <f>'Model Inputs'!I16</f>
        <v>370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370</v>
      </c>
      <c r="H143" s="41">
        <f>(G143*14+H142)/15</f>
        <v>370</v>
      </c>
      <c r="I143" s="41">
        <f>(H143*15+I142)/16</f>
        <v>370</v>
      </c>
      <c r="J143" s="41">
        <f>(I143*16+J142)/17</f>
        <v>348.23529411764707</v>
      </c>
      <c r="K143" s="41">
        <f>(J143*17+K142)/18</f>
        <v>328.88888888888891</v>
      </c>
      <c r="L143" s="41">
        <f>(K143*17+L142)/18</f>
        <v>310.61728395061732</v>
      </c>
      <c r="M143" s="41">
        <f>(L143*17+M142)/18</f>
        <v>293.36076817558302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6202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-2.0477265398258625E-2</v>
      </c>
      <c r="H145" s="30">
        <f>'Model Inputs'!H17</f>
        <v>-9.9429502852486085E-3</v>
      </c>
      <c r="I145" s="30">
        <f>'Model Inputs'!I17</f>
        <v>-6.7081151832460995E-3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0.14391559726597888</v>
      </c>
      <c r="H152" s="44">
        <f t="shared" ref="H152:K152" si="31">H113/H137</f>
        <v>0.14301700553968907</v>
      </c>
      <c r="I152" s="44">
        <f t="shared" si="31"/>
        <v>0.13592808815724156</v>
      </c>
      <c r="J152" s="44">
        <f t="shared" si="31"/>
        <v>5.9274337753837475E-2</v>
      </c>
      <c r="K152" s="44">
        <f t="shared" si="31"/>
        <v>5.9274337753837475E-2</v>
      </c>
      <c r="L152" s="44">
        <f t="shared" ref="L152:M152" si="32">L113/L137</f>
        <v>5.9274337753837475E-2</v>
      </c>
      <c r="M152" s="44">
        <f t="shared" si="32"/>
        <v>5.9274337753837475E-2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6075</v>
      </c>
      <c r="H153" s="25">
        <f t="shared" ref="H153:K153" si="33">H96</f>
        <v>6074</v>
      </c>
      <c r="I153" s="25">
        <f t="shared" si="33"/>
        <v>6071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26895</v>
      </c>
      <c r="H154" s="25">
        <f t="shared" ref="H154:K154" si="35">H131</f>
        <v>26895</v>
      </c>
      <c r="I154" s="25">
        <f t="shared" si="35"/>
        <v>26895</v>
      </c>
      <c r="J154" s="25">
        <f t="shared" si="35"/>
        <v>26895</v>
      </c>
      <c r="K154" s="25">
        <f t="shared" si="35"/>
        <v>26895</v>
      </c>
      <c r="L154" s="25">
        <f t="shared" ref="L154:M154" si="36">L131</f>
        <v>26895</v>
      </c>
      <c r="M154" s="25">
        <f t="shared" si="36"/>
        <v>26895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120944395</v>
      </c>
      <c r="H155" s="39">
        <f t="shared" ref="H155:K155" si="37">H97</f>
        <v>119147496</v>
      </c>
      <c r="I155" s="39">
        <f t="shared" si="37"/>
        <v>118967287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370</v>
      </c>
      <c r="H156" s="45">
        <f t="shared" ref="H156:K156" si="39">H143</f>
        <v>370</v>
      </c>
      <c r="I156" s="45">
        <f t="shared" si="39"/>
        <v>370</v>
      </c>
      <c r="J156" s="45">
        <f t="shared" si="39"/>
        <v>348.23529411764707</v>
      </c>
      <c r="K156" s="45">
        <f t="shared" si="39"/>
        <v>328.88888888888891</v>
      </c>
      <c r="L156" s="45">
        <f t="shared" ref="L156:M156" si="40">L143</f>
        <v>310.61728395061732</v>
      </c>
      <c r="M156" s="45">
        <f t="shared" si="40"/>
        <v>293.36076817558302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-2.0477265398258625E-2</v>
      </c>
      <c r="H157" s="31">
        <f t="shared" ref="H157:L157" si="41">H145</f>
        <v>-9.9429502852486085E-3</v>
      </c>
      <c r="I157" s="31">
        <f t="shared" si="41"/>
        <v>-6.7081151832460995E-3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12.831090199996751</v>
      </c>
      <c r="H162" s="49">
        <f t="shared" ref="H162:M179" si="45">G162</f>
        <v>12.831090199996751</v>
      </c>
      <c r="I162" s="49">
        <f t="shared" si="45"/>
        <v>12.831090199996751</v>
      </c>
      <c r="J162" s="49">
        <f t="shared" si="45"/>
        <v>12.831090199996751</v>
      </c>
      <c r="K162" s="49">
        <f t="shared" si="45"/>
        <v>12.831090199996751</v>
      </c>
      <c r="L162" s="49">
        <f t="shared" si="45"/>
        <v>12.831090199996751</v>
      </c>
      <c r="M162" s="49">
        <f t="shared" si="45"/>
        <v>12.831090199996751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0.62680751453324146</v>
      </c>
      <c r="H163" s="49">
        <f t="shared" si="45"/>
        <v>0.62680751453324146</v>
      </c>
      <c r="I163" s="49">
        <f t="shared" si="45"/>
        <v>0.62680751453324146</v>
      </c>
      <c r="J163" s="49">
        <f t="shared" si="45"/>
        <v>0.62680751453324146</v>
      </c>
      <c r="K163" s="49">
        <f t="shared" si="45"/>
        <v>0.62680751453324146</v>
      </c>
      <c r="L163" s="49">
        <f t="shared" si="45"/>
        <v>0.62680751453324146</v>
      </c>
      <c r="M163" s="49">
        <f t="shared" si="45"/>
        <v>0.62680751453324146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0.42476869962767549</v>
      </c>
      <c r="H164" s="49">
        <f t="shared" si="45"/>
        <v>0.42476869962767549</v>
      </c>
      <c r="I164" s="49">
        <f t="shared" si="45"/>
        <v>0.42476869962767549</v>
      </c>
      <c r="J164" s="49">
        <f t="shared" si="45"/>
        <v>0.42476869962767549</v>
      </c>
      <c r="K164" s="49">
        <f t="shared" si="45"/>
        <v>0.42476869962767549</v>
      </c>
      <c r="L164" s="49">
        <f t="shared" si="45"/>
        <v>0.42476869962767549</v>
      </c>
      <c r="M164" s="49">
        <f t="shared" si="45"/>
        <v>0.42476869962767549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0.14776809242987449</v>
      </c>
      <c r="H165" s="49">
        <f>G165</f>
        <v>0.14776809242987449</v>
      </c>
      <c r="I165" s="49">
        <f t="shared" si="45"/>
        <v>0.14776809242987449</v>
      </c>
      <c r="J165" s="49">
        <f t="shared" si="45"/>
        <v>0.14776809242987449</v>
      </c>
      <c r="K165" s="49">
        <f t="shared" si="45"/>
        <v>0.14776809242987449</v>
      </c>
      <c r="L165" s="49">
        <f t="shared" si="45"/>
        <v>0.14776809242987449</v>
      </c>
      <c r="M165" s="49">
        <f t="shared" si="45"/>
        <v>0.14776809242987449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0.11598211536671865</v>
      </c>
      <c r="H166" s="49">
        <f t="shared" si="45"/>
        <v>0.11598211536671865</v>
      </c>
      <c r="I166" s="49">
        <f t="shared" si="45"/>
        <v>0.11598211536671865</v>
      </c>
      <c r="J166" s="49">
        <f t="shared" si="45"/>
        <v>0.11598211536671865</v>
      </c>
      <c r="K166" s="49">
        <f t="shared" si="45"/>
        <v>0.11598211536671865</v>
      </c>
      <c r="L166" s="49">
        <f t="shared" si="45"/>
        <v>0.11598211536671865</v>
      </c>
      <c r="M166" s="49">
        <f t="shared" si="45"/>
        <v>0.11598211536671865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0.111167860155029</v>
      </c>
      <c r="H167" s="49">
        <f t="shared" si="45"/>
        <v>0.111167860155029</v>
      </c>
      <c r="I167" s="49">
        <f t="shared" si="45"/>
        <v>0.111167860155029</v>
      </c>
      <c r="J167" s="49">
        <f t="shared" si="45"/>
        <v>0.111167860155029</v>
      </c>
      <c r="K167" s="49">
        <f t="shared" si="45"/>
        <v>0.111167860155029</v>
      </c>
      <c r="L167" s="49">
        <f t="shared" si="45"/>
        <v>0.111167860155029</v>
      </c>
      <c r="M167" s="49">
        <f t="shared" si="45"/>
        <v>0.111167860155029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-0.51829590350545818</v>
      </c>
      <c r="H168" s="49">
        <f t="shared" si="45"/>
        <v>-0.51829590350545818</v>
      </c>
      <c r="I168" s="49">
        <f t="shared" si="45"/>
        <v>-0.51829590350545818</v>
      </c>
      <c r="J168" s="49">
        <f t="shared" si="45"/>
        <v>-0.51829590350545818</v>
      </c>
      <c r="K168" s="49">
        <f t="shared" si="45"/>
        <v>-0.51829590350545818</v>
      </c>
      <c r="L168" s="49">
        <f t="shared" si="45"/>
        <v>-0.51829590350545818</v>
      </c>
      <c r="M168" s="49">
        <f t="shared" si="45"/>
        <v>-0.51829590350545818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0.16659946607288456</v>
      </c>
      <c r="H169" s="49">
        <f t="shared" si="45"/>
        <v>0.16659946607288456</v>
      </c>
      <c r="I169" s="49">
        <f t="shared" si="45"/>
        <v>0.16659946607288456</v>
      </c>
      <c r="J169" s="49">
        <f t="shared" si="45"/>
        <v>0.16659946607288456</v>
      </c>
      <c r="K169" s="49">
        <f t="shared" si="45"/>
        <v>0.16659946607288456</v>
      </c>
      <c r="L169" s="49">
        <f t="shared" si="45"/>
        <v>0.16659946607288456</v>
      </c>
      <c r="M169" s="49">
        <f t="shared" si="45"/>
        <v>0.16659946607288456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0.17821555056517674</v>
      </c>
      <c r="H170" s="49">
        <f t="shared" si="45"/>
        <v>0.17821555056517674</v>
      </c>
      <c r="I170" s="49">
        <f t="shared" si="45"/>
        <v>0.17821555056517674</v>
      </c>
      <c r="J170" s="49">
        <f t="shared" si="45"/>
        <v>0.17821555056517674</v>
      </c>
      <c r="K170" s="49">
        <f t="shared" si="45"/>
        <v>0.17821555056517674</v>
      </c>
      <c r="L170" s="49">
        <f t="shared" si="45"/>
        <v>0.17821555056517674</v>
      </c>
      <c r="M170" s="49">
        <f t="shared" si="45"/>
        <v>0.17821555056517674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5.4392669295586948E-2</v>
      </c>
      <c r="H171" s="49">
        <f t="shared" si="45"/>
        <v>5.4392669295586948E-2</v>
      </c>
      <c r="I171" s="49">
        <f t="shared" si="45"/>
        <v>5.4392669295586948E-2</v>
      </c>
      <c r="J171" s="49">
        <f t="shared" si="45"/>
        <v>5.4392669295586948E-2</v>
      </c>
      <c r="K171" s="49">
        <f t="shared" si="45"/>
        <v>5.4392669295586948E-2</v>
      </c>
      <c r="L171" s="49">
        <f t="shared" si="45"/>
        <v>5.4392669295586948E-2</v>
      </c>
      <c r="M171" s="49">
        <f t="shared" si="45"/>
        <v>5.4392669295586948E-2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6.4690505508058771E-3</v>
      </c>
      <c r="H172" s="49">
        <f t="shared" si="45"/>
        <v>6.4690505508058771E-3</v>
      </c>
      <c r="I172" s="49">
        <f t="shared" si="45"/>
        <v>6.4690505508058771E-3</v>
      </c>
      <c r="J172" s="49">
        <f t="shared" si="45"/>
        <v>6.4690505508058771E-3</v>
      </c>
      <c r="K172" s="49">
        <f t="shared" si="45"/>
        <v>6.4690505508058771E-3</v>
      </c>
      <c r="L172" s="49">
        <f t="shared" si="45"/>
        <v>6.4690505508058771E-3</v>
      </c>
      <c r="M172" s="49">
        <f t="shared" si="45"/>
        <v>6.4690505508058771E-3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-1.4618171876717989E-4</v>
      </c>
      <c r="H173" s="49">
        <f t="shared" si="45"/>
        <v>-1.4618171876717989E-4</v>
      </c>
      <c r="I173" s="49">
        <f t="shared" si="45"/>
        <v>-1.4618171876717989E-4</v>
      </c>
      <c r="J173" s="49">
        <f t="shared" si="45"/>
        <v>-1.4618171876717989E-4</v>
      </c>
      <c r="K173" s="49">
        <f t="shared" si="45"/>
        <v>-1.4618171876717989E-4</v>
      </c>
      <c r="L173" s="49">
        <f t="shared" si="45"/>
        <v>-1.4618171876717989E-4</v>
      </c>
      <c r="M173" s="49">
        <f t="shared" si="45"/>
        <v>-1.4618171876717989E-4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0.2326447049863789</v>
      </c>
      <c r="H174" s="49">
        <f t="shared" si="45"/>
        <v>0.2326447049863789</v>
      </c>
      <c r="I174" s="49">
        <f t="shared" si="45"/>
        <v>0.2326447049863789</v>
      </c>
      <c r="J174" s="49">
        <f t="shared" si="45"/>
        <v>0.2326447049863789</v>
      </c>
      <c r="K174" s="49">
        <f t="shared" si="45"/>
        <v>0.2326447049863789</v>
      </c>
      <c r="L174" s="49">
        <f t="shared" si="45"/>
        <v>0.2326447049863789</v>
      </c>
      <c r="M174" s="49">
        <f t="shared" si="45"/>
        <v>0.2326447049863789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0.10871200396356162</v>
      </c>
      <c r="H175" s="49">
        <f t="shared" si="45"/>
        <v>0.10871200396356162</v>
      </c>
      <c r="I175" s="49">
        <f t="shared" si="45"/>
        <v>0.10871200396356162</v>
      </c>
      <c r="J175" s="49">
        <f t="shared" si="45"/>
        <v>0.10871200396356162</v>
      </c>
      <c r="K175" s="49">
        <f t="shared" si="45"/>
        <v>0.10871200396356162</v>
      </c>
      <c r="L175" s="49">
        <f t="shared" si="45"/>
        <v>0.10871200396356162</v>
      </c>
      <c r="M175" s="49">
        <f t="shared" si="45"/>
        <v>0.10871200396356162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-0.25473357491781701</v>
      </c>
      <c r="H176" s="49">
        <f t="shared" si="45"/>
        <v>-0.25473357491781701</v>
      </c>
      <c r="I176" s="49">
        <f t="shared" si="45"/>
        <v>-0.25473357491781701</v>
      </c>
      <c r="J176" s="49">
        <f t="shared" si="45"/>
        <v>-0.25473357491781701</v>
      </c>
      <c r="K176" s="49">
        <f t="shared" si="45"/>
        <v>-0.25473357491781701</v>
      </c>
      <c r="L176" s="49">
        <f t="shared" si="45"/>
        <v>-0.25473357491781701</v>
      </c>
      <c r="M176" s="49">
        <f t="shared" si="45"/>
        <v>-0.25473357491781701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0.30806351907524121</v>
      </c>
      <c r="H177" s="49">
        <f t="shared" si="45"/>
        <v>0.30806351907524121</v>
      </c>
      <c r="I177" s="49">
        <f t="shared" si="45"/>
        <v>0.30806351907524121</v>
      </c>
      <c r="J177" s="49">
        <f t="shared" si="45"/>
        <v>0.30806351907524121</v>
      </c>
      <c r="K177" s="49">
        <f t="shared" si="45"/>
        <v>0.30806351907524121</v>
      </c>
      <c r="L177" s="49">
        <f t="shared" si="45"/>
        <v>0.30806351907524121</v>
      </c>
      <c r="M177" s="49">
        <f t="shared" si="45"/>
        <v>0.30806351907524121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1.3387604712142648E-2</v>
      </c>
      <c r="H178" s="49">
        <f t="shared" si="45"/>
        <v>1.3387604712142648E-2</v>
      </c>
      <c r="I178" s="49">
        <f t="shared" si="45"/>
        <v>1.3387604712142648E-2</v>
      </c>
      <c r="J178" s="49">
        <f t="shared" si="45"/>
        <v>1.3387604712142648E-2</v>
      </c>
      <c r="K178" s="49">
        <f t="shared" si="45"/>
        <v>1.3387604712142648E-2</v>
      </c>
      <c r="L178" s="49">
        <f t="shared" si="45"/>
        <v>1.3387604712142648E-2</v>
      </c>
      <c r="M178" s="49">
        <f t="shared" si="45"/>
        <v>1.3387604712142648E-2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1.7635386805908114E-2</v>
      </c>
      <c r="H179" s="49">
        <f t="shared" si="45"/>
        <v>1.7635386805908114E-2</v>
      </c>
      <c r="I179" s="49">
        <f t="shared" si="45"/>
        <v>1.7635386805908114E-2</v>
      </c>
      <c r="J179" s="49">
        <f t="shared" si="45"/>
        <v>1.7635386805908114E-2</v>
      </c>
      <c r="K179" s="49">
        <f t="shared" si="45"/>
        <v>1.7635386805908114E-2</v>
      </c>
      <c r="L179" s="49">
        <f t="shared" si="45"/>
        <v>1.7635386805908114E-2</v>
      </c>
      <c r="M179" s="49">
        <f t="shared" si="45"/>
        <v>1.7635386805908114E-2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-0.13307548498484409</v>
      </c>
      <c r="H206" s="48">
        <f t="shared" ref="H206:K209" si="49">LN(H152/H184)</f>
        <v>-0.13933893957461244</v>
      </c>
      <c r="I206" s="48">
        <f t="shared" si="49"/>
        <v>-0.19017650028046634</v>
      </c>
      <c r="J206" s="48">
        <f t="shared" si="49"/>
        <v>-1.0201260231693365</v>
      </c>
      <c r="K206" s="48">
        <f t="shared" si="49"/>
        <v>-1.0201260231693365</v>
      </c>
      <c r="L206" s="48">
        <f t="shared" ref="L206:M206" si="50">LN(L152/L184)</f>
        <v>-1.0201260231693365</v>
      </c>
      <c r="M206" s="48">
        <f t="shared" si="50"/>
        <v>-1.0201260231693365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-2.3456337314424967</v>
      </c>
      <c r="H207" s="48">
        <f t="shared" si="49"/>
        <v>-2.3457983540455514</v>
      </c>
      <c r="I207" s="48">
        <f t="shared" si="49"/>
        <v>-2.3462923845208117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-2.5519779067645927</v>
      </c>
      <c r="H208" s="48">
        <f t="shared" si="49"/>
        <v>-2.5519779067645927</v>
      </c>
      <c r="I208" s="48">
        <f t="shared" si="49"/>
        <v>-2.5519779067645927</v>
      </c>
      <c r="J208" s="48">
        <f t="shared" si="49"/>
        <v>-2.5519779067645927</v>
      </c>
      <c r="K208" s="48">
        <f t="shared" si="49"/>
        <v>-2.5519779067645927</v>
      </c>
      <c r="L208" s="48">
        <f t="shared" ref="L208:M208" si="52">LN(L154/L186)</f>
        <v>-2.5519779067645927</v>
      </c>
      <c r="M208" s="48">
        <f t="shared" si="52"/>
        <v>-2.5519779067645927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-2.6012056023909995</v>
      </c>
      <c r="H209" s="48">
        <f t="shared" si="49"/>
        <v>-2.616174309112548</v>
      </c>
      <c r="I209" s="48">
        <f t="shared" si="49"/>
        <v>-2.6176879407496574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8.8545423519757315E-3</v>
      </c>
      <c r="H210" s="48">
        <f t="shared" ref="H210:K213" si="54">H206*H206/2</f>
        <v>9.7076700408887471E-3</v>
      </c>
      <c r="I210" s="48">
        <f t="shared" si="54"/>
        <v>1.8083550629463107E-2</v>
      </c>
      <c r="J210" s="48">
        <f t="shared" si="54"/>
        <v>0.52032855157364288</v>
      </c>
      <c r="K210" s="48">
        <f t="shared" si="54"/>
        <v>0.52032855157364288</v>
      </c>
      <c r="L210" s="48">
        <f t="shared" ref="L210:M210" si="55">L206*L206/2</f>
        <v>0.52032855157364288</v>
      </c>
      <c r="M210" s="48">
        <f t="shared" si="55"/>
        <v>0.52032855157364288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2.7509988010404252</v>
      </c>
      <c r="H211" s="48">
        <f t="shared" si="54"/>
        <v>2.7513849589214088</v>
      </c>
      <c r="I211" s="48">
        <f t="shared" si="54"/>
        <v>2.7525439768301783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3.2562956183072962</v>
      </c>
      <c r="H212" s="48">
        <f t="shared" si="54"/>
        <v>3.2562956183072962</v>
      </c>
      <c r="I212" s="48">
        <f t="shared" si="54"/>
        <v>3.2562956183072962</v>
      </c>
      <c r="J212" s="48">
        <f t="shared" si="54"/>
        <v>3.2562956183072962</v>
      </c>
      <c r="K212" s="48">
        <f t="shared" si="54"/>
        <v>3.2562956183072962</v>
      </c>
      <c r="L212" s="48">
        <f t="shared" ref="L212:M212" si="57">L208*L208/2</f>
        <v>3.2562956183072962</v>
      </c>
      <c r="M212" s="48">
        <f t="shared" si="57"/>
        <v>3.2562956183072962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3.3831352929551612</v>
      </c>
      <c r="H213" s="48">
        <f t="shared" si="54"/>
        <v>3.4221840078302588</v>
      </c>
      <c r="I213" s="48">
        <f t="shared" si="54"/>
        <v>3.4261450775730911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0.31214634640851979</v>
      </c>
      <c r="H214" s="48">
        <f t="shared" ref="H214:K214" si="59">H206*H207</f>
        <v>0.32686105510857838</v>
      </c>
      <c r="I214" s="48">
        <f t="shared" si="59"/>
        <v>0.44620967432287817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0.33960569761330539</v>
      </c>
      <c r="H215" s="48">
        <f t="shared" ref="H215:K215" si="61">H206*H208</f>
        <v>0.35558989534641749</v>
      </c>
      <c r="I215" s="48">
        <f t="shared" si="61"/>
        <v>0.48532622710156048</v>
      </c>
      <c r="J215" s="48">
        <f t="shared" si="61"/>
        <v>2.603339073243772</v>
      </c>
      <c r="K215" s="48">
        <f t="shared" si="61"/>
        <v>2.603339073243772</v>
      </c>
      <c r="L215" s="48">
        <f t="shared" ref="L215:M215" si="62">L206*L208</f>
        <v>2.603339073243772</v>
      </c>
      <c r="M215" s="48">
        <f t="shared" si="62"/>
        <v>2.603339073243772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0.3461566970834758</v>
      </c>
      <c r="H216" s="48">
        <f t="shared" ref="H216:K216" si="63">H206*H209</f>
        <v>0.36453495397408675</v>
      </c>
      <c r="I216" s="48">
        <f t="shared" si="63"/>
        <v>0.49782273139815059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5.9860054600030432</v>
      </c>
      <c r="H217" s="48">
        <f t="shared" ref="H217:K217" si="65">H207*H208</f>
        <v>5.9864255732489928</v>
      </c>
      <c r="I217" s="48">
        <f t="shared" si="65"/>
        <v>5.9876863281071255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6.1014756033855271</v>
      </c>
      <c r="H218" s="48">
        <f t="shared" ref="H218:K218" si="67">H207*H209</f>
        <v>6.137017388212473</v>
      </c>
      <c r="I218" s="48">
        <f t="shared" si="67"/>
        <v>6.1418612804328871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6.6382192282541146</v>
      </c>
      <c r="H219" s="48">
        <f t="shared" ref="H219:K219" si="69">H208*H209</f>
        <v>6.6764190371003451</v>
      </c>
      <c r="I219" s="48">
        <f t="shared" si="69"/>
        <v>6.6802817915972277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-1.9959123013972808</v>
      </c>
      <c r="H220" s="48">
        <f t="shared" ref="H220:K220" si="71">LN(H156/H198)</f>
        <v>-1.9959123013972808</v>
      </c>
      <c r="I220" s="48">
        <f t="shared" si="71"/>
        <v>-1.9959123013972808</v>
      </c>
      <c r="J220" s="48">
        <f t="shared" si="71"/>
        <v>-2.0565369232137156</v>
      </c>
      <c r="K220" s="48">
        <f t="shared" si="71"/>
        <v>-2.113695337053664</v>
      </c>
      <c r="L220" s="48">
        <f t="shared" ref="L220:M220" si="72">LN(L156/L198)</f>
        <v>-2.1708537508936128</v>
      </c>
      <c r="M220" s="48">
        <f t="shared" si="72"/>
        <v>-2.2280121647335616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-0.15923223482316196</v>
      </c>
      <c r="H221" s="31">
        <f t="shared" ref="H221:K221" si="73">H157/H199</f>
        <v>-7.731687624610116E-2</v>
      </c>
      <c r="I221" s="31">
        <f t="shared" si="73"/>
        <v>-5.2162637505801711E-2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12.831090199996751</v>
      </c>
      <c r="H226" s="50">
        <f t="shared" ref="H226:K241" si="78">H162*H205</f>
        <v>12.831090199996751</v>
      </c>
      <c r="I226" s="50">
        <f t="shared" si="78"/>
        <v>12.831090199996751</v>
      </c>
      <c r="J226" s="50">
        <f t="shared" si="78"/>
        <v>12.831090199996751</v>
      </c>
      <c r="K226" s="50">
        <f t="shared" si="78"/>
        <v>12.831090199996751</v>
      </c>
      <c r="L226" s="50">
        <f t="shared" ref="L226:M226" si="79">L162*L205</f>
        <v>12.831090199996751</v>
      </c>
      <c r="M226" s="50">
        <f t="shared" si="79"/>
        <v>12.831090199996751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-8.3412713988655823E-2</v>
      </c>
      <c r="H227" s="50">
        <f t="shared" si="78"/>
        <v>-8.7338694392460337E-2</v>
      </c>
      <c r="I227" s="50">
        <f t="shared" si="78"/>
        <v>-0.11920405946342941</v>
      </c>
      <c r="J227" s="50">
        <f t="shared" si="78"/>
        <v>-0.6394226570934517</v>
      </c>
      <c r="K227" s="50">
        <f t="shared" si="78"/>
        <v>-0.6394226570934517</v>
      </c>
      <c r="L227" s="50">
        <f t="shared" ref="L227:M227" si="80">L163*L206</f>
        <v>-0.6394226570934517</v>
      </c>
      <c r="M227" s="50">
        <f t="shared" si="80"/>
        <v>-0.6394226570934517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-0.99635178990764151</v>
      </c>
      <c r="H228" s="50">
        <f t="shared" si="78"/>
        <v>-0.99642171643667043</v>
      </c>
      <c r="I228" s="50">
        <f t="shared" si="78"/>
        <v>-0.99663156511922313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-0.37710090720578793</v>
      </c>
      <c r="H229" s="50">
        <f t="shared" si="78"/>
        <v>-0.37710090720578793</v>
      </c>
      <c r="I229" s="50">
        <f t="shared" si="78"/>
        <v>-0.37710090720578793</v>
      </c>
      <c r="J229" s="50">
        <f t="shared" si="78"/>
        <v>-0.37710090720578793</v>
      </c>
      <c r="K229" s="50">
        <f t="shared" si="78"/>
        <v>-0.37710090720578793</v>
      </c>
      <c r="L229" s="50">
        <f t="shared" ref="L229:M229" si="82">L165*L208</f>
        <v>-0.37710090720578793</v>
      </c>
      <c r="M229" s="50">
        <f t="shared" si="82"/>
        <v>-0.37710090720578793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-0.30169332826906781</v>
      </c>
      <c r="H230" s="50">
        <f t="shared" si="78"/>
        <v>-0.30342943053893701</v>
      </c>
      <c r="I230" s="50">
        <f t="shared" si="78"/>
        <v>-0.30360498473809494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9.8434052592121977E-4</v>
      </c>
      <c r="H231" s="50">
        <f t="shared" si="78"/>
        <v>1.0791809055366848E-3</v>
      </c>
      <c r="I231" s="50">
        <f t="shared" si="78"/>
        <v>2.0103096274825412E-3</v>
      </c>
      <c r="J231" s="50">
        <f t="shared" si="78"/>
        <v>5.7843811656007528E-2</v>
      </c>
      <c r="K231" s="50">
        <f t="shared" si="78"/>
        <v>5.7843811656007528E-2</v>
      </c>
      <c r="L231" s="50">
        <f t="shared" ref="L231:M231" si="84">L167*L210</f>
        <v>5.7843811656007528E-2</v>
      </c>
      <c r="M231" s="50">
        <f t="shared" si="84"/>
        <v>5.7843811656007528E-2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-1.4258314091276794</v>
      </c>
      <c r="H232" s="50">
        <f t="shared" si="78"/>
        <v>-1.4260315531754995</v>
      </c>
      <c r="I232" s="50">
        <f t="shared" si="78"/>
        <v>-1.4266322674097043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0.54249711138546908</v>
      </c>
      <c r="H233" s="50">
        <f t="shared" si="78"/>
        <v>0.54249711138546908</v>
      </c>
      <c r="I233" s="50">
        <f t="shared" si="78"/>
        <v>0.54249711138546908</v>
      </c>
      <c r="J233" s="50">
        <f t="shared" si="78"/>
        <v>0.54249711138546908</v>
      </c>
      <c r="K233" s="50">
        <f t="shared" si="78"/>
        <v>0.54249711138546908</v>
      </c>
      <c r="L233" s="50">
        <f t="shared" ref="L233:M233" si="86">L169*L212</f>
        <v>0.54249711138546908</v>
      </c>
      <c r="M233" s="50">
        <f t="shared" si="86"/>
        <v>0.54249711138546908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0.60292731887048456</v>
      </c>
      <c r="H234" s="50">
        <f t="shared" si="78"/>
        <v>0.60988640709081265</v>
      </c>
      <c r="I234" s="50">
        <f t="shared" si="78"/>
        <v>0.61059233131585855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1.6978472992024343E-2</v>
      </c>
      <c r="H235" s="50">
        <f t="shared" si="78"/>
        <v>1.7778845276127525E-2</v>
      </c>
      <c r="I235" s="50">
        <f t="shared" si="78"/>
        <v>2.4270535251935867E-2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2.1969264252021674E-3</v>
      </c>
      <c r="H236" s="50">
        <f t="shared" si="78"/>
        <v>2.3003290083517462E-3</v>
      </c>
      <c r="I236" s="50">
        <f t="shared" si="78"/>
        <v>3.1395998967518879E-3</v>
      </c>
      <c r="J236" s="50">
        <f t="shared" si="78"/>
        <v>1.6841132065702084E-2</v>
      </c>
      <c r="K236" s="50">
        <f t="shared" si="78"/>
        <v>1.6841132065702084E-2</v>
      </c>
      <c r="L236" s="50">
        <f t="shared" ref="L236:M236" si="89">L172*L215</f>
        <v>1.6841132065702084E-2</v>
      </c>
      <c r="M236" s="50">
        <f t="shared" si="89"/>
        <v>1.6841132065702084E-2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-5.0601780942432539E-5</v>
      </c>
      <c r="H237" s="50">
        <f t="shared" si="78"/>
        <v>-5.3288346122646815E-5</v>
      </c>
      <c r="I237" s="50">
        <f t="shared" si="78"/>
        <v>-7.277258251715379E-5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1.3926124742892614</v>
      </c>
      <c r="H238" s="50">
        <f t="shared" si="78"/>
        <v>1.392710211411426</v>
      </c>
      <c r="I238" s="50">
        <f t="shared" si="78"/>
        <v>1.3930035193534567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0.66330363997882191</v>
      </c>
      <c r="H239" s="50">
        <f t="shared" si="78"/>
        <v>0.66716745863180094</v>
      </c>
      <c r="I239" s="50">
        <f t="shared" si="78"/>
        <v>0.66769404786206565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-1.690977315101363</v>
      </c>
      <c r="H240" s="50">
        <f t="shared" si="78"/>
        <v>-1.7007080889699404</v>
      </c>
      <c r="I240" s="50">
        <f t="shared" si="78"/>
        <v>-1.7016920622319611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-0.61486776733400983</v>
      </c>
      <c r="H241" s="50">
        <f t="shared" si="78"/>
        <v>-0.61486776733400983</v>
      </c>
      <c r="I241" s="50">
        <f t="shared" si="78"/>
        <v>-0.61486776733400983</v>
      </c>
      <c r="J241" s="50">
        <f t="shared" si="78"/>
        <v>-0.63354400167338631</v>
      </c>
      <c r="K241" s="50">
        <f t="shared" si="78"/>
        <v>-0.65115242378567983</v>
      </c>
      <c r="L241" s="50">
        <f t="shared" ref="L241:M241" si="94">L177*L220</f>
        <v>-0.66876084589797336</v>
      </c>
      <c r="M241" s="50">
        <f t="shared" si="94"/>
        <v>-0.68636926801026699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-2.1317382172435675E-3</v>
      </c>
      <c r="H242" s="50">
        <f t="shared" ref="H242:K243" si="95">H178*H221</f>
        <v>-1.0350877767604538E-3</v>
      </c>
      <c r="I242" s="50">
        <f t="shared" si="95"/>
        <v>-6.9833277167045981E-4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0.15871848125317303</v>
      </c>
      <c r="H243" s="50">
        <f t="shared" si="95"/>
        <v>0.17635386805908115</v>
      </c>
      <c r="I243" s="50">
        <f t="shared" si="95"/>
        <v>0.19398925486498925</v>
      </c>
      <c r="J243" s="50">
        <f t="shared" si="95"/>
        <v>0.21162464167089737</v>
      </c>
      <c r="K243" s="50">
        <f t="shared" si="95"/>
        <v>0.22926002847680549</v>
      </c>
      <c r="L243" s="50">
        <f t="shared" ref="L243:M243" si="97">L179*L222</f>
        <v>0.24689541528271358</v>
      </c>
      <c r="M243" s="50">
        <f t="shared" si="97"/>
        <v>0.26453080208862173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10.718891394784716</v>
      </c>
      <c r="H245" s="44">
        <f t="shared" ref="H245:K245" si="98">SUM(H226:H243)</f>
        <v>10.733877077589165</v>
      </c>
      <c r="I245" s="44">
        <f t="shared" si="98"/>
        <v>10.727782190698363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45201.764143616718</v>
      </c>
      <c r="H246" s="8">
        <f t="shared" ref="H246:K246" si="100">EXP(H245)</f>
        <v>45884.244387461324</v>
      </c>
      <c r="I246" s="8">
        <f t="shared" si="100"/>
        <v>45605.43562487614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124.57550597437343</v>
      </c>
      <c r="H247" s="21">
        <f t="shared" ref="H247:K247" si="102">H137</f>
        <v>127.43201532585269</v>
      </c>
      <c r="I247" s="21">
        <f t="shared" si="102"/>
        <v>130.35402427623998</v>
      </c>
      <c r="J247" s="21">
        <f t="shared" si="102"/>
        <v>130.35402427623998</v>
      </c>
      <c r="K247" s="21">
        <f t="shared" si="102"/>
        <v>130.35402427623998</v>
      </c>
      <c r="L247" s="21">
        <f t="shared" ref="L247:M247" si="103">L137</f>
        <v>130.35402427623998</v>
      </c>
      <c r="M247" s="21">
        <f t="shared" si="103"/>
        <v>130.35402427623998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5631032.6391253434</v>
      </c>
      <c r="H248" s="8">
        <f t="shared" ref="H248:K248" si="104">H246*H247</f>
        <v>5847121.7339981413</v>
      </c>
      <c r="I248" s="8">
        <f t="shared" si="104"/>
        <v>5944852.0625736043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3690658.8228852497</v>
      </c>
      <c r="H256" s="60">
        <f t="shared" ref="H256:K256" si="107">H121</f>
        <v>4123772.1855179667</v>
      </c>
      <c r="I256" s="60">
        <f t="shared" si="107"/>
        <v>4315395.0138124209</v>
      </c>
      <c r="J256" s="60">
        <f t="shared" si="107"/>
        <v>601477.06062433869</v>
      </c>
      <c r="K256" s="60">
        <f t="shared" si="107"/>
        <v>573869.26354168146</v>
      </c>
      <c r="L256" s="60">
        <f t="shared" ref="L256:M256" si="108">L121</f>
        <v>547528.66434511822</v>
      </c>
      <c r="M256" s="60">
        <f t="shared" si="108"/>
        <v>522397.09865167725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5631032.6391253434</v>
      </c>
      <c r="H257" s="60">
        <f t="shared" ref="H257:K257" si="110">H248</f>
        <v>5847121.7339981413</v>
      </c>
      <c r="I257" s="60">
        <f>I248</f>
        <v>5944852.0625736043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-1940373.8162400937</v>
      </c>
      <c r="H258" s="25">
        <f t="shared" ref="H258:K258" si="113">H256-H257</f>
        <v>-1723349.5484801745</v>
      </c>
      <c r="I258" s="25">
        <f t="shared" si="113"/>
        <v>-1629457.0487611834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-0.34458578747316371</v>
      </c>
      <c r="H259" s="61">
        <f>H258/H257</f>
        <v>-0.29473467919433644</v>
      </c>
      <c r="I259" s="61">
        <f t="shared" ref="I259:K259" si="116">I258/I257</f>
        <v>-0.27409547480913599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-0.42248785768120484</v>
      </c>
      <c r="H261" s="64">
        <f>LN(H256/H257)</f>
        <v>-0.34918120540027692</v>
      </c>
      <c r="I261" s="64">
        <f t="shared" ref="I261:K261" si="118">LN(I256/I257)</f>
        <v>-0.32033678080684114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I13" sqref="I13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Northern Ontario Wires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3690658.8228852497</v>
      </c>
      <c r="G10" s="86">
        <f>'Benchmarking Calculations'!H121</f>
        <v>4123772.1855179667</v>
      </c>
      <c r="H10" s="86">
        <f>'Benchmarking Calculations'!I121</f>
        <v>4315395.0138124209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5631032.6391253434</v>
      </c>
      <c r="G12" s="86">
        <f>'Benchmarking Calculations'!H257</f>
        <v>5847121.7339981413</v>
      </c>
      <c r="H12" s="86">
        <f>'Benchmarking Calculations'!I257</f>
        <v>5944852.0625736043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-1940373.8162400937</v>
      </c>
      <c r="G14" s="86">
        <f t="shared" si="0"/>
        <v>-1723349.5484801745</v>
      </c>
      <c r="H14" s="86">
        <f t="shared" si="0"/>
        <v>-1629457.0487611834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-0.42248785768120484</v>
      </c>
      <c r="G16" s="167">
        <f t="shared" ref="G16:H16" si="2">LN(G10/G12)</f>
        <v>-0.34918120540027692</v>
      </c>
      <c r="H16" s="167">
        <f t="shared" si="2"/>
        <v>-0.32033678080684114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-0.3640019479627743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Geoffrey Sutton</cp:lastModifiedBy>
  <cp:lastPrinted>2016-09-29T15:24:51Z</cp:lastPrinted>
  <dcterms:created xsi:type="dcterms:W3CDTF">2016-07-20T15:58:10Z</dcterms:created>
  <dcterms:modified xsi:type="dcterms:W3CDTF">2016-09-29T15:24:59Z</dcterms:modified>
</cp:coreProperties>
</file>